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Y:\06-March-26\"/>
    </mc:Choice>
  </mc:AlternateContent>
  <bookViews>
    <workbookView xWindow="0" yWindow="0" windowWidth="28800" windowHeight="12210" tabRatio="947"/>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NIFTY GRP" sheetId="9" r:id="rId16"/>
    <sheet name="Data Vlaue (Cr)" sheetId="1" r:id="rId17"/>
    <sheet name="Data shares" sheetId="4"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7">'Data shares'!$A$1:$FA$213</definedName>
    <definedName name="Expry_Roll___20" localSheetId="15">'NIFTY GRP'!$A$1:$EY$51</definedName>
    <definedName name="fii" localSheetId="18">FII!$A$1:$N$16</definedName>
    <definedName name="_xlnm.Print_Area" localSheetId="14">Disclaimar!$A$1:$A$24</definedName>
    <definedName name="stats__2" localSheetId="16">'Data Vlaue (Cr)'!$A$1:$FB$213</definedName>
  </definedNames>
  <calcPr calcId="162913"/>
</workbook>
</file>

<file path=xl/calcChain.xml><?xml version="1.0" encoding="utf-8"?>
<calcChain xmlns="http://schemas.openxmlformats.org/spreadsheetml/2006/main">
  <c r="L3" i="21" l="1"/>
  <c r="A215" i="14" l="1"/>
  <c r="B215" i="14" s="1"/>
  <c r="A216" i="14"/>
  <c r="C216" i="14" s="1"/>
  <c r="B216" i="14"/>
  <c r="E216" i="14"/>
  <c r="A217" i="14"/>
  <c r="D217" i="14" s="1"/>
  <c r="F217" i="14"/>
  <c r="A213" i="13"/>
  <c r="B213" i="13" s="1"/>
  <c r="A214" i="13"/>
  <c r="B214" i="13" s="1"/>
  <c r="A215" i="13"/>
  <c r="D215" i="13" s="1"/>
  <c r="B215" i="13"/>
  <c r="F215" i="13"/>
  <c r="G215" i="13"/>
  <c r="A216" i="13"/>
  <c r="B216" i="13" s="1"/>
  <c r="A214" i="12"/>
  <c r="B214" i="12" s="1"/>
  <c r="C214" i="12"/>
  <c r="H214" i="12"/>
  <c r="I214" i="12"/>
  <c r="A215" i="12"/>
  <c r="B215" i="12" s="1"/>
  <c r="A216" i="12"/>
  <c r="C216" i="12" s="1"/>
  <c r="B216" i="12"/>
  <c r="I216" i="12"/>
  <c r="J216" i="12"/>
  <c r="A217" i="12"/>
  <c r="B217" i="12" s="1"/>
  <c r="A213" i="11"/>
  <c r="D213" i="11" s="1"/>
  <c r="B213" i="11"/>
  <c r="F213" i="11"/>
  <c r="G213" i="11"/>
  <c r="K213" i="11"/>
  <c r="M213" i="11"/>
  <c r="A214" i="11"/>
  <c r="B214" i="11" s="1"/>
  <c r="I214" i="11"/>
  <c r="A215" i="11"/>
  <c r="C215" i="11" s="1"/>
  <c r="J215" i="11"/>
  <c r="M215" i="11"/>
  <c r="A216" i="11"/>
  <c r="D216" i="11" s="1"/>
  <c r="G216" i="11"/>
  <c r="N216" i="11"/>
  <c r="A217" i="11"/>
  <c r="D217" i="11" s="1"/>
  <c r="F217" i="11"/>
  <c r="K217" i="11"/>
  <c r="A214" i="10"/>
  <c r="B214" i="10" s="1"/>
  <c r="A215" i="10"/>
  <c r="C215" i="10" s="1"/>
  <c r="E215" i="10"/>
  <c r="M215" i="10"/>
  <c r="N215" i="10"/>
  <c r="A216" i="10"/>
  <c r="B216" i="10" s="1"/>
  <c r="D216" i="10"/>
  <c r="E216" i="10"/>
  <c r="G216" i="10"/>
  <c r="I216" i="10"/>
  <c r="K216" i="10"/>
  <c r="L216" i="10"/>
  <c r="O216" i="10"/>
  <c r="A217" i="10"/>
  <c r="B217" i="10" s="1"/>
  <c r="A54" i="8"/>
  <c r="B54" i="8" s="1"/>
  <c r="A55" i="8"/>
  <c r="D55" i="8" s="1"/>
  <c r="A56" i="8"/>
  <c r="B56" i="8" s="1"/>
  <c r="A212" i="6"/>
  <c r="B212" i="6" s="1"/>
  <c r="A213" i="6"/>
  <c r="C213" i="6" s="1"/>
  <c r="A214" i="6"/>
  <c r="D214" i="6" s="1"/>
  <c r="F214" i="6"/>
  <c r="K214" i="6"/>
  <c r="A215" i="6"/>
  <c r="B215" i="6" s="1"/>
  <c r="I215" i="6"/>
  <c r="M215" i="6"/>
  <c r="A216" i="6"/>
  <c r="B216" i="6" s="1"/>
  <c r="A217" i="6"/>
  <c r="C217" i="6" s="1"/>
  <c r="I217" i="6"/>
  <c r="A214" i="7"/>
  <c r="B214" i="7" s="1"/>
  <c r="I214" i="7"/>
  <c r="A215" i="7"/>
  <c r="B215" i="7" s="1"/>
  <c r="A216" i="7"/>
  <c r="D216" i="7" s="1"/>
  <c r="K216" i="7"/>
  <c r="A217" i="7"/>
  <c r="B217" i="7" s="1"/>
  <c r="A215" i="2"/>
  <c r="B215" i="2" s="1"/>
  <c r="L215" i="2"/>
  <c r="A216" i="2"/>
  <c r="B216" i="2" s="1"/>
  <c r="A217" i="2"/>
  <c r="D217" i="2" s="1"/>
  <c r="A218" i="2"/>
  <c r="A214" i="3" s="1"/>
  <c r="A219" i="2"/>
  <c r="B219" i="2" s="1"/>
  <c r="A220" i="2"/>
  <c r="B220" i="2" s="1"/>
  <c r="A221" i="2"/>
  <c r="D221" i="2" s="1"/>
  <c r="M218" i="2" l="1"/>
  <c r="I217" i="2"/>
  <c r="Q215" i="2"/>
  <c r="E215" i="2"/>
  <c r="G215" i="2" s="1"/>
  <c r="M216" i="6"/>
  <c r="E215" i="6"/>
  <c r="M216" i="10"/>
  <c r="H216" i="10"/>
  <c r="C216" i="10"/>
  <c r="I215" i="10"/>
  <c r="M214" i="10"/>
  <c r="N217" i="11"/>
  <c r="I217" i="11"/>
  <c r="C217" i="11"/>
  <c r="O213" i="11"/>
  <c r="J213" i="11"/>
  <c r="E213" i="11"/>
  <c r="G214" i="12"/>
  <c r="C217" i="14"/>
  <c r="S218" i="2"/>
  <c r="S217" i="2"/>
  <c r="I215" i="2"/>
  <c r="O217" i="11"/>
  <c r="J217" i="11"/>
  <c r="E217" i="11"/>
  <c r="E218" i="2"/>
  <c r="E217" i="2"/>
  <c r="G217" i="2" s="1"/>
  <c r="M215" i="2"/>
  <c r="N215" i="2" s="1"/>
  <c r="O215" i="2" s="1"/>
  <c r="D215" i="2"/>
  <c r="N217" i="6"/>
  <c r="F215" i="10"/>
  <c r="I214" i="10"/>
  <c r="M217" i="11"/>
  <c r="G217" i="11"/>
  <c r="B217" i="11"/>
  <c r="M214" i="11"/>
  <c r="N213" i="11"/>
  <c r="I213" i="11"/>
  <c r="C213" i="11"/>
  <c r="D214" i="12"/>
  <c r="I213" i="6"/>
  <c r="L217" i="10"/>
  <c r="Q219" i="2"/>
  <c r="R218" i="2"/>
  <c r="L218" i="2"/>
  <c r="D218" i="2"/>
  <c r="G218" i="2" s="1"/>
  <c r="L215" i="6"/>
  <c r="H215" i="6"/>
  <c r="D215" i="6"/>
  <c r="O214" i="6"/>
  <c r="J214" i="6"/>
  <c r="E214" i="6"/>
  <c r="N213" i="6"/>
  <c r="F213" i="6"/>
  <c r="M212" i="6"/>
  <c r="K217" i="10"/>
  <c r="M216" i="11"/>
  <c r="F216" i="11"/>
  <c r="S221" i="2"/>
  <c r="I219" i="2"/>
  <c r="Q218" i="2"/>
  <c r="I218" i="2"/>
  <c r="C218" i="2"/>
  <c r="R217" i="2"/>
  <c r="Q216" i="2"/>
  <c r="F216" i="7"/>
  <c r="H214" i="7"/>
  <c r="F217" i="6"/>
  <c r="O215" i="6"/>
  <c r="K215" i="6"/>
  <c r="G215" i="6"/>
  <c r="C215" i="6"/>
  <c r="N214" i="6"/>
  <c r="I214" i="6"/>
  <c r="C214" i="6"/>
  <c r="M213" i="6"/>
  <c r="E213" i="6"/>
  <c r="I212" i="6"/>
  <c r="G217" i="10"/>
  <c r="N216" i="10"/>
  <c r="J216" i="10"/>
  <c r="F216" i="10"/>
  <c r="J215" i="10"/>
  <c r="B215" i="10"/>
  <c r="E214" i="10"/>
  <c r="K216" i="11"/>
  <c r="C216" i="11"/>
  <c r="F216" i="12"/>
  <c r="I215" i="12"/>
  <c r="E215" i="13"/>
  <c r="B217" i="14"/>
  <c r="P218" i="2"/>
  <c r="H218" i="2"/>
  <c r="J218" i="2" s="1"/>
  <c r="K218" i="2" s="1"/>
  <c r="B218" i="2"/>
  <c r="A216" i="3"/>
  <c r="B216" i="3" s="1"/>
  <c r="N215" i="6"/>
  <c r="J215" i="6"/>
  <c r="F215" i="6"/>
  <c r="M214" i="6"/>
  <c r="G214" i="6"/>
  <c r="B214" i="6"/>
  <c r="J213" i="6"/>
  <c r="B213" i="6"/>
  <c r="E212" i="6"/>
  <c r="E217" i="10"/>
  <c r="I216" i="11"/>
  <c r="B216" i="11"/>
  <c r="E216" i="12"/>
  <c r="E215" i="12"/>
  <c r="C215" i="13"/>
  <c r="J55" i="8"/>
  <c r="F55" i="8"/>
  <c r="E55" i="8"/>
  <c r="G216" i="14"/>
  <c r="B214" i="3"/>
  <c r="I214" i="3"/>
  <c r="Q214" i="3"/>
  <c r="L214" i="3"/>
  <c r="D214" i="3"/>
  <c r="M214" i="3"/>
  <c r="P214" i="3"/>
  <c r="R221" i="2"/>
  <c r="E221" i="2"/>
  <c r="Q220" i="2"/>
  <c r="P219" i="2"/>
  <c r="H219" i="2"/>
  <c r="Q217" i="2"/>
  <c r="C217" i="2"/>
  <c r="F217" i="2" s="1"/>
  <c r="M216" i="2"/>
  <c r="A213" i="3"/>
  <c r="D213" i="3" s="1"/>
  <c r="A211" i="3"/>
  <c r="L217" i="7"/>
  <c r="H217" i="7"/>
  <c r="D217" i="7"/>
  <c r="O216" i="7"/>
  <c r="J216" i="7"/>
  <c r="E216" i="7"/>
  <c r="M215" i="7"/>
  <c r="M214" i="7"/>
  <c r="E214" i="7"/>
  <c r="M217" i="6"/>
  <c r="E217" i="6"/>
  <c r="I216" i="6"/>
  <c r="O217" i="10"/>
  <c r="I217" i="10"/>
  <c r="D217" i="10"/>
  <c r="F215" i="11"/>
  <c r="H217" i="12"/>
  <c r="D217" i="12"/>
  <c r="D216" i="13"/>
  <c r="E213" i="13"/>
  <c r="M217" i="7"/>
  <c r="I217" i="7"/>
  <c r="E217" i="7"/>
  <c r="I217" i="12"/>
  <c r="E217" i="12"/>
  <c r="E216" i="13"/>
  <c r="Q221" i="2"/>
  <c r="C221" i="2"/>
  <c r="M220" i="2"/>
  <c r="M219" i="2"/>
  <c r="E219" i="2"/>
  <c r="G219" i="2" s="1"/>
  <c r="N218" i="2"/>
  <c r="O218" i="2" s="1"/>
  <c r="M217" i="2"/>
  <c r="B217" i="2"/>
  <c r="I216" i="2"/>
  <c r="P215" i="2"/>
  <c r="H215" i="2"/>
  <c r="J215" i="2" s="1"/>
  <c r="K215" i="2" s="1"/>
  <c r="A217" i="3"/>
  <c r="C217" i="3" s="1"/>
  <c r="N216" i="3"/>
  <c r="A215" i="3"/>
  <c r="J215" i="3" s="1"/>
  <c r="O217" i="7"/>
  <c r="K217" i="7"/>
  <c r="G217" i="7"/>
  <c r="C217" i="7"/>
  <c r="N216" i="7"/>
  <c r="I216" i="7"/>
  <c r="C216" i="7"/>
  <c r="I215" i="7"/>
  <c r="L214" i="7"/>
  <c r="D214" i="7"/>
  <c r="J217" i="6"/>
  <c r="B217" i="6"/>
  <c r="E216" i="6"/>
  <c r="M217" i="10"/>
  <c r="H217" i="10"/>
  <c r="C217" i="10"/>
  <c r="L217" i="11"/>
  <c r="H217" i="11"/>
  <c r="O216" i="11"/>
  <c r="J216" i="11"/>
  <c r="E216" i="11"/>
  <c r="N215" i="11"/>
  <c r="B215" i="11"/>
  <c r="L213" i="11"/>
  <c r="H213" i="11"/>
  <c r="K217" i="12"/>
  <c r="G217" i="12"/>
  <c r="C217" i="12"/>
  <c r="K214" i="12"/>
  <c r="E214" i="12"/>
  <c r="G216" i="13"/>
  <c r="C216" i="13"/>
  <c r="D213" i="13"/>
  <c r="E217" i="14"/>
  <c r="F216" i="14"/>
  <c r="E215" i="14"/>
  <c r="G215" i="14" s="1"/>
  <c r="I221" i="2"/>
  <c r="M221" i="2"/>
  <c r="B221" i="2"/>
  <c r="L219" i="2"/>
  <c r="D219" i="2"/>
  <c r="F218" i="2"/>
  <c r="E216" i="2"/>
  <c r="A212" i="3"/>
  <c r="N217" i="7"/>
  <c r="J217" i="7"/>
  <c r="F217" i="7"/>
  <c r="M216" i="7"/>
  <c r="G216" i="7"/>
  <c r="B216" i="7"/>
  <c r="E215" i="7"/>
  <c r="J217" i="12"/>
  <c r="F217" i="12"/>
  <c r="F216" i="13"/>
  <c r="E214" i="13"/>
  <c r="I54" i="8"/>
  <c r="E56" i="8"/>
  <c r="I55" i="8"/>
  <c r="C55" i="8"/>
  <c r="H54" i="8"/>
  <c r="I56" i="8"/>
  <c r="H56" i="8"/>
  <c r="D56" i="8"/>
  <c r="G55" i="8"/>
  <c r="B55" i="8"/>
  <c r="E54" i="8"/>
  <c r="D54" i="8"/>
  <c r="D215" i="14"/>
  <c r="D216" i="14"/>
  <c r="C215" i="14"/>
  <c r="F215" i="14"/>
  <c r="D214" i="13"/>
  <c r="G213" i="13"/>
  <c r="C213" i="13"/>
  <c r="G214" i="13"/>
  <c r="C214" i="13"/>
  <c r="F213" i="13"/>
  <c r="F214" i="13"/>
  <c r="H215" i="12"/>
  <c r="D215" i="12"/>
  <c r="H216" i="12"/>
  <c r="D216" i="12"/>
  <c r="K215" i="12"/>
  <c r="G215" i="12"/>
  <c r="C215" i="12"/>
  <c r="J214" i="12"/>
  <c r="F214" i="12"/>
  <c r="K216" i="12"/>
  <c r="G216" i="12"/>
  <c r="J215" i="12"/>
  <c r="F215" i="12"/>
  <c r="I215" i="11"/>
  <c r="E215" i="11"/>
  <c r="L215" i="11"/>
  <c r="H215" i="11"/>
  <c r="D215" i="11"/>
  <c r="O214" i="11"/>
  <c r="K214" i="11"/>
  <c r="G214" i="11"/>
  <c r="C214" i="11"/>
  <c r="E214" i="11"/>
  <c r="L214" i="11"/>
  <c r="H214" i="11"/>
  <c r="D214" i="11"/>
  <c r="L216" i="11"/>
  <c r="H216" i="11"/>
  <c r="O215" i="11"/>
  <c r="K215" i="11"/>
  <c r="G215" i="11"/>
  <c r="N214" i="11"/>
  <c r="J214" i="11"/>
  <c r="F214" i="11"/>
  <c r="L214" i="10"/>
  <c r="H214" i="10"/>
  <c r="D214" i="10"/>
  <c r="N217" i="10"/>
  <c r="J217" i="10"/>
  <c r="F217" i="10"/>
  <c r="L215" i="10"/>
  <c r="H215" i="10"/>
  <c r="D215" i="10"/>
  <c r="O214" i="10"/>
  <c r="K214" i="10"/>
  <c r="G214" i="10"/>
  <c r="C214" i="10"/>
  <c r="O215" i="10"/>
  <c r="K215" i="10"/>
  <c r="G215" i="10"/>
  <c r="N214" i="10"/>
  <c r="J214" i="10"/>
  <c r="F214" i="10"/>
  <c r="C56" i="8"/>
  <c r="G54" i="8"/>
  <c r="C54" i="8"/>
  <c r="G56" i="8"/>
  <c r="J56" i="8"/>
  <c r="F56" i="8"/>
  <c r="H55" i="8"/>
  <c r="J54" i="8"/>
  <c r="F54" i="8"/>
  <c r="L216" i="6"/>
  <c r="H216" i="6"/>
  <c r="D216" i="6"/>
  <c r="L212" i="6"/>
  <c r="H212" i="6"/>
  <c r="D212" i="6"/>
  <c r="L217" i="6"/>
  <c r="H217" i="6"/>
  <c r="D217" i="6"/>
  <c r="O216" i="6"/>
  <c r="K216" i="6"/>
  <c r="G216" i="6"/>
  <c r="C216" i="6"/>
  <c r="L213" i="6"/>
  <c r="H213" i="6"/>
  <c r="D213" i="6"/>
  <c r="O212" i="6"/>
  <c r="K212" i="6"/>
  <c r="G212" i="6"/>
  <c r="C212" i="6"/>
  <c r="O217" i="6"/>
  <c r="K217" i="6"/>
  <c r="G217" i="6"/>
  <c r="N216" i="6"/>
  <c r="J216" i="6"/>
  <c r="F216" i="6"/>
  <c r="L214" i="6"/>
  <c r="H214" i="6"/>
  <c r="O213" i="6"/>
  <c r="K213" i="6"/>
  <c r="G213" i="6"/>
  <c r="N212" i="6"/>
  <c r="J212" i="6"/>
  <c r="F212" i="6"/>
  <c r="L215" i="7"/>
  <c r="H215" i="7"/>
  <c r="D215" i="7"/>
  <c r="O214" i="7"/>
  <c r="K214" i="7"/>
  <c r="G214" i="7"/>
  <c r="C214" i="7"/>
  <c r="L216" i="7"/>
  <c r="H216" i="7"/>
  <c r="O215" i="7"/>
  <c r="K215" i="7"/>
  <c r="G215" i="7"/>
  <c r="C215" i="7"/>
  <c r="N214" i="7"/>
  <c r="J214" i="7"/>
  <c r="F214" i="7"/>
  <c r="N215" i="7"/>
  <c r="J215" i="7"/>
  <c r="F215" i="7"/>
  <c r="L217" i="3"/>
  <c r="F215" i="3"/>
  <c r="O214" i="3"/>
  <c r="G214" i="3"/>
  <c r="C214" i="3"/>
  <c r="N211" i="3"/>
  <c r="J211" i="3"/>
  <c r="F211" i="3"/>
  <c r="N214" i="3"/>
  <c r="J214" i="3"/>
  <c r="F214" i="3"/>
  <c r="G221" i="2"/>
  <c r="F221" i="2"/>
  <c r="I220" i="2"/>
  <c r="E220" i="2"/>
  <c r="P220" i="2"/>
  <c r="L220" i="2"/>
  <c r="N220" i="2" s="1"/>
  <c r="O220" i="2" s="1"/>
  <c r="H220" i="2"/>
  <c r="J220" i="2" s="1"/>
  <c r="K220" i="2" s="1"/>
  <c r="D220" i="2"/>
  <c r="S219" i="2"/>
  <c r="C219" i="2"/>
  <c r="F219" i="2" s="1"/>
  <c r="P216" i="2"/>
  <c r="L216" i="2"/>
  <c r="H216" i="2"/>
  <c r="D216" i="2"/>
  <c r="S215" i="2"/>
  <c r="C215" i="2"/>
  <c r="F215" i="2" s="1"/>
  <c r="P221" i="2"/>
  <c r="L221" i="2"/>
  <c r="H221" i="2"/>
  <c r="S220" i="2"/>
  <c r="C220" i="2"/>
  <c r="R219" i="2"/>
  <c r="P217" i="2"/>
  <c r="L217" i="2"/>
  <c r="N217" i="2" s="1"/>
  <c r="O217" i="2" s="1"/>
  <c r="H217" i="2"/>
  <c r="J217" i="2" s="1"/>
  <c r="K217" i="2" s="1"/>
  <c r="S216" i="2"/>
  <c r="C216" i="2"/>
  <c r="R215" i="2"/>
  <c r="R220" i="2"/>
  <c r="R216" i="2"/>
  <c r="A205" i="14"/>
  <c r="B205" i="14" s="1"/>
  <c r="A206" i="14"/>
  <c r="B206" i="14" s="1"/>
  <c r="A207" i="14"/>
  <c r="D207" i="14" s="1"/>
  <c r="A208" i="14"/>
  <c r="B208" i="14" s="1"/>
  <c r="D208" i="14"/>
  <c r="A209" i="14"/>
  <c r="B209" i="14" s="1"/>
  <c r="A210" i="14"/>
  <c r="B210" i="14" s="1"/>
  <c r="A211" i="14"/>
  <c r="D211" i="14" s="1"/>
  <c r="A212" i="14"/>
  <c r="B212" i="14" s="1"/>
  <c r="A213" i="14"/>
  <c r="B213" i="14" s="1"/>
  <c r="A214" i="14"/>
  <c r="B214" i="14" s="1"/>
  <c r="A211" i="13"/>
  <c r="B211" i="13" s="1"/>
  <c r="A212" i="13"/>
  <c r="C212" i="13" s="1"/>
  <c r="A211" i="12"/>
  <c r="B211" i="12" s="1"/>
  <c r="A212" i="12"/>
  <c r="B212" i="12" s="1"/>
  <c r="A213" i="12"/>
  <c r="D213" i="12" s="1"/>
  <c r="A212" i="11"/>
  <c r="B212" i="11" s="1"/>
  <c r="A213" i="10"/>
  <c r="B213" i="10" s="1"/>
  <c r="A213" i="7"/>
  <c r="B213" i="7" s="1"/>
  <c r="K214" i="3" l="1"/>
  <c r="F216" i="3"/>
  <c r="F207" i="14"/>
  <c r="E208" i="14"/>
  <c r="G208" i="14" s="1"/>
  <c r="E207" i="14"/>
  <c r="N221" i="2"/>
  <c r="O221" i="2" s="1"/>
  <c r="J217" i="3"/>
  <c r="L213" i="3"/>
  <c r="Q216" i="3"/>
  <c r="C208" i="14"/>
  <c r="F213" i="3"/>
  <c r="C213" i="3"/>
  <c r="E213" i="3" s="1"/>
  <c r="P213" i="3"/>
  <c r="D216" i="3"/>
  <c r="P216" i="3"/>
  <c r="K213" i="12"/>
  <c r="J216" i="2"/>
  <c r="K216" i="2" s="1"/>
  <c r="J213" i="3"/>
  <c r="G213" i="3"/>
  <c r="E214" i="3"/>
  <c r="G216" i="3"/>
  <c r="C216" i="3"/>
  <c r="J216" i="3"/>
  <c r="K216" i="3" s="1"/>
  <c r="L213" i="10"/>
  <c r="F211" i="14"/>
  <c r="J221" i="2"/>
  <c r="K221" i="2" s="1"/>
  <c r="N216" i="2"/>
  <c r="O216" i="2" s="1"/>
  <c r="N213" i="3"/>
  <c r="O213" i="3"/>
  <c r="M216" i="3"/>
  <c r="L216" i="3"/>
  <c r="G217" i="14"/>
  <c r="I216" i="3"/>
  <c r="O216" i="3"/>
  <c r="J219" i="2"/>
  <c r="K219" i="2" s="1"/>
  <c r="H214" i="3"/>
  <c r="F212" i="3"/>
  <c r="L212" i="3"/>
  <c r="P212" i="3"/>
  <c r="J212" i="3"/>
  <c r="B212" i="3"/>
  <c r="G212" i="3"/>
  <c r="M212" i="3"/>
  <c r="Q212" i="3"/>
  <c r="O212" i="3"/>
  <c r="C212" i="3"/>
  <c r="I212" i="3"/>
  <c r="N212" i="3"/>
  <c r="D212" i="3"/>
  <c r="B217" i="3"/>
  <c r="Q217" i="3"/>
  <c r="M217" i="3"/>
  <c r="I217" i="3"/>
  <c r="K217" i="3" s="1"/>
  <c r="D213" i="10"/>
  <c r="F213" i="12"/>
  <c r="I211" i="12"/>
  <c r="E211" i="14"/>
  <c r="F208" i="14"/>
  <c r="C207" i="14"/>
  <c r="N217" i="3"/>
  <c r="G217" i="3"/>
  <c r="P217" i="3"/>
  <c r="E216" i="3"/>
  <c r="B215" i="3"/>
  <c r="G215" i="3"/>
  <c r="H215" i="3" s="1"/>
  <c r="O215" i="3"/>
  <c r="I215" i="3"/>
  <c r="K215" i="3" s="1"/>
  <c r="P215" i="3"/>
  <c r="D215" i="3"/>
  <c r="C215" i="3"/>
  <c r="L215" i="3"/>
  <c r="Q215" i="3"/>
  <c r="M215" i="3"/>
  <c r="O217" i="3"/>
  <c r="N215" i="3"/>
  <c r="B211" i="3"/>
  <c r="D211" i="3"/>
  <c r="M211" i="3"/>
  <c r="G211" i="3"/>
  <c r="H211" i="3" s="1"/>
  <c r="O211" i="3"/>
  <c r="C211" i="3"/>
  <c r="E211" i="3" s="1"/>
  <c r="Q211" i="3"/>
  <c r="I211" i="3"/>
  <c r="K211" i="3" s="1"/>
  <c r="P211" i="3"/>
  <c r="L211" i="3"/>
  <c r="E212" i="12"/>
  <c r="F217" i="3"/>
  <c r="D217" i="3"/>
  <c r="E217" i="3" s="1"/>
  <c r="N219" i="2"/>
  <c r="O219" i="2" s="1"/>
  <c r="B213" i="3"/>
  <c r="M213" i="3"/>
  <c r="Q213" i="3"/>
  <c r="I213" i="3"/>
  <c r="K213" i="3" s="1"/>
  <c r="H216" i="3"/>
  <c r="M213" i="10"/>
  <c r="I212" i="12"/>
  <c r="H213" i="3"/>
  <c r="F216" i="2"/>
  <c r="G216" i="2"/>
  <c r="F220" i="2"/>
  <c r="G220" i="2"/>
  <c r="I213" i="10"/>
  <c r="C213" i="12"/>
  <c r="D212" i="14"/>
  <c r="E214" i="14"/>
  <c r="G214" i="14" s="1"/>
  <c r="I213" i="7"/>
  <c r="I213" i="12"/>
  <c r="E213" i="10"/>
  <c r="I212" i="11"/>
  <c r="G213" i="12"/>
  <c r="B213" i="12"/>
  <c r="F212" i="13"/>
  <c r="C212" i="14"/>
  <c r="E212" i="11"/>
  <c r="E212" i="13"/>
  <c r="L212" i="11"/>
  <c r="M212" i="11"/>
  <c r="D212" i="11"/>
  <c r="J213" i="12"/>
  <c r="E213" i="12"/>
  <c r="B212" i="13"/>
  <c r="E212" i="14"/>
  <c r="G212" i="14" s="1"/>
  <c r="M213" i="7"/>
  <c r="E213" i="7"/>
  <c r="L213" i="7"/>
  <c r="D213" i="7"/>
  <c r="H213" i="10"/>
  <c r="H212" i="11"/>
  <c r="H211" i="12"/>
  <c r="F212" i="14"/>
  <c r="C211" i="14"/>
  <c r="E209" i="14"/>
  <c r="G209" i="14" s="1"/>
  <c r="B207" i="14"/>
  <c r="E205" i="14"/>
  <c r="G205" i="14" s="1"/>
  <c r="E211" i="12"/>
  <c r="E211" i="13"/>
  <c r="E213" i="14"/>
  <c r="G213" i="14" s="1"/>
  <c r="B211" i="14"/>
  <c r="G211" i="14" s="1"/>
  <c r="D209" i="14"/>
  <c r="D205" i="14"/>
  <c r="H213" i="7"/>
  <c r="D211" i="12"/>
  <c r="D213" i="14"/>
  <c r="E206" i="14"/>
  <c r="G206" i="14" s="1"/>
  <c r="D214" i="14"/>
  <c r="C213" i="14"/>
  <c r="D210" i="14"/>
  <c r="C209" i="14"/>
  <c r="D206" i="14"/>
  <c r="C205" i="14"/>
  <c r="C214" i="14"/>
  <c r="F213" i="14"/>
  <c r="C210" i="14"/>
  <c r="F209" i="14"/>
  <c r="C206" i="14"/>
  <c r="F205" i="14"/>
  <c r="E210" i="14"/>
  <c r="G210" i="14" s="1"/>
  <c r="F214" i="14"/>
  <c r="F210" i="14"/>
  <c r="F206" i="14"/>
  <c r="D211" i="13"/>
  <c r="D212" i="13"/>
  <c r="G211" i="13"/>
  <c r="C211" i="13"/>
  <c r="G212" i="13"/>
  <c r="F211" i="13"/>
  <c r="H212" i="12"/>
  <c r="D212" i="12"/>
  <c r="K211" i="12"/>
  <c r="G211" i="12"/>
  <c r="C211" i="12"/>
  <c r="H213" i="12"/>
  <c r="K212" i="12"/>
  <c r="G212" i="12"/>
  <c r="C212" i="12"/>
  <c r="J211" i="12"/>
  <c r="F211" i="12"/>
  <c r="J212" i="12"/>
  <c r="F212" i="12"/>
  <c r="O212" i="11"/>
  <c r="K212" i="11"/>
  <c r="G212" i="11"/>
  <c r="C212" i="11"/>
  <c r="N212" i="11"/>
  <c r="J212" i="11"/>
  <c r="F212" i="11"/>
  <c r="O213" i="10"/>
  <c r="K213" i="10"/>
  <c r="G213" i="10"/>
  <c r="C213" i="10"/>
  <c r="N213" i="10"/>
  <c r="J213" i="10"/>
  <c r="F213" i="10"/>
  <c r="O213" i="7"/>
  <c r="K213" i="7"/>
  <c r="G213" i="7"/>
  <c r="C213" i="7"/>
  <c r="N213" i="7"/>
  <c r="J213" i="7"/>
  <c r="F213" i="7"/>
  <c r="A6" i="13"/>
  <c r="A7" i="13"/>
  <c r="B7" i="13" s="1"/>
  <c r="A8" i="13"/>
  <c r="A9" i="13"/>
  <c r="B9" i="13" s="1"/>
  <c r="A10" i="13"/>
  <c r="A11" i="13"/>
  <c r="B11" i="13" s="1"/>
  <c r="A12" i="13"/>
  <c r="A13" i="13"/>
  <c r="B13" i="13" s="1"/>
  <c r="A14" i="13"/>
  <c r="A15" i="13"/>
  <c r="B15" i="13" s="1"/>
  <c r="A16" i="13"/>
  <c r="A17" i="13"/>
  <c r="B17" i="13" s="1"/>
  <c r="A18" i="13"/>
  <c r="A19" i="13"/>
  <c r="B19" i="13" s="1"/>
  <c r="A20" i="13"/>
  <c r="A21" i="13"/>
  <c r="B21" i="13" s="1"/>
  <c r="A22" i="13"/>
  <c r="A23" i="13"/>
  <c r="B23" i="13" s="1"/>
  <c r="A24" i="13"/>
  <c r="A25" i="13"/>
  <c r="B25" i="13" s="1"/>
  <c r="A26" i="13"/>
  <c r="A27" i="13"/>
  <c r="B27" i="13" s="1"/>
  <c r="A28" i="13"/>
  <c r="A29" i="13"/>
  <c r="B29" i="13" s="1"/>
  <c r="A30" i="13"/>
  <c r="A31" i="13"/>
  <c r="B31" i="13" s="1"/>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D89" i="13" s="1"/>
  <c r="A90" i="13"/>
  <c r="C90" i="13" s="1"/>
  <c r="A91" i="13"/>
  <c r="C91" i="13" s="1"/>
  <c r="A92" i="13"/>
  <c r="C92" i="13" s="1"/>
  <c r="A93" i="13"/>
  <c r="C93" i="13" s="1"/>
  <c r="A94" i="13"/>
  <c r="C94" i="13" s="1"/>
  <c r="A95" i="13"/>
  <c r="C95" i="13" s="1"/>
  <c r="A96" i="13"/>
  <c r="C96" i="13" s="1"/>
  <c r="A97" i="13"/>
  <c r="C97" i="13" s="1"/>
  <c r="A98" i="13"/>
  <c r="C98" i="13" s="1"/>
  <c r="A99" i="13"/>
  <c r="C99" i="13" s="1"/>
  <c r="A100" i="13"/>
  <c r="C100" i="13" s="1"/>
  <c r="A101" i="13"/>
  <c r="A102" i="13"/>
  <c r="C102" i="13" s="1"/>
  <c r="A103" i="13"/>
  <c r="C103" i="13" s="1"/>
  <c r="A104" i="13"/>
  <c r="C104" i="13" s="1"/>
  <c r="A105" i="13"/>
  <c r="A106" i="13"/>
  <c r="C106" i="13" s="1"/>
  <c r="A107" i="13"/>
  <c r="C107" i="13" s="1"/>
  <c r="A108" i="13"/>
  <c r="C108" i="13" s="1"/>
  <c r="A109" i="13"/>
  <c r="A110" i="13"/>
  <c r="C110" i="13" s="1"/>
  <c r="A111" i="13"/>
  <c r="C111" i="13" s="1"/>
  <c r="A112" i="13"/>
  <c r="C112" i="13" s="1"/>
  <c r="A113" i="13"/>
  <c r="A114" i="13"/>
  <c r="C114" i="13" s="1"/>
  <c r="A115" i="13"/>
  <c r="C115" i="13" s="1"/>
  <c r="A116" i="13"/>
  <c r="C116" i="13" s="1"/>
  <c r="A117" i="13"/>
  <c r="A118" i="13"/>
  <c r="C118" i="13" s="1"/>
  <c r="A119" i="13"/>
  <c r="C119" i="13" s="1"/>
  <c r="A120" i="13"/>
  <c r="C120" i="13" s="1"/>
  <c r="A121" i="13"/>
  <c r="A122" i="13"/>
  <c r="C122" i="13" s="1"/>
  <c r="A123" i="13"/>
  <c r="C123" i="13" s="1"/>
  <c r="A124" i="13"/>
  <c r="C124" i="13" s="1"/>
  <c r="A125" i="13"/>
  <c r="A126" i="13"/>
  <c r="C126" i="13" s="1"/>
  <c r="A127" i="13"/>
  <c r="C127" i="13" s="1"/>
  <c r="A128" i="13"/>
  <c r="C128" i="13" s="1"/>
  <c r="A129" i="13"/>
  <c r="A130" i="13"/>
  <c r="C130" i="13" s="1"/>
  <c r="A131" i="13"/>
  <c r="C131" i="13" s="1"/>
  <c r="A132" i="13"/>
  <c r="B132" i="13" s="1"/>
  <c r="A133" i="13"/>
  <c r="B133" i="13" s="1"/>
  <c r="A134" i="13"/>
  <c r="B134" i="13" s="1"/>
  <c r="A135" i="13"/>
  <c r="B135" i="13" s="1"/>
  <c r="A136" i="13"/>
  <c r="B136" i="13" s="1"/>
  <c r="A137" i="13"/>
  <c r="B137" i="13" s="1"/>
  <c r="A138" i="13"/>
  <c r="B138" i="13" s="1"/>
  <c r="A139" i="13"/>
  <c r="B139" i="13" s="1"/>
  <c r="A140" i="13"/>
  <c r="B140" i="13" s="1"/>
  <c r="A141" i="13"/>
  <c r="B141" i="13" s="1"/>
  <c r="A142" i="13"/>
  <c r="B142" i="13" s="1"/>
  <c r="A143" i="13"/>
  <c r="B143" i="13" s="1"/>
  <c r="A144" i="13"/>
  <c r="B144" i="13" s="1"/>
  <c r="A145" i="13"/>
  <c r="B145" i="13" s="1"/>
  <c r="A146" i="13"/>
  <c r="B146" i="13" s="1"/>
  <c r="A147" i="13"/>
  <c r="B147" i="13" s="1"/>
  <c r="A148" i="13"/>
  <c r="B148" i="13" s="1"/>
  <c r="A149" i="13"/>
  <c r="B149" i="13" s="1"/>
  <c r="A150" i="13"/>
  <c r="B150" i="13" s="1"/>
  <c r="A151" i="13"/>
  <c r="B151" i="13" s="1"/>
  <c r="A152" i="13"/>
  <c r="B152" i="13" s="1"/>
  <c r="A153" i="13"/>
  <c r="B153" i="13" s="1"/>
  <c r="A154" i="13"/>
  <c r="B154" i="13" s="1"/>
  <c r="A155" i="13"/>
  <c r="B155" i="13" s="1"/>
  <c r="A156" i="13"/>
  <c r="B156" i="13" s="1"/>
  <c r="A157" i="13"/>
  <c r="B157" i="13" s="1"/>
  <c r="A158" i="13"/>
  <c r="B158" i="13" s="1"/>
  <c r="A159" i="13"/>
  <c r="B159" i="13" s="1"/>
  <c r="A160" i="13"/>
  <c r="B160" i="13" s="1"/>
  <c r="A161" i="13"/>
  <c r="B161" i="13" s="1"/>
  <c r="A162" i="13"/>
  <c r="B162" i="13" s="1"/>
  <c r="A163" i="13"/>
  <c r="B163" i="13" s="1"/>
  <c r="A164" i="13"/>
  <c r="B164" i="13" s="1"/>
  <c r="A165" i="13"/>
  <c r="B165" i="13" s="1"/>
  <c r="A166" i="13"/>
  <c r="B166" i="13" s="1"/>
  <c r="A167" i="13"/>
  <c r="B167" i="13" s="1"/>
  <c r="A168" i="13"/>
  <c r="B168" i="13" s="1"/>
  <c r="A169" i="13"/>
  <c r="B169" i="13" s="1"/>
  <c r="A170" i="13"/>
  <c r="B170" i="13" s="1"/>
  <c r="A171" i="13"/>
  <c r="B171" i="13" s="1"/>
  <c r="A172" i="13"/>
  <c r="B172" i="13" s="1"/>
  <c r="A173" i="13"/>
  <c r="B173" i="13" s="1"/>
  <c r="A174" i="13"/>
  <c r="B174" i="13" s="1"/>
  <c r="A175" i="13"/>
  <c r="B175" i="13" s="1"/>
  <c r="A176" i="13"/>
  <c r="B176" i="13" s="1"/>
  <c r="A177" i="13"/>
  <c r="B177" i="13" s="1"/>
  <c r="A178" i="13"/>
  <c r="B178" i="13" s="1"/>
  <c r="A179" i="13"/>
  <c r="B179" i="13" s="1"/>
  <c r="A180" i="13"/>
  <c r="B180" i="13" s="1"/>
  <c r="A181" i="13"/>
  <c r="B181" i="13" s="1"/>
  <c r="A182" i="13"/>
  <c r="B182" i="13" s="1"/>
  <c r="A183" i="13"/>
  <c r="B183" i="13" s="1"/>
  <c r="A184" i="13"/>
  <c r="B184" i="13" s="1"/>
  <c r="A185" i="13"/>
  <c r="B185" i="13" s="1"/>
  <c r="A186" i="13"/>
  <c r="B186" i="13" s="1"/>
  <c r="A187" i="13"/>
  <c r="B187" i="13" s="1"/>
  <c r="A188" i="13"/>
  <c r="B188" i="13" s="1"/>
  <c r="A189" i="13"/>
  <c r="B189" i="13" s="1"/>
  <c r="A190" i="13"/>
  <c r="B190" i="13" s="1"/>
  <c r="A191" i="13"/>
  <c r="B191" i="13" s="1"/>
  <c r="A192" i="13"/>
  <c r="B192" i="13" s="1"/>
  <c r="A193" i="13"/>
  <c r="B193" i="13" s="1"/>
  <c r="A194" i="13"/>
  <c r="B194" i="13" s="1"/>
  <c r="A195" i="13"/>
  <c r="B195" i="13" s="1"/>
  <c r="A196" i="13"/>
  <c r="B196" i="13" s="1"/>
  <c r="A197" i="13"/>
  <c r="B197" i="13" s="1"/>
  <c r="A198" i="13"/>
  <c r="B198" i="13" s="1"/>
  <c r="A199" i="13"/>
  <c r="B199" i="13" s="1"/>
  <c r="A200" i="13"/>
  <c r="B200" i="13" s="1"/>
  <c r="A201" i="13"/>
  <c r="B201" i="13" s="1"/>
  <c r="A202" i="13"/>
  <c r="B202" i="13" s="1"/>
  <c r="A203" i="13"/>
  <c r="B203" i="13" s="1"/>
  <c r="A204" i="13"/>
  <c r="B204" i="13" s="1"/>
  <c r="A205" i="13"/>
  <c r="B205" i="13" s="1"/>
  <c r="A206" i="13"/>
  <c r="B206" i="13" s="1"/>
  <c r="A207" i="13"/>
  <c r="B207" i="13" s="1"/>
  <c r="A208" i="13"/>
  <c r="B208" i="13" s="1"/>
  <c r="A209" i="13"/>
  <c r="B209" i="13" s="1"/>
  <c r="A210" i="13"/>
  <c r="B210" i="13" s="1"/>
  <c r="G207" i="14" l="1"/>
  <c r="E212" i="3"/>
  <c r="H217" i="3"/>
  <c r="H212" i="3"/>
  <c r="E215" i="3"/>
  <c r="K212" i="3"/>
  <c r="D108" i="13"/>
  <c r="D90" i="13"/>
  <c r="D100" i="13"/>
  <c r="B90" i="13"/>
  <c r="C150" i="13"/>
  <c r="C156" i="13"/>
  <c r="B114" i="13"/>
  <c r="D198" i="13"/>
  <c r="C182" i="13"/>
  <c r="C184" i="13"/>
  <c r="D189" i="13"/>
  <c r="D161" i="13"/>
  <c r="C189" i="13"/>
  <c r="C161" i="13"/>
  <c r="D210" i="13"/>
  <c r="C152" i="13"/>
  <c r="D178" i="13"/>
  <c r="D120" i="13"/>
  <c r="D194" i="13"/>
  <c r="D182" i="13"/>
  <c r="C180" i="13"/>
  <c r="C178" i="13"/>
  <c r="C148" i="13"/>
  <c r="C141" i="13"/>
  <c r="C138" i="13"/>
  <c r="C210" i="13"/>
  <c r="C181" i="13"/>
  <c r="D177" i="13"/>
  <c r="C170" i="13"/>
  <c r="C157" i="13"/>
  <c r="C149" i="13"/>
  <c r="C134" i="13"/>
  <c r="D205" i="13"/>
  <c r="C202" i="13"/>
  <c r="C193" i="13"/>
  <c r="C188" i="13"/>
  <c r="C146" i="13"/>
  <c r="D112" i="13"/>
  <c r="C205" i="13"/>
  <c r="C200" i="13"/>
  <c r="C198" i="13"/>
  <c r="C196" i="13"/>
  <c r="C194" i="13"/>
  <c r="C177" i="13"/>
  <c r="C172" i="13"/>
  <c r="C165" i="13"/>
  <c r="C154" i="13"/>
  <c r="C132" i="13"/>
  <c r="B106" i="13"/>
  <c r="D209" i="13"/>
  <c r="D173" i="13"/>
  <c r="D166" i="13"/>
  <c r="D162" i="13"/>
  <c r="D145" i="13"/>
  <c r="C209" i="13"/>
  <c r="C204" i="13"/>
  <c r="C197" i="13"/>
  <c r="D193" i="13"/>
  <c r="C186" i="13"/>
  <c r="C173" i="13"/>
  <c r="C168" i="13"/>
  <c r="C166" i="13"/>
  <c r="C164" i="13"/>
  <c r="C162" i="13"/>
  <c r="D157" i="13"/>
  <c r="D150" i="13"/>
  <c r="D146" i="13"/>
  <c r="C145" i="13"/>
  <c r="C136" i="13"/>
  <c r="D116" i="13"/>
  <c r="D94" i="13"/>
  <c r="D206" i="13"/>
  <c r="D201" i="13"/>
  <c r="D190" i="13"/>
  <c r="D185" i="13"/>
  <c r="D174" i="13"/>
  <c r="D169" i="13"/>
  <c r="D158" i="13"/>
  <c r="D153" i="13"/>
  <c r="C140" i="13"/>
  <c r="C133" i="13"/>
  <c r="D128" i="13"/>
  <c r="B122" i="13"/>
  <c r="B94" i="13"/>
  <c r="D91" i="13"/>
  <c r="C208" i="13"/>
  <c r="C206" i="13"/>
  <c r="D202" i="13"/>
  <c r="C201" i="13"/>
  <c r="D197" i="13"/>
  <c r="C192" i="13"/>
  <c r="C190" i="13"/>
  <c r="D186" i="13"/>
  <c r="C185" i="13"/>
  <c r="D181" i="13"/>
  <c r="C176" i="13"/>
  <c r="C174" i="13"/>
  <c r="D170" i="13"/>
  <c r="C169" i="13"/>
  <c r="D165" i="13"/>
  <c r="C160" i="13"/>
  <c r="C158" i="13"/>
  <c r="D154" i="13"/>
  <c r="C153" i="13"/>
  <c r="D149" i="13"/>
  <c r="C144" i="13"/>
  <c r="D141" i="13"/>
  <c r="D134" i="13"/>
  <c r="B130" i="13"/>
  <c r="D124" i="13"/>
  <c r="D104" i="13"/>
  <c r="B98" i="13"/>
  <c r="D95" i="13"/>
  <c r="D142" i="13"/>
  <c r="D137" i="13"/>
  <c r="C142" i="13"/>
  <c r="D138" i="13"/>
  <c r="C137" i="13"/>
  <c r="D133" i="13"/>
  <c r="B126" i="13"/>
  <c r="B118" i="13"/>
  <c r="B110" i="13"/>
  <c r="B102" i="13"/>
  <c r="B97" i="13"/>
  <c r="B93" i="13"/>
  <c r="D175" i="13"/>
  <c r="D163" i="13"/>
  <c r="D143" i="13"/>
  <c r="D139" i="13"/>
  <c r="D135" i="13"/>
  <c r="D131" i="13"/>
  <c r="D127" i="13"/>
  <c r="D123" i="13"/>
  <c r="D119" i="13"/>
  <c r="D115" i="13"/>
  <c r="D111" i="13"/>
  <c r="D107" i="13"/>
  <c r="D103" i="13"/>
  <c r="D99" i="13"/>
  <c r="D96" i="13"/>
  <c r="B95" i="13"/>
  <c r="D92" i="13"/>
  <c r="B91" i="13"/>
  <c r="D207" i="13"/>
  <c r="D203" i="13"/>
  <c r="D199" i="13"/>
  <c r="D195" i="13"/>
  <c r="D191" i="13"/>
  <c r="D187" i="13"/>
  <c r="D183" i="13"/>
  <c r="D179" i="13"/>
  <c r="D171" i="13"/>
  <c r="D167" i="13"/>
  <c r="D159" i="13"/>
  <c r="D155" i="13"/>
  <c r="D151" i="13"/>
  <c r="D147" i="13"/>
  <c r="D208" i="13"/>
  <c r="C207" i="13"/>
  <c r="D204" i="13"/>
  <c r="C203" i="13"/>
  <c r="D200" i="13"/>
  <c r="C199" i="13"/>
  <c r="D196" i="13"/>
  <c r="C195" i="13"/>
  <c r="D192" i="13"/>
  <c r="C191" i="13"/>
  <c r="D188" i="13"/>
  <c r="C187" i="13"/>
  <c r="D184" i="13"/>
  <c r="C183" i="13"/>
  <c r="D180" i="13"/>
  <c r="C179" i="13"/>
  <c r="D176" i="13"/>
  <c r="C175" i="13"/>
  <c r="D172" i="13"/>
  <c r="C171" i="13"/>
  <c r="D168" i="13"/>
  <c r="C167" i="13"/>
  <c r="D164" i="13"/>
  <c r="C163" i="13"/>
  <c r="D160" i="13"/>
  <c r="C159" i="13"/>
  <c r="D156" i="13"/>
  <c r="C155" i="13"/>
  <c r="D152" i="13"/>
  <c r="C151" i="13"/>
  <c r="D148" i="13"/>
  <c r="C147" i="13"/>
  <c r="D144" i="13"/>
  <c r="C143" i="13"/>
  <c r="D140" i="13"/>
  <c r="C139" i="13"/>
  <c r="D136" i="13"/>
  <c r="C135" i="13"/>
  <c r="D132" i="13"/>
  <c r="B131" i="13"/>
  <c r="B127" i="13"/>
  <c r="B123" i="13"/>
  <c r="B119" i="13"/>
  <c r="B115" i="13"/>
  <c r="B111" i="13"/>
  <c r="B107" i="13"/>
  <c r="B103" i="13"/>
  <c r="B99" i="13"/>
  <c r="D97" i="13"/>
  <c r="B96" i="13"/>
  <c r="D93" i="13"/>
  <c r="B92" i="13"/>
  <c r="C88" i="13"/>
  <c r="D88" i="13"/>
  <c r="B88" i="13"/>
  <c r="C80" i="13"/>
  <c r="D80" i="13"/>
  <c r="B80" i="13"/>
  <c r="C72" i="13"/>
  <c r="D72" i="13"/>
  <c r="B72" i="13"/>
  <c r="C64" i="13"/>
  <c r="D64" i="13"/>
  <c r="B64" i="13"/>
  <c r="C56" i="13"/>
  <c r="D56" i="13"/>
  <c r="B56" i="13"/>
  <c r="C48" i="13"/>
  <c r="D48" i="13"/>
  <c r="B48" i="13"/>
  <c r="C40" i="13"/>
  <c r="D40" i="13"/>
  <c r="B40" i="13"/>
  <c r="C32" i="13"/>
  <c r="D32" i="13"/>
  <c r="B32" i="13"/>
  <c r="C24" i="13"/>
  <c r="D24" i="13"/>
  <c r="B24" i="13"/>
  <c r="C12" i="13"/>
  <c r="D12" i="13"/>
  <c r="B12" i="13"/>
  <c r="C16" i="13"/>
  <c r="D16" i="13"/>
  <c r="B16" i="13"/>
  <c r="C84" i="13"/>
  <c r="D84" i="13"/>
  <c r="B84" i="13"/>
  <c r="C76" i="13"/>
  <c r="D76" i="13"/>
  <c r="B76" i="13"/>
  <c r="C68" i="13"/>
  <c r="D68" i="13"/>
  <c r="B68" i="13"/>
  <c r="C60" i="13"/>
  <c r="D60" i="13"/>
  <c r="B60" i="13"/>
  <c r="C52" i="13"/>
  <c r="D52" i="13"/>
  <c r="B52" i="13"/>
  <c r="C44" i="13"/>
  <c r="D44" i="13"/>
  <c r="B44" i="13"/>
  <c r="C36" i="13"/>
  <c r="D36" i="13"/>
  <c r="B36" i="13"/>
  <c r="C28" i="13"/>
  <c r="D28" i="13"/>
  <c r="B28" i="13"/>
  <c r="C20" i="13"/>
  <c r="D20" i="13"/>
  <c r="B20" i="13"/>
  <c r="C8" i="13"/>
  <c r="D8" i="13"/>
  <c r="B8" i="13"/>
  <c r="C129" i="13"/>
  <c r="B129" i="13"/>
  <c r="D129" i="13"/>
  <c r="C125" i="13"/>
  <c r="B125" i="13"/>
  <c r="D125" i="13"/>
  <c r="C121" i="13"/>
  <c r="B121" i="13"/>
  <c r="D121" i="13"/>
  <c r="C117" i="13"/>
  <c r="B117" i="13"/>
  <c r="D117" i="13"/>
  <c r="C113" i="13"/>
  <c r="B113" i="13"/>
  <c r="D113" i="13"/>
  <c r="C109" i="13"/>
  <c r="B109" i="13"/>
  <c r="D109" i="13"/>
  <c r="C105" i="13"/>
  <c r="B105" i="13"/>
  <c r="D105" i="13"/>
  <c r="C101" i="13"/>
  <c r="B101" i="13"/>
  <c r="D101" i="13"/>
  <c r="C87" i="13"/>
  <c r="D87" i="13"/>
  <c r="B87" i="13"/>
  <c r="C83" i="13"/>
  <c r="D83" i="13"/>
  <c r="B83" i="13"/>
  <c r="C79" i="13"/>
  <c r="D79" i="13"/>
  <c r="B79" i="13"/>
  <c r="C75" i="13"/>
  <c r="D75" i="13"/>
  <c r="B75" i="13"/>
  <c r="C71" i="13"/>
  <c r="D71" i="13"/>
  <c r="B71" i="13"/>
  <c r="C67" i="13"/>
  <c r="D67" i="13"/>
  <c r="B67" i="13"/>
  <c r="C63" i="13"/>
  <c r="D63" i="13"/>
  <c r="B63" i="13"/>
  <c r="C59" i="13"/>
  <c r="D59" i="13"/>
  <c r="B59" i="13"/>
  <c r="C55" i="13"/>
  <c r="D55" i="13"/>
  <c r="B55" i="13"/>
  <c r="C51" i="13"/>
  <c r="D51" i="13"/>
  <c r="B51" i="13"/>
  <c r="C47" i="13"/>
  <c r="D47" i="13"/>
  <c r="B47" i="13"/>
  <c r="C43" i="13"/>
  <c r="D43" i="13"/>
  <c r="B43" i="13"/>
  <c r="C39" i="13"/>
  <c r="D39" i="13"/>
  <c r="B39" i="13"/>
  <c r="C35" i="13"/>
  <c r="D35" i="13"/>
  <c r="B35" i="13"/>
  <c r="B128" i="13"/>
  <c r="B124" i="13"/>
  <c r="B120" i="13"/>
  <c r="B116" i="13"/>
  <c r="B112" i="13"/>
  <c r="B108" i="13"/>
  <c r="B104" i="13"/>
  <c r="B100" i="13"/>
  <c r="C86" i="13"/>
  <c r="D86" i="13"/>
  <c r="B86" i="13"/>
  <c r="C82" i="13"/>
  <c r="D82" i="13"/>
  <c r="B82" i="13"/>
  <c r="C78" i="13"/>
  <c r="D78" i="13"/>
  <c r="B78" i="13"/>
  <c r="C74" i="13"/>
  <c r="D74" i="13"/>
  <c r="B74" i="13"/>
  <c r="C70" i="13"/>
  <c r="D70" i="13"/>
  <c r="B70" i="13"/>
  <c r="C66" i="13"/>
  <c r="D66" i="13"/>
  <c r="B66" i="13"/>
  <c r="C62" i="13"/>
  <c r="D62" i="13"/>
  <c r="B62" i="13"/>
  <c r="C58" i="13"/>
  <c r="D58" i="13"/>
  <c r="B58" i="13"/>
  <c r="C54" i="13"/>
  <c r="D54" i="13"/>
  <c r="B54" i="13"/>
  <c r="C50" i="13"/>
  <c r="D50" i="13"/>
  <c r="B50" i="13"/>
  <c r="C46" i="13"/>
  <c r="D46" i="13"/>
  <c r="B46" i="13"/>
  <c r="C42" i="13"/>
  <c r="D42" i="13"/>
  <c r="B42" i="13"/>
  <c r="C38" i="13"/>
  <c r="D38" i="13"/>
  <c r="B38" i="13"/>
  <c r="C34" i="13"/>
  <c r="D34" i="13"/>
  <c r="B34" i="13"/>
  <c r="C30" i="13"/>
  <c r="D30" i="13"/>
  <c r="B30" i="13"/>
  <c r="C26" i="13"/>
  <c r="D26" i="13"/>
  <c r="B26" i="13"/>
  <c r="C22" i="13"/>
  <c r="D22" i="13"/>
  <c r="B22" i="13"/>
  <c r="C18" i="13"/>
  <c r="D18" i="13"/>
  <c r="B18" i="13"/>
  <c r="C14" i="13"/>
  <c r="D14" i="13"/>
  <c r="B14" i="13"/>
  <c r="C10" i="13"/>
  <c r="D10" i="13"/>
  <c r="B10" i="13"/>
  <c r="C6" i="13"/>
  <c r="D6" i="13"/>
  <c r="B6" i="13"/>
  <c r="D130" i="13"/>
  <c r="D126" i="13"/>
  <c r="D122" i="13"/>
  <c r="D118" i="13"/>
  <c r="D114" i="13"/>
  <c r="D110" i="13"/>
  <c r="D106" i="13"/>
  <c r="D102" i="13"/>
  <c r="D98" i="13"/>
  <c r="C89" i="13"/>
  <c r="B89" i="13"/>
  <c r="C85" i="13"/>
  <c r="D85" i="13"/>
  <c r="B85" i="13"/>
  <c r="C81" i="13"/>
  <c r="D81" i="13"/>
  <c r="B81" i="13"/>
  <c r="C77" i="13"/>
  <c r="D77" i="13"/>
  <c r="B77" i="13"/>
  <c r="C73" i="13"/>
  <c r="D73" i="13"/>
  <c r="B73" i="13"/>
  <c r="C69" i="13"/>
  <c r="D69" i="13"/>
  <c r="B69" i="13"/>
  <c r="C65" i="13"/>
  <c r="D65" i="13"/>
  <c r="B65" i="13"/>
  <c r="C61" i="13"/>
  <c r="D61" i="13"/>
  <c r="B61" i="13"/>
  <c r="C57" i="13"/>
  <c r="D57" i="13"/>
  <c r="B57" i="13"/>
  <c r="C53" i="13"/>
  <c r="D53" i="13"/>
  <c r="B53" i="13"/>
  <c r="C49" i="13"/>
  <c r="D49" i="13"/>
  <c r="B49" i="13"/>
  <c r="C45" i="13"/>
  <c r="D45" i="13"/>
  <c r="B45" i="13"/>
  <c r="C41" i="13"/>
  <c r="D41" i="13"/>
  <c r="B41" i="13"/>
  <c r="C37" i="13"/>
  <c r="D37" i="13"/>
  <c r="B37" i="13"/>
  <c r="C33" i="13"/>
  <c r="D33" i="13"/>
  <c r="B33" i="13"/>
  <c r="C31" i="13"/>
  <c r="D31" i="13"/>
  <c r="C29" i="13"/>
  <c r="D29" i="13"/>
  <c r="C27" i="13"/>
  <c r="D27" i="13"/>
  <c r="C25" i="13"/>
  <c r="D25" i="13"/>
  <c r="C23" i="13"/>
  <c r="D23" i="13"/>
  <c r="C21" i="13"/>
  <c r="D21" i="13"/>
  <c r="C19" i="13"/>
  <c r="D19" i="13"/>
  <c r="C17" i="13"/>
  <c r="D17" i="13"/>
  <c r="C15" i="13"/>
  <c r="D15" i="13"/>
  <c r="C13" i="13"/>
  <c r="D13" i="13"/>
  <c r="C11" i="13"/>
  <c r="D11" i="13"/>
  <c r="C9" i="13"/>
  <c r="D9" i="13"/>
  <c r="C7" i="13"/>
  <c r="D7" i="13"/>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D198" i="12" s="1"/>
  <c r="A199" i="12"/>
  <c r="F199" i="12" s="1"/>
  <c r="A200" i="12"/>
  <c r="A201" i="12"/>
  <c r="A202" i="12"/>
  <c r="A203" i="12"/>
  <c r="A204" i="12"/>
  <c r="A205" i="12"/>
  <c r="B205" i="12" s="1"/>
  <c r="A206" i="12"/>
  <c r="A207" i="12"/>
  <c r="A208" i="12"/>
  <c r="A209" i="12"/>
  <c r="J209" i="12" s="1"/>
  <c r="A210" i="12"/>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D189" i="11" s="1"/>
  <c r="A190" i="11"/>
  <c r="F190" i="11" s="1"/>
  <c r="A191" i="11"/>
  <c r="D191" i="11" s="1"/>
  <c r="A192" i="11"/>
  <c r="A193" i="11"/>
  <c r="L193" i="11" s="1"/>
  <c r="A194" i="11"/>
  <c r="N194" i="11" s="1"/>
  <c r="A195" i="11"/>
  <c r="H195" i="11" s="1"/>
  <c r="A196" i="11"/>
  <c r="A197" i="11"/>
  <c r="D197" i="11" s="1"/>
  <c r="A198" i="11"/>
  <c r="F198" i="11" s="1"/>
  <c r="A199" i="11"/>
  <c r="D199" i="11" s="1"/>
  <c r="A200" i="11"/>
  <c r="F200" i="11" s="1"/>
  <c r="A201" i="11"/>
  <c r="F201" i="11" s="1"/>
  <c r="A202" i="11"/>
  <c r="H202" i="11" s="1"/>
  <c r="A203" i="11"/>
  <c r="C203" i="11" s="1"/>
  <c r="A204" i="11"/>
  <c r="A205" i="11"/>
  <c r="C205" i="11" s="1"/>
  <c r="A206" i="11"/>
  <c r="D206" i="11" s="1"/>
  <c r="A207" i="11"/>
  <c r="C207" i="11" s="1"/>
  <c r="A208" i="11"/>
  <c r="A209" i="11"/>
  <c r="C209" i="11" s="1"/>
  <c r="A210" i="11"/>
  <c r="H210" i="11" s="1"/>
  <c r="A211" i="11"/>
  <c r="C211" i="11" s="1"/>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O190" i="10" s="1"/>
  <c r="A191" i="10"/>
  <c r="E191" i="10" s="1"/>
  <c r="A192" i="10"/>
  <c r="G192" i="10" s="1"/>
  <c r="A193" i="10"/>
  <c r="E193" i="10" s="1"/>
  <c r="A194" i="10"/>
  <c r="G194" i="10" s="1"/>
  <c r="A195" i="10"/>
  <c r="M195" i="10" s="1"/>
  <c r="A196" i="10"/>
  <c r="O196" i="10" s="1"/>
  <c r="A197" i="10"/>
  <c r="I197" i="10" s="1"/>
  <c r="A198" i="10"/>
  <c r="O198" i="10" s="1"/>
  <c r="A199" i="10"/>
  <c r="E199" i="10" s="1"/>
  <c r="A200" i="10"/>
  <c r="G200" i="10" s="1"/>
  <c r="A201" i="10"/>
  <c r="E201" i="10" s="1"/>
  <c r="A202" i="10"/>
  <c r="G202" i="10" s="1"/>
  <c r="A203" i="10"/>
  <c r="M203" i="10" s="1"/>
  <c r="A204" i="10"/>
  <c r="O204" i="10" s="1"/>
  <c r="A205" i="10"/>
  <c r="I205" i="10" s="1"/>
  <c r="A206" i="10"/>
  <c r="O206" i="10" s="1"/>
  <c r="A207" i="10"/>
  <c r="E207" i="10" s="1"/>
  <c r="A208" i="10"/>
  <c r="A209" i="10"/>
  <c r="E209" i="10" s="1"/>
  <c r="A210" i="10"/>
  <c r="G210" i="10" s="1"/>
  <c r="A211" i="10"/>
  <c r="D211" i="10" s="1"/>
  <c r="A212" i="10"/>
  <c r="I212" i="10" s="1"/>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B145" i="14" s="1"/>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C189" i="14" s="1"/>
  <c r="A190" i="14"/>
  <c r="B190" i="14" s="1"/>
  <c r="A191" i="14"/>
  <c r="E191" i="14" s="1"/>
  <c r="A192" i="14"/>
  <c r="A193" i="14"/>
  <c r="E193" i="14" s="1"/>
  <c r="A194" i="14"/>
  <c r="D194" i="14" s="1"/>
  <c r="A195" i="14"/>
  <c r="C195" i="14" s="1"/>
  <c r="A196" i="14"/>
  <c r="A197" i="14"/>
  <c r="C197" i="14" s="1"/>
  <c r="A198" i="14"/>
  <c r="B198" i="14" s="1"/>
  <c r="A199" i="14"/>
  <c r="E199" i="14" s="1"/>
  <c r="A200" i="14"/>
  <c r="A201" i="14"/>
  <c r="A202" i="14"/>
  <c r="D202" i="14" s="1"/>
  <c r="A203" i="14"/>
  <c r="C203" i="14" s="1"/>
  <c r="A204" i="14"/>
  <c r="F145" i="18"/>
  <c r="F24" i="18"/>
  <c r="F52" i="18"/>
  <c r="F155" i="18"/>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K211" i="6" s="1"/>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H190" i="7" s="1"/>
  <c r="A191" i="7"/>
  <c r="N191" i="7" s="1"/>
  <c r="A192" i="7"/>
  <c r="H192" i="7" s="1"/>
  <c r="A193" i="7"/>
  <c r="A194" i="7"/>
  <c r="A195" i="7"/>
  <c r="F195" i="7" s="1"/>
  <c r="A196" i="7"/>
  <c r="L196" i="7" s="1"/>
  <c r="A197" i="7"/>
  <c r="J197" i="7" s="1"/>
  <c r="A198" i="7"/>
  <c r="H198" i="7" s="1"/>
  <c r="A199" i="7"/>
  <c r="N199" i="7" s="1"/>
  <c r="A200" i="7"/>
  <c r="D200" i="7" s="1"/>
  <c r="A201" i="7"/>
  <c r="A202" i="7"/>
  <c r="D202" i="7" s="1"/>
  <c r="A203" i="7"/>
  <c r="F203" i="7" s="1"/>
  <c r="A204" i="7"/>
  <c r="L204" i="7" s="1"/>
  <c r="A205" i="7"/>
  <c r="J205" i="7" s="1"/>
  <c r="A206" i="7"/>
  <c r="H206" i="7" s="1"/>
  <c r="A207" i="7"/>
  <c r="J207" i="7" s="1"/>
  <c r="A208" i="7"/>
  <c r="F208" i="7" s="1"/>
  <c r="A209" i="7"/>
  <c r="E209" i="7" s="1"/>
  <c r="A210" i="7"/>
  <c r="F210" i="7" s="1"/>
  <c r="A211" i="7"/>
  <c r="B211" i="7" s="1"/>
  <c r="A212" i="7"/>
  <c r="D212" i="7" s="1"/>
  <c r="A11" i="2"/>
  <c r="A7" i="3" s="1"/>
  <c r="A12" i="2"/>
  <c r="A8" i="3" s="1"/>
  <c r="A13" i="2"/>
  <c r="A9" i="3" s="1"/>
  <c r="A14" i="2"/>
  <c r="A10" i="3" s="1"/>
  <c r="A15" i="2"/>
  <c r="A11" i="3" s="1"/>
  <c r="A16" i="2"/>
  <c r="A12" i="3" s="1"/>
  <c r="A17" i="2"/>
  <c r="A13" i="3" s="1"/>
  <c r="A18" i="2"/>
  <c r="A14" i="3" s="1"/>
  <c r="A19" i="2"/>
  <c r="A15" i="3" s="1"/>
  <c r="A20" i="2"/>
  <c r="A16" i="3" s="1"/>
  <c r="A21" i="2"/>
  <c r="A17" i="3" s="1"/>
  <c r="A22" i="2"/>
  <c r="A18" i="3" s="1"/>
  <c r="A23" i="2"/>
  <c r="A19" i="3" s="1"/>
  <c r="A24" i="2"/>
  <c r="A20" i="3" s="1"/>
  <c r="A25" i="2"/>
  <c r="A21" i="3" s="1"/>
  <c r="A26" i="2"/>
  <c r="A22" i="3" s="1"/>
  <c r="A27" i="2"/>
  <c r="A23" i="3" s="1"/>
  <c r="A28" i="2"/>
  <c r="A24" i="3" s="1"/>
  <c r="A29" i="2"/>
  <c r="A25" i="3" s="1"/>
  <c r="A30" i="2"/>
  <c r="A26" i="3" s="1"/>
  <c r="A31" i="2"/>
  <c r="A27" i="3" s="1"/>
  <c r="A32" i="2"/>
  <c r="A28" i="3" s="1"/>
  <c r="A33" i="2"/>
  <c r="A29" i="3" s="1"/>
  <c r="A34" i="2"/>
  <c r="A30" i="3" s="1"/>
  <c r="A35" i="2"/>
  <c r="A31" i="3" s="1"/>
  <c r="A36" i="2"/>
  <c r="A32" i="3" s="1"/>
  <c r="A37" i="2"/>
  <c r="A33" i="3" s="1"/>
  <c r="A38" i="2"/>
  <c r="A34" i="3" s="1"/>
  <c r="A39" i="2"/>
  <c r="A35" i="3" s="1"/>
  <c r="A40" i="2"/>
  <c r="A36" i="3" s="1"/>
  <c r="A41" i="2"/>
  <c r="A37" i="3" s="1"/>
  <c r="A42" i="2"/>
  <c r="A38" i="3" s="1"/>
  <c r="A43" i="2"/>
  <c r="A39" i="3" s="1"/>
  <c r="A44" i="2"/>
  <c r="A40" i="3" s="1"/>
  <c r="A45" i="2"/>
  <c r="A41" i="3" s="1"/>
  <c r="A46" i="2"/>
  <c r="A42" i="3" s="1"/>
  <c r="A47" i="2"/>
  <c r="A43" i="3" s="1"/>
  <c r="A48" i="2"/>
  <c r="A44" i="3" s="1"/>
  <c r="A49" i="2"/>
  <c r="A45" i="3" s="1"/>
  <c r="A50" i="2"/>
  <c r="A46" i="3" s="1"/>
  <c r="A51" i="2"/>
  <c r="A47" i="3" s="1"/>
  <c r="A52" i="2"/>
  <c r="A48" i="3" s="1"/>
  <c r="A53" i="2"/>
  <c r="A49" i="3" s="1"/>
  <c r="A54" i="2"/>
  <c r="A50" i="3" s="1"/>
  <c r="A55" i="2"/>
  <c r="A51" i="3" s="1"/>
  <c r="A56" i="2"/>
  <c r="A52" i="3" s="1"/>
  <c r="A57" i="2"/>
  <c r="A53" i="3" s="1"/>
  <c r="A58" i="2"/>
  <c r="A54" i="3" s="1"/>
  <c r="A59" i="2"/>
  <c r="A55" i="3" s="1"/>
  <c r="A60" i="2"/>
  <c r="A56" i="3" s="1"/>
  <c r="A61" i="2"/>
  <c r="A57" i="3" s="1"/>
  <c r="A62" i="2"/>
  <c r="A58" i="3" s="1"/>
  <c r="A63" i="2"/>
  <c r="A59" i="3" s="1"/>
  <c r="A64" i="2"/>
  <c r="A60" i="3" s="1"/>
  <c r="A65" i="2"/>
  <c r="A61" i="3" s="1"/>
  <c r="A66" i="2"/>
  <c r="A62" i="3" s="1"/>
  <c r="A67" i="2"/>
  <c r="A63" i="3" s="1"/>
  <c r="A68" i="2"/>
  <c r="A64" i="3" s="1"/>
  <c r="A69" i="2"/>
  <c r="A65" i="3" s="1"/>
  <c r="A70" i="2"/>
  <c r="A66" i="3" s="1"/>
  <c r="A71" i="2"/>
  <c r="A67" i="3" s="1"/>
  <c r="A72" i="2"/>
  <c r="A68" i="3" s="1"/>
  <c r="A73" i="2"/>
  <c r="A69" i="3" s="1"/>
  <c r="A74" i="2"/>
  <c r="A70" i="3" s="1"/>
  <c r="A75" i="2"/>
  <c r="A71" i="3" s="1"/>
  <c r="A76" i="2"/>
  <c r="A72" i="3" s="1"/>
  <c r="A77" i="2"/>
  <c r="A73" i="3" s="1"/>
  <c r="A78" i="2"/>
  <c r="A74" i="3" s="1"/>
  <c r="A79" i="2"/>
  <c r="A75" i="3" s="1"/>
  <c r="A80" i="2"/>
  <c r="A76" i="3" s="1"/>
  <c r="A81" i="2"/>
  <c r="A77" i="3" s="1"/>
  <c r="A82" i="2"/>
  <c r="A78" i="3" s="1"/>
  <c r="A83" i="2"/>
  <c r="A79" i="3" s="1"/>
  <c r="A84" i="2"/>
  <c r="A80" i="3" s="1"/>
  <c r="A85" i="2"/>
  <c r="A81" i="3" s="1"/>
  <c r="A86" i="2"/>
  <c r="A82" i="3" s="1"/>
  <c r="A87" i="2"/>
  <c r="A83" i="3" s="1"/>
  <c r="A88" i="2"/>
  <c r="A84" i="3" s="1"/>
  <c r="A89" i="2"/>
  <c r="A85" i="3" s="1"/>
  <c r="A90" i="2"/>
  <c r="A86" i="3" s="1"/>
  <c r="A91" i="2"/>
  <c r="A87" i="3" s="1"/>
  <c r="A92" i="2"/>
  <c r="A88" i="3" s="1"/>
  <c r="A93" i="2"/>
  <c r="A89" i="3" s="1"/>
  <c r="A94" i="2"/>
  <c r="A90" i="3" s="1"/>
  <c r="A95" i="2"/>
  <c r="A91" i="3" s="1"/>
  <c r="A96" i="2"/>
  <c r="A92" i="3" s="1"/>
  <c r="A97" i="2"/>
  <c r="A93" i="3" s="1"/>
  <c r="A98" i="2"/>
  <c r="A94" i="3" s="1"/>
  <c r="A99" i="2"/>
  <c r="A95" i="3" s="1"/>
  <c r="A100" i="2"/>
  <c r="A96" i="3" s="1"/>
  <c r="A101" i="2"/>
  <c r="A97" i="3" s="1"/>
  <c r="A102" i="2"/>
  <c r="A98" i="3" s="1"/>
  <c r="A103" i="2"/>
  <c r="A99" i="3" s="1"/>
  <c r="A104" i="2"/>
  <c r="A100" i="3" s="1"/>
  <c r="A105" i="2"/>
  <c r="A101" i="3" s="1"/>
  <c r="A106" i="2"/>
  <c r="A102" i="3" s="1"/>
  <c r="A107" i="2"/>
  <c r="A103" i="3" s="1"/>
  <c r="A108" i="2"/>
  <c r="A104" i="3" s="1"/>
  <c r="A109" i="2"/>
  <c r="A105" i="3" s="1"/>
  <c r="A110" i="2"/>
  <c r="A106" i="3" s="1"/>
  <c r="A111" i="2"/>
  <c r="A107" i="3" s="1"/>
  <c r="A112" i="2"/>
  <c r="A108" i="3" s="1"/>
  <c r="A113" i="2"/>
  <c r="A109" i="3" s="1"/>
  <c r="A114" i="2"/>
  <c r="A110" i="3" s="1"/>
  <c r="A115" i="2"/>
  <c r="A111" i="3" s="1"/>
  <c r="A116" i="2"/>
  <c r="A112" i="3" s="1"/>
  <c r="A117" i="2"/>
  <c r="A113" i="3" s="1"/>
  <c r="A118" i="2"/>
  <c r="A114" i="3" s="1"/>
  <c r="A119" i="2"/>
  <c r="A115" i="3" s="1"/>
  <c r="A120" i="2"/>
  <c r="A116" i="3" s="1"/>
  <c r="A121" i="2"/>
  <c r="A117" i="3" s="1"/>
  <c r="A122" i="2"/>
  <c r="A118" i="3" s="1"/>
  <c r="A123" i="2"/>
  <c r="A119" i="3" s="1"/>
  <c r="A124" i="2"/>
  <c r="A120" i="3" s="1"/>
  <c r="A125" i="2"/>
  <c r="A121" i="3" s="1"/>
  <c r="A126" i="2"/>
  <c r="A122" i="3" s="1"/>
  <c r="A127" i="2"/>
  <c r="A123" i="3" s="1"/>
  <c r="A128" i="2"/>
  <c r="A124" i="3" s="1"/>
  <c r="A129" i="2"/>
  <c r="A125" i="3" s="1"/>
  <c r="A130" i="2"/>
  <c r="A126" i="3" s="1"/>
  <c r="A131" i="2"/>
  <c r="A127" i="3" s="1"/>
  <c r="A132" i="2"/>
  <c r="A128" i="3" s="1"/>
  <c r="A133" i="2"/>
  <c r="A129" i="3" s="1"/>
  <c r="A134" i="2"/>
  <c r="A130" i="3" s="1"/>
  <c r="A135" i="2"/>
  <c r="A131" i="3" s="1"/>
  <c r="A136" i="2"/>
  <c r="A132" i="3" s="1"/>
  <c r="A137" i="2"/>
  <c r="A133" i="3" s="1"/>
  <c r="A138" i="2"/>
  <c r="A134" i="3" s="1"/>
  <c r="A139" i="2"/>
  <c r="A135" i="3" s="1"/>
  <c r="A140" i="2"/>
  <c r="A136" i="3" s="1"/>
  <c r="A141" i="2"/>
  <c r="A137" i="3" s="1"/>
  <c r="A142" i="2"/>
  <c r="A138" i="3" s="1"/>
  <c r="A143" i="2"/>
  <c r="A139" i="3" s="1"/>
  <c r="A144" i="2"/>
  <c r="A140" i="3" s="1"/>
  <c r="A145" i="2"/>
  <c r="A141" i="3" s="1"/>
  <c r="A146" i="2"/>
  <c r="A142" i="3" s="1"/>
  <c r="A147" i="2"/>
  <c r="A143" i="3" s="1"/>
  <c r="A148" i="2"/>
  <c r="A144" i="3" s="1"/>
  <c r="A149" i="2"/>
  <c r="A145" i="3" s="1"/>
  <c r="A150" i="2"/>
  <c r="A146" i="3" s="1"/>
  <c r="A151" i="2"/>
  <c r="A147" i="3" s="1"/>
  <c r="A152" i="2"/>
  <c r="A148" i="3" s="1"/>
  <c r="A153" i="2"/>
  <c r="A149" i="3" s="1"/>
  <c r="A154" i="2"/>
  <c r="A150" i="3" s="1"/>
  <c r="A155" i="2"/>
  <c r="A151" i="3" s="1"/>
  <c r="A156" i="2"/>
  <c r="A152" i="3" s="1"/>
  <c r="A157" i="2"/>
  <c r="A153" i="3" s="1"/>
  <c r="A158" i="2"/>
  <c r="A154" i="3" s="1"/>
  <c r="A159" i="2"/>
  <c r="A155" i="3" s="1"/>
  <c r="A160" i="2"/>
  <c r="A156" i="3" s="1"/>
  <c r="A161" i="2"/>
  <c r="A157" i="3" s="1"/>
  <c r="A162" i="2"/>
  <c r="A158" i="3" s="1"/>
  <c r="A163" i="2"/>
  <c r="A159" i="3" s="1"/>
  <c r="A164" i="2"/>
  <c r="A160" i="3" s="1"/>
  <c r="A165" i="2"/>
  <c r="A161" i="3" s="1"/>
  <c r="A166" i="2"/>
  <c r="A162" i="3" s="1"/>
  <c r="A167" i="2"/>
  <c r="A163" i="3" s="1"/>
  <c r="A168" i="2"/>
  <c r="A164" i="3" s="1"/>
  <c r="A169" i="2"/>
  <c r="A165" i="3" s="1"/>
  <c r="A170" i="2"/>
  <c r="A166" i="3" s="1"/>
  <c r="A171" i="2"/>
  <c r="A167" i="3" s="1"/>
  <c r="A172" i="2"/>
  <c r="A168" i="3" s="1"/>
  <c r="A173" i="2"/>
  <c r="A169" i="3" s="1"/>
  <c r="A174" i="2"/>
  <c r="A170" i="3" s="1"/>
  <c r="A175" i="2"/>
  <c r="A171" i="3" s="1"/>
  <c r="A176" i="2"/>
  <c r="A172" i="3" s="1"/>
  <c r="A177" i="2"/>
  <c r="A173" i="3" s="1"/>
  <c r="A178" i="2"/>
  <c r="A174" i="3" s="1"/>
  <c r="A179" i="2"/>
  <c r="A175" i="3" s="1"/>
  <c r="A180" i="2"/>
  <c r="A176" i="3" s="1"/>
  <c r="A181" i="2"/>
  <c r="A177" i="3" s="1"/>
  <c r="A182" i="2"/>
  <c r="A178" i="3" s="1"/>
  <c r="A183" i="2"/>
  <c r="A179" i="3" s="1"/>
  <c r="A184" i="2"/>
  <c r="A180" i="3" s="1"/>
  <c r="A185" i="2"/>
  <c r="A181" i="3" s="1"/>
  <c r="A186" i="2"/>
  <c r="A182" i="3" s="1"/>
  <c r="A187" i="2"/>
  <c r="A183" i="3" s="1"/>
  <c r="A188" i="2"/>
  <c r="A184" i="3" s="1"/>
  <c r="A189" i="2"/>
  <c r="A185" i="3" s="1"/>
  <c r="A190" i="2"/>
  <c r="A186" i="3" s="1"/>
  <c r="A191" i="2"/>
  <c r="A187" i="3" s="1"/>
  <c r="A192" i="2"/>
  <c r="A188" i="3" s="1"/>
  <c r="A193" i="2"/>
  <c r="A189" i="3" s="1"/>
  <c r="C189" i="3" s="1"/>
  <c r="A194" i="2"/>
  <c r="A190" i="3" s="1"/>
  <c r="G190" i="3" s="1"/>
  <c r="A195" i="2"/>
  <c r="A196" i="2"/>
  <c r="A192" i="3" s="1"/>
  <c r="A197" i="2"/>
  <c r="A198" i="2"/>
  <c r="A199" i="2"/>
  <c r="A200" i="2"/>
  <c r="A196" i="3" s="1"/>
  <c r="I196" i="3" s="1"/>
  <c r="A201" i="2"/>
  <c r="A197" i="3" s="1"/>
  <c r="C197" i="3" s="1"/>
  <c r="A202" i="2"/>
  <c r="A203" i="2"/>
  <c r="A204" i="2"/>
  <c r="A200" i="3" s="1"/>
  <c r="I200" i="3" s="1"/>
  <c r="A205" i="2"/>
  <c r="A206" i="2"/>
  <c r="A202" i="3" s="1"/>
  <c r="L202" i="3" s="1"/>
  <c r="A207" i="2"/>
  <c r="A208" i="2"/>
  <c r="A209" i="2"/>
  <c r="A210" i="2"/>
  <c r="A211" i="2"/>
  <c r="A212" i="2"/>
  <c r="A208" i="3" s="1"/>
  <c r="B208" i="3" s="1"/>
  <c r="A213" i="2"/>
  <c r="A214" i="2"/>
  <c r="A210" i="3" s="1"/>
  <c r="B210" i="3" l="1"/>
  <c r="M210" i="3"/>
  <c r="I210" i="3"/>
  <c r="Q210" i="3"/>
  <c r="L210" i="3"/>
  <c r="D210" i="3"/>
  <c r="P210" i="3"/>
  <c r="G210" i="3"/>
  <c r="J210" i="3"/>
  <c r="C210" i="3"/>
  <c r="E210" i="3" s="1"/>
  <c r="F210" i="3"/>
  <c r="O210" i="3"/>
  <c r="N210" i="3"/>
  <c r="O214" i="12"/>
  <c r="M215" i="12"/>
  <c r="N216" i="12"/>
  <c r="L217" i="12"/>
  <c r="M216" i="12"/>
  <c r="M217" i="12"/>
  <c r="N217" i="12"/>
  <c r="M214" i="12"/>
  <c r="O217" i="12"/>
  <c r="L214" i="12"/>
  <c r="O216" i="12"/>
  <c r="O215" i="12"/>
  <c r="N214" i="12"/>
  <c r="L216" i="12"/>
  <c r="L215" i="12"/>
  <c r="N215" i="12"/>
  <c r="N211" i="12"/>
  <c r="I213" i="2"/>
  <c r="A209" i="3"/>
  <c r="C209" i="3" s="1"/>
  <c r="E208" i="2"/>
  <c r="A204" i="3"/>
  <c r="N204" i="3" s="1"/>
  <c r="B209" i="2"/>
  <c r="A205" i="3"/>
  <c r="C205" i="3" s="1"/>
  <c r="C207" i="2"/>
  <c r="A203" i="3"/>
  <c r="I203" i="3" s="1"/>
  <c r="M205" i="2"/>
  <c r="A201" i="3"/>
  <c r="C201" i="3" s="1"/>
  <c r="Q197" i="2"/>
  <c r="A193" i="3"/>
  <c r="C193" i="3" s="1"/>
  <c r="R211" i="2"/>
  <c r="A207" i="3"/>
  <c r="I207" i="3" s="1"/>
  <c r="E203" i="2"/>
  <c r="A199" i="3"/>
  <c r="D199" i="3" s="1"/>
  <c r="H199" i="2"/>
  <c r="A195" i="3"/>
  <c r="N195" i="3" s="1"/>
  <c r="R195" i="2"/>
  <c r="A191" i="3"/>
  <c r="N191" i="3" s="1"/>
  <c r="C214" i="2"/>
  <c r="L210" i="2"/>
  <c r="A206" i="3"/>
  <c r="P206" i="3" s="1"/>
  <c r="M202" i="2"/>
  <c r="A198" i="3"/>
  <c r="G198" i="3" s="1"/>
  <c r="C198" i="2"/>
  <c r="A194" i="3"/>
  <c r="C194" i="3" s="1"/>
  <c r="L207" i="7"/>
  <c r="I201" i="10"/>
  <c r="E198" i="14"/>
  <c r="G198" i="14" s="1"/>
  <c r="F209" i="11"/>
  <c r="M211" i="7"/>
  <c r="J200" i="11"/>
  <c r="E211" i="7"/>
  <c r="C194" i="14"/>
  <c r="K194" i="10"/>
  <c r="B207" i="11"/>
  <c r="O212" i="7"/>
  <c r="D192" i="7"/>
  <c r="E190" i="14"/>
  <c r="G190" i="14" s="1"/>
  <c r="C211" i="10"/>
  <c r="F205" i="11"/>
  <c r="G212" i="7"/>
  <c r="K208" i="7"/>
  <c r="C202" i="14"/>
  <c r="F211" i="11"/>
  <c r="B203" i="11"/>
  <c r="C204" i="3"/>
  <c r="C192" i="3"/>
  <c r="J192" i="3"/>
  <c r="F208" i="3"/>
  <c r="J196" i="3"/>
  <c r="K196" i="3" s="1"/>
  <c r="E204" i="14"/>
  <c r="D204" i="14"/>
  <c r="E196" i="14"/>
  <c r="D196" i="14"/>
  <c r="E188" i="14"/>
  <c r="D188" i="14"/>
  <c r="B203" i="3"/>
  <c r="O208" i="3"/>
  <c r="Q203" i="3"/>
  <c r="J200" i="3"/>
  <c r="K200" i="3" s="1"/>
  <c r="F192" i="3"/>
  <c r="C208" i="3"/>
  <c r="J208" i="3"/>
  <c r="C196" i="3"/>
  <c r="B196" i="3"/>
  <c r="N196" i="3"/>
  <c r="C200" i="14"/>
  <c r="B200" i="14"/>
  <c r="F200" i="14"/>
  <c r="C192" i="14"/>
  <c r="B192" i="14"/>
  <c r="F192" i="14"/>
  <c r="D202" i="3"/>
  <c r="P202" i="3"/>
  <c r="L198" i="3"/>
  <c r="D190" i="3"/>
  <c r="C190" i="3"/>
  <c r="N208" i="3"/>
  <c r="G202" i="3"/>
  <c r="I199" i="3"/>
  <c r="F196" i="3"/>
  <c r="O192" i="3"/>
  <c r="B192" i="3"/>
  <c r="P190" i="3"/>
  <c r="E208" i="11"/>
  <c r="H208" i="11"/>
  <c r="L208" i="11"/>
  <c r="E204" i="11"/>
  <c r="H204" i="11"/>
  <c r="L204" i="11"/>
  <c r="N196" i="11"/>
  <c r="B196" i="11"/>
  <c r="F192" i="11"/>
  <c r="J192" i="11"/>
  <c r="D204" i="11"/>
  <c r="C200" i="3"/>
  <c r="F200" i="3"/>
  <c r="O200" i="3"/>
  <c r="O204" i="3"/>
  <c r="N200" i="3"/>
  <c r="I192" i="3"/>
  <c r="I208" i="3"/>
  <c r="C202" i="3"/>
  <c r="B200" i="3"/>
  <c r="O196" i="3"/>
  <c r="N192" i="3"/>
  <c r="L190" i="3"/>
  <c r="C210" i="7"/>
  <c r="J210" i="7"/>
  <c r="N210" i="7"/>
  <c r="B210" i="7"/>
  <c r="D194" i="7"/>
  <c r="H194" i="7"/>
  <c r="H194" i="12" s="1"/>
  <c r="H202" i="7"/>
  <c r="H202" i="12" s="1"/>
  <c r="D208" i="11"/>
  <c r="N212" i="7"/>
  <c r="F212" i="7"/>
  <c r="L211" i="7"/>
  <c r="D211" i="7"/>
  <c r="J208" i="7"/>
  <c r="B207" i="7"/>
  <c r="H200" i="7"/>
  <c r="H200" i="12" s="1"/>
  <c r="J195" i="7"/>
  <c r="B191" i="7"/>
  <c r="O211" i="10"/>
  <c r="M210" i="10"/>
  <c r="C206" i="10"/>
  <c r="I193" i="10"/>
  <c r="B211" i="11"/>
  <c r="B209" i="11"/>
  <c r="N207" i="11"/>
  <c r="H206" i="11"/>
  <c r="B205" i="11"/>
  <c r="N203" i="11"/>
  <c r="N201" i="11"/>
  <c r="H199" i="11"/>
  <c r="K212" i="7"/>
  <c r="C212" i="7"/>
  <c r="I211" i="7"/>
  <c r="O208" i="7"/>
  <c r="G208" i="7"/>
  <c r="F203" i="14"/>
  <c r="F195" i="14"/>
  <c r="K211" i="10"/>
  <c r="H210" i="10"/>
  <c r="C198" i="10"/>
  <c r="N211" i="11"/>
  <c r="N209" i="11"/>
  <c r="J207" i="11"/>
  <c r="N205" i="11"/>
  <c r="J203" i="11"/>
  <c r="J201" i="11"/>
  <c r="J212" i="7"/>
  <c r="B212" i="7"/>
  <c r="H211" i="7"/>
  <c r="N208" i="7"/>
  <c r="J203" i="7"/>
  <c r="B199" i="7"/>
  <c r="B203" i="14"/>
  <c r="D199" i="14"/>
  <c r="B195" i="14"/>
  <c r="D191" i="14"/>
  <c r="G211" i="10"/>
  <c r="I209" i="10"/>
  <c r="K202" i="10"/>
  <c r="C190" i="10"/>
  <c r="J211" i="11"/>
  <c r="J209" i="11"/>
  <c r="F207" i="11"/>
  <c r="J205" i="11"/>
  <c r="F203" i="11"/>
  <c r="H191" i="11"/>
  <c r="J189" i="3"/>
  <c r="F189" i="3"/>
  <c r="C201" i="7"/>
  <c r="G201" i="7"/>
  <c r="K201" i="7"/>
  <c r="J201" i="12" s="1"/>
  <c r="O201" i="7"/>
  <c r="D201" i="7"/>
  <c r="H201" i="7"/>
  <c r="H201" i="12" s="1"/>
  <c r="L201" i="7"/>
  <c r="K201" i="12" s="1"/>
  <c r="E201" i="7"/>
  <c r="I201" i="7"/>
  <c r="I201" i="12" s="1"/>
  <c r="M201" i="7"/>
  <c r="C193" i="7"/>
  <c r="G193" i="7"/>
  <c r="K193" i="7"/>
  <c r="J193" i="12" s="1"/>
  <c r="O193" i="7"/>
  <c r="D193" i="7"/>
  <c r="H193" i="7"/>
  <c r="H193" i="12" s="1"/>
  <c r="L193" i="7"/>
  <c r="K193" i="12" s="1"/>
  <c r="E193" i="7"/>
  <c r="I193" i="7"/>
  <c r="I193" i="12" s="1"/>
  <c r="M193" i="7"/>
  <c r="L209" i="7"/>
  <c r="H209" i="7"/>
  <c r="D209" i="7"/>
  <c r="N205" i="7"/>
  <c r="Q208" i="3"/>
  <c r="M208" i="3"/>
  <c r="D208" i="3"/>
  <c r="Q204" i="3"/>
  <c r="M204" i="3"/>
  <c r="D204" i="3"/>
  <c r="L203" i="3"/>
  <c r="G203" i="3"/>
  <c r="C203" i="3"/>
  <c r="O202" i="3"/>
  <c r="J202" i="3"/>
  <c r="F202" i="3"/>
  <c r="B202" i="3"/>
  <c r="Q200" i="3"/>
  <c r="M200" i="3"/>
  <c r="D200" i="3"/>
  <c r="P199" i="3"/>
  <c r="L199" i="3"/>
  <c r="G199" i="3"/>
  <c r="F198" i="3"/>
  <c r="H198" i="3" s="1"/>
  <c r="N197" i="3"/>
  <c r="I197" i="3"/>
  <c r="Q196" i="3"/>
  <c r="M196" i="3"/>
  <c r="D196" i="3"/>
  <c r="Q192" i="3"/>
  <c r="M192" i="3"/>
  <c r="D192" i="3"/>
  <c r="L191" i="3"/>
  <c r="G191" i="3"/>
  <c r="C191" i="3"/>
  <c r="O190" i="3"/>
  <c r="J190" i="3"/>
  <c r="F190" i="3"/>
  <c r="H190" i="3" s="1"/>
  <c r="B190" i="3"/>
  <c r="N189" i="3"/>
  <c r="I189" i="3"/>
  <c r="E208" i="7"/>
  <c r="C208" i="7"/>
  <c r="E204" i="7"/>
  <c r="I204" i="7"/>
  <c r="I204" i="12" s="1"/>
  <c r="M204" i="7"/>
  <c r="B204" i="7"/>
  <c r="F204" i="7"/>
  <c r="J204" i="7"/>
  <c r="N204" i="7"/>
  <c r="C204" i="7"/>
  <c r="G204" i="7"/>
  <c r="K204" i="7"/>
  <c r="J204" i="12" s="1"/>
  <c r="O204" i="7"/>
  <c r="E200" i="7"/>
  <c r="I200" i="7"/>
  <c r="I200" i="12" s="1"/>
  <c r="M200" i="7"/>
  <c r="B200" i="7"/>
  <c r="F200" i="7"/>
  <c r="J200" i="7"/>
  <c r="N200" i="7"/>
  <c r="C200" i="7"/>
  <c r="G200" i="7"/>
  <c r="K200" i="7"/>
  <c r="J200" i="12" s="1"/>
  <c r="O200" i="7"/>
  <c r="E196" i="7"/>
  <c r="I196" i="7"/>
  <c r="I196" i="12" s="1"/>
  <c r="M196" i="7"/>
  <c r="B196" i="7"/>
  <c r="F196" i="7"/>
  <c r="J196" i="7"/>
  <c r="N196" i="7"/>
  <c r="C196" i="7"/>
  <c r="G196" i="7"/>
  <c r="K196" i="7"/>
  <c r="O196" i="7"/>
  <c r="E192" i="7"/>
  <c r="I192" i="7"/>
  <c r="I192" i="12" s="1"/>
  <c r="M192" i="7"/>
  <c r="B192" i="7"/>
  <c r="F192" i="7"/>
  <c r="J192" i="7"/>
  <c r="N192" i="7"/>
  <c r="C192" i="7"/>
  <c r="G192" i="7"/>
  <c r="K192" i="7"/>
  <c r="J192" i="12" s="1"/>
  <c r="O192" i="7"/>
  <c r="M212" i="7"/>
  <c r="I212" i="7"/>
  <c r="E212" i="7"/>
  <c r="O211" i="7"/>
  <c r="K211" i="7"/>
  <c r="G211" i="7"/>
  <c r="C211" i="7"/>
  <c r="M210" i="7"/>
  <c r="I210" i="7"/>
  <c r="E210" i="7"/>
  <c r="O209" i="7"/>
  <c r="K209" i="7"/>
  <c r="G209" i="7"/>
  <c r="C209" i="7"/>
  <c r="M208" i="7"/>
  <c r="I208" i="7"/>
  <c r="D208" i="7"/>
  <c r="L206" i="7"/>
  <c r="K206" i="12" s="1"/>
  <c r="H204" i="7"/>
  <c r="H204" i="12" s="1"/>
  <c r="B201" i="7"/>
  <c r="L198" i="7"/>
  <c r="K198" i="12" s="1"/>
  <c r="H196" i="7"/>
  <c r="H196" i="12" s="1"/>
  <c r="B193" i="7"/>
  <c r="L190" i="7"/>
  <c r="M212" i="10"/>
  <c r="O197" i="3"/>
  <c r="J197" i="3"/>
  <c r="F197" i="3"/>
  <c r="B197" i="3"/>
  <c r="O189" i="3"/>
  <c r="B189" i="3"/>
  <c r="C205" i="7"/>
  <c r="G205" i="7"/>
  <c r="K205" i="7"/>
  <c r="J205" i="12" s="1"/>
  <c r="O205" i="7"/>
  <c r="D205" i="7"/>
  <c r="H205" i="7"/>
  <c r="H205" i="12" s="1"/>
  <c r="L205" i="7"/>
  <c r="K205" i="12" s="1"/>
  <c r="E205" i="7"/>
  <c r="I205" i="7"/>
  <c r="I205" i="12" s="1"/>
  <c r="M205" i="7"/>
  <c r="C197" i="7"/>
  <c r="G197" i="7"/>
  <c r="K197" i="7"/>
  <c r="J197" i="12" s="1"/>
  <c r="O197" i="7"/>
  <c r="D197" i="7"/>
  <c r="H197" i="7"/>
  <c r="H197" i="12" s="1"/>
  <c r="L197" i="7"/>
  <c r="K197" i="12" s="1"/>
  <c r="E197" i="7"/>
  <c r="I197" i="7"/>
  <c r="I197" i="12" s="1"/>
  <c r="M197" i="7"/>
  <c r="F201" i="7"/>
  <c r="N197" i="7"/>
  <c r="F193" i="7"/>
  <c r="P208" i="3"/>
  <c r="L208" i="3"/>
  <c r="G208" i="3"/>
  <c r="P204" i="3"/>
  <c r="L204" i="3"/>
  <c r="G204" i="3"/>
  <c r="O203" i="3"/>
  <c r="J203" i="3"/>
  <c r="K203" i="3" s="1"/>
  <c r="F203" i="3"/>
  <c r="N202" i="3"/>
  <c r="I202" i="3"/>
  <c r="P200" i="3"/>
  <c r="L200" i="3"/>
  <c r="G200" i="3"/>
  <c r="O199" i="3"/>
  <c r="J199" i="3"/>
  <c r="F199" i="3"/>
  <c r="N198" i="3"/>
  <c r="Q197" i="3"/>
  <c r="M197" i="3"/>
  <c r="D197" i="3"/>
  <c r="E197" i="3" s="1"/>
  <c r="P196" i="3"/>
  <c r="L196" i="3"/>
  <c r="G196" i="3"/>
  <c r="I194" i="3"/>
  <c r="P192" i="3"/>
  <c r="L192" i="3"/>
  <c r="G192" i="3"/>
  <c r="O191" i="3"/>
  <c r="J191" i="3"/>
  <c r="F191" i="3"/>
  <c r="N190" i="3"/>
  <c r="I190" i="3"/>
  <c r="Q189" i="3"/>
  <c r="M189" i="3"/>
  <c r="D189" i="3"/>
  <c r="E189" i="3" s="1"/>
  <c r="C207" i="7"/>
  <c r="G207" i="7"/>
  <c r="K207" i="7"/>
  <c r="O207" i="7"/>
  <c r="D207" i="7"/>
  <c r="E207" i="7"/>
  <c r="I207" i="7"/>
  <c r="M207" i="7"/>
  <c r="C203" i="7"/>
  <c r="G203" i="7"/>
  <c r="K203" i="7"/>
  <c r="J203" i="12" s="1"/>
  <c r="O203" i="7"/>
  <c r="D203" i="7"/>
  <c r="H203" i="7"/>
  <c r="H203" i="12" s="1"/>
  <c r="L203" i="7"/>
  <c r="K203" i="12" s="1"/>
  <c r="E203" i="7"/>
  <c r="I203" i="7"/>
  <c r="I203" i="12" s="1"/>
  <c r="M203" i="7"/>
  <c r="C199" i="7"/>
  <c r="G199" i="7"/>
  <c r="K199" i="7"/>
  <c r="J199" i="12" s="1"/>
  <c r="O199" i="7"/>
  <c r="D199" i="7"/>
  <c r="H199" i="7"/>
  <c r="H199" i="12" s="1"/>
  <c r="L199" i="7"/>
  <c r="K199" i="12" s="1"/>
  <c r="E199" i="7"/>
  <c r="I199" i="7"/>
  <c r="I199" i="12" s="1"/>
  <c r="M199" i="7"/>
  <c r="C195" i="7"/>
  <c r="G195" i="7"/>
  <c r="K195" i="7"/>
  <c r="J195" i="12" s="1"/>
  <c r="O195" i="7"/>
  <c r="D195" i="7"/>
  <c r="H195" i="7"/>
  <c r="H195" i="12" s="1"/>
  <c r="L195" i="7"/>
  <c r="K195" i="12" s="1"/>
  <c r="E195" i="7"/>
  <c r="I195" i="7"/>
  <c r="I195" i="12" s="1"/>
  <c r="M195" i="7"/>
  <c r="C191" i="7"/>
  <c r="G191" i="7"/>
  <c r="K191" i="7"/>
  <c r="J191" i="12" s="1"/>
  <c r="O191" i="7"/>
  <c r="D191" i="7"/>
  <c r="H191" i="7"/>
  <c r="H191" i="12" s="1"/>
  <c r="L191" i="7"/>
  <c r="K191" i="12" s="1"/>
  <c r="E191" i="7"/>
  <c r="I191" i="7"/>
  <c r="I191" i="12" s="1"/>
  <c r="M191" i="7"/>
  <c r="L212" i="7"/>
  <c r="H212" i="7"/>
  <c r="N211" i="7"/>
  <c r="J211" i="7"/>
  <c r="F211" i="7"/>
  <c r="L210" i="7"/>
  <c r="H210" i="7"/>
  <c r="D210" i="7"/>
  <c r="N209" i="7"/>
  <c r="J209" i="7"/>
  <c r="F209" i="7"/>
  <c r="B209" i="7"/>
  <c r="L208" i="7"/>
  <c r="H208" i="7"/>
  <c r="B208" i="7"/>
  <c r="H207" i="7"/>
  <c r="F205" i="7"/>
  <c r="D204" i="7"/>
  <c r="B203" i="7"/>
  <c r="N201" i="7"/>
  <c r="L200" i="7"/>
  <c r="K200" i="12" s="1"/>
  <c r="J199" i="7"/>
  <c r="F197" i="7"/>
  <c r="D196" i="7"/>
  <c r="B195" i="7"/>
  <c r="N193" i="7"/>
  <c r="L192" i="7"/>
  <c r="K192" i="12" s="1"/>
  <c r="J191" i="7"/>
  <c r="Q202" i="3"/>
  <c r="M202" i="3"/>
  <c r="Q198" i="3"/>
  <c r="M198" i="3"/>
  <c r="P197" i="3"/>
  <c r="L197" i="3"/>
  <c r="G197" i="3"/>
  <c r="Q194" i="3"/>
  <c r="G193" i="3"/>
  <c r="Q190" i="3"/>
  <c r="M190" i="3"/>
  <c r="P189" i="3"/>
  <c r="L189" i="3"/>
  <c r="G189" i="3"/>
  <c r="E206" i="7"/>
  <c r="I206" i="7"/>
  <c r="I206" i="12" s="1"/>
  <c r="M206" i="7"/>
  <c r="B206" i="7"/>
  <c r="F206" i="7"/>
  <c r="J206" i="7"/>
  <c r="N206" i="7"/>
  <c r="C206" i="7"/>
  <c r="G206" i="7"/>
  <c r="K206" i="7"/>
  <c r="J206" i="12" s="1"/>
  <c r="O206" i="7"/>
  <c r="E202" i="7"/>
  <c r="I202" i="7"/>
  <c r="I202" i="12" s="1"/>
  <c r="M202" i="7"/>
  <c r="B202" i="7"/>
  <c r="F202" i="7"/>
  <c r="J202" i="7"/>
  <c r="N202" i="7"/>
  <c r="C202" i="7"/>
  <c r="G202" i="7"/>
  <c r="K202" i="7"/>
  <c r="J202" i="12" s="1"/>
  <c r="O202" i="7"/>
  <c r="E198" i="7"/>
  <c r="I198" i="7"/>
  <c r="I198" i="12" s="1"/>
  <c r="M198" i="7"/>
  <c r="B198" i="7"/>
  <c r="F198" i="7"/>
  <c r="J198" i="7"/>
  <c r="N198" i="7"/>
  <c r="C198" i="7"/>
  <c r="G198" i="7"/>
  <c r="K198" i="7"/>
  <c r="J198" i="12" s="1"/>
  <c r="O198" i="7"/>
  <c r="E194" i="7"/>
  <c r="I194" i="7"/>
  <c r="I194" i="12" s="1"/>
  <c r="M194" i="7"/>
  <c r="B194" i="7"/>
  <c r="F194" i="7"/>
  <c r="J194" i="7"/>
  <c r="N194" i="7"/>
  <c r="C194" i="7"/>
  <c r="G194" i="7"/>
  <c r="K194" i="7"/>
  <c r="J194" i="12" s="1"/>
  <c r="O194" i="7"/>
  <c r="E190" i="7"/>
  <c r="I190" i="7"/>
  <c r="I190" i="12" s="1"/>
  <c r="M190" i="7"/>
  <c r="B190" i="7"/>
  <c r="F190" i="7"/>
  <c r="J190" i="7"/>
  <c r="N190" i="7"/>
  <c r="C190" i="7"/>
  <c r="G190" i="7"/>
  <c r="K190" i="7"/>
  <c r="J190" i="12" s="1"/>
  <c r="O190" i="7"/>
  <c r="O210" i="7"/>
  <c r="K210" i="7"/>
  <c r="G210" i="7"/>
  <c r="M209" i="7"/>
  <c r="I209" i="7"/>
  <c r="N207" i="7"/>
  <c r="F207" i="7"/>
  <c r="D206" i="7"/>
  <c r="B205" i="7"/>
  <c r="N203" i="7"/>
  <c r="L202" i="7"/>
  <c r="K202" i="12" s="1"/>
  <c r="J201" i="7"/>
  <c r="F199" i="7"/>
  <c r="D198" i="7"/>
  <c r="B197" i="7"/>
  <c r="N195" i="7"/>
  <c r="L194" i="7"/>
  <c r="K194" i="12" s="1"/>
  <c r="J193" i="7"/>
  <c r="F191" i="7"/>
  <c r="D190" i="7"/>
  <c r="B201" i="14"/>
  <c r="F201" i="14"/>
  <c r="C201" i="14"/>
  <c r="D201" i="14"/>
  <c r="D197" i="14"/>
  <c r="E197" i="14"/>
  <c r="B197" i="14"/>
  <c r="F197" i="14"/>
  <c r="B193" i="14"/>
  <c r="G193" i="14" s="1"/>
  <c r="F193" i="14"/>
  <c r="C193" i="14"/>
  <c r="D193" i="14"/>
  <c r="D189" i="14"/>
  <c r="E189" i="14"/>
  <c r="B189" i="14"/>
  <c r="F189" i="14"/>
  <c r="E201" i="14"/>
  <c r="B212" i="10"/>
  <c r="F212" i="10"/>
  <c r="J212" i="10"/>
  <c r="N212" i="10"/>
  <c r="C212" i="10"/>
  <c r="G212" i="10"/>
  <c r="K212" i="10"/>
  <c r="O212" i="10"/>
  <c r="D212" i="10"/>
  <c r="H212" i="10"/>
  <c r="L212" i="10"/>
  <c r="D208" i="10"/>
  <c r="H208" i="10"/>
  <c r="L208" i="10"/>
  <c r="E208" i="10"/>
  <c r="I208" i="10"/>
  <c r="M208" i="10"/>
  <c r="B208" i="10"/>
  <c r="F208" i="10"/>
  <c r="J208" i="10"/>
  <c r="N208" i="10"/>
  <c r="K208" i="10"/>
  <c r="O208" i="10"/>
  <c r="C208" i="10"/>
  <c r="D204" i="10"/>
  <c r="H204" i="10"/>
  <c r="L204" i="10"/>
  <c r="E204" i="10"/>
  <c r="I204" i="10"/>
  <c r="M204" i="10"/>
  <c r="B204" i="10"/>
  <c r="F204" i="10"/>
  <c r="J204" i="10"/>
  <c r="N204" i="10"/>
  <c r="C204" i="10"/>
  <c r="G204" i="10"/>
  <c r="K204" i="10"/>
  <c r="D200" i="10"/>
  <c r="H200" i="10"/>
  <c r="L200" i="10"/>
  <c r="E200" i="10"/>
  <c r="I200" i="10"/>
  <c r="M200" i="10"/>
  <c r="B200" i="10"/>
  <c r="F200" i="10"/>
  <c r="J200" i="10"/>
  <c r="N200" i="10"/>
  <c r="K200" i="10"/>
  <c r="O200" i="10"/>
  <c r="C200" i="10"/>
  <c r="D196" i="10"/>
  <c r="H196" i="10"/>
  <c r="L196" i="10"/>
  <c r="E196" i="10"/>
  <c r="I196" i="10"/>
  <c r="M196" i="10"/>
  <c r="B196" i="10"/>
  <c r="F196" i="10"/>
  <c r="J196" i="10"/>
  <c r="N196" i="10"/>
  <c r="C196" i="10"/>
  <c r="G196" i="10"/>
  <c r="K196" i="10"/>
  <c r="D192" i="10"/>
  <c r="H192" i="10"/>
  <c r="L192" i="10"/>
  <c r="E192" i="10"/>
  <c r="I192" i="10"/>
  <c r="M192" i="10"/>
  <c r="B192" i="10"/>
  <c r="F192" i="10"/>
  <c r="J192" i="10"/>
  <c r="N192" i="10"/>
  <c r="K192" i="10"/>
  <c r="O192" i="10"/>
  <c r="C192" i="10"/>
  <c r="E212" i="10"/>
  <c r="G208" i="10"/>
  <c r="C204" i="14"/>
  <c r="E203" i="14"/>
  <c r="F202" i="14"/>
  <c r="B202" i="14"/>
  <c r="E200" i="14"/>
  <c r="C199" i="14"/>
  <c r="D198" i="14"/>
  <c r="C196" i="14"/>
  <c r="E195" i="14"/>
  <c r="F194" i="14"/>
  <c r="B194" i="14"/>
  <c r="E192" i="14"/>
  <c r="C191" i="14"/>
  <c r="D190" i="14"/>
  <c r="C188" i="14"/>
  <c r="B207" i="10"/>
  <c r="F207" i="10"/>
  <c r="J207" i="10"/>
  <c r="N207" i="10"/>
  <c r="C207" i="10"/>
  <c r="G207" i="10"/>
  <c r="K207" i="10"/>
  <c r="O207" i="10"/>
  <c r="D207" i="10"/>
  <c r="H207" i="10"/>
  <c r="L207" i="10"/>
  <c r="B203" i="10"/>
  <c r="F203" i="10"/>
  <c r="J203" i="10"/>
  <c r="N203" i="10"/>
  <c r="C203" i="10"/>
  <c r="G203" i="10"/>
  <c r="K203" i="10"/>
  <c r="O203" i="10"/>
  <c r="D203" i="10"/>
  <c r="H203" i="10"/>
  <c r="L203" i="10"/>
  <c r="B199" i="10"/>
  <c r="F199" i="10"/>
  <c r="J199" i="10"/>
  <c r="N199" i="10"/>
  <c r="C199" i="10"/>
  <c r="G199" i="10"/>
  <c r="K199" i="10"/>
  <c r="O199" i="10"/>
  <c r="D199" i="10"/>
  <c r="H199" i="10"/>
  <c r="L199" i="10"/>
  <c r="B195" i="10"/>
  <c r="F195" i="10"/>
  <c r="J195" i="10"/>
  <c r="N195" i="10"/>
  <c r="C195" i="10"/>
  <c r="G195" i="10"/>
  <c r="K195" i="10"/>
  <c r="O195" i="10"/>
  <c r="D195" i="10"/>
  <c r="H195" i="10"/>
  <c r="L195" i="10"/>
  <c r="B191" i="10"/>
  <c r="F191" i="10"/>
  <c r="J191" i="10"/>
  <c r="N191" i="10"/>
  <c r="C191" i="10"/>
  <c r="G191" i="10"/>
  <c r="K191" i="10"/>
  <c r="O191" i="10"/>
  <c r="D191" i="10"/>
  <c r="H191" i="10"/>
  <c r="L191" i="10"/>
  <c r="N211" i="10"/>
  <c r="J211" i="10"/>
  <c r="F211" i="10"/>
  <c r="B211" i="10"/>
  <c r="L210" i="10"/>
  <c r="M205" i="10"/>
  <c r="I203" i="10"/>
  <c r="M197" i="10"/>
  <c r="I195" i="10"/>
  <c r="L210" i="11"/>
  <c r="L202" i="11"/>
  <c r="F204" i="14"/>
  <c r="B204" i="14"/>
  <c r="D203" i="14"/>
  <c r="E202" i="14"/>
  <c r="D200" i="14"/>
  <c r="F199" i="14"/>
  <c r="B199" i="14"/>
  <c r="G199" i="14" s="1"/>
  <c r="C198" i="14"/>
  <c r="F196" i="14"/>
  <c r="B196" i="14"/>
  <c r="D195" i="14"/>
  <c r="E194" i="14"/>
  <c r="D192" i="14"/>
  <c r="F191" i="14"/>
  <c r="B191" i="14"/>
  <c r="G191" i="14" s="1"/>
  <c r="C190" i="14"/>
  <c r="F188" i="14"/>
  <c r="B188" i="14"/>
  <c r="D210" i="10"/>
  <c r="E210" i="10"/>
  <c r="I210" i="10"/>
  <c r="B210" i="10"/>
  <c r="F210" i="10"/>
  <c r="D206" i="10"/>
  <c r="H206" i="10"/>
  <c r="L206" i="10"/>
  <c r="E206" i="10"/>
  <c r="I206" i="10"/>
  <c r="M206" i="10"/>
  <c r="B206" i="10"/>
  <c r="F206" i="10"/>
  <c r="J206" i="10"/>
  <c r="N206" i="10"/>
  <c r="D202" i="10"/>
  <c r="H202" i="10"/>
  <c r="L202" i="10"/>
  <c r="E202" i="10"/>
  <c r="I202" i="10"/>
  <c r="M202" i="10"/>
  <c r="B202" i="10"/>
  <c r="F202" i="10"/>
  <c r="J202" i="10"/>
  <c r="N202" i="10"/>
  <c r="D198" i="10"/>
  <c r="H198" i="10"/>
  <c r="L198" i="10"/>
  <c r="E198" i="10"/>
  <c r="I198" i="10"/>
  <c r="M198" i="10"/>
  <c r="B198" i="10"/>
  <c r="F198" i="10"/>
  <c r="J198" i="10"/>
  <c r="N198" i="10"/>
  <c r="D194" i="10"/>
  <c r="H194" i="10"/>
  <c r="L194" i="10"/>
  <c r="E194" i="10"/>
  <c r="I194" i="10"/>
  <c r="M194" i="10"/>
  <c r="B194" i="10"/>
  <c r="F194" i="10"/>
  <c r="J194" i="10"/>
  <c r="N194" i="10"/>
  <c r="D190" i="10"/>
  <c r="H190" i="10"/>
  <c r="L190" i="10"/>
  <c r="E190" i="10"/>
  <c r="I190" i="10"/>
  <c r="M190" i="10"/>
  <c r="B190" i="10"/>
  <c r="F190" i="10"/>
  <c r="J190" i="10"/>
  <c r="N190" i="10"/>
  <c r="M211" i="10"/>
  <c r="I211" i="10"/>
  <c r="E211" i="10"/>
  <c r="O210" i="10"/>
  <c r="K210" i="10"/>
  <c r="C210" i="10"/>
  <c r="M207" i="10"/>
  <c r="K206" i="10"/>
  <c r="E203" i="10"/>
  <c r="C202" i="10"/>
  <c r="M199" i="10"/>
  <c r="K198" i="10"/>
  <c r="E195" i="10"/>
  <c r="C194" i="10"/>
  <c r="M191" i="10"/>
  <c r="K190" i="10"/>
  <c r="F198" i="14"/>
  <c r="F190" i="14"/>
  <c r="B209" i="10"/>
  <c r="F209" i="10"/>
  <c r="J209" i="10"/>
  <c r="N209" i="10"/>
  <c r="C209" i="10"/>
  <c r="G209" i="10"/>
  <c r="K209" i="10"/>
  <c r="O209" i="10"/>
  <c r="D209" i="10"/>
  <c r="H209" i="10"/>
  <c r="L209" i="10"/>
  <c r="B205" i="10"/>
  <c r="F205" i="10"/>
  <c r="J205" i="10"/>
  <c r="N205" i="10"/>
  <c r="C205" i="10"/>
  <c r="G205" i="10"/>
  <c r="K205" i="10"/>
  <c r="O205" i="10"/>
  <c r="D205" i="10"/>
  <c r="H205" i="10"/>
  <c r="L205" i="10"/>
  <c r="B201" i="10"/>
  <c r="F201" i="10"/>
  <c r="J201" i="10"/>
  <c r="N201" i="10"/>
  <c r="C201" i="10"/>
  <c r="G201" i="10"/>
  <c r="K201" i="10"/>
  <c r="O201" i="10"/>
  <c r="D201" i="10"/>
  <c r="H201" i="10"/>
  <c r="L201" i="10"/>
  <c r="B197" i="10"/>
  <c r="F197" i="10"/>
  <c r="J197" i="10"/>
  <c r="N197" i="10"/>
  <c r="C197" i="10"/>
  <c r="G197" i="10"/>
  <c r="K197" i="10"/>
  <c r="O197" i="10"/>
  <c r="D197" i="10"/>
  <c r="H197" i="10"/>
  <c r="L197" i="10"/>
  <c r="B193" i="10"/>
  <c r="F193" i="10"/>
  <c r="J193" i="10"/>
  <c r="N193" i="10"/>
  <c r="C193" i="10"/>
  <c r="G193" i="10"/>
  <c r="K193" i="10"/>
  <c r="O193" i="10"/>
  <c r="D193" i="10"/>
  <c r="H193" i="10"/>
  <c r="L193" i="10"/>
  <c r="L211" i="10"/>
  <c r="H211" i="10"/>
  <c r="N210" i="10"/>
  <c r="J210" i="10"/>
  <c r="M209" i="10"/>
  <c r="I207" i="10"/>
  <c r="G206" i="10"/>
  <c r="E205" i="10"/>
  <c r="O202" i="10"/>
  <c r="M201" i="10"/>
  <c r="I199" i="10"/>
  <c r="G198" i="10"/>
  <c r="E197" i="10"/>
  <c r="O194" i="10"/>
  <c r="M193" i="10"/>
  <c r="I191" i="10"/>
  <c r="G190" i="10"/>
  <c r="E210" i="11"/>
  <c r="I210" i="11"/>
  <c r="M210" i="11"/>
  <c r="B210" i="11"/>
  <c r="F210" i="11"/>
  <c r="J210" i="11"/>
  <c r="N210" i="11"/>
  <c r="C210" i="11"/>
  <c r="G210" i="11"/>
  <c r="K210" i="11"/>
  <c r="O210" i="11"/>
  <c r="E206" i="11"/>
  <c r="I206" i="11"/>
  <c r="M206" i="11"/>
  <c r="B206" i="11"/>
  <c r="F206" i="11"/>
  <c r="J206" i="11"/>
  <c r="N206" i="11"/>
  <c r="C206" i="11"/>
  <c r="G206" i="11"/>
  <c r="K206" i="11"/>
  <c r="O206" i="11"/>
  <c r="E202" i="11"/>
  <c r="I202" i="11"/>
  <c r="M202" i="11"/>
  <c r="B202" i="11"/>
  <c r="F202" i="11"/>
  <c r="J202" i="11"/>
  <c r="N202" i="11"/>
  <c r="C202" i="11"/>
  <c r="G202" i="11"/>
  <c r="K202" i="11"/>
  <c r="O202" i="11"/>
  <c r="C198" i="11"/>
  <c r="G198" i="11"/>
  <c r="K198" i="11"/>
  <c r="O198" i="11"/>
  <c r="D198" i="11"/>
  <c r="H198" i="11"/>
  <c r="L198" i="11"/>
  <c r="E198" i="11"/>
  <c r="I198" i="11"/>
  <c r="M198" i="11"/>
  <c r="J198" i="11"/>
  <c r="N198" i="11"/>
  <c r="B198" i="11"/>
  <c r="C194" i="11"/>
  <c r="G194" i="11"/>
  <c r="K194" i="11"/>
  <c r="O194" i="11"/>
  <c r="D194" i="11"/>
  <c r="H194" i="11"/>
  <c r="L194" i="11"/>
  <c r="E194" i="11"/>
  <c r="I194" i="11"/>
  <c r="M194" i="11"/>
  <c r="B194" i="11"/>
  <c r="F194" i="11"/>
  <c r="J194" i="11"/>
  <c r="C190" i="11"/>
  <c r="G190" i="11"/>
  <c r="K190" i="11"/>
  <c r="O190" i="11"/>
  <c r="D190" i="11"/>
  <c r="H190" i="11"/>
  <c r="L190" i="11"/>
  <c r="E190" i="11"/>
  <c r="I190" i="11"/>
  <c r="M190" i="11"/>
  <c r="J190" i="11"/>
  <c r="N190" i="11"/>
  <c r="B190" i="11"/>
  <c r="C209" i="12"/>
  <c r="G209" i="12"/>
  <c r="K209" i="12"/>
  <c r="D209" i="12"/>
  <c r="H209" i="12"/>
  <c r="E209" i="12"/>
  <c r="I209" i="12"/>
  <c r="B209" i="12"/>
  <c r="F209" i="12"/>
  <c r="C205" i="12"/>
  <c r="G205" i="12"/>
  <c r="D205" i="12"/>
  <c r="E205" i="12"/>
  <c r="F205" i="12"/>
  <c r="C201" i="12"/>
  <c r="G201" i="12"/>
  <c r="D201" i="12"/>
  <c r="E201" i="12"/>
  <c r="B201" i="12"/>
  <c r="F201" i="12"/>
  <c r="B197" i="12"/>
  <c r="F197" i="12"/>
  <c r="C197" i="12"/>
  <c r="D197" i="12"/>
  <c r="G197" i="12"/>
  <c r="E197" i="12"/>
  <c r="B193" i="12"/>
  <c r="F193" i="12"/>
  <c r="C193" i="12"/>
  <c r="G193" i="12"/>
  <c r="D193" i="12"/>
  <c r="E193" i="12"/>
  <c r="B189" i="12"/>
  <c r="F189" i="12"/>
  <c r="C189" i="12"/>
  <c r="G189" i="12"/>
  <c r="D189" i="12"/>
  <c r="E189" i="12"/>
  <c r="F207" i="13"/>
  <c r="G207" i="13"/>
  <c r="E207" i="13"/>
  <c r="F203" i="13"/>
  <c r="G203" i="13"/>
  <c r="E203" i="13"/>
  <c r="F199" i="13"/>
  <c r="G199" i="13"/>
  <c r="E199" i="13"/>
  <c r="F195" i="13"/>
  <c r="G195" i="13"/>
  <c r="E195" i="13"/>
  <c r="F191" i="13"/>
  <c r="G191" i="13"/>
  <c r="E191" i="13"/>
  <c r="F187" i="13"/>
  <c r="G187" i="13"/>
  <c r="E187" i="13"/>
  <c r="D210" i="11"/>
  <c r="L206" i="11"/>
  <c r="D202" i="11"/>
  <c r="E201" i="11"/>
  <c r="C201" i="11"/>
  <c r="E197" i="11"/>
  <c r="I197" i="11"/>
  <c r="M197" i="11"/>
  <c r="B197" i="11"/>
  <c r="F197" i="11"/>
  <c r="J197" i="11"/>
  <c r="N197" i="11"/>
  <c r="C197" i="11"/>
  <c r="G197" i="11"/>
  <c r="K197" i="11"/>
  <c r="O197" i="11"/>
  <c r="E193" i="11"/>
  <c r="I193" i="11"/>
  <c r="M193" i="11"/>
  <c r="B193" i="11"/>
  <c r="F193" i="11"/>
  <c r="J193" i="11"/>
  <c r="N193" i="11"/>
  <c r="C193" i="11"/>
  <c r="G193" i="11"/>
  <c r="K193" i="11"/>
  <c r="O193" i="11"/>
  <c r="E189" i="11"/>
  <c r="I189" i="11"/>
  <c r="M189" i="11"/>
  <c r="B189" i="11"/>
  <c r="F189" i="11"/>
  <c r="J189" i="11"/>
  <c r="N189" i="11"/>
  <c r="C189" i="11"/>
  <c r="G189" i="11"/>
  <c r="K189" i="11"/>
  <c r="O189" i="11"/>
  <c r="E208" i="12"/>
  <c r="I208" i="12"/>
  <c r="B208" i="12"/>
  <c r="F208" i="12"/>
  <c r="J208" i="12"/>
  <c r="C208" i="12"/>
  <c r="G208" i="12"/>
  <c r="K208" i="12"/>
  <c r="D208" i="12"/>
  <c r="E204" i="12"/>
  <c r="B204" i="12"/>
  <c r="F204" i="12"/>
  <c r="C204" i="12"/>
  <c r="G204" i="12"/>
  <c r="K204" i="12"/>
  <c r="D204" i="12"/>
  <c r="E200" i="12"/>
  <c r="B200" i="12"/>
  <c r="F200" i="12"/>
  <c r="C200" i="12"/>
  <c r="G200" i="12"/>
  <c r="D200" i="12"/>
  <c r="D196" i="12"/>
  <c r="E196" i="12"/>
  <c r="B196" i="12"/>
  <c r="F196" i="12"/>
  <c r="J196" i="12"/>
  <c r="G196" i="12"/>
  <c r="K196" i="12"/>
  <c r="D192" i="12"/>
  <c r="H192" i="12"/>
  <c r="E192" i="12"/>
  <c r="B192" i="12"/>
  <c r="F192" i="12"/>
  <c r="C192" i="12"/>
  <c r="G192" i="12"/>
  <c r="D188" i="12"/>
  <c r="E188" i="12"/>
  <c r="B188" i="12"/>
  <c r="F188" i="12"/>
  <c r="G188" i="12"/>
  <c r="C188" i="12"/>
  <c r="E210" i="13"/>
  <c r="F210" i="13"/>
  <c r="G210" i="13"/>
  <c r="E206" i="13"/>
  <c r="F206" i="13"/>
  <c r="G206" i="13"/>
  <c r="E202" i="13"/>
  <c r="F202" i="13"/>
  <c r="G202" i="13"/>
  <c r="E198" i="13"/>
  <c r="F198" i="13"/>
  <c r="G198" i="13"/>
  <c r="E194" i="13"/>
  <c r="F194" i="13"/>
  <c r="G194" i="13"/>
  <c r="E190" i="13"/>
  <c r="F190" i="13"/>
  <c r="G190" i="13"/>
  <c r="M211" i="11"/>
  <c r="I211" i="11"/>
  <c r="E211" i="11"/>
  <c r="M209" i="11"/>
  <c r="I209" i="11"/>
  <c r="E209" i="11"/>
  <c r="O208" i="11"/>
  <c r="K208" i="11"/>
  <c r="G208" i="11"/>
  <c r="C208" i="11"/>
  <c r="M207" i="11"/>
  <c r="I207" i="11"/>
  <c r="E207" i="11"/>
  <c r="M205" i="11"/>
  <c r="I205" i="11"/>
  <c r="E205" i="11"/>
  <c r="O204" i="11"/>
  <c r="K204" i="11"/>
  <c r="G204" i="11"/>
  <c r="C204" i="11"/>
  <c r="M203" i="11"/>
  <c r="I203" i="11"/>
  <c r="E203" i="11"/>
  <c r="M201" i="11"/>
  <c r="I201" i="11"/>
  <c r="D201" i="11"/>
  <c r="L195" i="11"/>
  <c r="H193" i="11"/>
  <c r="H208" i="12"/>
  <c r="C200" i="11"/>
  <c r="G200" i="11"/>
  <c r="K200" i="11"/>
  <c r="O200" i="11"/>
  <c r="D200" i="11"/>
  <c r="H200" i="11"/>
  <c r="L200" i="11"/>
  <c r="E200" i="11"/>
  <c r="I200" i="11"/>
  <c r="M200" i="11"/>
  <c r="C196" i="11"/>
  <c r="G196" i="11"/>
  <c r="K196" i="11"/>
  <c r="O196" i="11"/>
  <c r="D196" i="11"/>
  <c r="H196" i="11"/>
  <c r="L196" i="11"/>
  <c r="E196" i="11"/>
  <c r="I196" i="11"/>
  <c r="M196" i="11"/>
  <c r="C192" i="11"/>
  <c r="G192" i="11"/>
  <c r="K192" i="11"/>
  <c r="O192" i="11"/>
  <c r="D192" i="11"/>
  <c r="H192" i="11"/>
  <c r="L192" i="11"/>
  <c r="E192" i="11"/>
  <c r="I192" i="11"/>
  <c r="M192" i="11"/>
  <c r="C207" i="12"/>
  <c r="G207" i="12"/>
  <c r="K207" i="12"/>
  <c r="D207" i="12"/>
  <c r="H207" i="12"/>
  <c r="E207" i="12"/>
  <c r="I207" i="12"/>
  <c r="J207" i="12"/>
  <c r="B207" i="12"/>
  <c r="C203" i="12"/>
  <c r="G203" i="12"/>
  <c r="D203" i="12"/>
  <c r="E203" i="12"/>
  <c r="B203" i="12"/>
  <c r="F203" i="12"/>
  <c r="C199" i="12"/>
  <c r="G199" i="12"/>
  <c r="D199" i="12"/>
  <c r="E199" i="12"/>
  <c r="B199" i="12"/>
  <c r="B195" i="12"/>
  <c r="F195" i="12"/>
  <c r="C195" i="12"/>
  <c r="G195" i="12"/>
  <c r="D195" i="12"/>
  <c r="E195" i="12"/>
  <c r="B191" i="12"/>
  <c r="F191" i="12"/>
  <c r="C191" i="12"/>
  <c r="G191" i="12"/>
  <c r="D191" i="12"/>
  <c r="E191" i="12"/>
  <c r="F209" i="13"/>
  <c r="G209" i="13"/>
  <c r="E209" i="13"/>
  <c r="F205" i="13"/>
  <c r="G205" i="13"/>
  <c r="E205" i="13"/>
  <c r="F201" i="13"/>
  <c r="G201" i="13"/>
  <c r="E201" i="13"/>
  <c r="F197" i="13"/>
  <c r="G197" i="13"/>
  <c r="F193" i="13"/>
  <c r="G193" i="13"/>
  <c r="E193" i="13"/>
  <c r="F189" i="13"/>
  <c r="G189" i="13"/>
  <c r="E189" i="13"/>
  <c r="L211" i="11"/>
  <c r="H211" i="11"/>
  <c r="D211" i="11"/>
  <c r="L209" i="11"/>
  <c r="H209" i="11"/>
  <c r="D209" i="11"/>
  <c r="N208" i="11"/>
  <c r="J208" i="11"/>
  <c r="F208" i="11"/>
  <c r="B208" i="11"/>
  <c r="L207" i="11"/>
  <c r="H207" i="11"/>
  <c r="D207" i="11"/>
  <c r="L205" i="11"/>
  <c r="H205" i="11"/>
  <c r="D205" i="11"/>
  <c r="N204" i="11"/>
  <c r="J204" i="11"/>
  <c r="F204" i="11"/>
  <c r="B204" i="11"/>
  <c r="L203" i="11"/>
  <c r="H203" i="11"/>
  <c r="D203" i="11"/>
  <c r="L201" i="11"/>
  <c r="H201" i="11"/>
  <c r="B201" i="11"/>
  <c r="B200" i="11"/>
  <c r="L197" i="11"/>
  <c r="J196" i="11"/>
  <c r="D193" i="11"/>
  <c r="B192" i="11"/>
  <c r="L189" i="11"/>
  <c r="F207" i="12"/>
  <c r="E199" i="11"/>
  <c r="I199" i="11"/>
  <c r="M199" i="11"/>
  <c r="B199" i="11"/>
  <c r="F199" i="11"/>
  <c r="J199" i="11"/>
  <c r="N199" i="11"/>
  <c r="C199" i="11"/>
  <c r="G199" i="11"/>
  <c r="K199" i="11"/>
  <c r="O199" i="11"/>
  <c r="E195" i="11"/>
  <c r="I195" i="11"/>
  <c r="M195" i="11"/>
  <c r="B195" i="11"/>
  <c r="F195" i="11"/>
  <c r="J195" i="11"/>
  <c r="N195" i="11"/>
  <c r="C195" i="11"/>
  <c r="G195" i="11"/>
  <c r="K195" i="11"/>
  <c r="O195" i="11"/>
  <c r="E191" i="11"/>
  <c r="I191" i="11"/>
  <c r="M191" i="11"/>
  <c r="B191" i="11"/>
  <c r="F191" i="11"/>
  <c r="J191" i="11"/>
  <c r="N191" i="11"/>
  <c r="C191" i="11"/>
  <c r="G191" i="11"/>
  <c r="K191" i="11"/>
  <c r="O191" i="11"/>
  <c r="E210" i="12"/>
  <c r="I210" i="12"/>
  <c r="B210" i="12"/>
  <c r="F210" i="12"/>
  <c r="J210" i="12"/>
  <c r="C210" i="12"/>
  <c r="G210" i="12"/>
  <c r="K210" i="12"/>
  <c r="D210" i="12"/>
  <c r="H210" i="12"/>
  <c r="E206" i="12"/>
  <c r="B206" i="12"/>
  <c r="F206" i="12"/>
  <c r="C206" i="12"/>
  <c r="G206" i="12"/>
  <c r="H206" i="12"/>
  <c r="E202" i="12"/>
  <c r="B202" i="12"/>
  <c r="F202" i="12"/>
  <c r="C202" i="12"/>
  <c r="G202" i="12"/>
  <c r="D202" i="12"/>
  <c r="E198" i="12"/>
  <c r="B198" i="12"/>
  <c r="F198" i="12"/>
  <c r="C198" i="12"/>
  <c r="G198" i="12"/>
  <c r="H198" i="12"/>
  <c r="D194" i="12"/>
  <c r="E194" i="12"/>
  <c r="B194" i="12"/>
  <c r="F194" i="12"/>
  <c r="C194" i="12"/>
  <c r="G194" i="12"/>
  <c r="D190" i="12"/>
  <c r="H190" i="12"/>
  <c r="E190" i="12"/>
  <c r="B190" i="12"/>
  <c r="F190" i="12"/>
  <c r="K190" i="12"/>
  <c r="C190" i="12"/>
  <c r="G190" i="12"/>
  <c r="E208" i="13"/>
  <c r="F208" i="13"/>
  <c r="G208" i="13"/>
  <c r="E204" i="13"/>
  <c r="F204" i="13"/>
  <c r="G204" i="13"/>
  <c r="E200" i="13"/>
  <c r="F200" i="13"/>
  <c r="G200" i="13"/>
  <c r="E196" i="13"/>
  <c r="F196" i="13"/>
  <c r="G196" i="13"/>
  <c r="E192" i="13"/>
  <c r="F192" i="13"/>
  <c r="G192" i="13"/>
  <c r="E188" i="13"/>
  <c r="F188" i="13"/>
  <c r="G188" i="13"/>
  <c r="O211" i="11"/>
  <c r="K211" i="11"/>
  <c r="G211" i="11"/>
  <c r="O209" i="11"/>
  <c r="K209" i="11"/>
  <c r="G209" i="11"/>
  <c r="M208" i="11"/>
  <c r="I208" i="11"/>
  <c r="O207" i="11"/>
  <c r="K207" i="11"/>
  <c r="G207" i="11"/>
  <c r="O205" i="11"/>
  <c r="K205" i="11"/>
  <c r="G205" i="11"/>
  <c r="M204" i="11"/>
  <c r="I204" i="11"/>
  <c r="O203" i="11"/>
  <c r="K203" i="11"/>
  <c r="G203" i="11"/>
  <c r="O201" i="11"/>
  <c r="K201" i="11"/>
  <c r="G201" i="11"/>
  <c r="N200" i="11"/>
  <c r="L199" i="11"/>
  <c r="H197" i="11"/>
  <c r="F196" i="11"/>
  <c r="D195" i="11"/>
  <c r="N192" i="11"/>
  <c r="L191" i="11"/>
  <c r="H189" i="11"/>
  <c r="D206" i="12"/>
  <c r="C196" i="12"/>
  <c r="E197" i="13"/>
  <c r="E209" i="6"/>
  <c r="I209" i="6"/>
  <c r="M209" i="12" s="1"/>
  <c r="M209" i="6"/>
  <c r="B209" i="6"/>
  <c r="F209" i="6"/>
  <c r="J209" i="6"/>
  <c r="N209" i="6"/>
  <c r="C209" i="6"/>
  <c r="G209" i="6"/>
  <c r="K209" i="6"/>
  <c r="N209" i="12" s="1"/>
  <c r="O209" i="6"/>
  <c r="D209" i="6"/>
  <c r="H209" i="6"/>
  <c r="L209" i="12" s="1"/>
  <c r="L209" i="6"/>
  <c r="O209" i="12" s="1"/>
  <c r="E205" i="6"/>
  <c r="I205" i="6"/>
  <c r="M205" i="12" s="1"/>
  <c r="M205" i="6"/>
  <c r="B205" i="6"/>
  <c r="F205" i="6"/>
  <c r="J205" i="6"/>
  <c r="N205" i="6"/>
  <c r="C205" i="6"/>
  <c r="G205" i="6"/>
  <c r="K205" i="6"/>
  <c r="N205" i="12" s="1"/>
  <c r="O205" i="6"/>
  <c r="D205" i="6"/>
  <c r="H205" i="6"/>
  <c r="L205" i="12" s="1"/>
  <c r="L205" i="6"/>
  <c r="O205" i="12" s="1"/>
  <c r="E201" i="6"/>
  <c r="I201" i="6"/>
  <c r="M201" i="12" s="1"/>
  <c r="M201" i="6"/>
  <c r="B201" i="6"/>
  <c r="F201" i="6"/>
  <c r="J201" i="6"/>
  <c r="N201" i="6"/>
  <c r="C201" i="6"/>
  <c r="G201" i="6"/>
  <c r="K201" i="6"/>
  <c r="N201" i="12" s="1"/>
  <c r="O201" i="6"/>
  <c r="D201" i="6"/>
  <c r="H201" i="6"/>
  <c r="L201" i="12" s="1"/>
  <c r="L201" i="6"/>
  <c r="O201" i="12" s="1"/>
  <c r="E197" i="6"/>
  <c r="I197" i="6"/>
  <c r="M197" i="12" s="1"/>
  <c r="M197" i="6"/>
  <c r="B197" i="6"/>
  <c r="F197" i="6"/>
  <c r="J197" i="6"/>
  <c r="N197" i="6"/>
  <c r="C197" i="6"/>
  <c r="G197" i="6"/>
  <c r="K197" i="6"/>
  <c r="N197" i="12" s="1"/>
  <c r="O197" i="6"/>
  <c r="D197" i="6"/>
  <c r="H197" i="6"/>
  <c r="L197" i="12" s="1"/>
  <c r="L197" i="6"/>
  <c r="O197" i="12" s="1"/>
  <c r="E193" i="6"/>
  <c r="I193" i="6"/>
  <c r="M193" i="12" s="1"/>
  <c r="M193" i="6"/>
  <c r="B193" i="6"/>
  <c r="F193" i="6"/>
  <c r="J193" i="6"/>
  <c r="N193" i="6"/>
  <c r="C193" i="6"/>
  <c r="G193" i="6"/>
  <c r="K193" i="6"/>
  <c r="N193" i="12" s="1"/>
  <c r="O193" i="6"/>
  <c r="D193" i="6"/>
  <c r="H193" i="6"/>
  <c r="L193" i="12" s="1"/>
  <c r="L193" i="6"/>
  <c r="O193" i="12" s="1"/>
  <c r="E189" i="6"/>
  <c r="I189" i="6"/>
  <c r="M189" i="12" s="1"/>
  <c r="M189" i="6"/>
  <c r="B189" i="6"/>
  <c r="F189" i="6"/>
  <c r="J189" i="6"/>
  <c r="N189" i="6"/>
  <c r="C189" i="6"/>
  <c r="G189" i="6"/>
  <c r="K189" i="6"/>
  <c r="N189" i="12" s="1"/>
  <c r="O189" i="6"/>
  <c r="D189" i="6"/>
  <c r="H189" i="6"/>
  <c r="L189" i="12" s="1"/>
  <c r="L189" i="6"/>
  <c r="O189" i="12" s="1"/>
  <c r="O213" i="12"/>
  <c r="L213" i="12"/>
  <c r="L211" i="6"/>
  <c r="O211" i="12" s="1"/>
  <c r="C208" i="6"/>
  <c r="G208" i="6"/>
  <c r="K208" i="6"/>
  <c r="N208" i="12" s="1"/>
  <c r="O208" i="6"/>
  <c r="D208" i="6"/>
  <c r="H208" i="6"/>
  <c r="L208" i="12" s="1"/>
  <c r="L208" i="6"/>
  <c r="O208" i="12" s="1"/>
  <c r="E208" i="6"/>
  <c r="I208" i="6"/>
  <c r="M208" i="12" s="1"/>
  <c r="M208" i="6"/>
  <c r="B208" i="6"/>
  <c r="F208" i="6"/>
  <c r="J208" i="6"/>
  <c r="N208" i="6"/>
  <c r="C204" i="6"/>
  <c r="G204" i="6"/>
  <c r="K204" i="6"/>
  <c r="N204" i="12" s="1"/>
  <c r="O204" i="6"/>
  <c r="D204" i="6"/>
  <c r="H204" i="6"/>
  <c r="L204" i="12" s="1"/>
  <c r="L204" i="6"/>
  <c r="O204" i="12" s="1"/>
  <c r="E204" i="6"/>
  <c r="I204" i="6"/>
  <c r="M204" i="12" s="1"/>
  <c r="M204" i="6"/>
  <c r="B204" i="6"/>
  <c r="F204" i="6"/>
  <c r="J204" i="6"/>
  <c r="N204" i="6"/>
  <c r="C200" i="6"/>
  <c r="G200" i="6"/>
  <c r="K200" i="6"/>
  <c r="N200" i="12" s="1"/>
  <c r="O200" i="6"/>
  <c r="D200" i="6"/>
  <c r="H200" i="6"/>
  <c r="L200" i="12" s="1"/>
  <c r="L200" i="6"/>
  <c r="O200" i="12" s="1"/>
  <c r="E200" i="6"/>
  <c r="I200" i="6"/>
  <c r="M200" i="12" s="1"/>
  <c r="M200" i="6"/>
  <c r="B200" i="6"/>
  <c r="F200" i="6"/>
  <c r="J200" i="6"/>
  <c r="N200" i="6"/>
  <c r="C196" i="6"/>
  <c r="G196" i="6"/>
  <c r="K196" i="6"/>
  <c r="N196" i="12" s="1"/>
  <c r="O196" i="6"/>
  <c r="D196" i="6"/>
  <c r="H196" i="6"/>
  <c r="L196" i="12" s="1"/>
  <c r="L196" i="6"/>
  <c r="O196" i="12" s="1"/>
  <c r="E196" i="6"/>
  <c r="I196" i="6"/>
  <c r="M196" i="12" s="1"/>
  <c r="M196" i="6"/>
  <c r="B196" i="6"/>
  <c r="F196" i="6"/>
  <c r="J196" i="6"/>
  <c r="N196" i="6"/>
  <c r="C192" i="6"/>
  <c r="G192" i="6"/>
  <c r="K192" i="6"/>
  <c r="N192" i="12" s="1"/>
  <c r="O192" i="6"/>
  <c r="D192" i="6"/>
  <c r="H192" i="6"/>
  <c r="L192" i="12" s="1"/>
  <c r="L192" i="6"/>
  <c r="O192" i="12" s="1"/>
  <c r="E192" i="6"/>
  <c r="I192" i="6"/>
  <c r="M192" i="12" s="1"/>
  <c r="M192" i="6"/>
  <c r="B192" i="6"/>
  <c r="F192" i="6"/>
  <c r="J192" i="6"/>
  <c r="N192" i="6"/>
  <c r="C188" i="6"/>
  <c r="G188" i="6"/>
  <c r="K188" i="6"/>
  <c r="N188" i="12" s="1"/>
  <c r="O188" i="6"/>
  <c r="D188" i="6"/>
  <c r="H188" i="6"/>
  <c r="L188" i="12" s="1"/>
  <c r="L188" i="6"/>
  <c r="O188" i="12" s="1"/>
  <c r="E188" i="6"/>
  <c r="I188" i="6"/>
  <c r="M188" i="12" s="1"/>
  <c r="M188" i="6"/>
  <c r="B188" i="6"/>
  <c r="F188" i="6"/>
  <c r="J188" i="6"/>
  <c r="N188" i="6"/>
  <c r="N213" i="12"/>
  <c r="M212" i="12"/>
  <c r="O211" i="6"/>
  <c r="E211" i="6"/>
  <c r="B211" i="6"/>
  <c r="F211" i="6"/>
  <c r="C211" i="6"/>
  <c r="G211" i="6"/>
  <c r="D211" i="6"/>
  <c r="H211" i="6"/>
  <c r="L211" i="12" s="1"/>
  <c r="E207" i="6"/>
  <c r="I207" i="6"/>
  <c r="M207" i="12" s="1"/>
  <c r="M207" i="6"/>
  <c r="B207" i="6"/>
  <c r="F207" i="6"/>
  <c r="J207" i="6"/>
  <c r="N207" i="6"/>
  <c r="C207" i="6"/>
  <c r="G207" i="6"/>
  <c r="K207" i="6"/>
  <c r="N207" i="12" s="1"/>
  <c r="O207" i="6"/>
  <c r="D207" i="6"/>
  <c r="H207" i="6"/>
  <c r="L207" i="12" s="1"/>
  <c r="L207" i="6"/>
  <c r="O207" i="12" s="1"/>
  <c r="E203" i="6"/>
  <c r="I203" i="6"/>
  <c r="M203" i="12" s="1"/>
  <c r="M203" i="6"/>
  <c r="B203" i="6"/>
  <c r="F203" i="6"/>
  <c r="J203" i="6"/>
  <c r="N203" i="6"/>
  <c r="C203" i="6"/>
  <c r="G203" i="6"/>
  <c r="K203" i="6"/>
  <c r="N203" i="12" s="1"/>
  <c r="O203" i="6"/>
  <c r="D203" i="6"/>
  <c r="H203" i="6"/>
  <c r="L203" i="12" s="1"/>
  <c r="L203" i="6"/>
  <c r="O203" i="12" s="1"/>
  <c r="E199" i="6"/>
  <c r="I199" i="6"/>
  <c r="M199" i="12" s="1"/>
  <c r="M199" i="6"/>
  <c r="B199" i="6"/>
  <c r="F199" i="6"/>
  <c r="J199" i="6"/>
  <c r="N199" i="6"/>
  <c r="C199" i="6"/>
  <c r="G199" i="6"/>
  <c r="K199" i="6"/>
  <c r="N199" i="12" s="1"/>
  <c r="O199" i="6"/>
  <c r="D199" i="6"/>
  <c r="H199" i="6"/>
  <c r="L199" i="12" s="1"/>
  <c r="L199" i="6"/>
  <c r="O199" i="12" s="1"/>
  <c r="E195" i="6"/>
  <c r="I195" i="6"/>
  <c r="M195" i="12" s="1"/>
  <c r="M195" i="6"/>
  <c r="B195" i="6"/>
  <c r="F195" i="6"/>
  <c r="J195" i="6"/>
  <c r="N195" i="6"/>
  <c r="C195" i="6"/>
  <c r="G195" i="6"/>
  <c r="K195" i="6"/>
  <c r="N195" i="12" s="1"/>
  <c r="O195" i="6"/>
  <c r="D195" i="6"/>
  <c r="H195" i="6"/>
  <c r="L195" i="12" s="1"/>
  <c r="L195" i="6"/>
  <c r="O195" i="12" s="1"/>
  <c r="E191" i="6"/>
  <c r="I191" i="6"/>
  <c r="M191" i="12" s="1"/>
  <c r="M191" i="6"/>
  <c r="B191" i="6"/>
  <c r="F191" i="6"/>
  <c r="J191" i="6"/>
  <c r="N191" i="6"/>
  <c r="C191" i="6"/>
  <c r="G191" i="6"/>
  <c r="K191" i="6"/>
  <c r="N191" i="12" s="1"/>
  <c r="O191" i="6"/>
  <c r="D191" i="6"/>
  <c r="H191" i="6"/>
  <c r="L191" i="12" s="1"/>
  <c r="L191" i="6"/>
  <c r="O191" i="12" s="1"/>
  <c r="O212" i="12"/>
  <c r="L212" i="12"/>
  <c r="N211" i="6"/>
  <c r="J211" i="6"/>
  <c r="C210" i="6"/>
  <c r="G210" i="6"/>
  <c r="K210" i="6"/>
  <c r="N210" i="12" s="1"/>
  <c r="O210" i="6"/>
  <c r="D210" i="6"/>
  <c r="H210" i="6"/>
  <c r="L210" i="12" s="1"/>
  <c r="L210" i="6"/>
  <c r="O210" i="12" s="1"/>
  <c r="E210" i="6"/>
  <c r="I210" i="6"/>
  <c r="M210" i="12" s="1"/>
  <c r="M210" i="6"/>
  <c r="B210" i="6"/>
  <c r="F210" i="6"/>
  <c r="J210" i="6"/>
  <c r="N210" i="6"/>
  <c r="C206" i="6"/>
  <c r="G206" i="6"/>
  <c r="K206" i="6"/>
  <c r="N206" i="12" s="1"/>
  <c r="O206" i="6"/>
  <c r="D206" i="6"/>
  <c r="H206" i="6"/>
  <c r="L206" i="12" s="1"/>
  <c r="L206" i="6"/>
  <c r="O206" i="12" s="1"/>
  <c r="E206" i="6"/>
  <c r="I206" i="6"/>
  <c r="M206" i="12" s="1"/>
  <c r="M206" i="6"/>
  <c r="B206" i="6"/>
  <c r="F206" i="6"/>
  <c r="J206" i="6"/>
  <c r="N206" i="6"/>
  <c r="C202" i="6"/>
  <c r="G202" i="6"/>
  <c r="K202" i="6"/>
  <c r="N202" i="12" s="1"/>
  <c r="O202" i="6"/>
  <c r="D202" i="6"/>
  <c r="H202" i="6"/>
  <c r="L202" i="12" s="1"/>
  <c r="L202" i="6"/>
  <c r="O202" i="12" s="1"/>
  <c r="E202" i="6"/>
  <c r="I202" i="6"/>
  <c r="M202" i="12" s="1"/>
  <c r="M202" i="6"/>
  <c r="B202" i="6"/>
  <c r="F202" i="6"/>
  <c r="J202" i="6"/>
  <c r="N202" i="6"/>
  <c r="C198" i="6"/>
  <c r="G198" i="6"/>
  <c r="K198" i="6"/>
  <c r="N198" i="12" s="1"/>
  <c r="O198" i="6"/>
  <c r="D198" i="6"/>
  <c r="H198" i="6"/>
  <c r="L198" i="12" s="1"/>
  <c r="L198" i="6"/>
  <c r="O198" i="12" s="1"/>
  <c r="E198" i="6"/>
  <c r="I198" i="6"/>
  <c r="M198" i="12" s="1"/>
  <c r="M198" i="6"/>
  <c r="B198" i="6"/>
  <c r="F198" i="6"/>
  <c r="J198" i="6"/>
  <c r="N198" i="6"/>
  <c r="C194" i="6"/>
  <c r="G194" i="6"/>
  <c r="K194" i="6"/>
  <c r="N194" i="12" s="1"/>
  <c r="O194" i="6"/>
  <c r="D194" i="6"/>
  <c r="H194" i="6"/>
  <c r="L194" i="12" s="1"/>
  <c r="L194" i="6"/>
  <c r="O194" i="12" s="1"/>
  <c r="E194" i="6"/>
  <c r="I194" i="6"/>
  <c r="M194" i="12" s="1"/>
  <c r="M194" i="6"/>
  <c r="B194" i="6"/>
  <c r="F194" i="6"/>
  <c r="J194" i="6"/>
  <c r="N194" i="6"/>
  <c r="C190" i="6"/>
  <c r="G190" i="6"/>
  <c r="K190" i="6"/>
  <c r="N190" i="12" s="1"/>
  <c r="O190" i="6"/>
  <c r="D190" i="6"/>
  <c r="H190" i="6"/>
  <c r="L190" i="12" s="1"/>
  <c r="L190" i="6"/>
  <c r="O190" i="12" s="1"/>
  <c r="E190" i="6"/>
  <c r="I190" i="6"/>
  <c r="M190" i="12" s="1"/>
  <c r="M190" i="6"/>
  <c r="B190" i="6"/>
  <c r="F190" i="6"/>
  <c r="J190" i="6"/>
  <c r="N190" i="6"/>
  <c r="M213" i="12"/>
  <c r="N212" i="12"/>
  <c r="M211" i="6"/>
  <c r="I211" i="6"/>
  <c r="M211" i="12" s="1"/>
  <c r="Q213" i="2"/>
  <c r="D205" i="2"/>
  <c r="I197" i="2"/>
  <c r="H208" i="2"/>
  <c r="C212" i="2"/>
  <c r="R212" i="2"/>
  <c r="I204" i="2"/>
  <c r="L204" i="2"/>
  <c r="M200" i="2"/>
  <c r="P200" i="2"/>
  <c r="C196" i="2"/>
  <c r="D196" i="2"/>
  <c r="R196" i="2"/>
  <c r="B200" i="2"/>
  <c r="D212" i="2"/>
  <c r="E211" i="2"/>
  <c r="P207" i="2"/>
  <c r="L199" i="2"/>
  <c r="S209" i="2"/>
  <c r="H207" i="2"/>
  <c r="R203" i="2"/>
  <c r="C199" i="2"/>
  <c r="E195" i="2"/>
  <c r="D206" i="2"/>
  <c r="L206" i="2"/>
  <c r="R206" i="2"/>
  <c r="E206" i="2"/>
  <c r="M206" i="2"/>
  <c r="S206" i="2"/>
  <c r="B194" i="2"/>
  <c r="H194" i="2"/>
  <c r="P194" i="2"/>
  <c r="C194" i="2"/>
  <c r="I194" i="2"/>
  <c r="Q194" i="2"/>
  <c r="C206" i="2"/>
  <c r="S202" i="2"/>
  <c r="E213" i="2"/>
  <c r="R213" i="2"/>
  <c r="B213" i="2"/>
  <c r="S213" i="2"/>
  <c r="C209" i="2"/>
  <c r="H209" i="2"/>
  <c r="L209" i="2"/>
  <c r="P209" i="2"/>
  <c r="D209" i="2"/>
  <c r="I209" i="2"/>
  <c r="M209" i="2"/>
  <c r="Q209" i="2"/>
  <c r="E205" i="2"/>
  <c r="R205" i="2"/>
  <c r="B205" i="2"/>
  <c r="S205" i="2"/>
  <c r="C201" i="2"/>
  <c r="H201" i="2"/>
  <c r="L201" i="2"/>
  <c r="P201" i="2"/>
  <c r="D201" i="2"/>
  <c r="I201" i="2"/>
  <c r="M201" i="2"/>
  <c r="Q201" i="2"/>
  <c r="E197" i="2"/>
  <c r="R197" i="2"/>
  <c r="B197" i="2"/>
  <c r="S197" i="2"/>
  <c r="H214" i="2"/>
  <c r="P213" i="2"/>
  <c r="H213" i="2"/>
  <c r="J213" i="2" s="1"/>
  <c r="K213" i="2" s="1"/>
  <c r="Q212" i="2"/>
  <c r="M211" i="2"/>
  <c r="D211" i="2"/>
  <c r="R209" i="2"/>
  <c r="S208" i="2"/>
  <c r="P206" i="2"/>
  <c r="B206" i="2"/>
  <c r="L205" i="2"/>
  <c r="N205" i="2" s="1"/>
  <c r="O205" i="2" s="1"/>
  <c r="C205" i="2"/>
  <c r="Q203" i="2"/>
  <c r="I203" i="2"/>
  <c r="R202" i="2"/>
  <c r="D202" i="2"/>
  <c r="E201" i="2"/>
  <c r="S199" i="2"/>
  <c r="B199" i="2"/>
  <c r="H198" i="2"/>
  <c r="P197" i="2"/>
  <c r="H197" i="2"/>
  <c r="Q196" i="2"/>
  <c r="M195" i="2"/>
  <c r="D195" i="2"/>
  <c r="L194" i="2"/>
  <c r="B210" i="2"/>
  <c r="H210" i="2"/>
  <c r="P210" i="2"/>
  <c r="C210" i="2"/>
  <c r="I210" i="2"/>
  <c r="Q210" i="2"/>
  <c r="Q206" i="2"/>
  <c r="E212" i="2"/>
  <c r="M212" i="2"/>
  <c r="S212" i="2"/>
  <c r="B212" i="2"/>
  <c r="H212" i="2"/>
  <c r="P212" i="2"/>
  <c r="C208" i="2"/>
  <c r="I208" i="2"/>
  <c r="Q208" i="2"/>
  <c r="D208" i="2"/>
  <c r="L208" i="2"/>
  <c r="R208" i="2"/>
  <c r="E204" i="2"/>
  <c r="M204" i="2"/>
  <c r="S204" i="2"/>
  <c r="B204" i="2"/>
  <c r="H204" i="2"/>
  <c r="P204" i="2"/>
  <c r="C200" i="2"/>
  <c r="I200" i="2"/>
  <c r="Q200" i="2"/>
  <c r="D200" i="2"/>
  <c r="L200" i="2"/>
  <c r="R200" i="2"/>
  <c r="E196" i="2"/>
  <c r="M196" i="2"/>
  <c r="S196" i="2"/>
  <c r="B196" i="2"/>
  <c r="H196" i="2"/>
  <c r="P196" i="2"/>
  <c r="Q214" i="2"/>
  <c r="M213" i="2"/>
  <c r="D213" i="2"/>
  <c r="L212" i="2"/>
  <c r="S210" i="2"/>
  <c r="E210" i="2"/>
  <c r="P208" i="2"/>
  <c r="B208" i="2"/>
  <c r="L207" i="2"/>
  <c r="I206" i="2"/>
  <c r="Q205" i="2"/>
  <c r="I205" i="2"/>
  <c r="R204" i="2"/>
  <c r="D204" i="2"/>
  <c r="S201" i="2"/>
  <c r="B201" i="2"/>
  <c r="H200" i="2"/>
  <c r="P199" i="2"/>
  <c r="Q198" i="2"/>
  <c r="M197" i="2"/>
  <c r="D197" i="2"/>
  <c r="L196" i="2"/>
  <c r="S194" i="2"/>
  <c r="E194" i="2"/>
  <c r="D214" i="2"/>
  <c r="L214" i="2"/>
  <c r="R214" i="2"/>
  <c r="E214" i="2"/>
  <c r="M214" i="2"/>
  <c r="S214" i="2"/>
  <c r="B202" i="2"/>
  <c r="H202" i="2"/>
  <c r="P202" i="2"/>
  <c r="C202" i="2"/>
  <c r="I202" i="2"/>
  <c r="Q202" i="2"/>
  <c r="D198" i="2"/>
  <c r="L198" i="2"/>
  <c r="R198" i="2"/>
  <c r="E198" i="2"/>
  <c r="M198" i="2"/>
  <c r="S198" i="2"/>
  <c r="I214" i="2"/>
  <c r="M210" i="2"/>
  <c r="E202" i="2"/>
  <c r="I198" i="2"/>
  <c r="M194" i="2"/>
  <c r="B211" i="2"/>
  <c r="S211" i="2"/>
  <c r="C211" i="2"/>
  <c r="H211" i="2"/>
  <c r="L211" i="2"/>
  <c r="P211" i="2"/>
  <c r="D207" i="2"/>
  <c r="I207" i="2"/>
  <c r="M207" i="2"/>
  <c r="Q207" i="2"/>
  <c r="E207" i="2"/>
  <c r="R207" i="2"/>
  <c r="B203" i="2"/>
  <c r="S203" i="2"/>
  <c r="C203" i="2"/>
  <c r="H203" i="2"/>
  <c r="L203" i="2"/>
  <c r="P203" i="2"/>
  <c r="D199" i="2"/>
  <c r="I199" i="2"/>
  <c r="M199" i="2"/>
  <c r="Q199" i="2"/>
  <c r="E199" i="2"/>
  <c r="R199" i="2"/>
  <c r="B195" i="2"/>
  <c r="S195" i="2"/>
  <c r="C195" i="2"/>
  <c r="H195" i="2"/>
  <c r="L195" i="2"/>
  <c r="P195" i="2"/>
  <c r="P214" i="2"/>
  <c r="B214" i="2"/>
  <c r="L213" i="2"/>
  <c r="C213" i="2"/>
  <c r="I212" i="2"/>
  <c r="Q211" i="2"/>
  <c r="I211" i="2"/>
  <c r="R210" i="2"/>
  <c r="D210" i="2"/>
  <c r="E209" i="2"/>
  <c r="M208" i="2"/>
  <c r="S207" i="2"/>
  <c r="B207" i="2"/>
  <c r="H206" i="2"/>
  <c r="P205" i="2"/>
  <c r="H205" i="2"/>
  <c r="Q204" i="2"/>
  <c r="C204" i="2"/>
  <c r="M203" i="2"/>
  <c r="D203" i="2"/>
  <c r="G203" i="2" s="1"/>
  <c r="L202" i="2"/>
  <c r="N202" i="2" s="1"/>
  <c r="O202" i="2" s="1"/>
  <c r="R201" i="2"/>
  <c r="S200" i="2"/>
  <c r="E200" i="2"/>
  <c r="P198" i="2"/>
  <c r="B198" i="2"/>
  <c r="L197" i="2"/>
  <c r="C197" i="2"/>
  <c r="I196" i="2"/>
  <c r="Q195" i="2"/>
  <c r="I195" i="2"/>
  <c r="R194" i="2"/>
  <c r="D194" i="2"/>
  <c r="L4" i="21"/>
  <c r="K210" i="3" l="1"/>
  <c r="B201" i="3"/>
  <c r="N196" i="2"/>
  <c r="O196" i="2" s="1"/>
  <c r="Q201" i="3"/>
  <c r="F209" i="3"/>
  <c r="P205" i="3"/>
  <c r="J207" i="3"/>
  <c r="K207" i="3" s="1"/>
  <c r="D209" i="3"/>
  <c r="O205" i="3"/>
  <c r="G201" i="3"/>
  <c r="G209" i="3"/>
  <c r="D205" i="3"/>
  <c r="E205" i="3" s="1"/>
  <c r="M209" i="3"/>
  <c r="F201" i="3"/>
  <c r="H201" i="3" s="1"/>
  <c r="O209" i="3"/>
  <c r="L195" i="3"/>
  <c r="N205" i="3"/>
  <c r="I209" i="3"/>
  <c r="J201" i="3"/>
  <c r="H210" i="3"/>
  <c r="L201" i="3"/>
  <c r="G205" i="3"/>
  <c r="L209" i="3"/>
  <c r="D201" i="3"/>
  <c r="M205" i="3"/>
  <c r="Q209" i="3"/>
  <c r="O201" i="3"/>
  <c r="I201" i="3"/>
  <c r="N209" i="3"/>
  <c r="F205" i="3"/>
  <c r="F198" i="2"/>
  <c r="N210" i="2"/>
  <c r="O210" i="2" s="1"/>
  <c r="P201" i="3"/>
  <c r="L205" i="3"/>
  <c r="P209" i="3"/>
  <c r="M201" i="3"/>
  <c r="Q205" i="3"/>
  <c r="B209" i="3"/>
  <c r="J209" i="3"/>
  <c r="E202" i="3"/>
  <c r="F205" i="2"/>
  <c r="L193" i="3"/>
  <c r="N194" i="3"/>
  <c r="I193" i="3"/>
  <c r="F206" i="3"/>
  <c r="B195" i="3"/>
  <c r="P193" i="3"/>
  <c r="M206" i="3"/>
  <c r="O195" i="3"/>
  <c r="I206" i="3"/>
  <c r="B194" i="3"/>
  <c r="O206" i="3"/>
  <c r="D195" i="3"/>
  <c r="N207" i="3"/>
  <c r="J197" i="2"/>
  <c r="K197" i="2" s="1"/>
  <c r="M194" i="3"/>
  <c r="Q206" i="3"/>
  <c r="D193" i="3"/>
  <c r="E193" i="3" s="1"/>
  <c r="N206" i="3"/>
  <c r="O193" i="3"/>
  <c r="J194" i="3"/>
  <c r="P207" i="3"/>
  <c r="L206" i="3"/>
  <c r="D206" i="3"/>
  <c r="M191" i="3"/>
  <c r="F194" i="3"/>
  <c r="B206" i="3"/>
  <c r="K209" i="3"/>
  <c r="B205" i="3"/>
  <c r="B204" i="3"/>
  <c r="J204" i="3"/>
  <c r="D194" i="3"/>
  <c r="E194" i="3" s="1"/>
  <c r="C206" i="3"/>
  <c r="I191" i="3"/>
  <c r="K191" i="3" s="1"/>
  <c r="B191" i="3"/>
  <c r="N203" i="3"/>
  <c r="I204" i="3"/>
  <c r="Q199" i="3"/>
  <c r="D203" i="3"/>
  <c r="E203" i="3" s="1"/>
  <c r="P191" i="3"/>
  <c r="O194" i="3"/>
  <c r="C199" i="3"/>
  <c r="E199" i="3" s="1"/>
  <c r="N201" i="3"/>
  <c r="P203" i="3"/>
  <c r="I205" i="3"/>
  <c r="J206" i="3"/>
  <c r="J205" i="3"/>
  <c r="P194" i="3"/>
  <c r="F204" i="3"/>
  <c r="H204" i="3" s="1"/>
  <c r="M195" i="3"/>
  <c r="Q191" i="3"/>
  <c r="M199" i="3"/>
  <c r="P198" i="3"/>
  <c r="G206" i="3"/>
  <c r="M203" i="3"/>
  <c r="G194" i="3"/>
  <c r="H194" i="3" s="1"/>
  <c r="N199" i="3"/>
  <c r="D191" i="3"/>
  <c r="E191" i="3" s="1"/>
  <c r="B199" i="3"/>
  <c r="L194" i="3"/>
  <c r="E201" i="3"/>
  <c r="E209" i="3"/>
  <c r="J199" i="2"/>
  <c r="K199" i="2" s="1"/>
  <c r="F214" i="2"/>
  <c r="O207" i="3"/>
  <c r="B193" i="3"/>
  <c r="N193" i="3"/>
  <c r="P195" i="3"/>
  <c r="J198" i="3"/>
  <c r="C207" i="3"/>
  <c r="D198" i="3"/>
  <c r="Q207" i="3"/>
  <c r="Q195" i="3"/>
  <c r="M193" i="3"/>
  <c r="F195" i="3"/>
  <c r="F193" i="3"/>
  <c r="H193" i="3" s="1"/>
  <c r="C195" i="3"/>
  <c r="O198" i="3"/>
  <c r="G207" i="3"/>
  <c r="C198" i="3"/>
  <c r="D207" i="3"/>
  <c r="Q193" i="3"/>
  <c r="J195" i="3"/>
  <c r="I198" i="3"/>
  <c r="F207" i="3"/>
  <c r="J193" i="3"/>
  <c r="G195" i="3"/>
  <c r="B198" i="3"/>
  <c r="L207" i="3"/>
  <c r="I195" i="3"/>
  <c r="B207" i="3"/>
  <c r="M207" i="3"/>
  <c r="H191" i="3"/>
  <c r="H199" i="3"/>
  <c r="J207" i="2"/>
  <c r="K207" i="2" s="1"/>
  <c r="N199" i="2"/>
  <c r="O199" i="2" s="1"/>
  <c r="K201" i="3"/>
  <c r="H203" i="3"/>
  <c r="F213" i="2"/>
  <c r="F195" i="2"/>
  <c r="F200" i="2"/>
  <c r="E190" i="3"/>
  <c r="F208" i="2"/>
  <c r="J204" i="2"/>
  <c r="K204" i="2" s="1"/>
  <c r="K208" i="3"/>
  <c r="K192" i="3"/>
  <c r="N206" i="2"/>
  <c r="O206" i="2" s="1"/>
  <c r="G200" i="14"/>
  <c r="H200" i="3"/>
  <c r="F211" i="2"/>
  <c r="G197" i="2"/>
  <c r="J200" i="2"/>
  <c r="K200" i="2" s="1"/>
  <c r="H208" i="3"/>
  <c r="H202" i="3"/>
  <c r="K190" i="3"/>
  <c r="H196" i="3"/>
  <c r="K206" i="3"/>
  <c r="E204" i="3"/>
  <c r="G188" i="14"/>
  <c r="G204" i="14"/>
  <c r="H192" i="3"/>
  <c r="G195" i="14"/>
  <c r="E196" i="3"/>
  <c r="G192" i="14"/>
  <c r="E200" i="3"/>
  <c r="K199" i="3"/>
  <c r="K202" i="3"/>
  <c r="J208" i="2"/>
  <c r="K208" i="2" s="1"/>
  <c r="G196" i="14"/>
  <c r="G203" i="14"/>
  <c r="G201" i="14"/>
  <c r="E192" i="3"/>
  <c r="E208" i="3"/>
  <c r="K194" i="3"/>
  <c r="K189" i="3"/>
  <c r="K197" i="3"/>
  <c r="H189" i="3"/>
  <c r="H205" i="3"/>
  <c r="H209" i="3"/>
  <c r="F210" i="2"/>
  <c r="J203" i="2"/>
  <c r="K203" i="2" s="1"/>
  <c r="G213" i="2"/>
  <c r="N200" i="2"/>
  <c r="O200" i="2" s="1"/>
  <c r="G206" i="2"/>
  <c r="G202" i="14"/>
  <c r="G189" i="14"/>
  <c r="G197" i="14"/>
  <c r="H197" i="3"/>
  <c r="J210" i="2"/>
  <c r="K210" i="2" s="1"/>
  <c r="G202" i="2"/>
  <c r="F212" i="2"/>
  <c r="G205" i="2"/>
  <c r="G194" i="14"/>
  <c r="F194" i="2"/>
  <c r="J205" i="2"/>
  <c r="K205" i="2" s="1"/>
  <c r="F199" i="2"/>
  <c r="N207" i="2"/>
  <c r="O207" i="2" s="1"/>
  <c r="G198" i="2"/>
  <c r="G212" i="2"/>
  <c r="N197" i="2"/>
  <c r="O197" i="2" s="1"/>
  <c r="G195" i="2"/>
  <c r="F196" i="2"/>
  <c r="G214" i="2"/>
  <c r="F197" i="2"/>
  <c r="G207" i="2"/>
  <c r="J202" i="2"/>
  <c r="K202" i="2" s="1"/>
  <c r="G194" i="2"/>
  <c r="G211" i="2"/>
  <c r="J198" i="2"/>
  <c r="K198" i="2" s="1"/>
  <c r="G196" i="2"/>
  <c r="G210" i="2"/>
  <c r="N195" i="2"/>
  <c r="O195" i="2" s="1"/>
  <c r="N198" i="2"/>
  <c r="O198" i="2" s="1"/>
  <c r="N214" i="2"/>
  <c r="O214" i="2" s="1"/>
  <c r="F204" i="2"/>
  <c r="N204" i="2"/>
  <c r="O204" i="2" s="1"/>
  <c r="J196" i="2"/>
  <c r="K196" i="2" s="1"/>
  <c r="J212" i="2"/>
  <c r="K212" i="2" s="1"/>
  <c r="F202" i="2"/>
  <c r="N201" i="2"/>
  <c r="O201" i="2" s="1"/>
  <c r="N209" i="2"/>
  <c r="O209" i="2" s="1"/>
  <c r="G199" i="2"/>
  <c r="N213" i="2"/>
  <c r="O213" i="2" s="1"/>
  <c r="J206" i="2"/>
  <c r="K206" i="2" s="1"/>
  <c r="N203" i="2"/>
  <c r="O203" i="2" s="1"/>
  <c r="N211" i="2"/>
  <c r="O211" i="2" s="1"/>
  <c r="N212" i="2"/>
  <c r="O212" i="2" s="1"/>
  <c r="J201" i="2"/>
  <c r="K201" i="2" s="1"/>
  <c r="J209" i="2"/>
  <c r="K209" i="2" s="1"/>
  <c r="F206" i="2"/>
  <c r="F203" i="2"/>
  <c r="J214" i="2"/>
  <c r="K214" i="2" s="1"/>
  <c r="G204" i="2"/>
  <c r="G200" i="2"/>
  <c r="G208" i="2"/>
  <c r="J195" i="2"/>
  <c r="K195" i="2" s="1"/>
  <c r="J211" i="2"/>
  <c r="K211" i="2" s="1"/>
  <c r="N208" i="2"/>
  <c r="O208" i="2" s="1"/>
  <c r="N194" i="2"/>
  <c r="O194" i="2" s="1"/>
  <c r="G201" i="2"/>
  <c r="F201" i="2"/>
  <c r="G209" i="2"/>
  <c r="F209" i="2"/>
  <c r="J194" i="2"/>
  <c r="K194" i="2" s="1"/>
  <c r="F207" i="2"/>
  <c r="F120" i="18"/>
  <c r="K204" i="3" l="1"/>
  <c r="H206" i="3"/>
  <c r="K198" i="3"/>
  <c r="K195" i="3"/>
  <c r="K193" i="3"/>
  <c r="E195" i="3"/>
  <c r="E198" i="3"/>
  <c r="H195" i="3"/>
  <c r="E207" i="3"/>
  <c r="K205" i="3"/>
  <c r="H207" i="3"/>
  <c r="E206" i="3"/>
  <c r="F181" i="18"/>
  <c r="F110" i="18"/>
  <c r="F104" i="18"/>
  <c r="F12" i="18"/>
  <c r="F178" i="18"/>
  <c r="F210" i="18"/>
  <c r="F21" i="18"/>
  <c r="F36" i="18"/>
  <c r="F160" i="18"/>
  <c r="F18" i="18"/>
  <c r="F86" i="18"/>
  <c r="F109" i="18"/>
  <c r="F200" i="18"/>
  <c r="F103" i="18"/>
  <c r="F166" i="18"/>
  <c r="F100" i="18"/>
  <c r="F46" i="18"/>
  <c r="F25" i="18"/>
  <c r="F7" i="18"/>
  <c r="F33" i="18"/>
  <c r="F94" i="18"/>
  <c r="F89" i="18"/>
  <c r="F56" i="18"/>
  <c r="F30" i="18"/>
  <c r="F116" i="18"/>
  <c r="F170" i="18"/>
  <c r="F167" i="18"/>
  <c r="F70" i="18"/>
  <c r="F82" i="18"/>
  <c r="F11" i="18"/>
  <c r="F123" i="18"/>
  <c r="F95" i="18"/>
  <c r="F61" i="18"/>
  <c r="F183" i="18"/>
  <c r="F64" i="18"/>
  <c r="F186" i="18"/>
  <c r="F184" i="18"/>
  <c r="F31" i="18"/>
  <c r="F108" i="18"/>
  <c r="F29" i="18"/>
  <c r="F131" i="18"/>
  <c r="F208" i="18"/>
  <c r="F128" i="18"/>
  <c r="F117" i="18"/>
  <c r="F129" i="18"/>
  <c r="F162" i="18"/>
  <c r="F150" i="18"/>
  <c r="F91" i="18"/>
  <c r="F68" i="18"/>
  <c r="F41" i="18"/>
  <c r="F191" i="18"/>
  <c r="F5" i="18"/>
  <c r="F175" i="18"/>
  <c r="F77" i="18"/>
  <c r="F88" i="18"/>
  <c r="F38" i="18"/>
  <c r="F22" i="18"/>
  <c r="F114" i="18"/>
  <c r="F97" i="18"/>
  <c r="F161" i="18"/>
  <c r="F173" i="18"/>
  <c r="F105" i="18"/>
  <c r="F69" i="18"/>
  <c r="F75" i="18"/>
  <c r="F180" i="18"/>
  <c r="F17" i="18"/>
  <c r="F28" i="18"/>
  <c r="F20" i="18"/>
  <c r="F159" i="18"/>
  <c r="F142" i="18"/>
  <c r="F134" i="18"/>
  <c r="F172" i="18"/>
  <c r="F187" i="18"/>
  <c r="F72" i="18"/>
  <c r="F209" i="18"/>
  <c r="F76" i="18"/>
  <c r="F54" i="18"/>
  <c r="F126" i="18"/>
  <c r="F35" i="18"/>
  <c r="F132" i="18"/>
  <c r="F174" i="18"/>
  <c r="F202" i="18"/>
  <c r="F53" i="18"/>
  <c r="F139" i="18"/>
  <c r="F130" i="18"/>
  <c r="F143" i="18"/>
  <c r="F154" i="18"/>
  <c r="F32" i="18"/>
  <c r="F73" i="18"/>
  <c r="F16" i="18"/>
  <c r="F26" i="18"/>
  <c r="F39" i="18"/>
  <c r="F148" i="18"/>
  <c r="F163" i="18"/>
  <c r="F47" i="18"/>
  <c r="F185" i="18"/>
  <c r="F102" i="18"/>
  <c r="F177" i="18"/>
  <c r="F71" i="18"/>
  <c r="F195" i="18"/>
  <c r="F179" i="18"/>
  <c r="F193" i="18"/>
  <c r="F157" i="18"/>
  <c r="F98" i="18"/>
  <c r="F85" i="18"/>
  <c r="F65" i="18"/>
  <c r="F153" i="18"/>
  <c r="F40" i="18"/>
  <c r="F137" i="18"/>
  <c r="F37" i="18"/>
  <c r="F99" i="18"/>
  <c r="F112" i="18"/>
  <c r="F90" i="18"/>
  <c r="F10" i="18"/>
  <c r="F201" i="18"/>
  <c r="F6" i="18"/>
  <c r="F55" i="18"/>
  <c r="F78" i="18"/>
  <c r="F192" i="18"/>
  <c r="F168" i="18"/>
  <c r="F57" i="18"/>
  <c r="F63" i="18"/>
  <c r="F136" i="18"/>
  <c r="F58" i="18"/>
  <c r="F50" i="18"/>
  <c r="F81" i="18"/>
  <c r="F156" i="18"/>
  <c r="F74" i="18"/>
  <c r="F8" i="18"/>
  <c r="F106" i="18"/>
  <c r="F62" i="18"/>
  <c r="F80" i="18"/>
  <c r="F51" i="18"/>
  <c r="F14" i="18"/>
  <c r="F122" i="18"/>
  <c r="F118" i="18"/>
  <c r="F127" i="18"/>
  <c r="F42" i="18"/>
  <c r="F135" i="18"/>
  <c r="F164" i="18"/>
  <c r="F151" i="18"/>
  <c r="F107" i="18"/>
  <c r="F111" i="18"/>
  <c r="F207" i="18"/>
  <c r="F169" i="18"/>
  <c r="F189" i="18"/>
  <c r="F93" i="18"/>
  <c r="F45" i="18"/>
  <c r="F19" i="18"/>
  <c r="F59" i="18"/>
  <c r="F27" i="18"/>
  <c r="F66" i="18"/>
  <c r="F152" i="18"/>
  <c r="F147" i="18"/>
  <c r="F44" i="18"/>
  <c r="F84" i="18"/>
  <c r="F34" i="18"/>
  <c r="F188" i="18"/>
  <c r="F124" i="18"/>
  <c r="F190" i="18"/>
  <c r="F149" i="18"/>
  <c r="F182" i="18"/>
  <c r="F140" i="18"/>
  <c r="F121" i="18"/>
  <c r="F205" i="18"/>
  <c r="F43" i="18"/>
  <c r="F133" i="18"/>
  <c r="F48" i="18"/>
  <c r="F13" i="18"/>
  <c r="F23" i="18"/>
  <c r="F138" i="18"/>
  <c r="F67" i="18"/>
  <c r="F198" i="18"/>
  <c r="F96" i="18"/>
  <c r="F176" i="18"/>
  <c r="F146" i="18"/>
  <c r="F119" i="18"/>
  <c r="F83" i="18"/>
  <c r="F141" i="18"/>
  <c r="F206" i="18"/>
  <c r="F79" i="18"/>
  <c r="F113" i="18"/>
  <c r="F165" i="18"/>
  <c r="F87" i="18"/>
  <c r="F158" i="18"/>
  <c r="F197" i="18"/>
  <c r="F125" i="18"/>
  <c r="F204" i="18"/>
  <c r="F194" i="18"/>
  <c r="F101" i="18"/>
  <c r="F92" i="18"/>
  <c r="F115" i="18"/>
  <c r="F196" i="18"/>
  <c r="F9" i="18"/>
  <c r="F49" i="18"/>
  <c r="F144" i="18"/>
  <c r="F171" i="18"/>
  <c r="F15" i="18"/>
  <c r="F199" i="18"/>
  <c r="F203" i="18"/>
  <c r="E79" i="18" l="1"/>
  <c r="B20" i="28" l="1"/>
  <c r="B21" i="28"/>
  <c r="B22" i="28"/>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89" i="18"/>
  <c r="E76" i="18"/>
  <c r="E129" i="18"/>
  <c r="E103" i="18"/>
  <c r="E132" i="18"/>
  <c r="E194" i="18"/>
  <c r="E75" i="18"/>
  <c r="E146" i="18"/>
  <c r="E77" i="18"/>
  <c r="E202" i="18"/>
  <c r="E16" i="18"/>
  <c r="E97" i="18"/>
  <c r="E172" i="18"/>
  <c r="E197" i="18"/>
  <c r="E134" i="18"/>
  <c r="E149" i="18"/>
  <c r="E185" i="18"/>
  <c r="E7" i="18"/>
  <c r="E199" i="18"/>
  <c r="E192" i="18"/>
  <c r="E141" i="18"/>
  <c r="E131" i="18"/>
  <c r="E181" i="18"/>
  <c r="E119" i="18"/>
  <c r="E182" i="18"/>
  <c r="E135" i="18"/>
  <c r="E59" i="18"/>
  <c r="E137" i="18"/>
  <c r="E13" i="18"/>
  <c r="E193" i="18"/>
  <c r="E105" i="18"/>
  <c r="E57" i="18"/>
  <c r="E178" i="18"/>
  <c r="E39" i="18"/>
  <c r="E74" i="18"/>
  <c r="E38" i="18"/>
  <c r="E47" i="18"/>
  <c r="E203" i="18"/>
  <c r="E55" i="18"/>
  <c r="E22" i="18"/>
  <c r="E153" i="18"/>
  <c r="E184" i="18"/>
  <c r="E176" i="18"/>
  <c r="E208" i="18"/>
  <c r="E116" i="18"/>
  <c r="E128" i="18"/>
  <c r="E117" i="18"/>
  <c r="E17" i="18"/>
  <c r="E162" i="18"/>
  <c r="E113" i="18"/>
  <c r="E90" i="18"/>
  <c r="E67" i="18"/>
  <c r="E157" i="18"/>
  <c r="E65" i="18"/>
  <c r="E53" i="18"/>
  <c r="E112" i="18"/>
  <c r="E99" i="18"/>
  <c r="E133" i="18"/>
  <c r="E82" i="18"/>
  <c r="E14" i="18"/>
  <c r="E139" i="18"/>
  <c r="E83" i="18"/>
  <c r="E154" i="18"/>
  <c r="E174" i="18"/>
  <c r="E196" i="18"/>
  <c r="E107" i="18"/>
  <c r="E191" i="18"/>
  <c r="E175" i="18"/>
  <c r="E42" i="18"/>
  <c r="E167" i="18"/>
  <c r="E66" i="18"/>
  <c r="E198" i="18"/>
  <c r="E210" i="18"/>
  <c r="E87" i="18"/>
  <c r="E165" i="18"/>
  <c r="E33" i="18"/>
  <c r="E40" i="18"/>
  <c r="E54" i="18"/>
  <c r="E69" i="18"/>
  <c r="E61" i="18"/>
  <c r="E49" i="18"/>
  <c r="E88" i="18"/>
  <c r="E177" i="18"/>
  <c r="E18" i="18"/>
  <c r="E170" i="18"/>
  <c r="E78" i="18"/>
  <c r="E95" i="18"/>
  <c r="E186" i="18"/>
  <c r="E147" i="18"/>
  <c r="E179" i="18"/>
  <c r="E180" i="18"/>
  <c r="E32" i="18"/>
  <c r="E15" i="18"/>
  <c r="E159" i="18"/>
  <c r="E114" i="18"/>
  <c r="E80" i="18"/>
  <c r="E71" i="18"/>
  <c r="E51" i="18"/>
  <c r="E204" i="18"/>
  <c r="E123" i="18"/>
  <c r="E64" i="18"/>
  <c r="E26" i="18"/>
  <c r="E104" i="18"/>
  <c r="E34" i="18"/>
  <c r="E156" i="18"/>
  <c r="E28" i="18"/>
  <c r="E43" i="18"/>
  <c r="E183" i="18"/>
  <c r="E140" i="18"/>
  <c r="E46" i="18"/>
  <c r="E150" i="18"/>
  <c r="E201" i="18"/>
  <c r="E20" i="18"/>
  <c r="E73" i="18"/>
  <c r="E124" i="18"/>
  <c r="E6" i="18"/>
  <c r="E12" i="18"/>
  <c r="E206" i="18"/>
  <c r="E142" i="18"/>
  <c r="E30" i="18"/>
  <c r="E92" i="18"/>
  <c r="E163" i="18"/>
  <c r="E50" i="18"/>
  <c r="E109" i="18"/>
  <c r="E152" i="18"/>
  <c r="E37" i="18"/>
  <c r="E9" i="18"/>
  <c r="E98" i="18"/>
  <c r="E190" i="18"/>
  <c r="E126" i="18"/>
  <c r="E63" i="18"/>
  <c r="E143" i="18"/>
  <c r="E60" i="18"/>
  <c r="F60" i="18"/>
  <c r="E148" i="18"/>
  <c r="E110" i="18"/>
  <c r="E168" i="18"/>
  <c r="E72" i="18"/>
  <c r="E144" i="18"/>
  <c r="E86" i="18"/>
  <c r="E187" i="18"/>
  <c r="E62" i="18"/>
  <c r="E164" i="18"/>
  <c r="E93" i="18"/>
  <c r="E81" i="18"/>
  <c r="E8" i="18"/>
  <c r="E169" i="18"/>
  <c r="E173" i="18"/>
  <c r="E161" i="18"/>
  <c r="E106" i="18"/>
  <c r="E19" i="18"/>
  <c r="E102" i="18"/>
  <c r="E35" i="18"/>
  <c r="E127" i="18"/>
  <c r="E122" i="18"/>
  <c r="E118" i="18"/>
  <c r="E209" i="18"/>
  <c r="E85" i="18"/>
  <c r="E70" i="18"/>
  <c r="E44" i="18"/>
  <c r="E25" i="18"/>
  <c r="E115" i="18"/>
  <c r="E48" i="18"/>
  <c r="E45" i="18"/>
  <c r="E68" i="18"/>
  <c r="E171" i="18"/>
  <c r="E29" i="18"/>
  <c r="E188" i="18"/>
  <c r="E151" i="18"/>
  <c r="E100" i="18"/>
  <c r="E195" i="18"/>
  <c r="E108" i="18"/>
  <c r="E207" i="18"/>
  <c r="E160" i="18"/>
  <c r="E21" i="18"/>
  <c r="E94" i="18"/>
  <c r="E111" i="18"/>
  <c r="E11" i="18"/>
  <c r="E200" i="18"/>
  <c r="E189" i="18"/>
  <c r="E31" i="18"/>
  <c r="E36" i="18"/>
  <c r="E205" i="18"/>
  <c r="E5" i="18"/>
  <c r="E121" i="18"/>
  <c r="E136" i="18"/>
  <c r="E130" i="18"/>
  <c r="E96" i="18"/>
  <c r="E125" i="18"/>
  <c r="E84" i="18"/>
  <c r="E91" i="18"/>
  <c r="E158" i="18"/>
  <c r="C7" i="14"/>
  <c r="B8" i="14"/>
  <c r="B9" i="14"/>
  <c r="C10" i="14"/>
  <c r="C11" i="14"/>
  <c r="B12" i="14"/>
  <c r="D13" i="14"/>
  <c r="C14" i="14"/>
  <c r="C15" i="14"/>
  <c r="B16" i="14"/>
  <c r="D17" i="14"/>
  <c r="C18" i="14"/>
  <c r="C19" i="14"/>
  <c r="B20" i="14"/>
  <c r="D21" i="14"/>
  <c r="C23" i="14"/>
  <c r="C24" i="14"/>
  <c r="D25" i="14"/>
  <c r="C26" i="14"/>
  <c r="C27" i="14"/>
  <c r="C28" i="14"/>
  <c r="C29" i="14"/>
  <c r="E30" i="14"/>
  <c r="C31" i="14"/>
  <c r="C32" i="14"/>
  <c r="C33" i="14"/>
  <c r="C34" i="14"/>
  <c r="C35" i="14"/>
  <c r="D37" i="14"/>
  <c r="C39" i="14"/>
  <c r="C40" i="14"/>
  <c r="B41" i="14"/>
  <c r="C42" i="14"/>
  <c r="F43" i="14"/>
  <c r="E44" i="14"/>
  <c r="E46" i="14"/>
  <c r="F47" i="14"/>
  <c r="D48" i="14"/>
  <c r="C49" i="14"/>
  <c r="E50" i="14"/>
  <c r="C51" i="14"/>
  <c r="D52" i="14"/>
  <c r="D53" i="14"/>
  <c r="C54" i="14"/>
  <c r="C55" i="14"/>
  <c r="D56" i="14"/>
  <c r="D57" i="14"/>
  <c r="C59" i="14"/>
  <c r="D60" i="14"/>
  <c r="C61" i="14"/>
  <c r="C62" i="14"/>
  <c r="C63" i="14"/>
  <c r="C65" i="14"/>
  <c r="C66" i="14"/>
  <c r="C67" i="14"/>
  <c r="C69" i="14"/>
  <c r="C70" i="14"/>
  <c r="C71" i="14"/>
  <c r="C73" i="14"/>
  <c r="C74" i="14"/>
  <c r="C75" i="14"/>
  <c r="C77" i="14"/>
  <c r="C78" i="14"/>
  <c r="C79" i="14"/>
  <c r="E81" i="14"/>
  <c r="E82" i="14"/>
  <c r="F83" i="14"/>
  <c r="B84" i="14"/>
  <c r="E85" i="14"/>
  <c r="C86" i="14"/>
  <c r="C87" i="14"/>
  <c r="C88" i="14"/>
  <c r="D89" i="14"/>
  <c r="C91" i="14"/>
  <c r="C92" i="14"/>
  <c r="D93" i="14"/>
  <c r="C94" i="14"/>
  <c r="C95" i="14"/>
  <c r="C96" i="14"/>
  <c r="D97" i="14"/>
  <c r="C98" i="14"/>
  <c r="C99" i="14"/>
  <c r="C100" i="14"/>
  <c r="E101" i="14"/>
  <c r="C102" i="14"/>
  <c r="C103" i="14"/>
  <c r="C104" i="14"/>
  <c r="D105" i="14"/>
  <c r="C107" i="14"/>
  <c r="C108" i="14"/>
  <c r="B109" i="14"/>
  <c r="C111" i="14"/>
  <c r="C112" i="14"/>
  <c r="D113" i="14"/>
  <c r="C114" i="14"/>
  <c r="C115" i="14"/>
  <c r="C117" i="14"/>
  <c r="C118" i="14"/>
  <c r="C119" i="14"/>
  <c r="C120" i="14"/>
  <c r="C123" i="14"/>
  <c r="C124" i="14"/>
  <c r="C125" i="14"/>
  <c r="C126" i="14"/>
  <c r="C127" i="14"/>
  <c r="B129" i="14"/>
  <c r="C130" i="14"/>
  <c r="D131" i="14"/>
  <c r="C133" i="14"/>
  <c r="D135" i="14"/>
  <c r="D136" i="14"/>
  <c r="C137" i="14"/>
  <c r="C138" i="14"/>
  <c r="C139" i="14"/>
  <c r="C140" i="14"/>
  <c r="C141" i="14"/>
  <c r="C142" i="14"/>
  <c r="E143" i="14"/>
  <c r="F144" i="14"/>
  <c r="D148" i="14"/>
  <c r="D149" i="14"/>
  <c r="F151" i="14"/>
  <c r="D152" i="14"/>
  <c r="C153" i="14"/>
  <c r="D156" i="14"/>
  <c r="C157" i="14"/>
  <c r="C158" i="14"/>
  <c r="B159" i="14"/>
  <c r="D160" i="14"/>
  <c r="D161" i="14"/>
  <c r="B165" i="14"/>
  <c r="D167" i="14"/>
  <c r="F168" i="14"/>
  <c r="C169" i="14"/>
  <c r="C171" i="14"/>
  <c r="C172" i="14"/>
  <c r="E173" i="14"/>
  <c r="E174" i="14"/>
  <c r="E175" i="14"/>
  <c r="E176" i="14"/>
  <c r="E177" i="14"/>
  <c r="C178" i="14"/>
  <c r="C180" i="14"/>
  <c r="E182" i="14"/>
  <c r="B183" i="14"/>
  <c r="C184" i="14"/>
  <c r="F185" i="14"/>
  <c r="C186" i="14"/>
  <c r="B187" i="14"/>
  <c r="E19" i="13"/>
  <c r="E20" i="13"/>
  <c r="E21" i="13"/>
  <c r="F35" i="13"/>
  <c r="E37" i="13"/>
  <c r="F43" i="13"/>
  <c r="E49" i="13"/>
  <c r="E54" i="13"/>
  <c r="G58" i="13"/>
  <c r="F59" i="13"/>
  <c r="E61" i="13"/>
  <c r="F63" i="13"/>
  <c r="F64" i="13"/>
  <c r="G72" i="13"/>
  <c r="E73" i="13"/>
  <c r="G74" i="13"/>
  <c r="F76" i="13"/>
  <c r="F77" i="13"/>
  <c r="E78" i="13"/>
  <c r="E89" i="13"/>
  <c r="E93" i="13"/>
  <c r="F102" i="13"/>
  <c r="F106" i="13"/>
  <c r="E114" i="13"/>
  <c r="G123" i="13"/>
  <c r="F128" i="13"/>
  <c r="E133" i="13"/>
  <c r="F141" i="13"/>
  <c r="E142" i="13"/>
  <c r="E147" i="13"/>
  <c r="F148" i="13"/>
  <c r="E152" i="13"/>
  <c r="F153" i="13"/>
  <c r="E163" i="13"/>
  <c r="F164" i="13"/>
  <c r="F165" i="13"/>
  <c r="E170" i="13"/>
  <c r="G171" i="13"/>
  <c r="F172" i="13"/>
  <c r="G173" i="13"/>
  <c r="E174" i="13"/>
  <c r="G177" i="13"/>
  <c r="E180" i="13"/>
  <c r="F184" i="13"/>
  <c r="E186" i="13"/>
  <c r="D7" i="12"/>
  <c r="C8" i="12"/>
  <c r="G10" i="12"/>
  <c r="D11" i="12"/>
  <c r="F13" i="12"/>
  <c r="F15" i="12"/>
  <c r="C16" i="12"/>
  <c r="C17" i="12"/>
  <c r="F19" i="12"/>
  <c r="C20" i="12"/>
  <c r="D21" i="12"/>
  <c r="G22" i="12"/>
  <c r="C24" i="12"/>
  <c r="E25" i="12"/>
  <c r="C27" i="12"/>
  <c r="F29" i="12"/>
  <c r="C30" i="12"/>
  <c r="C31" i="12"/>
  <c r="C32" i="12"/>
  <c r="G34" i="12"/>
  <c r="B36" i="12"/>
  <c r="D38" i="12"/>
  <c r="E39" i="12"/>
  <c r="C40" i="12"/>
  <c r="B43" i="12"/>
  <c r="B45" i="12"/>
  <c r="E46" i="12"/>
  <c r="D47" i="12"/>
  <c r="B49" i="12"/>
  <c r="G50" i="12"/>
  <c r="D51" i="12"/>
  <c r="F52" i="12"/>
  <c r="B53" i="12"/>
  <c r="D54" i="12"/>
  <c r="B55" i="12"/>
  <c r="C57" i="12"/>
  <c r="D59" i="12"/>
  <c r="B61" i="12"/>
  <c r="D63" i="12"/>
  <c r="B64" i="12"/>
  <c r="C65" i="12"/>
  <c r="D66" i="12"/>
  <c r="F67" i="12"/>
  <c r="C68" i="12"/>
  <c r="C69" i="12"/>
  <c r="D70" i="12"/>
  <c r="E71" i="12"/>
  <c r="D72" i="12"/>
  <c r="F73" i="12"/>
  <c r="B74" i="12"/>
  <c r="F76" i="12"/>
  <c r="B77" i="12"/>
  <c r="C78" i="12"/>
  <c r="E79" i="12"/>
  <c r="C82" i="12"/>
  <c r="F83" i="12"/>
  <c r="D85" i="12"/>
  <c r="C86" i="12"/>
  <c r="C87" i="12"/>
  <c r="B90" i="12"/>
  <c r="F91" i="12"/>
  <c r="E94" i="12"/>
  <c r="C95" i="12"/>
  <c r="E96" i="12"/>
  <c r="G98" i="12"/>
  <c r="C99" i="12"/>
  <c r="C100" i="12"/>
  <c r="C102" i="12"/>
  <c r="C104" i="12"/>
  <c r="E105" i="12"/>
  <c r="C106" i="12"/>
  <c r="C107" i="12"/>
  <c r="C108" i="12"/>
  <c r="C109" i="12"/>
  <c r="E110" i="12"/>
  <c r="C111" i="12"/>
  <c r="C112" i="12"/>
  <c r="D113" i="12"/>
  <c r="E114" i="12"/>
  <c r="C115" i="12"/>
  <c r="C116" i="12"/>
  <c r="F117" i="12"/>
  <c r="E118" i="12"/>
  <c r="E119" i="12"/>
  <c r="C120" i="12"/>
  <c r="D121" i="12"/>
  <c r="B122" i="12"/>
  <c r="C123" i="12"/>
  <c r="F125" i="12"/>
  <c r="B126" i="12"/>
  <c r="C127" i="12"/>
  <c r="E128" i="12"/>
  <c r="D129" i="12"/>
  <c r="G130" i="12"/>
  <c r="C132" i="12"/>
  <c r="F134" i="12"/>
  <c r="F135" i="12"/>
  <c r="D136" i="12"/>
  <c r="F137" i="12"/>
  <c r="B138" i="12"/>
  <c r="F141" i="12"/>
  <c r="D143" i="12"/>
  <c r="E144" i="12"/>
  <c r="E147" i="12"/>
  <c r="E148" i="12"/>
  <c r="C149" i="12"/>
  <c r="C151" i="12"/>
  <c r="E152" i="12"/>
  <c r="G153" i="12"/>
  <c r="E154" i="12"/>
  <c r="C156" i="12"/>
  <c r="F157" i="12"/>
  <c r="E158" i="12"/>
  <c r="E159" i="12"/>
  <c r="E162" i="12"/>
  <c r="C164" i="12"/>
  <c r="E165" i="12"/>
  <c r="C166" i="12"/>
  <c r="D167" i="12"/>
  <c r="C168" i="12"/>
  <c r="G169" i="12"/>
  <c r="G170" i="12"/>
  <c r="E171" i="12"/>
  <c r="C172" i="12"/>
  <c r="D173" i="12"/>
  <c r="E174" i="12"/>
  <c r="D177" i="12"/>
  <c r="G178" i="12"/>
  <c r="E179" i="12"/>
  <c r="E182" i="12"/>
  <c r="E187" i="12"/>
  <c r="E7" i="11"/>
  <c r="L8" i="11"/>
  <c r="L10" i="11"/>
  <c r="F12" i="11"/>
  <c r="E15" i="11"/>
  <c r="C17" i="11"/>
  <c r="E18" i="11"/>
  <c r="H19" i="11"/>
  <c r="L20" i="11"/>
  <c r="C21" i="11"/>
  <c r="C22" i="11"/>
  <c r="C23" i="11"/>
  <c r="E24" i="11"/>
  <c r="I25" i="11"/>
  <c r="G27" i="11"/>
  <c r="L28" i="11"/>
  <c r="B29" i="11"/>
  <c r="D31" i="11"/>
  <c r="B32" i="11"/>
  <c r="K33" i="11"/>
  <c r="B34" i="11"/>
  <c r="C35" i="11"/>
  <c r="N36" i="11"/>
  <c r="C38" i="11"/>
  <c r="C39" i="11"/>
  <c r="B40" i="11"/>
  <c r="B41" i="11"/>
  <c r="C42" i="11"/>
  <c r="D43" i="11"/>
  <c r="B44" i="11"/>
  <c r="B45" i="11"/>
  <c r="B46" i="11"/>
  <c r="C48" i="11"/>
  <c r="F50" i="11"/>
  <c r="B51" i="11"/>
  <c r="I52" i="11"/>
  <c r="D53" i="11"/>
  <c r="E54" i="11"/>
  <c r="B55" i="11"/>
  <c r="D57" i="11"/>
  <c r="C58" i="11"/>
  <c r="C60" i="11"/>
  <c r="K61" i="11"/>
  <c r="F62" i="11"/>
  <c r="E63" i="11"/>
  <c r="B64" i="11"/>
  <c r="I65" i="11"/>
  <c r="E66" i="11"/>
  <c r="E67" i="11"/>
  <c r="C68" i="11"/>
  <c r="I69" i="11"/>
  <c r="E70" i="11"/>
  <c r="C71" i="11"/>
  <c r="C72" i="11"/>
  <c r="G73" i="11"/>
  <c r="E74" i="11"/>
  <c r="C75" i="11"/>
  <c r="C76" i="11"/>
  <c r="E77" i="11"/>
  <c r="C80" i="11"/>
  <c r="K81" i="11"/>
  <c r="C82" i="11"/>
  <c r="C83" i="11"/>
  <c r="C84" i="11"/>
  <c r="I85" i="11"/>
  <c r="E86" i="11"/>
  <c r="D88" i="11"/>
  <c r="G89" i="11"/>
  <c r="E90" i="11"/>
  <c r="C91" i="11"/>
  <c r="D92" i="11"/>
  <c r="K93" i="11"/>
  <c r="B94" i="11"/>
  <c r="E95" i="11"/>
  <c r="F96" i="11"/>
  <c r="N97" i="11"/>
  <c r="E98" i="11"/>
  <c r="C99" i="11"/>
  <c r="E100" i="11"/>
  <c r="F101" i="11"/>
  <c r="G102" i="11"/>
  <c r="D103" i="11"/>
  <c r="L104" i="11"/>
  <c r="F105" i="11"/>
  <c r="D106" i="11"/>
  <c r="D107" i="11"/>
  <c r="I108" i="11"/>
  <c r="K109" i="11"/>
  <c r="L110" i="11"/>
  <c r="E111" i="11"/>
  <c r="F112" i="11"/>
  <c r="C113" i="11"/>
  <c r="E114" i="11"/>
  <c r="G115" i="11"/>
  <c r="B116" i="11"/>
  <c r="C117" i="11"/>
  <c r="E118" i="11"/>
  <c r="H119" i="11"/>
  <c r="G121" i="11"/>
  <c r="B122" i="11"/>
  <c r="C123" i="11"/>
  <c r="B124" i="11"/>
  <c r="B125" i="11"/>
  <c r="B126" i="11"/>
  <c r="E127" i="11"/>
  <c r="F128" i="11"/>
  <c r="C129" i="11"/>
  <c r="I130" i="11"/>
  <c r="M131" i="11"/>
  <c r="B132" i="11"/>
  <c r="E133" i="11"/>
  <c r="G134" i="11"/>
  <c r="M135" i="11"/>
  <c r="B136" i="11"/>
  <c r="D137" i="11"/>
  <c r="I138" i="11"/>
  <c r="M139" i="11"/>
  <c r="F140" i="11"/>
  <c r="E141" i="11"/>
  <c r="C142" i="11"/>
  <c r="E143" i="11"/>
  <c r="B144" i="11"/>
  <c r="D145" i="11"/>
  <c r="C146" i="11"/>
  <c r="B147" i="11"/>
  <c r="B148" i="11"/>
  <c r="E150" i="11"/>
  <c r="L151" i="11"/>
  <c r="B152" i="11"/>
  <c r="D153" i="11"/>
  <c r="C154" i="11"/>
  <c r="B155" i="11"/>
  <c r="B156" i="11"/>
  <c r="F157" i="11"/>
  <c r="L159" i="11"/>
  <c r="B160" i="11"/>
  <c r="I162" i="11"/>
  <c r="H163" i="11"/>
  <c r="B164" i="11"/>
  <c r="K165" i="11"/>
  <c r="I166" i="11"/>
  <c r="E167" i="11"/>
  <c r="B168" i="11"/>
  <c r="D169" i="11"/>
  <c r="I170" i="11"/>
  <c r="H171" i="11"/>
  <c r="E172" i="11"/>
  <c r="F173" i="11"/>
  <c r="E174" i="11"/>
  <c r="D175" i="11"/>
  <c r="E176" i="11"/>
  <c r="K177" i="11"/>
  <c r="D179" i="11"/>
  <c r="E180" i="11"/>
  <c r="K181" i="11"/>
  <c r="I182" i="11"/>
  <c r="H183" i="11"/>
  <c r="E184" i="11"/>
  <c r="C186" i="11"/>
  <c r="E187" i="11"/>
  <c r="B188" i="11"/>
  <c r="D7" i="10"/>
  <c r="B8" i="10"/>
  <c r="E9" i="10"/>
  <c r="B10" i="10"/>
  <c r="C11" i="10"/>
  <c r="G12" i="10"/>
  <c r="D13" i="10"/>
  <c r="B14" i="10"/>
  <c r="B15" i="10"/>
  <c r="G16" i="10"/>
  <c r="B17" i="10"/>
  <c r="F18" i="10"/>
  <c r="E19" i="10"/>
  <c r="C20" i="10"/>
  <c r="F21" i="10"/>
  <c r="B22" i="10"/>
  <c r="D24" i="10"/>
  <c r="C25" i="10"/>
  <c r="B26" i="10"/>
  <c r="E29" i="10"/>
  <c r="B30" i="10"/>
  <c r="E31" i="10"/>
  <c r="F32" i="10"/>
  <c r="E33" i="10"/>
  <c r="B34" i="10"/>
  <c r="C37" i="10"/>
  <c r="B38" i="10"/>
  <c r="E39" i="10"/>
  <c r="D40" i="10"/>
  <c r="B41" i="10"/>
  <c r="B42" i="10"/>
  <c r="D44" i="10"/>
  <c r="D45" i="10"/>
  <c r="B46" i="10"/>
  <c r="N48" i="10"/>
  <c r="B49" i="10"/>
  <c r="B50" i="10"/>
  <c r="D52" i="10"/>
  <c r="B53" i="10"/>
  <c r="E54" i="10"/>
  <c r="E55" i="10"/>
  <c r="D56" i="10"/>
  <c r="B57" i="10"/>
  <c r="C60" i="10"/>
  <c r="B61" i="10"/>
  <c r="B62" i="10"/>
  <c r="E63" i="10"/>
  <c r="B65" i="10"/>
  <c r="D68" i="10"/>
  <c r="D69" i="10"/>
  <c r="B70" i="10"/>
  <c r="E71" i="10"/>
  <c r="D72" i="10"/>
  <c r="K76" i="10"/>
  <c r="C77" i="10"/>
  <c r="E79" i="10"/>
  <c r="D80" i="10"/>
  <c r="I81" i="10"/>
  <c r="E82" i="10"/>
  <c r="C84" i="10"/>
  <c r="C85" i="10"/>
  <c r="B86" i="10"/>
  <c r="E87" i="10"/>
  <c r="D88" i="10"/>
  <c r="C89" i="10"/>
  <c r="I90" i="10"/>
  <c r="B93" i="10"/>
  <c r="B94" i="10"/>
  <c r="D96" i="10"/>
  <c r="I97" i="10"/>
  <c r="L98" i="10"/>
  <c r="B100" i="10"/>
  <c r="I101" i="10"/>
  <c r="E103" i="10"/>
  <c r="E104" i="10"/>
  <c r="E106" i="10"/>
  <c r="C108" i="10"/>
  <c r="C109" i="10"/>
  <c r="B110" i="10"/>
  <c r="C113" i="10"/>
  <c r="B114" i="10"/>
  <c r="E117" i="10"/>
  <c r="B119" i="10"/>
  <c r="D120" i="10"/>
  <c r="C121" i="10"/>
  <c r="H122" i="10"/>
  <c r="I123" i="10"/>
  <c r="C125" i="10"/>
  <c r="H126" i="10"/>
  <c r="I127" i="10"/>
  <c r="I128" i="10"/>
  <c r="I129" i="10"/>
  <c r="D132" i="10"/>
  <c r="B133" i="10"/>
  <c r="E134" i="10"/>
  <c r="B136" i="10"/>
  <c r="L137" i="10"/>
  <c r="D138" i="10"/>
  <c r="E141" i="10"/>
  <c r="D142" i="10"/>
  <c r="E143" i="10"/>
  <c r="C144" i="10"/>
  <c r="C145" i="10"/>
  <c r="L151" i="10"/>
  <c r="B153" i="10"/>
  <c r="D154" i="10"/>
  <c r="F155" i="10"/>
  <c r="C156" i="10"/>
  <c r="D157" i="10"/>
  <c r="E158" i="10"/>
  <c r="L159" i="10"/>
  <c r="B161" i="10"/>
  <c r="C164" i="10"/>
  <c r="L166" i="10"/>
  <c r="D167" i="10"/>
  <c r="C169" i="10"/>
  <c r="D171" i="10"/>
  <c r="C172" i="10"/>
  <c r="E174" i="10"/>
  <c r="B176" i="10"/>
  <c r="L178" i="10"/>
  <c r="M179" i="10"/>
  <c r="C180" i="10"/>
  <c r="I181" i="10"/>
  <c r="H182" i="10"/>
  <c r="M184" i="10"/>
  <c r="C185" i="10"/>
  <c r="L186" i="10"/>
  <c r="F187" i="10"/>
  <c r="I189" i="10"/>
  <c r="D7" i="8"/>
  <c r="F8" i="8"/>
  <c r="G9" i="8"/>
  <c r="F14" i="8"/>
  <c r="I16" i="8"/>
  <c r="D17" i="8"/>
  <c r="C18" i="8"/>
  <c r="D19" i="8"/>
  <c r="C20" i="8"/>
  <c r="D21" i="8"/>
  <c r="C22" i="8"/>
  <c r="D23" i="8"/>
  <c r="F24" i="8"/>
  <c r="G25" i="8"/>
  <c r="C26" i="8"/>
  <c r="D27" i="8"/>
  <c r="G30" i="8"/>
  <c r="D31" i="8"/>
  <c r="I32" i="8"/>
  <c r="D33" i="8"/>
  <c r="C34" i="8"/>
  <c r="D35" i="8"/>
  <c r="G37" i="8"/>
  <c r="C38" i="8"/>
  <c r="D39" i="8"/>
  <c r="C40" i="8"/>
  <c r="D41" i="8"/>
  <c r="F44" i="8"/>
  <c r="G47" i="8"/>
  <c r="C48" i="8"/>
  <c r="D49" i="8"/>
  <c r="C50" i="8"/>
  <c r="D51" i="8"/>
  <c r="F52" i="8"/>
  <c r="C7" i="7"/>
  <c r="C8" i="6"/>
  <c r="E9" i="6"/>
  <c r="G10" i="6"/>
  <c r="B11" i="6"/>
  <c r="E12" i="7"/>
  <c r="I13" i="6"/>
  <c r="C16" i="6"/>
  <c r="B17" i="6"/>
  <c r="I20" i="7"/>
  <c r="D21" i="6"/>
  <c r="D22" i="6"/>
  <c r="I23" i="6"/>
  <c r="E24" i="6"/>
  <c r="D25" i="6"/>
  <c r="G26" i="6"/>
  <c r="B27" i="7"/>
  <c r="F29" i="6"/>
  <c r="M30" i="6"/>
  <c r="B31" i="7"/>
  <c r="L32" i="6"/>
  <c r="B33" i="6"/>
  <c r="C34" i="6"/>
  <c r="C35" i="6"/>
  <c r="G36" i="6"/>
  <c r="L37" i="6"/>
  <c r="B38" i="6"/>
  <c r="C39" i="6"/>
  <c r="L40" i="6"/>
  <c r="H41" i="7"/>
  <c r="B42" i="7"/>
  <c r="C43" i="6"/>
  <c r="L44" i="6"/>
  <c r="D45" i="6"/>
  <c r="I46" i="6"/>
  <c r="D47" i="6"/>
  <c r="I48" i="6"/>
  <c r="L49" i="6"/>
  <c r="K50" i="6"/>
  <c r="K51" i="6"/>
  <c r="E52" i="6"/>
  <c r="I53" i="6"/>
  <c r="B55" i="6"/>
  <c r="O56" i="6"/>
  <c r="F57" i="6"/>
  <c r="K58" i="6"/>
  <c r="F59" i="6"/>
  <c r="E60" i="6"/>
  <c r="L61" i="6"/>
  <c r="C64" i="7"/>
  <c r="E65" i="6"/>
  <c r="E67" i="6"/>
  <c r="K68" i="6"/>
  <c r="F69" i="6"/>
  <c r="I70" i="6"/>
  <c r="C71" i="7"/>
  <c r="L72" i="7"/>
  <c r="J73" i="6"/>
  <c r="I74" i="6"/>
  <c r="E75" i="6"/>
  <c r="D77" i="6"/>
  <c r="I78" i="6"/>
  <c r="F79" i="7"/>
  <c r="C80" i="6"/>
  <c r="L81" i="7"/>
  <c r="I82" i="6"/>
  <c r="C84" i="6"/>
  <c r="F85" i="6"/>
  <c r="I86" i="6"/>
  <c r="L87" i="6"/>
  <c r="C88" i="6"/>
  <c r="B89" i="6"/>
  <c r="I90" i="6"/>
  <c r="C91" i="6"/>
  <c r="G92" i="6"/>
  <c r="O93" i="7"/>
  <c r="M94" i="6"/>
  <c r="B95" i="7"/>
  <c r="K96" i="6"/>
  <c r="E97" i="6"/>
  <c r="I98" i="6"/>
  <c r="E99" i="6"/>
  <c r="G100" i="6"/>
  <c r="L101" i="6"/>
  <c r="D103" i="6"/>
  <c r="C104" i="6"/>
  <c r="B105" i="6"/>
  <c r="I106" i="6"/>
  <c r="C107" i="6"/>
  <c r="G108" i="6"/>
  <c r="E109" i="6"/>
  <c r="C111" i="6"/>
  <c r="H112" i="7"/>
  <c r="F113" i="6"/>
  <c r="J114" i="6"/>
  <c r="B115" i="6"/>
  <c r="G116" i="6"/>
  <c r="D117" i="6"/>
  <c r="F118" i="6"/>
  <c r="B119" i="6"/>
  <c r="E120" i="6"/>
  <c r="I121" i="6"/>
  <c r="C122" i="6"/>
  <c r="B123" i="6"/>
  <c r="G124" i="6"/>
  <c r="F126" i="6"/>
  <c r="C127" i="6"/>
  <c r="O128" i="6"/>
  <c r="L129" i="6"/>
  <c r="B130" i="6"/>
  <c r="C131" i="6"/>
  <c r="C132" i="6"/>
  <c r="D133" i="6"/>
  <c r="K134" i="6"/>
  <c r="E136" i="6"/>
  <c r="B137" i="6"/>
  <c r="F138" i="7"/>
  <c r="B139" i="6"/>
  <c r="G140" i="6"/>
  <c r="B142" i="6"/>
  <c r="F143" i="7"/>
  <c r="H144" i="6"/>
  <c r="F145" i="6"/>
  <c r="E146" i="6"/>
  <c r="I148" i="6"/>
  <c r="E149" i="6"/>
  <c r="F151" i="6"/>
  <c r="G152" i="7"/>
  <c r="C153" i="6"/>
  <c r="E154" i="6"/>
  <c r="B155" i="6"/>
  <c r="B156" i="6"/>
  <c r="E158" i="6"/>
  <c r="D159" i="6"/>
  <c r="N161" i="6"/>
  <c r="E162" i="6"/>
  <c r="D163" i="6"/>
  <c r="H165" i="6"/>
  <c r="E166" i="6"/>
  <c r="D167" i="6"/>
  <c r="B168" i="6"/>
  <c r="B169" i="6"/>
  <c r="E170" i="6"/>
  <c r="F171" i="6"/>
  <c r="G173" i="6"/>
  <c r="E174" i="6"/>
  <c r="C175" i="6"/>
  <c r="C176" i="6"/>
  <c r="B177" i="6"/>
  <c r="E178" i="6"/>
  <c r="D179" i="6"/>
  <c r="D180" i="6"/>
  <c r="B181" i="6"/>
  <c r="E182" i="6"/>
  <c r="C183" i="6"/>
  <c r="I184" i="6"/>
  <c r="F185" i="7"/>
  <c r="E186" i="6"/>
  <c r="B189" i="7"/>
  <c r="A7" i="5"/>
  <c r="B7" i="5"/>
  <c r="A8" i="5"/>
  <c r="B8" i="5"/>
  <c r="D8" i="5" s="1"/>
  <c r="A9" i="5"/>
  <c r="B9" i="5"/>
  <c r="D9" i="5" s="1"/>
  <c r="A10" i="5"/>
  <c r="B10" i="5"/>
  <c r="D10" i="5" s="1"/>
  <c r="A11" i="5"/>
  <c r="B11" i="5"/>
  <c r="D11" i="5" s="1"/>
  <c r="A12" i="5"/>
  <c r="B12" i="5"/>
  <c r="N12" i="5" s="1"/>
  <c r="A13" i="5"/>
  <c r="B13" i="5"/>
  <c r="D13" i="5" s="1"/>
  <c r="A14" i="5"/>
  <c r="B14" i="5"/>
  <c r="D14" i="5" s="1"/>
  <c r="A15" i="5"/>
  <c r="B15" i="5"/>
  <c r="D15" i="5" s="1"/>
  <c r="A16" i="5"/>
  <c r="B16" i="5"/>
  <c r="D16" i="5" s="1"/>
  <c r="A17" i="5"/>
  <c r="B17" i="5"/>
  <c r="D17" i="5" s="1"/>
  <c r="A18" i="5"/>
  <c r="B18" i="5"/>
  <c r="D18" i="5" s="1"/>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A30" i="5"/>
  <c r="B30" i="5"/>
  <c r="D30" i="5" s="1"/>
  <c r="A31" i="5"/>
  <c r="B31" i="5"/>
  <c r="D31" i="5" s="1"/>
  <c r="A32" i="5"/>
  <c r="B32" i="5"/>
  <c r="D32" i="5" s="1"/>
  <c r="A33" i="5"/>
  <c r="B33" i="5"/>
  <c r="D33" i="5" s="1"/>
  <c r="A34" i="5"/>
  <c r="B34" i="5"/>
  <c r="D34" i="5" s="1"/>
  <c r="A35" i="5"/>
  <c r="B35" i="5"/>
  <c r="D35" i="5" s="1"/>
  <c r="A36" i="5"/>
  <c r="B36" i="5"/>
  <c r="D36" i="5" s="1"/>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A66" i="5"/>
  <c r="B66" i="5"/>
  <c r="C66" i="5" s="1"/>
  <c r="A67" i="5"/>
  <c r="B67" i="5"/>
  <c r="I67" i="5" s="1"/>
  <c r="A68" i="5"/>
  <c r="B68" i="5"/>
  <c r="I68" i="5" s="1"/>
  <c r="A69" i="5"/>
  <c r="B69" i="5"/>
  <c r="I69" i="5" s="1"/>
  <c r="A70" i="5"/>
  <c r="B70" i="5"/>
  <c r="C70" i="5" s="1"/>
  <c r="A71" i="5"/>
  <c r="B71" i="5"/>
  <c r="I71" i="5" s="1"/>
  <c r="A72" i="5"/>
  <c r="B72" i="5"/>
  <c r="I72" i="5" s="1"/>
  <c r="A73" i="5"/>
  <c r="B73" i="5"/>
  <c r="I73" i="5" s="1"/>
  <c r="A74" i="5"/>
  <c r="B74" i="5"/>
  <c r="C74" i="5" s="1"/>
  <c r="A75" i="5"/>
  <c r="B75" i="5"/>
  <c r="I75" i="5" s="1"/>
  <c r="A76" i="5"/>
  <c r="B76" i="5"/>
  <c r="I76" i="5" s="1"/>
  <c r="A77" i="5"/>
  <c r="B77" i="5"/>
  <c r="I77" i="5" s="1"/>
  <c r="A78" i="5"/>
  <c r="B78" i="5"/>
  <c r="C78" i="5" s="1"/>
  <c r="A79" i="5"/>
  <c r="B79" i="5"/>
  <c r="I79" i="5" s="1"/>
  <c r="A80" i="5"/>
  <c r="B80" i="5"/>
  <c r="I80" i="5" s="1"/>
  <c r="A81" i="5"/>
  <c r="B81" i="5"/>
  <c r="I81" i="5" s="1"/>
  <c r="A82" i="5"/>
  <c r="B82" i="5"/>
  <c r="C82" i="5" s="1"/>
  <c r="A83" i="5"/>
  <c r="B83" i="5"/>
  <c r="I83" i="5" s="1"/>
  <c r="A84" i="5"/>
  <c r="B84" i="5"/>
  <c r="I84" i="5" s="1"/>
  <c r="A85" i="5"/>
  <c r="B85" i="5"/>
  <c r="I85" i="5" s="1"/>
  <c r="A86" i="5"/>
  <c r="B86" i="5"/>
  <c r="C86" i="5" s="1"/>
  <c r="A87" i="5"/>
  <c r="B87" i="5"/>
  <c r="I87" i="5" s="1"/>
  <c r="A88" i="5"/>
  <c r="B88" i="5"/>
  <c r="I88" i="5" s="1"/>
  <c r="A89" i="5"/>
  <c r="B89" i="5"/>
  <c r="I89" i="5" s="1"/>
  <c r="A90" i="5"/>
  <c r="B90" i="5"/>
  <c r="C90" i="5" s="1"/>
  <c r="A91" i="5"/>
  <c r="B91" i="5"/>
  <c r="I91" i="5" s="1"/>
  <c r="A92" i="5"/>
  <c r="B92" i="5"/>
  <c r="I92" i="5" s="1"/>
  <c r="A93" i="5"/>
  <c r="B93" i="5"/>
  <c r="I93" i="5" s="1"/>
  <c r="A94" i="5"/>
  <c r="B94" i="5"/>
  <c r="C94" i="5" s="1"/>
  <c r="A95" i="5"/>
  <c r="B95" i="5"/>
  <c r="I95" i="5" s="1"/>
  <c r="A96" i="5"/>
  <c r="B96" i="5"/>
  <c r="I96" i="5" s="1"/>
  <c r="A97" i="5"/>
  <c r="B97" i="5"/>
  <c r="I97" i="5" s="1"/>
  <c r="A98" i="5"/>
  <c r="B98" i="5"/>
  <c r="C98" i="5" s="1"/>
  <c r="A99" i="5"/>
  <c r="B99" i="5"/>
  <c r="I99" i="5" s="1"/>
  <c r="A100" i="5"/>
  <c r="B100" i="5"/>
  <c r="I100" i="5" s="1"/>
  <c r="A101" i="5"/>
  <c r="B101" i="5"/>
  <c r="I101" i="5" s="1"/>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A123" i="5"/>
  <c r="B123" i="5"/>
  <c r="I123" i="5" s="1"/>
  <c r="A124" i="5"/>
  <c r="B124" i="5"/>
  <c r="N124" i="5" s="1"/>
  <c r="A125" i="5"/>
  <c r="B125" i="5"/>
  <c r="K125" i="5" s="1"/>
  <c r="A126" i="5"/>
  <c r="B126" i="5"/>
  <c r="C126" i="5" s="1"/>
  <c r="A127" i="5"/>
  <c r="B127" i="5"/>
  <c r="I127" i="5" s="1"/>
  <c r="A128" i="5"/>
  <c r="B128" i="5"/>
  <c r="N128" i="5" s="1"/>
  <c r="A129" i="5"/>
  <c r="B129" i="5"/>
  <c r="K129" i="5" s="1"/>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A164" i="5"/>
  <c r="B164" i="5"/>
  <c r="I164" i="5" s="1"/>
  <c r="A165" i="5"/>
  <c r="B165" i="5"/>
  <c r="I165" i="5" s="1"/>
  <c r="A166" i="5"/>
  <c r="B166" i="5"/>
  <c r="I166" i="5" s="1"/>
  <c r="C7" i="3"/>
  <c r="O8" i="3"/>
  <c r="C9" i="3"/>
  <c r="M10" i="3"/>
  <c r="Q11" i="3"/>
  <c r="G12" i="3"/>
  <c r="B13" i="3"/>
  <c r="I14" i="3"/>
  <c r="D15" i="3"/>
  <c r="B16" i="3"/>
  <c r="Q17" i="3"/>
  <c r="B18" i="3"/>
  <c r="D19" i="3"/>
  <c r="C20" i="3"/>
  <c r="F21" i="3"/>
  <c r="F22" i="3"/>
  <c r="C23" i="3"/>
  <c r="B24" i="3"/>
  <c r="N25" i="3"/>
  <c r="B26" i="3"/>
  <c r="G27" i="3"/>
  <c r="B28" i="3"/>
  <c r="F29" i="3"/>
  <c r="I30" i="3"/>
  <c r="C31" i="3"/>
  <c r="B32" i="3"/>
  <c r="F33" i="3"/>
  <c r="B34" i="3"/>
  <c r="D35" i="3"/>
  <c r="B36" i="3"/>
  <c r="C37" i="3"/>
  <c r="L38" i="3"/>
  <c r="P39" i="3"/>
  <c r="B40" i="3"/>
  <c r="D42" i="3"/>
  <c r="C43" i="3"/>
  <c r="D44" i="3"/>
  <c r="G45" i="3"/>
  <c r="I46" i="3"/>
  <c r="D47" i="3"/>
  <c r="C48" i="3"/>
  <c r="B49" i="3"/>
  <c r="I51" i="3"/>
  <c r="Q52" i="3"/>
  <c r="F53" i="3"/>
  <c r="B54" i="3"/>
  <c r="C56" i="3"/>
  <c r="I57" i="3"/>
  <c r="I58" i="3"/>
  <c r="C59" i="3"/>
  <c r="G60" i="3"/>
  <c r="G61" i="3"/>
  <c r="I62" i="3"/>
  <c r="I63" i="3"/>
  <c r="D64" i="3"/>
  <c r="B65" i="3"/>
  <c r="F66" i="3"/>
  <c r="G67" i="3"/>
  <c r="D68" i="3"/>
  <c r="F69" i="3"/>
  <c r="G71" i="3"/>
  <c r="D72" i="3"/>
  <c r="I73" i="3"/>
  <c r="Q75" i="3"/>
  <c r="O76" i="3"/>
  <c r="F77" i="3"/>
  <c r="C79" i="3"/>
  <c r="L80" i="3"/>
  <c r="Q81" i="3"/>
  <c r="B82" i="3"/>
  <c r="D83" i="3"/>
  <c r="F85" i="3"/>
  <c r="L87" i="3"/>
  <c r="P88" i="3"/>
  <c r="C89" i="3"/>
  <c r="I90" i="3"/>
  <c r="C91" i="3"/>
  <c r="C92" i="3"/>
  <c r="B93" i="3"/>
  <c r="D94" i="3"/>
  <c r="B96" i="3"/>
  <c r="F97" i="3"/>
  <c r="B98" i="3"/>
  <c r="I99" i="3"/>
  <c r="F100" i="3"/>
  <c r="N101" i="3"/>
  <c r="F102" i="3"/>
  <c r="G103" i="3"/>
  <c r="B104" i="3"/>
  <c r="Q105" i="3"/>
  <c r="N106" i="3"/>
  <c r="D108" i="3"/>
  <c r="G109" i="3"/>
  <c r="I110" i="3"/>
  <c r="C111" i="3"/>
  <c r="D112" i="3"/>
  <c r="F113" i="3"/>
  <c r="J114" i="3"/>
  <c r="I115" i="3"/>
  <c r="B116" i="3"/>
  <c r="F117" i="3"/>
  <c r="F118" i="3"/>
  <c r="L119" i="3"/>
  <c r="I120" i="3"/>
  <c r="Q121" i="3"/>
  <c r="B122" i="3"/>
  <c r="D123" i="3"/>
  <c r="M124" i="3"/>
  <c r="J125" i="3"/>
  <c r="F127" i="3"/>
  <c r="Q128" i="3"/>
  <c r="F129" i="3"/>
  <c r="D130" i="3"/>
  <c r="D131" i="3"/>
  <c r="B132" i="3"/>
  <c r="I133" i="3"/>
  <c r="O134" i="3"/>
  <c r="C135" i="3"/>
  <c r="B136" i="3"/>
  <c r="M137" i="3"/>
  <c r="C138" i="3"/>
  <c r="C139" i="3"/>
  <c r="M140" i="3"/>
  <c r="P142" i="3"/>
  <c r="F143" i="3"/>
  <c r="Q144" i="3"/>
  <c r="M146" i="3"/>
  <c r="C147" i="3"/>
  <c r="Q148" i="3"/>
  <c r="O151" i="3"/>
  <c r="I152" i="3"/>
  <c r="M153" i="3"/>
  <c r="D154" i="3"/>
  <c r="J155" i="3"/>
  <c r="B156" i="3"/>
  <c r="I157" i="3"/>
  <c r="G159" i="3"/>
  <c r="I160" i="3"/>
  <c r="I161" i="3"/>
  <c r="D162" i="3"/>
  <c r="D163" i="3"/>
  <c r="I165" i="3"/>
  <c r="G166" i="3"/>
  <c r="N167" i="3"/>
  <c r="I168" i="3"/>
  <c r="I169" i="3"/>
  <c r="G170" i="3"/>
  <c r="B171" i="3"/>
  <c r="Q172" i="3"/>
  <c r="D174" i="3"/>
  <c r="D175" i="3"/>
  <c r="M176" i="3"/>
  <c r="Q177" i="3"/>
  <c r="B178" i="3"/>
  <c r="P179" i="3"/>
  <c r="Q180" i="3"/>
  <c r="I181" i="3"/>
  <c r="C182" i="3"/>
  <c r="B183" i="3"/>
  <c r="I184" i="3"/>
  <c r="I185" i="3"/>
  <c r="G186" i="3"/>
  <c r="C187" i="3"/>
  <c r="G188" i="3"/>
  <c r="C10" i="2"/>
  <c r="B6" i="3" s="1"/>
  <c r="D6" i="5" s="1"/>
  <c r="D10" i="2"/>
  <c r="R10" i="2" s="1"/>
  <c r="Q11" i="2"/>
  <c r="D12" i="2"/>
  <c r="L13" i="2"/>
  <c r="L14" i="2"/>
  <c r="I15" i="2"/>
  <c r="E16" i="2"/>
  <c r="Q17" i="2"/>
  <c r="I18" i="2"/>
  <c r="Q19" i="2"/>
  <c r="C20" i="2"/>
  <c r="L21" i="2"/>
  <c r="Q22" i="2"/>
  <c r="C23" i="2"/>
  <c r="L26" i="2"/>
  <c r="C27" i="2"/>
  <c r="D28" i="2"/>
  <c r="I29" i="2"/>
  <c r="Q31" i="2"/>
  <c r="E32" i="2"/>
  <c r="D33" i="2"/>
  <c r="I34" i="2"/>
  <c r="S35" i="2"/>
  <c r="B36" i="2"/>
  <c r="L37" i="2"/>
  <c r="D38" i="2"/>
  <c r="C39" i="2"/>
  <c r="Q40" i="2"/>
  <c r="L41" i="2"/>
  <c r="L42" i="2"/>
  <c r="I43" i="2"/>
  <c r="H44" i="2"/>
  <c r="I45" i="2"/>
  <c r="C47" i="2"/>
  <c r="B48" i="2"/>
  <c r="I50" i="2"/>
  <c r="S51" i="2"/>
  <c r="B52" i="2"/>
  <c r="D53" i="2"/>
  <c r="D54" i="2"/>
  <c r="C55" i="2"/>
  <c r="B56" i="2"/>
  <c r="Q57" i="2"/>
  <c r="D58" i="2"/>
  <c r="C59" i="2"/>
  <c r="P60" i="2"/>
  <c r="I61" i="2"/>
  <c r="D62" i="2"/>
  <c r="Q63" i="2"/>
  <c r="B64" i="2"/>
  <c r="D65" i="2"/>
  <c r="Q66" i="2"/>
  <c r="C67" i="2"/>
  <c r="B68" i="2"/>
  <c r="L69" i="2"/>
  <c r="D70" i="2"/>
  <c r="C71" i="2"/>
  <c r="D72" i="2"/>
  <c r="C75" i="2"/>
  <c r="D76" i="2"/>
  <c r="D77" i="2"/>
  <c r="C80" i="2"/>
  <c r="I81" i="2"/>
  <c r="I82" i="2"/>
  <c r="I84" i="2"/>
  <c r="D85" i="2"/>
  <c r="D86" i="2"/>
  <c r="I87" i="2"/>
  <c r="C88" i="2"/>
  <c r="I89" i="2"/>
  <c r="C91" i="2"/>
  <c r="H92" i="2"/>
  <c r="D94" i="2"/>
  <c r="I95" i="2"/>
  <c r="D96" i="2"/>
  <c r="I97" i="2"/>
  <c r="I98" i="2"/>
  <c r="I99" i="2"/>
  <c r="C100" i="2"/>
  <c r="D101" i="2"/>
  <c r="D102" i="2"/>
  <c r="I103" i="2"/>
  <c r="D104" i="2"/>
  <c r="I105" i="2"/>
  <c r="I106" i="2"/>
  <c r="E108" i="2"/>
  <c r="D109" i="2"/>
  <c r="D110" i="2"/>
  <c r="I111" i="2"/>
  <c r="E112" i="2"/>
  <c r="D113" i="2"/>
  <c r="L114" i="2"/>
  <c r="C115" i="2"/>
  <c r="R116" i="2"/>
  <c r="D117" i="2"/>
  <c r="D118" i="2"/>
  <c r="D120" i="2"/>
  <c r="I121" i="2"/>
  <c r="L122" i="2"/>
  <c r="C123" i="2"/>
  <c r="D124" i="2"/>
  <c r="D125" i="2"/>
  <c r="D126" i="2"/>
  <c r="I127" i="2"/>
  <c r="D128" i="2"/>
  <c r="I129" i="2"/>
  <c r="I130" i="2"/>
  <c r="C131" i="2"/>
  <c r="C132" i="2"/>
  <c r="D133" i="2"/>
  <c r="I135" i="2"/>
  <c r="D136" i="2"/>
  <c r="I137" i="2"/>
  <c r="Q138" i="2"/>
  <c r="C139" i="2"/>
  <c r="C140" i="2"/>
  <c r="D141" i="2"/>
  <c r="I143" i="2"/>
  <c r="I144" i="2"/>
  <c r="D145" i="2"/>
  <c r="C146" i="2"/>
  <c r="D147" i="2"/>
  <c r="D148" i="2"/>
  <c r="I3" i="21" s="1"/>
  <c r="I149" i="2"/>
  <c r="I150" i="2"/>
  <c r="I151" i="2"/>
  <c r="Q152" i="2"/>
  <c r="C154" i="2"/>
  <c r="E155" i="2"/>
  <c r="I157" i="2"/>
  <c r="I159" i="2"/>
  <c r="Q160" i="2"/>
  <c r="D161" i="2"/>
  <c r="C162" i="2"/>
  <c r="I165" i="2"/>
  <c r="Q166" i="2"/>
  <c r="I167" i="2"/>
  <c r="Q168" i="2"/>
  <c r="D169" i="2"/>
  <c r="Q170" i="2"/>
  <c r="C171" i="2"/>
  <c r="C172" i="2"/>
  <c r="B173" i="2"/>
  <c r="E174" i="2"/>
  <c r="C175" i="2"/>
  <c r="I176" i="2"/>
  <c r="D177" i="2"/>
  <c r="C178" i="2"/>
  <c r="H179" i="2"/>
  <c r="D181" i="2"/>
  <c r="E182" i="2"/>
  <c r="E184" i="2"/>
  <c r="E185" i="2"/>
  <c r="C186" i="2"/>
  <c r="C187" i="2"/>
  <c r="C188" i="2"/>
  <c r="D189" i="2"/>
  <c r="I190" i="2"/>
  <c r="C191" i="2"/>
  <c r="E192" i="2"/>
  <c r="Q193" i="2"/>
  <c r="G243" i="2"/>
  <c r="C244" i="2"/>
  <c r="D244" i="2"/>
  <c r="F244" i="2"/>
  <c r="G244" i="2"/>
  <c r="C245" i="2"/>
  <c r="D245" i="2"/>
  <c r="F245" i="2"/>
  <c r="G245" i="2"/>
  <c r="C246" i="2"/>
  <c r="D246" i="2"/>
  <c r="F246" i="2"/>
  <c r="G246" i="2"/>
  <c r="C247" i="2"/>
  <c r="D247" i="2"/>
  <c r="F247" i="2"/>
  <c r="G247" i="2"/>
  <c r="L29" i="7" l="1"/>
  <c r="N119" i="7"/>
  <c r="I148" i="7"/>
  <c r="O136" i="7"/>
  <c r="D114" i="7"/>
  <c r="I183" i="7"/>
  <c r="L173" i="7"/>
  <c r="F90" i="7"/>
  <c r="D60" i="7"/>
  <c r="F52" i="7"/>
  <c r="D171" i="7"/>
  <c r="J78" i="7"/>
  <c r="B30" i="7"/>
  <c r="B163" i="7"/>
  <c r="B131" i="7"/>
  <c r="N107" i="7"/>
  <c r="H47" i="7"/>
  <c r="J155" i="7"/>
  <c r="C59" i="7"/>
  <c r="B35" i="7"/>
  <c r="I11" i="7"/>
  <c r="H181" i="7"/>
  <c r="F94" i="7"/>
  <c r="B178" i="7"/>
  <c r="J46" i="7"/>
  <c r="E177" i="7"/>
  <c r="F82" i="7"/>
  <c r="B130" i="7"/>
  <c r="K80" i="7"/>
  <c r="G34" i="7"/>
  <c r="C243" i="2"/>
  <c r="F243" i="2" s="1"/>
  <c r="F169" i="7"/>
  <c r="B127" i="7"/>
  <c r="O67" i="7"/>
  <c r="H16" i="7"/>
  <c r="F19" i="14"/>
  <c r="G97" i="7"/>
  <c r="L155" i="6"/>
  <c r="J155" i="6"/>
  <c r="E155" i="6"/>
  <c r="D146" i="7"/>
  <c r="G96" i="7"/>
  <c r="F50" i="7"/>
  <c r="B170" i="7"/>
  <c r="E121" i="7"/>
  <c r="F74" i="7"/>
  <c r="E49" i="7"/>
  <c r="B26" i="7"/>
  <c r="I144" i="7"/>
  <c r="K120" i="7"/>
  <c r="G73" i="7"/>
  <c r="K48" i="7"/>
  <c r="K25" i="7"/>
  <c r="E167" i="7"/>
  <c r="E24" i="7"/>
  <c r="I166" i="7"/>
  <c r="G89" i="7"/>
  <c r="C23" i="7"/>
  <c r="M182" i="7"/>
  <c r="N165" i="7"/>
  <c r="C113" i="7"/>
  <c r="C85" i="7"/>
  <c r="D68" i="7"/>
  <c r="E134" i="7"/>
  <c r="O84" i="7"/>
  <c r="B38" i="7"/>
  <c r="C180" i="7"/>
  <c r="C133" i="7"/>
  <c r="B111" i="7"/>
  <c r="O37" i="7"/>
  <c r="K179" i="7"/>
  <c r="J132" i="7"/>
  <c r="B108" i="7"/>
  <c r="C61" i="7"/>
  <c r="D36" i="7"/>
  <c r="K13" i="7"/>
  <c r="G129" i="7"/>
  <c r="C33" i="7"/>
  <c r="E162" i="7"/>
  <c r="J123" i="7"/>
  <c r="I45" i="7"/>
  <c r="I175" i="7"/>
  <c r="L161" i="7"/>
  <c r="C92" i="7"/>
  <c r="C75" i="7"/>
  <c r="B106" i="7"/>
  <c r="C91" i="7"/>
  <c r="K43" i="7"/>
  <c r="C105" i="7"/>
  <c r="H57" i="7"/>
  <c r="C10" i="7"/>
  <c r="E156" i="7"/>
  <c r="O39" i="7"/>
  <c r="I8" i="7"/>
  <c r="L117" i="7"/>
  <c r="C103" i="7"/>
  <c r="F55" i="7"/>
  <c r="L154" i="7"/>
  <c r="D116" i="7"/>
  <c r="B70" i="7"/>
  <c r="F22" i="7"/>
  <c r="E165" i="5"/>
  <c r="C99" i="7"/>
  <c r="L69" i="7"/>
  <c r="E21" i="7"/>
  <c r="L23" i="6"/>
  <c r="O23" i="12" s="1"/>
  <c r="E246" i="2"/>
  <c r="O32" i="3"/>
  <c r="N69" i="3"/>
  <c r="O93" i="5"/>
  <c r="L145" i="10"/>
  <c r="I33" i="10"/>
  <c r="I18" i="8"/>
  <c r="C84" i="14"/>
  <c r="O73" i="5"/>
  <c r="F167" i="12"/>
  <c r="F161" i="14"/>
  <c r="M167" i="6"/>
  <c r="K132" i="10"/>
  <c r="M109" i="6"/>
  <c r="H247" i="2"/>
  <c r="K73" i="5"/>
  <c r="E137" i="14"/>
  <c r="B67" i="14"/>
  <c r="N77" i="5"/>
  <c r="H141" i="10"/>
  <c r="I177" i="6"/>
  <c r="J167" i="6"/>
  <c r="L76" i="2"/>
  <c r="L57" i="2"/>
  <c r="L183" i="3"/>
  <c r="K71" i="7"/>
  <c r="M161" i="10"/>
  <c r="O141" i="10"/>
  <c r="M89" i="10"/>
  <c r="L128" i="2"/>
  <c r="L170" i="3"/>
  <c r="N53" i="3"/>
  <c r="B42" i="3"/>
  <c r="J183" i="6"/>
  <c r="B167" i="6"/>
  <c r="O119" i="6"/>
  <c r="G39" i="6"/>
  <c r="K161" i="10"/>
  <c r="H89" i="10"/>
  <c r="K119" i="6"/>
  <c r="J8" i="6"/>
  <c r="C161" i="10"/>
  <c r="L110" i="10"/>
  <c r="Q111" i="2"/>
  <c r="D89" i="2"/>
  <c r="O171" i="3"/>
  <c r="M113" i="7"/>
  <c r="J119" i="6"/>
  <c r="H18" i="7"/>
  <c r="M18" i="7"/>
  <c r="Q143" i="3"/>
  <c r="C165" i="5"/>
  <c r="L77" i="7"/>
  <c r="L53" i="7"/>
  <c r="H167" i="6"/>
  <c r="L109" i="6"/>
  <c r="M8" i="6"/>
  <c r="K120" i="10"/>
  <c r="E110" i="10"/>
  <c r="K113" i="11"/>
  <c r="E78" i="12"/>
  <c r="F13" i="13"/>
  <c r="I161" i="2"/>
  <c r="I36" i="5"/>
  <c r="I151" i="7"/>
  <c r="B88" i="7"/>
  <c r="G65" i="7"/>
  <c r="L51" i="7"/>
  <c r="O56" i="10"/>
  <c r="M146" i="11"/>
  <c r="C170" i="12"/>
  <c r="C161" i="14"/>
  <c r="E70" i="14"/>
  <c r="P140" i="2"/>
  <c r="C56" i="2"/>
  <c r="O176" i="7"/>
  <c r="G149" i="7"/>
  <c r="L98" i="7"/>
  <c r="L86" i="7"/>
  <c r="E16" i="6"/>
  <c r="K93" i="5"/>
  <c r="E188" i="7"/>
  <c r="M165" i="6"/>
  <c r="I96" i="10"/>
  <c r="K74" i="11"/>
  <c r="D125" i="14"/>
  <c r="E193" i="2"/>
  <c r="R147" i="2"/>
  <c r="L32" i="2"/>
  <c r="I171" i="3"/>
  <c r="M37" i="3"/>
  <c r="N163" i="5"/>
  <c r="E186" i="7"/>
  <c r="H118" i="7"/>
  <c r="D109" i="7"/>
  <c r="N35" i="6"/>
  <c r="H245" i="2"/>
  <c r="B56" i="3"/>
  <c r="O165" i="5"/>
  <c r="H158" i="7"/>
  <c r="F71" i="7"/>
  <c r="B9" i="7"/>
  <c r="F131" i="6"/>
  <c r="L120" i="6"/>
  <c r="E103" i="6"/>
  <c r="O80" i="6"/>
  <c r="F104" i="10"/>
  <c r="K84" i="10"/>
  <c r="I62" i="10"/>
  <c r="N72" i="11"/>
  <c r="F87" i="14"/>
  <c r="C44" i="14"/>
  <c r="I40" i="2"/>
  <c r="M178" i="3"/>
  <c r="O12" i="3"/>
  <c r="N165" i="5"/>
  <c r="K128" i="7"/>
  <c r="F111" i="6"/>
  <c r="I84" i="10"/>
  <c r="L72" i="11"/>
  <c r="G173" i="12"/>
  <c r="F47" i="12"/>
  <c r="Q144" i="2"/>
  <c r="L124" i="2"/>
  <c r="L92" i="2"/>
  <c r="Q60" i="2"/>
  <c r="F187" i="3"/>
  <c r="L135" i="3"/>
  <c r="L12" i="3"/>
  <c r="K165" i="5"/>
  <c r="L38" i="10"/>
  <c r="F173" i="12"/>
  <c r="F100" i="7"/>
  <c r="D144" i="2"/>
  <c r="Q16" i="2"/>
  <c r="I64" i="3"/>
  <c r="B12" i="3"/>
  <c r="K101" i="5"/>
  <c r="I139" i="7"/>
  <c r="H126" i="7"/>
  <c r="F153" i="10"/>
  <c r="E173" i="12"/>
  <c r="B52" i="14"/>
  <c r="G19" i="8"/>
  <c r="O163" i="5"/>
  <c r="O109" i="5"/>
  <c r="O83" i="5"/>
  <c r="O65" i="5"/>
  <c r="C18" i="5"/>
  <c r="E18" i="13"/>
  <c r="E13" i="14"/>
  <c r="L123" i="11"/>
  <c r="B173" i="12"/>
  <c r="C163" i="5"/>
  <c r="F80" i="11"/>
  <c r="N60" i="11"/>
  <c r="E177" i="13"/>
  <c r="E154" i="13"/>
  <c r="E86" i="13"/>
  <c r="E113" i="14"/>
  <c r="B63" i="14"/>
  <c r="D50" i="14"/>
  <c r="E28" i="14"/>
  <c r="E25" i="14"/>
  <c r="N129" i="5"/>
  <c r="F122" i="13"/>
  <c r="B177" i="14"/>
  <c r="G177" i="14" s="1"/>
  <c r="F125" i="14"/>
  <c r="E119" i="14"/>
  <c r="B79" i="14"/>
  <c r="F55" i="14"/>
  <c r="I188" i="2"/>
  <c r="B109" i="6"/>
  <c r="I96" i="6"/>
  <c r="H21" i="6"/>
  <c r="M133" i="10"/>
  <c r="M121" i="10"/>
  <c r="J100" i="10"/>
  <c r="E72" i="10"/>
  <c r="D62" i="10"/>
  <c r="I37" i="10"/>
  <c r="L34" i="10"/>
  <c r="I25" i="10"/>
  <c r="J12" i="3"/>
  <c r="D10" i="3"/>
  <c r="M7" i="3"/>
  <c r="K95" i="7"/>
  <c r="L132" i="6"/>
  <c r="G130" i="6"/>
  <c r="E119" i="6"/>
  <c r="I133" i="10"/>
  <c r="E121" i="10"/>
  <c r="E109" i="10"/>
  <c r="F88" i="10"/>
  <c r="H25" i="10"/>
  <c r="L187" i="2"/>
  <c r="J135" i="3"/>
  <c r="P36" i="3"/>
  <c r="F95" i="7"/>
  <c r="C27" i="7"/>
  <c r="L179" i="6"/>
  <c r="F177" i="6"/>
  <c r="M36" i="6"/>
  <c r="O16" i="6"/>
  <c r="L11" i="6"/>
  <c r="O11" i="12" s="1"/>
  <c r="F8" i="6"/>
  <c r="O176" i="10"/>
  <c r="I157" i="10"/>
  <c r="E133" i="10"/>
  <c r="M13" i="10"/>
  <c r="D187" i="2"/>
  <c r="F187" i="2" s="1"/>
  <c r="Q140" i="2"/>
  <c r="L116" i="2"/>
  <c r="E80" i="2"/>
  <c r="L56" i="2"/>
  <c r="I28" i="2"/>
  <c r="L187" i="3"/>
  <c r="P182" i="3"/>
  <c r="L179" i="3"/>
  <c r="I68" i="3"/>
  <c r="G52" i="3"/>
  <c r="O36" i="3"/>
  <c r="F30" i="3"/>
  <c r="M15" i="3"/>
  <c r="F109" i="6"/>
  <c r="M38" i="6"/>
  <c r="J16" i="6"/>
  <c r="H11" i="6"/>
  <c r="P11" i="12" s="1"/>
  <c r="E176" i="10"/>
  <c r="N25" i="10"/>
  <c r="I19" i="8"/>
  <c r="F18" i="8"/>
  <c r="O141" i="5"/>
  <c r="I122" i="5"/>
  <c r="O101" i="5"/>
  <c r="N85" i="5"/>
  <c r="K65" i="5"/>
  <c r="I13" i="5"/>
  <c r="F78" i="12"/>
  <c r="F77" i="12"/>
  <c r="E134" i="13"/>
  <c r="E116" i="13"/>
  <c r="G110" i="13"/>
  <c r="F98" i="13"/>
  <c r="G9" i="13"/>
  <c r="E172" i="14"/>
  <c r="E169" i="14"/>
  <c r="B161" i="14"/>
  <c r="D139" i="14"/>
  <c r="E129" i="14"/>
  <c r="G129" i="14" s="1"/>
  <c r="B125" i="14"/>
  <c r="F115" i="14"/>
  <c r="F77" i="14"/>
  <c r="E74" i="14"/>
  <c r="F65" i="14"/>
  <c r="L155" i="11"/>
  <c r="I72" i="11"/>
  <c r="N62" i="11"/>
  <c r="K43" i="11"/>
  <c r="C34" i="12"/>
  <c r="F110" i="13"/>
  <c r="K79" i="5"/>
  <c r="K71" i="5"/>
  <c r="I29" i="5"/>
  <c r="L108" i="11"/>
  <c r="I97" i="11"/>
  <c r="O94" i="11"/>
  <c r="D72" i="11"/>
  <c r="H62" i="11"/>
  <c r="D60" i="11"/>
  <c r="O53" i="11"/>
  <c r="G43" i="11"/>
  <c r="L32" i="11"/>
  <c r="B107" i="12"/>
  <c r="B78" i="12"/>
  <c r="G40" i="13"/>
  <c r="G20" i="13"/>
  <c r="E161" i="14"/>
  <c r="F152" i="14"/>
  <c r="E125" i="14"/>
  <c r="D111" i="14"/>
  <c r="F61" i="14"/>
  <c r="C30" i="14"/>
  <c r="B7" i="14"/>
  <c r="K150" i="11"/>
  <c r="D147" i="11"/>
  <c r="F29" i="13"/>
  <c r="S192" i="2"/>
  <c r="B181" i="2"/>
  <c r="M174" i="2"/>
  <c r="C143" i="2"/>
  <c r="H120" i="2"/>
  <c r="Q76" i="2"/>
  <c r="C76" i="2"/>
  <c r="F76" i="2" s="1"/>
  <c r="D50" i="2"/>
  <c r="H48" i="2"/>
  <c r="D41" i="2"/>
  <c r="I21" i="2"/>
  <c r="E20" i="2"/>
  <c r="C16" i="2"/>
  <c r="C186" i="3"/>
  <c r="P183" i="3"/>
  <c r="C183" i="3"/>
  <c r="Q127" i="3"/>
  <c r="Q85" i="3"/>
  <c r="G81" i="7"/>
  <c r="N31" i="7"/>
  <c r="O27" i="7"/>
  <c r="O181" i="6"/>
  <c r="L175" i="6"/>
  <c r="E168" i="6"/>
  <c r="L107" i="6"/>
  <c r="K104" i="6"/>
  <c r="R104" i="12" s="1"/>
  <c r="I94" i="6"/>
  <c r="Q94" i="12" s="1"/>
  <c r="N77" i="6"/>
  <c r="I25" i="6"/>
  <c r="G16" i="6"/>
  <c r="E171" i="10"/>
  <c r="N164" i="10"/>
  <c r="J157" i="10"/>
  <c r="I156" i="10"/>
  <c r="I141" i="10"/>
  <c r="C141" i="10"/>
  <c r="I121" i="10"/>
  <c r="F120" i="10"/>
  <c r="I110" i="10"/>
  <c r="K96" i="10"/>
  <c r="L94" i="10"/>
  <c r="I86" i="10"/>
  <c r="K56" i="10"/>
  <c r="O112" i="7"/>
  <c r="H181" i="6"/>
  <c r="G122" i="6"/>
  <c r="O114" i="6"/>
  <c r="L69" i="6"/>
  <c r="O69" i="12" s="1"/>
  <c r="M72" i="10"/>
  <c r="I61" i="10"/>
  <c r="F56" i="10"/>
  <c r="I34" i="10"/>
  <c r="M140" i="2"/>
  <c r="S104" i="2"/>
  <c r="I76" i="2"/>
  <c r="R20" i="2"/>
  <c r="M16" i="2"/>
  <c r="J183" i="3"/>
  <c r="G143" i="3"/>
  <c r="H143" i="3" s="1"/>
  <c r="Q135" i="3"/>
  <c r="G135" i="3"/>
  <c r="N108" i="3"/>
  <c r="O56" i="3"/>
  <c r="P42" i="3"/>
  <c r="L36" i="3"/>
  <c r="N152" i="7"/>
  <c r="G112" i="7"/>
  <c r="C181" i="6"/>
  <c r="F155" i="6"/>
  <c r="K128" i="6"/>
  <c r="F122" i="6"/>
  <c r="F119" i="6"/>
  <c r="O111" i="6"/>
  <c r="L103" i="6"/>
  <c r="M55" i="6"/>
  <c r="O48" i="6"/>
  <c r="O36" i="6"/>
  <c r="I21" i="6"/>
  <c r="K16" i="6"/>
  <c r="S16" i="12" s="1"/>
  <c r="B16" i="6"/>
  <c r="I185" i="10"/>
  <c r="E161" i="10"/>
  <c r="B157" i="10"/>
  <c r="H155" i="10"/>
  <c r="D153" i="10"/>
  <c r="M141" i="10"/>
  <c r="G141" i="10"/>
  <c r="F132" i="10"/>
  <c r="C129" i="10"/>
  <c r="K72" i="10"/>
  <c r="E56" i="10"/>
  <c r="O49" i="10"/>
  <c r="Q187" i="2"/>
  <c r="D140" i="2"/>
  <c r="Q137" i="2"/>
  <c r="Q120" i="2"/>
  <c r="B104" i="2"/>
  <c r="Q98" i="2"/>
  <c r="I85" i="2"/>
  <c r="S76" i="2"/>
  <c r="E76" i="2"/>
  <c r="G76" i="2" s="1"/>
  <c r="P56" i="2"/>
  <c r="Q48" i="2"/>
  <c r="Q36" i="2"/>
  <c r="Q21" i="2"/>
  <c r="Q20" i="2"/>
  <c r="I16" i="2"/>
  <c r="O187" i="3"/>
  <c r="O186" i="3"/>
  <c r="I183" i="3"/>
  <c r="O170" i="3"/>
  <c r="I156" i="3"/>
  <c r="B152" i="3"/>
  <c r="Q147" i="3"/>
  <c r="I144" i="3"/>
  <c r="D143" i="3"/>
  <c r="I140" i="3"/>
  <c r="I137" i="3"/>
  <c r="P135" i="3"/>
  <c r="B135" i="3"/>
  <c r="J117" i="3"/>
  <c r="Q114" i="3"/>
  <c r="G108" i="3"/>
  <c r="Q68" i="3"/>
  <c r="L56" i="3"/>
  <c r="F44" i="3"/>
  <c r="N42" i="3"/>
  <c r="D36" i="3"/>
  <c r="P16" i="3"/>
  <c r="N14" i="3"/>
  <c r="H171" i="10"/>
  <c r="L141" i="10"/>
  <c r="D141" i="10"/>
  <c r="B25" i="10"/>
  <c r="M15" i="10"/>
  <c r="L13" i="10"/>
  <c r="J27" i="7"/>
  <c r="I27" i="7"/>
  <c r="H94" i="7"/>
  <c r="J30" i="7"/>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E72" i="13"/>
  <c r="E69" i="13"/>
  <c r="G29" i="13"/>
  <c r="F19" i="13"/>
  <c r="G13" i="13"/>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G170" i="13"/>
  <c r="F124" i="13"/>
  <c r="E98" i="13"/>
  <c r="F80" i="13"/>
  <c r="E13" i="13"/>
  <c r="F15" i="14"/>
  <c r="O151" i="5"/>
  <c r="O133" i="5"/>
  <c r="C123" i="5"/>
  <c r="I114" i="5"/>
  <c r="K107" i="5"/>
  <c r="O97" i="5"/>
  <c r="O89" i="5"/>
  <c r="O81" i="5"/>
  <c r="O75" i="5"/>
  <c r="N69" i="5"/>
  <c r="K63" i="5"/>
  <c r="N44" i="5"/>
  <c r="C34" i="5"/>
  <c r="N23" i="5"/>
  <c r="K166" i="11"/>
  <c r="I94" i="11"/>
  <c r="J92" i="11"/>
  <c r="L88" i="11"/>
  <c r="G53" i="11"/>
  <c r="G74" i="12"/>
  <c r="F96" i="13"/>
  <c r="F90" i="13"/>
  <c r="E141" i="14"/>
  <c r="F99" i="14"/>
  <c r="F93" i="14"/>
  <c r="E78" i="14"/>
  <c r="B71" i="14"/>
  <c r="F69" i="14"/>
  <c r="D62" i="14"/>
  <c r="F60" i="14"/>
  <c r="E41" i="14"/>
  <c r="G41" i="14" s="1"/>
  <c r="B31" i="14"/>
  <c r="F29" i="14"/>
  <c r="D15" i="14"/>
  <c r="C13" i="14"/>
  <c r="I168" i="2"/>
  <c r="C166" i="2"/>
  <c r="D157" i="2"/>
  <c r="C147" i="2"/>
  <c r="D137" i="2"/>
  <c r="P128" i="2"/>
  <c r="L80" i="2"/>
  <c r="P76" i="2"/>
  <c r="I75" i="2"/>
  <c r="R68" i="2"/>
  <c r="D66" i="2"/>
  <c r="H52" i="2"/>
  <c r="H40" i="2"/>
  <c r="I32" i="2"/>
  <c r="S16" i="2"/>
  <c r="J188" i="3"/>
  <c r="M187" i="3"/>
  <c r="D187" i="3"/>
  <c r="E187" i="3" s="1"/>
  <c r="O183" i="3"/>
  <c r="D183" i="3"/>
  <c r="B179" i="3"/>
  <c r="D178" i="3"/>
  <c r="O175" i="3"/>
  <c r="I172" i="3"/>
  <c r="N171" i="3"/>
  <c r="F171" i="3"/>
  <c r="Q168" i="3"/>
  <c r="O166" i="3"/>
  <c r="I163" i="3"/>
  <c r="P157" i="3"/>
  <c r="O135" i="3"/>
  <c r="D135" i="3"/>
  <c r="E135" i="3" s="1"/>
  <c r="J129" i="3"/>
  <c r="P127" i="3"/>
  <c r="M122" i="3"/>
  <c r="Q108" i="3"/>
  <c r="C108" i="3"/>
  <c r="E108" i="3" s="1"/>
  <c r="P103" i="3"/>
  <c r="J93" i="3"/>
  <c r="P87" i="3"/>
  <c r="I85" i="3"/>
  <c r="J82" i="3"/>
  <c r="M79" i="3"/>
  <c r="M71" i="3"/>
  <c r="G68" i="3"/>
  <c r="E68" i="5" s="1"/>
  <c r="G64" i="3"/>
  <c r="F56" i="3"/>
  <c r="L48" i="3"/>
  <c r="N46" i="3"/>
  <c r="I42" i="3"/>
  <c r="F36" i="3"/>
  <c r="G32" i="3"/>
  <c r="N20" i="3"/>
  <c r="Q12" i="3"/>
  <c r="D12" i="3"/>
  <c r="L171" i="7"/>
  <c r="R191" i="2"/>
  <c r="Q173" i="2"/>
  <c r="L171" i="3"/>
  <c r="D171" i="3"/>
  <c r="G127" i="3"/>
  <c r="Q72" i="3"/>
  <c r="L189" i="7"/>
  <c r="K189" i="12" s="1"/>
  <c r="I171" i="7"/>
  <c r="G113" i="7"/>
  <c r="M112" i="7"/>
  <c r="I191" i="2"/>
  <c r="Q188" i="2"/>
  <c r="S181" i="2"/>
  <c r="C173" i="2"/>
  <c r="R167" i="2"/>
  <c r="D165" i="2"/>
  <c r="E140" i="2"/>
  <c r="M136" i="2"/>
  <c r="I133" i="2"/>
  <c r="B128" i="2"/>
  <c r="Q106" i="2"/>
  <c r="R104" i="2"/>
  <c r="H96" i="2"/>
  <c r="C87" i="2"/>
  <c r="B12" i="2"/>
  <c r="Q187" i="3"/>
  <c r="G187" i="3"/>
  <c r="O178" i="3"/>
  <c r="P171" i="3"/>
  <c r="J171" i="3"/>
  <c r="C171" i="3"/>
  <c r="L162" i="3"/>
  <c r="Q156" i="3"/>
  <c r="B127" i="3"/>
  <c r="I112" i="3"/>
  <c r="Q109" i="3"/>
  <c r="L108" i="3"/>
  <c r="Q104" i="3"/>
  <c r="L94" i="3"/>
  <c r="L92" i="3"/>
  <c r="G72" i="3"/>
  <c r="E72" i="5" s="1"/>
  <c r="P68" i="3"/>
  <c r="L67" i="3"/>
  <c r="Q64" i="3"/>
  <c r="G59" i="3"/>
  <c r="E59" i="5" s="1"/>
  <c r="P47" i="3"/>
  <c r="J28" i="3"/>
  <c r="H189" i="7"/>
  <c r="H189" i="12" s="1"/>
  <c r="E171" i="7"/>
  <c r="E113" i="7"/>
  <c r="S75" i="2"/>
  <c r="G72" i="7"/>
  <c r="C72" i="7"/>
  <c r="O72" i="7"/>
  <c r="D72" i="7"/>
  <c r="I72" i="7"/>
  <c r="I12" i="10"/>
  <c r="L18" i="7"/>
  <c r="I183" i="6"/>
  <c r="K169" i="6"/>
  <c r="L52" i="6"/>
  <c r="M187" i="10"/>
  <c r="L133" i="10"/>
  <c r="H133" i="10"/>
  <c r="D133" i="10"/>
  <c r="O132" i="10"/>
  <c r="J132" i="10"/>
  <c r="E132" i="10"/>
  <c r="J125" i="10"/>
  <c r="N69" i="10"/>
  <c r="O68" i="10"/>
  <c r="L57" i="10"/>
  <c r="M49" i="10"/>
  <c r="F18" i="7"/>
  <c r="E183" i="6"/>
  <c r="I169" i="6"/>
  <c r="O130" i="6"/>
  <c r="J97" i="6"/>
  <c r="I77" i="6"/>
  <c r="K52" i="6"/>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I21" i="7"/>
  <c r="B18" i="7"/>
  <c r="L183" i="6"/>
  <c r="D183" i="6"/>
  <c r="I181" i="6"/>
  <c r="N177" i="6"/>
  <c r="K176" i="6"/>
  <c r="I170" i="6"/>
  <c r="C169" i="6"/>
  <c r="L131" i="6"/>
  <c r="K130" i="6"/>
  <c r="N122" i="6"/>
  <c r="H109" i="6"/>
  <c r="P109" i="12" s="1"/>
  <c r="I108" i="6"/>
  <c r="Q108" i="12" s="1"/>
  <c r="M103" i="6"/>
  <c r="L99" i="6"/>
  <c r="H97" i="6"/>
  <c r="G52" i="6"/>
  <c r="M49" i="6"/>
  <c r="K43" i="6"/>
  <c r="M29" i="6"/>
  <c r="G24" i="6"/>
  <c r="H17" i="6"/>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K95" i="5"/>
  <c r="C93" i="5"/>
  <c r="N89" i="5"/>
  <c r="O85" i="5"/>
  <c r="K83" i="5"/>
  <c r="C81" i="5"/>
  <c r="C77" i="5"/>
  <c r="N73" i="5"/>
  <c r="O69" i="5"/>
  <c r="K67" i="5"/>
  <c r="C65" i="5"/>
  <c r="I45" i="5"/>
  <c r="I44" i="5"/>
  <c r="N39" i="5"/>
  <c r="N31" i="5"/>
  <c r="I28" i="5"/>
  <c r="O143" i="5"/>
  <c r="K141" i="5"/>
  <c r="O111" i="5"/>
  <c r="K109" i="5"/>
  <c r="N105" i="5"/>
  <c r="P105" i="5" s="1"/>
  <c r="O99" i="5"/>
  <c r="K97" i="5"/>
  <c r="O91" i="5"/>
  <c r="K89" i="5"/>
  <c r="O166" i="5"/>
  <c r="I161" i="5"/>
  <c r="O149" i="5"/>
  <c r="K143" i="5"/>
  <c r="C141" i="5"/>
  <c r="N131" i="5"/>
  <c r="N123" i="5"/>
  <c r="N122" i="5"/>
  <c r="K117" i="5"/>
  <c r="K111" i="5"/>
  <c r="C109" i="5"/>
  <c r="C105" i="5"/>
  <c r="N101" i="5"/>
  <c r="K99" i="5"/>
  <c r="C97" i="5"/>
  <c r="N93" i="5"/>
  <c r="K91" i="5"/>
  <c r="C89" i="5"/>
  <c r="C85" i="5"/>
  <c r="N81" i="5"/>
  <c r="O77" i="5"/>
  <c r="K75" i="5"/>
  <c r="C73" i="5"/>
  <c r="C69" i="5"/>
  <c r="N65" i="5"/>
  <c r="I20" i="5"/>
  <c r="N15" i="5"/>
  <c r="D7" i="5"/>
  <c r="N7" i="5"/>
  <c r="D12" i="5"/>
  <c r="I12" i="5"/>
  <c r="F186" i="13"/>
  <c r="F138" i="13"/>
  <c r="E94" i="13"/>
  <c r="E92" i="13"/>
  <c r="E62" i="13"/>
  <c r="E40" i="13"/>
  <c r="E183" i="14"/>
  <c r="G183" i="14" s="1"/>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F129" i="13"/>
  <c r="F112" i="13"/>
  <c r="E108" i="13"/>
  <c r="F81" i="13"/>
  <c r="E70" i="13"/>
  <c r="E65" i="13"/>
  <c r="F51" i="13"/>
  <c r="F37" i="13"/>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F7" i="14"/>
  <c r="M167" i="11"/>
  <c r="M42" i="11"/>
  <c r="F151" i="12"/>
  <c r="D167" i="11"/>
  <c r="I164" i="11"/>
  <c r="I147" i="11"/>
  <c r="K142" i="11"/>
  <c r="H140" i="11"/>
  <c r="M130" i="11"/>
  <c r="N117" i="11"/>
  <c r="K98" i="11"/>
  <c r="H84" i="11"/>
  <c r="M82" i="11"/>
  <c r="L76" i="11"/>
  <c r="L60" i="11"/>
  <c r="L58" i="11"/>
  <c r="E42" i="11"/>
  <c r="I17" i="11"/>
  <c r="B151" i="12"/>
  <c r="F129" i="12"/>
  <c r="D91" i="12"/>
  <c r="E57" i="12"/>
  <c r="G185" i="13"/>
  <c r="F156" i="13"/>
  <c r="F134" i="13"/>
  <c r="F94" i="13"/>
  <c r="F84" i="13"/>
  <c r="G82" i="13"/>
  <c r="E64" i="13"/>
  <c r="G62" i="13"/>
  <c r="G54" i="13"/>
  <c r="F40" i="13"/>
  <c r="E11" i="13"/>
  <c r="E6" i="13"/>
  <c r="D157" i="14"/>
  <c r="E149" i="14"/>
  <c r="B137" i="14"/>
  <c r="C129" i="14"/>
  <c r="E126" i="14"/>
  <c r="E123" i="14"/>
  <c r="B95" i="14"/>
  <c r="E93" i="14"/>
  <c r="E17" i="14"/>
  <c r="E15" i="14"/>
  <c r="E14" i="14"/>
  <c r="E12" i="14"/>
  <c r="G12" i="14" s="1"/>
  <c r="C165" i="6"/>
  <c r="E165" i="6"/>
  <c r="B138" i="6"/>
  <c r="K138" i="6"/>
  <c r="P120" i="2"/>
  <c r="E120" i="2"/>
  <c r="G120" i="2" s="1"/>
  <c r="P48" i="2"/>
  <c r="E48" i="2"/>
  <c r="Q34" i="2"/>
  <c r="L182" i="3"/>
  <c r="M166" i="3"/>
  <c r="M157" i="3"/>
  <c r="N147" i="3"/>
  <c r="Q133" i="3"/>
  <c r="O104" i="3"/>
  <c r="I94" i="3"/>
  <c r="Q93" i="3"/>
  <c r="G93" i="3"/>
  <c r="E93" i="5" s="1"/>
  <c r="Q92" i="3"/>
  <c r="G92" i="3"/>
  <c r="E92" i="5" s="1"/>
  <c r="O85" i="3"/>
  <c r="G85" i="3"/>
  <c r="L47" i="3"/>
  <c r="P40" i="3"/>
  <c r="Q39" i="3"/>
  <c r="L165" i="6"/>
  <c r="F165" i="6"/>
  <c r="C161" i="6"/>
  <c r="I161" i="6"/>
  <c r="F161" i="6"/>
  <c r="E112" i="6"/>
  <c r="L112" i="6"/>
  <c r="I112" i="6"/>
  <c r="C95" i="6"/>
  <c r="L95" i="6"/>
  <c r="E73" i="6"/>
  <c r="H73" i="6"/>
  <c r="L73" i="12" s="1"/>
  <c r="B73" i="6"/>
  <c r="L73" i="6"/>
  <c r="I12" i="6"/>
  <c r="Q12" i="12" s="1"/>
  <c r="N12" i="6"/>
  <c r="L146" i="10"/>
  <c r="D146" i="10"/>
  <c r="R175" i="2"/>
  <c r="M173" i="2"/>
  <c r="Q184" i="2"/>
  <c r="Q182" i="2"/>
  <c r="M175" i="2"/>
  <c r="R143" i="2"/>
  <c r="S128" i="2"/>
  <c r="H128" i="2"/>
  <c r="M120" i="2"/>
  <c r="C120" i="2"/>
  <c r="M104" i="2"/>
  <c r="L81" i="2"/>
  <c r="M48" i="2"/>
  <c r="C48" i="2"/>
  <c r="L34" i="2"/>
  <c r="S28" i="2"/>
  <c r="L20" i="2"/>
  <c r="I182" i="3"/>
  <c r="I178" i="3"/>
  <c r="I166" i="3"/>
  <c r="L157" i="3"/>
  <c r="Q152" i="3"/>
  <c r="I147" i="3"/>
  <c r="L133" i="3"/>
  <c r="O131" i="3"/>
  <c r="I104" i="3"/>
  <c r="Q96" i="3"/>
  <c r="Q94" i="3"/>
  <c r="F94" i="3"/>
  <c r="O93" i="3"/>
  <c r="F93" i="3"/>
  <c r="P92" i="3"/>
  <c r="F92" i="3"/>
  <c r="N85" i="3"/>
  <c r="C85" i="3"/>
  <c r="P72" i="3"/>
  <c r="L66" i="3"/>
  <c r="I47" i="3"/>
  <c r="L40" i="3"/>
  <c r="M39" i="3"/>
  <c r="Q24" i="3"/>
  <c r="I93" i="7"/>
  <c r="N27" i="7"/>
  <c r="F27" i="7"/>
  <c r="M181" i="6"/>
  <c r="G181" i="6"/>
  <c r="M180" i="6"/>
  <c r="O169" i="6"/>
  <c r="G169" i="6"/>
  <c r="M168" i="6"/>
  <c r="F167" i="6"/>
  <c r="J165" i="6"/>
  <c r="D165" i="6"/>
  <c r="E128" i="6"/>
  <c r="H128" i="6"/>
  <c r="G128" i="6"/>
  <c r="B101" i="6"/>
  <c r="F101" i="6"/>
  <c r="I101" i="6"/>
  <c r="E101" i="6"/>
  <c r="N101" i="6"/>
  <c r="I72" i="6"/>
  <c r="M72" i="12" s="1"/>
  <c r="K72" i="6"/>
  <c r="S72" i="12" s="1"/>
  <c r="G72" i="6"/>
  <c r="C44" i="6"/>
  <c r="G44" i="6"/>
  <c r="H44" i="6"/>
  <c r="E44" i="6"/>
  <c r="M44" i="6"/>
  <c r="I31" i="6"/>
  <c r="O31" i="6"/>
  <c r="G31" i="6"/>
  <c r="I177" i="10"/>
  <c r="H177" i="10"/>
  <c r="B149" i="10"/>
  <c r="K149" i="10"/>
  <c r="F149" i="10"/>
  <c r="I173" i="2"/>
  <c r="M147" i="2"/>
  <c r="L144" i="2"/>
  <c r="I184" i="2"/>
  <c r="I182" i="2"/>
  <c r="D175" i="2"/>
  <c r="F175" i="2" s="1"/>
  <c r="S173" i="2"/>
  <c r="E173" i="2"/>
  <c r="H147" i="2"/>
  <c r="L145" i="2"/>
  <c r="L143" i="2"/>
  <c r="H140" i="2"/>
  <c r="R128" i="2"/>
  <c r="E128" i="2"/>
  <c r="G128" i="2" s="1"/>
  <c r="L126" i="2"/>
  <c r="S120" i="2"/>
  <c r="I120" i="2"/>
  <c r="B120" i="2"/>
  <c r="L117" i="2"/>
  <c r="E104" i="2"/>
  <c r="G104" i="2" s="1"/>
  <c r="R96" i="2"/>
  <c r="M88" i="2"/>
  <c r="D81" i="2"/>
  <c r="I59" i="2"/>
  <c r="P52" i="2"/>
  <c r="L50" i="2"/>
  <c r="S48" i="2"/>
  <c r="I48" i="2"/>
  <c r="D34" i="2"/>
  <c r="Q32" i="2"/>
  <c r="P28" i="2"/>
  <c r="H20" i="2"/>
  <c r="P12" i="2"/>
  <c r="N183" i="3"/>
  <c r="F183" i="3"/>
  <c r="Q182" i="3"/>
  <c r="G182" i="3"/>
  <c r="P178" i="3"/>
  <c r="G178" i="3"/>
  <c r="D166" i="3"/>
  <c r="O163" i="3"/>
  <c r="D157" i="3"/>
  <c r="N152" i="3"/>
  <c r="O143" i="3"/>
  <c r="M135" i="3"/>
  <c r="F135" i="3"/>
  <c r="D133" i="3"/>
  <c r="I131" i="3"/>
  <c r="L127" i="3"/>
  <c r="O122" i="3"/>
  <c r="N117" i="3"/>
  <c r="L112" i="3"/>
  <c r="G104" i="3"/>
  <c r="M98" i="3"/>
  <c r="I96" i="3"/>
  <c r="N94" i="3"/>
  <c r="M93" i="3"/>
  <c r="M92" i="3"/>
  <c r="B92" i="3"/>
  <c r="J85" i="3"/>
  <c r="B85" i="3"/>
  <c r="M82" i="3"/>
  <c r="I72" i="3"/>
  <c r="B66" i="3"/>
  <c r="P64" i="3"/>
  <c r="Q57" i="3"/>
  <c r="J56" i="3"/>
  <c r="Q47" i="3"/>
  <c r="C47" i="3"/>
  <c r="E47" i="3" s="1"/>
  <c r="F40" i="3"/>
  <c r="C39" i="3"/>
  <c r="J36" i="3"/>
  <c r="Q35" i="3"/>
  <c r="Q28" i="3"/>
  <c r="I24" i="3"/>
  <c r="N21" i="3"/>
  <c r="H113" i="7"/>
  <c r="J94" i="7"/>
  <c r="D93" i="7"/>
  <c r="H72" i="7"/>
  <c r="N71" i="7"/>
  <c r="K27" i="7"/>
  <c r="E27" i="7"/>
  <c r="L181" i="6"/>
  <c r="D181" i="6"/>
  <c r="I180" i="6"/>
  <c r="M169" i="6"/>
  <c r="E169" i="6"/>
  <c r="I168" i="6"/>
  <c r="Q168" i="12" s="1"/>
  <c r="L167" i="6"/>
  <c r="E167" i="6"/>
  <c r="N165" i="6"/>
  <c r="I165" i="6"/>
  <c r="B165" i="6"/>
  <c r="B114" i="6"/>
  <c r="G114" i="6"/>
  <c r="E114" i="6"/>
  <c r="C71" i="6"/>
  <c r="K71" i="6"/>
  <c r="S71" i="12" s="1"/>
  <c r="O71" i="6"/>
  <c r="G71" i="6"/>
  <c r="D69" i="6"/>
  <c r="I69" i="6"/>
  <c r="Q69" i="12" s="1"/>
  <c r="N69" i="6"/>
  <c r="E69" i="6"/>
  <c r="J69" i="6"/>
  <c r="B69" i="6"/>
  <c r="H69" i="6"/>
  <c r="L69" i="12" s="1"/>
  <c r="M69" i="6"/>
  <c r="B41" i="6"/>
  <c r="I41" i="6"/>
  <c r="N41" i="6"/>
  <c r="H41" i="6"/>
  <c r="E27" i="6"/>
  <c r="I27" i="6"/>
  <c r="M27" i="12" s="1"/>
  <c r="K27" i="6"/>
  <c r="N27" i="12" s="1"/>
  <c r="G27" i="6"/>
  <c r="C166" i="10"/>
  <c r="G166" i="10"/>
  <c r="K166" i="10"/>
  <c r="E166" i="10"/>
  <c r="B148" i="10"/>
  <c r="G148" i="10"/>
  <c r="N148" i="10"/>
  <c r="C148" i="10"/>
  <c r="I122" i="6"/>
  <c r="I111" i="6"/>
  <c r="Q111" i="12" s="1"/>
  <c r="N109" i="6"/>
  <c r="I109" i="6"/>
  <c r="D109" i="6"/>
  <c r="K108" i="6"/>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N145" i="5"/>
  <c r="O139" i="5"/>
  <c r="O135" i="5"/>
  <c r="C133" i="5"/>
  <c r="I130" i="5"/>
  <c r="I129" i="5"/>
  <c r="I117" i="5"/>
  <c r="N117" i="5"/>
  <c r="P117" i="5" s="1"/>
  <c r="C117" i="5"/>
  <c r="K151" i="5"/>
  <c r="K149" i="5"/>
  <c r="N139" i="5"/>
  <c r="O127" i="5"/>
  <c r="I125" i="5"/>
  <c r="C125" i="5"/>
  <c r="N125" i="5"/>
  <c r="O87" i="5"/>
  <c r="K85" i="5"/>
  <c r="O79" i="5"/>
  <c r="K77" i="5"/>
  <c r="O71" i="5"/>
  <c r="K69" i="5"/>
  <c r="O63" i="5"/>
  <c r="N46" i="5"/>
  <c r="O42" i="5"/>
  <c r="N32" i="5"/>
  <c r="N28" i="5"/>
  <c r="C26" i="5"/>
  <c r="I21" i="5"/>
  <c r="O18" i="5"/>
  <c r="N14" i="5"/>
  <c r="O10" i="5"/>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E185" i="13"/>
  <c r="F182" i="13"/>
  <c r="F178" i="13"/>
  <c r="E138" i="13"/>
  <c r="G126" i="13"/>
  <c r="F118" i="13"/>
  <c r="E102" i="13"/>
  <c r="G102" i="13"/>
  <c r="L183" i="11"/>
  <c r="L163" i="11"/>
  <c r="M154" i="11"/>
  <c r="H144" i="11"/>
  <c r="O134" i="11"/>
  <c r="K129" i="11"/>
  <c r="L127" i="11"/>
  <c r="H64" i="11"/>
  <c r="F34" i="11"/>
  <c r="N32" i="11"/>
  <c r="I32" i="11"/>
  <c r="D32" i="11"/>
  <c r="E178" i="13"/>
  <c r="G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E171" i="13"/>
  <c r="E146" i="13"/>
  <c r="G146" i="13"/>
  <c r="F130" i="13"/>
  <c r="G125" i="13"/>
  <c r="E106" i="13"/>
  <c r="N26" i="5"/>
  <c r="E127" i="12"/>
  <c r="E109" i="12"/>
  <c r="D99" i="12"/>
  <c r="E63" i="12"/>
  <c r="F40" i="12"/>
  <c r="D19" i="12"/>
  <c r="E130" i="13"/>
  <c r="G118" i="13"/>
  <c r="F104" i="13"/>
  <c r="F100" i="13"/>
  <c r="E96" i="13"/>
  <c r="G56" i="13"/>
  <c r="E38" i="13"/>
  <c r="G34" i="13"/>
  <c r="G25" i="13"/>
  <c r="C156" i="14"/>
  <c r="C149" i="14"/>
  <c r="E148" i="14"/>
  <c r="E127" i="14"/>
  <c r="D115" i="14"/>
  <c r="C113" i="14"/>
  <c r="E55" i="14"/>
  <c r="F52" i="14"/>
  <c r="E39" i="14"/>
  <c r="E37" i="14"/>
  <c r="D33" i="14"/>
  <c r="F31" i="14"/>
  <c r="D29" i="14"/>
  <c r="F11" i="14"/>
  <c r="E9" i="14"/>
  <c r="G9" i="14" s="1"/>
  <c r="F116" i="13"/>
  <c r="E112" i="13"/>
  <c r="E100" i="13"/>
  <c r="G94" i="13"/>
  <c r="F92" i="13"/>
  <c r="G86" i="13"/>
  <c r="E83" i="13"/>
  <c r="G80" i="13"/>
  <c r="F73" i="13"/>
  <c r="G69" i="13"/>
  <c r="E56" i="13"/>
  <c r="G50" i="13"/>
  <c r="E29" i="13"/>
  <c r="F23" i="13"/>
  <c r="F187" i="14"/>
  <c r="F160" i="14"/>
  <c r="B156" i="14"/>
  <c r="D153" i="14"/>
  <c r="F149" i="14"/>
  <c r="B149" i="14"/>
  <c r="B148" i="14"/>
  <c r="B127" i="14"/>
  <c r="B115" i="14"/>
  <c r="F113" i="14"/>
  <c r="B113" i="14"/>
  <c r="G113" i="14" s="1"/>
  <c r="F111" i="14"/>
  <c r="E109" i="14"/>
  <c r="G109" i="14" s="1"/>
  <c r="F107" i="14"/>
  <c r="E97" i="14"/>
  <c r="E95" i="14"/>
  <c r="E94" i="14"/>
  <c r="D59" i="14"/>
  <c r="D55" i="14"/>
  <c r="E53" i="14"/>
  <c r="E52" i="14"/>
  <c r="B39" i="14"/>
  <c r="C37" i="14"/>
  <c r="B33" i="14"/>
  <c r="G4" i="21" s="1"/>
  <c r="E31" i="14"/>
  <c r="B29" i="14"/>
  <c r="F27" i="14"/>
  <c r="E20" i="14"/>
  <c r="D11" i="14"/>
  <c r="C9" i="14"/>
  <c r="E7" i="14"/>
  <c r="E80" i="13"/>
  <c r="G38" i="13"/>
  <c r="E156" i="14"/>
  <c r="F148" i="14"/>
  <c r="F127" i="14"/>
  <c r="E115" i="14"/>
  <c r="F39" i="14"/>
  <c r="E33" i="14"/>
  <c r="F4" i="21" s="1"/>
  <c r="E29" i="14"/>
  <c r="P191" i="2"/>
  <c r="H191" i="2"/>
  <c r="Q190" i="2"/>
  <c r="S189" i="2"/>
  <c r="C184" i="2"/>
  <c r="M182" i="2"/>
  <c r="S177" i="2"/>
  <c r="C177" i="2"/>
  <c r="F177" i="2" s="1"/>
  <c r="R173" i="2"/>
  <c r="L173" i="2"/>
  <c r="D173" i="2"/>
  <c r="Q172" i="2"/>
  <c r="I158" i="2"/>
  <c r="C158" i="2"/>
  <c r="S158" i="2"/>
  <c r="L155" i="2"/>
  <c r="D134" i="2"/>
  <c r="L134" i="2"/>
  <c r="I131" i="2"/>
  <c r="C127" i="2"/>
  <c r="I119" i="2"/>
  <c r="Q119" i="2"/>
  <c r="C112" i="2"/>
  <c r="L112" i="2"/>
  <c r="R112" i="2"/>
  <c r="R92" i="2"/>
  <c r="Q88" i="2"/>
  <c r="I65" i="2"/>
  <c r="L65" i="2"/>
  <c r="Q65" i="2"/>
  <c r="R36" i="2"/>
  <c r="I33" i="2"/>
  <c r="Q33" i="2"/>
  <c r="I27" i="2"/>
  <c r="Q181" i="3"/>
  <c r="I154" i="3"/>
  <c r="M154" i="3"/>
  <c r="P154" i="3"/>
  <c r="D145" i="3"/>
  <c r="I145" i="3"/>
  <c r="Q145" i="3"/>
  <c r="B144" i="3"/>
  <c r="M144" i="3"/>
  <c r="F144" i="3"/>
  <c r="N144" i="3"/>
  <c r="L141" i="3"/>
  <c r="I141" i="3"/>
  <c r="P141" i="3"/>
  <c r="I134" i="3"/>
  <c r="C134" i="3"/>
  <c r="P134" i="3"/>
  <c r="G134" i="3"/>
  <c r="L134" i="3"/>
  <c r="C121" i="3"/>
  <c r="D121" i="3"/>
  <c r="J121" i="3"/>
  <c r="N121" i="3"/>
  <c r="F106" i="3"/>
  <c r="D106" i="3"/>
  <c r="Q106" i="3"/>
  <c r="I106" i="3"/>
  <c r="L106" i="3"/>
  <c r="L84" i="3"/>
  <c r="P84" i="3"/>
  <c r="D76" i="3"/>
  <c r="J76" i="3"/>
  <c r="L76" i="3"/>
  <c r="I138" i="2"/>
  <c r="D138" i="2"/>
  <c r="L138" i="2"/>
  <c r="L90" i="2"/>
  <c r="D90" i="2"/>
  <c r="Q90" i="2"/>
  <c r="C72" i="2"/>
  <c r="F72" i="2" s="1"/>
  <c r="I72" i="2"/>
  <c r="Q72" i="2"/>
  <c r="I39" i="2"/>
  <c r="Q39" i="2"/>
  <c r="C36" i="2"/>
  <c r="D36" i="2"/>
  <c r="M36" i="2"/>
  <c r="E36" i="2"/>
  <c r="P36" i="2"/>
  <c r="C188" i="3"/>
  <c r="M188" i="3"/>
  <c r="F188" i="3"/>
  <c r="H188" i="3" s="1"/>
  <c r="N188" i="3"/>
  <c r="C125" i="3"/>
  <c r="B125" i="3"/>
  <c r="M125" i="3"/>
  <c r="F125" i="3"/>
  <c r="N125" i="3"/>
  <c r="I125" i="3"/>
  <c r="K125" i="3" s="1"/>
  <c r="P125" i="3"/>
  <c r="D78" i="3"/>
  <c r="L78" i="3"/>
  <c r="M191" i="2"/>
  <c r="D191" i="2"/>
  <c r="F191" i="2" s="1"/>
  <c r="M190" i="2"/>
  <c r="M189" i="2"/>
  <c r="Q178" i="2"/>
  <c r="Q177" i="2"/>
  <c r="L191" i="2"/>
  <c r="B191" i="2"/>
  <c r="C190" i="2"/>
  <c r="E189" i="2"/>
  <c r="G189" i="2" s="1"/>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I23" i="2"/>
  <c r="Q23" i="2"/>
  <c r="S23" i="2"/>
  <c r="Q188" i="3"/>
  <c r="F184" i="3"/>
  <c r="F179" i="3"/>
  <c r="G179" i="3"/>
  <c r="Q179" i="3"/>
  <c r="J179" i="3"/>
  <c r="D155" i="3"/>
  <c r="Q155" i="3"/>
  <c r="L149" i="3"/>
  <c r="D149" i="3"/>
  <c r="J144" i="3"/>
  <c r="I142" i="3"/>
  <c r="F86" i="3"/>
  <c r="L86" i="3"/>
  <c r="B74" i="3"/>
  <c r="Q74" i="3"/>
  <c r="I177" i="2"/>
  <c r="D153" i="2"/>
  <c r="I153" i="2"/>
  <c r="C107" i="2"/>
  <c r="I107" i="2"/>
  <c r="S107" i="2"/>
  <c r="D93" i="2"/>
  <c r="I93" i="2"/>
  <c r="L93" i="2"/>
  <c r="D92" i="2"/>
  <c r="B92" i="2"/>
  <c r="M92" i="2"/>
  <c r="E92" i="2"/>
  <c r="Q92" i="2"/>
  <c r="B88" i="2"/>
  <c r="E88" i="2"/>
  <c r="S88" i="2"/>
  <c r="I88" i="2"/>
  <c r="I79" i="2"/>
  <c r="Q79" i="2"/>
  <c r="D60" i="2"/>
  <c r="C60" i="2"/>
  <c r="I60" i="2"/>
  <c r="Q49" i="2"/>
  <c r="D49" i="2"/>
  <c r="H36" i="2"/>
  <c r="L10" i="2"/>
  <c r="P10" i="2"/>
  <c r="M126" i="3"/>
  <c r="I126" i="3"/>
  <c r="Q126" i="3"/>
  <c r="D119" i="3"/>
  <c r="C119" i="3"/>
  <c r="N119" i="3"/>
  <c r="F119" i="3"/>
  <c r="P119" i="3"/>
  <c r="I119" i="3"/>
  <c r="B101" i="3"/>
  <c r="I101" i="3"/>
  <c r="J101" i="3"/>
  <c r="C157" i="7"/>
  <c r="L157" i="7"/>
  <c r="D152" i="7"/>
  <c r="E152" i="7"/>
  <c r="J152" i="7"/>
  <c r="O152" i="7"/>
  <c r="C145" i="7"/>
  <c r="G145" i="7"/>
  <c r="C136" i="7"/>
  <c r="C109" i="7"/>
  <c r="B107" i="7"/>
  <c r="B187" i="6"/>
  <c r="M187" i="6"/>
  <c r="F187" i="6"/>
  <c r="H187" i="6"/>
  <c r="M172" i="6"/>
  <c r="I172" i="7"/>
  <c r="I164" i="6"/>
  <c r="Q164" i="12" s="1"/>
  <c r="K164" i="6"/>
  <c r="E164" i="7"/>
  <c r="B147" i="6"/>
  <c r="F147" i="6"/>
  <c r="I147" i="6"/>
  <c r="L147" i="6"/>
  <c r="B135" i="6"/>
  <c r="F135" i="6"/>
  <c r="J135" i="6"/>
  <c r="N135" i="6"/>
  <c r="C135" i="6"/>
  <c r="G135" i="6"/>
  <c r="K135" i="6"/>
  <c r="S135" i="12" s="1"/>
  <c r="O135" i="6"/>
  <c r="D135" i="6"/>
  <c r="H135" i="6"/>
  <c r="P135" i="12" s="1"/>
  <c r="L135" i="6"/>
  <c r="B125" i="6"/>
  <c r="E125" i="6"/>
  <c r="H125" i="6"/>
  <c r="J125" i="6"/>
  <c r="E54" i="6"/>
  <c r="J54" i="6"/>
  <c r="I54" i="7"/>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B140" i="2"/>
  <c r="H68" i="2"/>
  <c r="R56" i="2"/>
  <c r="I53" i="2"/>
  <c r="S32" i="2"/>
  <c r="B32" i="2"/>
  <c r="D21" i="2"/>
  <c r="P20" i="2"/>
  <c r="B20" i="2"/>
  <c r="L17" i="2"/>
  <c r="D13" i="2"/>
  <c r="P187" i="3"/>
  <c r="J187" i="3"/>
  <c r="B187" i="3"/>
  <c r="Q183" i="3"/>
  <c r="M183" i="3"/>
  <c r="G183" i="3"/>
  <c r="O182" i="3"/>
  <c r="Q178" i="3"/>
  <c r="L178" i="3"/>
  <c r="C178" i="3"/>
  <c r="Q171" i="3"/>
  <c r="M171" i="3"/>
  <c r="G171" i="3"/>
  <c r="C170" i="3"/>
  <c r="F168" i="3"/>
  <c r="I122" i="3"/>
  <c r="G117" i="3"/>
  <c r="L115" i="3"/>
  <c r="L114" i="3"/>
  <c r="P112" i="3"/>
  <c r="F112" i="3"/>
  <c r="L110" i="3"/>
  <c r="J109" i="3"/>
  <c r="C105" i="3"/>
  <c r="N104" i="3"/>
  <c r="F104" i="3"/>
  <c r="F98" i="3"/>
  <c r="O83" i="3"/>
  <c r="J77" i="3"/>
  <c r="N73" i="3"/>
  <c r="N72" i="3"/>
  <c r="C72" i="3"/>
  <c r="E72" i="3" s="1"/>
  <c r="C71" i="3"/>
  <c r="G69" i="3"/>
  <c r="H69" i="3" s="1"/>
  <c r="N68" i="3"/>
  <c r="C68" i="3"/>
  <c r="E68" i="3" s="1"/>
  <c r="D67" i="3"/>
  <c r="N64" i="3"/>
  <c r="C64" i="3"/>
  <c r="E64" i="3" s="1"/>
  <c r="F57" i="3"/>
  <c r="M53" i="3"/>
  <c r="Q48" i="3"/>
  <c r="G48" i="3"/>
  <c r="L46" i="3"/>
  <c r="O45" i="3"/>
  <c r="O40" i="3"/>
  <c r="J40" i="3"/>
  <c r="D40" i="3"/>
  <c r="N36" i="3"/>
  <c r="I36" i="3"/>
  <c r="C36" i="3"/>
  <c r="O35" i="3"/>
  <c r="P34" i="3"/>
  <c r="M32" i="3"/>
  <c r="F32" i="3"/>
  <c r="O31" i="3"/>
  <c r="P28" i="3"/>
  <c r="G28" i="3"/>
  <c r="I25" i="3"/>
  <c r="P24" i="3"/>
  <c r="G24" i="3"/>
  <c r="I20" i="3"/>
  <c r="O19" i="3"/>
  <c r="N16" i="3"/>
  <c r="L14" i="3"/>
  <c r="O13" i="3"/>
  <c r="L7" i="3"/>
  <c r="F189" i="7"/>
  <c r="C187" i="7"/>
  <c r="E180" i="7"/>
  <c r="M171" i="7"/>
  <c r="I161" i="7"/>
  <c r="M152" i="7"/>
  <c r="F152" i="7"/>
  <c r="J148" i="7"/>
  <c r="F136" i="7"/>
  <c r="B135" i="7"/>
  <c r="F114" i="7"/>
  <c r="E112" i="7"/>
  <c r="C112" i="7"/>
  <c r="I112" i="7"/>
  <c r="D112" i="7"/>
  <c r="L112" i="7"/>
  <c r="J83" i="7"/>
  <c r="B83" i="7"/>
  <c r="C81" i="7"/>
  <c r="H81" i="7"/>
  <c r="M81" i="7"/>
  <c r="D81" i="7"/>
  <c r="I81" i="7"/>
  <c r="O81" i="7"/>
  <c r="E81" i="7"/>
  <c r="K81" i="7"/>
  <c r="B63" i="7"/>
  <c r="F63" i="7"/>
  <c r="K63" i="7"/>
  <c r="E46" i="7"/>
  <c r="B46" i="7"/>
  <c r="M46" i="7"/>
  <c r="F46" i="7"/>
  <c r="H46" i="7"/>
  <c r="E150" i="6"/>
  <c r="I150" i="7"/>
  <c r="M135" i="6"/>
  <c r="I66" i="6"/>
  <c r="M66" i="12" s="1"/>
  <c r="M66" i="7"/>
  <c r="C62" i="6"/>
  <c r="K62" i="7"/>
  <c r="B13" i="6"/>
  <c r="F13" i="6"/>
  <c r="J13" i="6"/>
  <c r="N13" i="6"/>
  <c r="C13" i="6"/>
  <c r="G13" i="6"/>
  <c r="K13" i="6"/>
  <c r="S13" i="12" s="1"/>
  <c r="O13" i="6"/>
  <c r="D13" i="6"/>
  <c r="L13" i="6"/>
  <c r="O13" i="12" s="1"/>
  <c r="E13" i="6"/>
  <c r="M13" i="6"/>
  <c r="H13" i="6"/>
  <c r="P13" i="12" s="1"/>
  <c r="D175" i="10"/>
  <c r="N175" i="10"/>
  <c r="I175" i="10"/>
  <c r="G162" i="10"/>
  <c r="D162" i="10"/>
  <c r="I162" i="10"/>
  <c r="O162" i="10"/>
  <c r="C105" i="10"/>
  <c r="B105" i="10"/>
  <c r="H105" i="10"/>
  <c r="M105" i="10"/>
  <c r="D105" i="10"/>
  <c r="I105" i="10"/>
  <c r="N105" i="10"/>
  <c r="E105" i="10"/>
  <c r="F105" i="10"/>
  <c r="J105" i="10"/>
  <c r="L105" i="10"/>
  <c r="M102" i="10"/>
  <c r="E102" i="10"/>
  <c r="R120" i="2"/>
  <c r="L120" i="2"/>
  <c r="L104" i="2"/>
  <c r="R80" i="2"/>
  <c r="L143" i="3"/>
  <c r="N136" i="3"/>
  <c r="P133" i="3"/>
  <c r="L130" i="3"/>
  <c r="J127" i="3"/>
  <c r="C122" i="3"/>
  <c r="Q117" i="3"/>
  <c r="C117" i="3"/>
  <c r="N112" i="3"/>
  <c r="C112" i="3"/>
  <c r="E112" i="3" s="1"/>
  <c r="M104" i="3"/>
  <c r="O99" i="3"/>
  <c r="B77" i="3"/>
  <c r="L72" i="3"/>
  <c r="B72" i="3"/>
  <c r="L68" i="3"/>
  <c r="B68" i="3"/>
  <c r="L64" i="3"/>
  <c r="B64" i="3"/>
  <c r="C57" i="3"/>
  <c r="Q49" i="3"/>
  <c r="P48" i="3"/>
  <c r="F48" i="3"/>
  <c r="F46" i="3"/>
  <c r="M45" i="3"/>
  <c r="J42" i="3"/>
  <c r="N40" i="3"/>
  <c r="I40" i="3"/>
  <c r="C40" i="3"/>
  <c r="Q36" i="3"/>
  <c r="M36" i="3"/>
  <c r="G36" i="3"/>
  <c r="L35" i="3"/>
  <c r="Q32" i="3"/>
  <c r="L32" i="3"/>
  <c r="D32" i="3"/>
  <c r="O29" i="3"/>
  <c r="O28" i="3"/>
  <c r="D28" i="3"/>
  <c r="F25" i="3"/>
  <c r="N24" i="3"/>
  <c r="C24" i="3"/>
  <c r="Q22" i="3"/>
  <c r="G20" i="3"/>
  <c r="I19" i="3"/>
  <c r="I16" i="3"/>
  <c r="F14" i="3"/>
  <c r="M13" i="3"/>
  <c r="P12" i="3"/>
  <c r="Q9" i="3"/>
  <c r="Q7" i="3"/>
  <c r="G7" i="3"/>
  <c r="M189" i="7"/>
  <c r="E189" i="7"/>
  <c r="B171" i="7"/>
  <c r="H171" i="7"/>
  <c r="K152" i="7"/>
  <c r="C152" i="7"/>
  <c r="B151" i="7"/>
  <c r="K151" i="7"/>
  <c r="L147" i="7"/>
  <c r="E136" i="7"/>
  <c r="C77" i="7"/>
  <c r="D77" i="7"/>
  <c r="O77" i="7"/>
  <c r="G77" i="7"/>
  <c r="I77" i="7"/>
  <c r="E185" i="6"/>
  <c r="I185" i="6"/>
  <c r="M185" i="6"/>
  <c r="B141" i="6"/>
  <c r="L141" i="6"/>
  <c r="I135" i="6"/>
  <c r="C76" i="6"/>
  <c r="L76" i="5" s="1"/>
  <c r="O76" i="6"/>
  <c r="I76" i="7"/>
  <c r="F15" i="6"/>
  <c r="L15" i="6"/>
  <c r="C15" i="7"/>
  <c r="C168" i="10"/>
  <c r="B168" i="10"/>
  <c r="K168" i="10"/>
  <c r="E168" i="10"/>
  <c r="O168" i="10"/>
  <c r="G168" i="10"/>
  <c r="J168" i="10"/>
  <c r="L51" i="3"/>
  <c r="F49" i="3"/>
  <c r="M48" i="3"/>
  <c r="B48" i="3"/>
  <c r="Q46" i="3"/>
  <c r="D46" i="3"/>
  <c r="B45" i="3"/>
  <c r="Q40" i="3"/>
  <c r="M40" i="3"/>
  <c r="G40" i="3"/>
  <c r="P32" i="3"/>
  <c r="J32" i="3"/>
  <c r="L28" i="3"/>
  <c r="L26" i="3"/>
  <c r="L24" i="3"/>
  <c r="P20" i="3"/>
  <c r="B20" i="3"/>
  <c r="Q14" i="3"/>
  <c r="D14" i="3"/>
  <c r="P7" i="3"/>
  <c r="B180" i="7"/>
  <c r="K180" i="7"/>
  <c r="I152" i="7"/>
  <c r="B152" i="7"/>
  <c r="E148" i="7"/>
  <c r="B148" i="7"/>
  <c r="L145" i="7"/>
  <c r="D144" i="7"/>
  <c r="F132" i="7"/>
  <c r="B14" i="7"/>
  <c r="H14" i="7"/>
  <c r="L187" i="6"/>
  <c r="K160" i="6"/>
  <c r="I160" i="7"/>
  <c r="B152" i="6"/>
  <c r="I152" i="6"/>
  <c r="E135" i="6"/>
  <c r="F110" i="6"/>
  <c r="I110" i="6"/>
  <c r="K110" i="6"/>
  <c r="C110" i="7"/>
  <c r="I102" i="6"/>
  <c r="C87" i="6"/>
  <c r="H87" i="6"/>
  <c r="M87" i="6"/>
  <c r="D87" i="6"/>
  <c r="I87" i="6"/>
  <c r="Q87" i="12" s="1"/>
  <c r="O87" i="6"/>
  <c r="E87" i="6"/>
  <c r="G87" i="6"/>
  <c r="F87" i="7"/>
  <c r="K87" i="6"/>
  <c r="R87" i="12" s="1"/>
  <c r="E83" i="6"/>
  <c r="G83" i="6"/>
  <c r="I83" i="6"/>
  <c r="Q83" i="12" s="1"/>
  <c r="C83" i="6"/>
  <c r="L83" i="5" s="1"/>
  <c r="K83" i="6"/>
  <c r="R83" i="12" s="1"/>
  <c r="O83" i="6"/>
  <c r="B51" i="6"/>
  <c r="G51" i="6"/>
  <c r="M51" i="6"/>
  <c r="C51" i="6"/>
  <c r="I51" i="6"/>
  <c r="N51" i="6"/>
  <c r="E51" i="6"/>
  <c r="O51" i="6"/>
  <c r="F51" i="6"/>
  <c r="J51" i="6"/>
  <c r="E28" i="6"/>
  <c r="K173" i="10"/>
  <c r="E94" i="7"/>
  <c r="F42" i="7"/>
  <c r="K31" i="7"/>
  <c r="M27" i="7"/>
  <c r="G27" i="7"/>
  <c r="O21" i="7"/>
  <c r="C21" i="7"/>
  <c r="M12" i="7"/>
  <c r="N10" i="7"/>
  <c r="K7" i="7"/>
  <c r="G180" i="6"/>
  <c r="M177" i="6"/>
  <c r="E177" i="6"/>
  <c r="I176" i="6"/>
  <c r="I175" i="6"/>
  <c r="O173" i="6"/>
  <c r="H171" i="6"/>
  <c r="L163" i="6"/>
  <c r="L161" i="6"/>
  <c r="E161" i="6"/>
  <c r="N155" i="6"/>
  <c r="I155" i="6"/>
  <c r="D155" i="6"/>
  <c r="M153" i="6"/>
  <c r="L151" i="6"/>
  <c r="M149" i="6"/>
  <c r="I138" i="6"/>
  <c r="G132" i="6"/>
  <c r="E130" i="6"/>
  <c r="M128" i="6"/>
  <c r="C128" i="6"/>
  <c r="M122" i="6"/>
  <c r="B122" i="6"/>
  <c r="H120" i="6"/>
  <c r="N119" i="6"/>
  <c r="I119" i="6"/>
  <c r="C119" i="6"/>
  <c r="G112" i="6"/>
  <c r="N111" i="6"/>
  <c r="C96" i="6"/>
  <c r="O96" i="6"/>
  <c r="G96" i="6"/>
  <c r="G80" i="6"/>
  <c r="K80" i="6"/>
  <c r="E59" i="6"/>
  <c r="J59" i="6"/>
  <c r="L59" i="6"/>
  <c r="O59" i="12" s="1"/>
  <c r="L56" i="6"/>
  <c r="D56" i="6"/>
  <c r="I56" i="6"/>
  <c r="Q56" i="12" s="1"/>
  <c r="F42" i="6"/>
  <c r="I42" i="6"/>
  <c r="H36" i="6"/>
  <c r="C31" i="6"/>
  <c r="K31" i="6"/>
  <c r="E31" i="6"/>
  <c r="M31" i="6"/>
  <c r="H29" i="6"/>
  <c r="G18" i="6"/>
  <c r="L18" i="6"/>
  <c r="C9" i="6"/>
  <c r="L9" i="5" s="1"/>
  <c r="I9" i="6"/>
  <c r="Q9" i="12" s="1"/>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L94" i="7"/>
  <c r="B94" i="7"/>
  <c r="L49" i="7"/>
  <c r="I31" i="7"/>
  <c r="I12" i="7"/>
  <c r="N183" i="6"/>
  <c r="F183" i="6"/>
  <c r="K181" i="6"/>
  <c r="E181" i="6"/>
  <c r="O180" i="6"/>
  <c r="E180" i="6"/>
  <c r="J177" i="6"/>
  <c r="F175" i="6"/>
  <c r="J161" i="6"/>
  <c r="D161" i="6"/>
  <c r="M155" i="6"/>
  <c r="H155" i="6"/>
  <c r="I139" i="6"/>
  <c r="F138" i="6"/>
  <c r="L133" i="6"/>
  <c r="O133" i="12" s="1"/>
  <c r="K123" i="6"/>
  <c r="G120" i="6"/>
  <c r="M119" i="6"/>
  <c r="G119" i="6"/>
  <c r="O112" i="6"/>
  <c r="B111" i="6"/>
  <c r="E111" i="6"/>
  <c r="K111" i="6"/>
  <c r="S111" i="12" s="1"/>
  <c r="C99" i="6"/>
  <c r="G99" i="6"/>
  <c r="K99" i="6"/>
  <c r="B93" i="6"/>
  <c r="F93" i="6"/>
  <c r="L93" i="6"/>
  <c r="E81" i="6"/>
  <c r="L81" i="6"/>
  <c r="I68" i="6"/>
  <c r="O68" i="6"/>
  <c r="C52" i="6"/>
  <c r="H52" i="6"/>
  <c r="M52" i="6"/>
  <c r="D52" i="6"/>
  <c r="I52" i="6"/>
  <c r="O52" i="6"/>
  <c r="F50" i="6"/>
  <c r="I50" i="6"/>
  <c r="E41" i="6"/>
  <c r="D41" i="6"/>
  <c r="L41" i="6"/>
  <c r="F41" i="6"/>
  <c r="M41" i="6"/>
  <c r="F34" i="6"/>
  <c r="C17" i="6"/>
  <c r="D17" i="6"/>
  <c r="L17" i="6"/>
  <c r="O17" i="12" s="1"/>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6"/>
  <c r="C112" i="6"/>
  <c r="D112" i="6"/>
  <c r="K112" i="6"/>
  <c r="S112" i="12" s="1"/>
  <c r="D85" i="6"/>
  <c r="I85" i="6"/>
  <c r="N85" i="6"/>
  <c r="I63" i="6"/>
  <c r="Q63" i="12" s="1"/>
  <c r="M63" i="6"/>
  <c r="H60" i="6"/>
  <c r="L60" i="6"/>
  <c r="O60" i="12" s="1"/>
  <c r="E36" i="6"/>
  <c r="C36" i="6"/>
  <c r="I36" i="6"/>
  <c r="D36" i="6"/>
  <c r="L36" i="6"/>
  <c r="E30" i="6"/>
  <c r="I30" i="6"/>
  <c r="C29" i="6"/>
  <c r="B29" i="6"/>
  <c r="J29" i="6"/>
  <c r="E29" i="6"/>
  <c r="L29" i="6"/>
  <c r="I20" i="6"/>
  <c r="Q20" i="12" s="1"/>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M95" i="12" s="1"/>
  <c r="O84" i="6"/>
  <c r="F77" i="6"/>
  <c r="M75" i="6"/>
  <c r="M67" i="6"/>
  <c r="F45" i="6"/>
  <c r="K44" i="6"/>
  <c r="D39" i="6"/>
  <c r="K35" i="6"/>
  <c r="O27" i="6"/>
  <c r="C27" i="6"/>
  <c r="H25" i="6"/>
  <c r="P25" i="12" s="1"/>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I33" i="5"/>
  <c r="I32" i="5"/>
  <c r="C30" i="5"/>
  <c r="O22" i="5"/>
  <c r="N20" i="5"/>
  <c r="N19" i="5"/>
  <c r="N18" i="5"/>
  <c r="I17" i="5"/>
  <c r="I16" i="5"/>
  <c r="C14" i="5"/>
  <c r="C19" i="8"/>
  <c r="H19" i="8"/>
  <c r="E19" i="8"/>
  <c r="B18" i="8"/>
  <c r="G18" i="8"/>
  <c r="E18" i="8"/>
  <c r="J18" i="8"/>
  <c r="D11" i="8"/>
  <c r="G11" i="8"/>
  <c r="M178" i="11"/>
  <c r="E178" i="11"/>
  <c r="C162" i="11"/>
  <c r="M162" i="11"/>
  <c r="E162" i="11"/>
  <c r="D159" i="11"/>
  <c r="E159" i="11"/>
  <c r="O159" i="5"/>
  <c r="O155" i="5"/>
  <c r="K153" i="5"/>
  <c r="N147" i="5"/>
  <c r="N115" i="5"/>
  <c r="N40" i="5"/>
  <c r="N38" i="5"/>
  <c r="N24" i="5"/>
  <c r="N22" i="5"/>
  <c r="N8" i="5"/>
  <c r="C30" i="8"/>
  <c r="E30" i="8"/>
  <c r="C14" i="8"/>
  <c r="E14" i="8"/>
  <c r="G14" i="8"/>
  <c r="C10" i="8"/>
  <c r="F10" i="8"/>
  <c r="D181" i="11"/>
  <c r="F181" i="11"/>
  <c r="L171" i="11"/>
  <c r="C170" i="11"/>
  <c r="M170" i="11"/>
  <c r="E170" i="11"/>
  <c r="D161" i="11"/>
  <c r="F161" i="11"/>
  <c r="C158" i="11"/>
  <c r="K158" i="11"/>
  <c r="I149" i="11"/>
  <c r="K149" i="11"/>
  <c r="F149" i="11"/>
  <c r="N166" i="5"/>
  <c r="K159" i="5"/>
  <c r="K155" i="5"/>
  <c r="C153" i="5"/>
  <c r="C147" i="5"/>
  <c r="N142" i="5"/>
  <c r="O131" i="5"/>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G150" i="13"/>
  <c r="C54" i="11"/>
  <c r="B54" i="11"/>
  <c r="H54" i="11"/>
  <c r="M54" i="11"/>
  <c r="D54" i="11"/>
  <c r="I54" i="11"/>
  <c r="N54" i="11"/>
  <c r="C52" i="11"/>
  <c r="D52" i="11"/>
  <c r="N52" i="11"/>
  <c r="F52" i="11"/>
  <c r="C50" i="11"/>
  <c r="L50" i="11"/>
  <c r="C47" i="11"/>
  <c r="K47" i="11"/>
  <c r="E35" i="11"/>
  <c r="H35" i="11"/>
  <c r="K35" i="11"/>
  <c r="C181" i="12"/>
  <c r="F181" i="12"/>
  <c r="C122" i="12"/>
  <c r="F122" i="12"/>
  <c r="G122" i="12"/>
  <c r="B86" i="12"/>
  <c r="G86" i="12"/>
  <c r="C73" i="12"/>
  <c r="B73" i="12"/>
  <c r="E73" i="12"/>
  <c r="C70" i="12"/>
  <c r="F70" i="12"/>
  <c r="F60" i="12"/>
  <c r="C60" i="12"/>
  <c r="B41" i="12"/>
  <c r="C41" i="12"/>
  <c r="E41" i="12"/>
  <c r="G41" i="12"/>
  <c r="C37" i="12"/>
  <c r="B37" i="12"/>
  <c r="E37" i="12"/>
  <c r="F37" i="12"/>
  <c r="C14" i="12"/>
  <c r="G14" i="12"/>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C138" i="12"/>
  <c r="E138" i="12"/>
  <c r="F138" i="12"/>
  <c r="C130" i="12"/>
  <c r="B130" i="12"/>
  <c r="F130" i="12"/>
  <c r="F126" i="12"/>
  <c r="E123" i="12"/>
  <c r="D103" i="12"/>
  <c r="F103" i="12"/>
  <c r="F89" i="12"/>
  <c r="D89" i="12"/>
  <c r="E62" i="12"/>
  <c r="G62" i="12"/>
  <c r="B44" i="12"/>
  <c r="C44" i="12"/>
  <c r="F44" i="12"/>
  <c r="D23" i="12"/>
  <c r="B23" i="12"/>
  <c r="F23" i="12"/>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F176" i="13"/>
  <c r="F157" i="13"/>
  <c r="G157" i="13"/>
  <c r="C49" i="12"/>
  <c r="F43" i="12"/>
  <c r="E122" i="13"/>
  <c r="F108" i="13"/>
  <c r="E104" i="13"/>
  <c r="E90" i="13"/>
  <c r="F86" i="13"/>
  <c r="F83" i="13"/>
  <c r="I60" i="11"/>
  <c r="I53" i="11"/>
  <c r="E151" i="12"/>
  <c r="F109" i="12"/>
  <c r="E99" i="12"/>
  <c r="E87" i="12"/>
  <c r="F63" i="12"/>
  <c r="G49" i="12"/>
  <c r="E40" i="12"/>
  <c r="Q189" i="2"/>
  <c r="I189" i="2"/>
  <c r="C189" i="2"/>
  <c r="F189" i="2" s="1"/>
  <c r="Q163" i="2"/>
  <c r="I152" i="2"/>
  <c r="S150" i="2"/>
  <c r="S139" i="2"/>
  <c r="S136" i="2"/>
  <c r="E136" i="2"/>
  <c r="G136" i="2" s="1"/>
  <c r="Q124" i="2"/>
  <c r="P189" i="2"/>
  <c r="H189" i="2"/>
  <c r="B189" i="2"/>
  <c r="I187" i="2"/>
  <c r="I186" i="2"/>
  <c r="S184" i="2"/>
  <c r="S182" i="2"/>
  <c r="M181" i="2"/>
  <c r="H177" i="2"/>
  <c r="Q176" i="2"/>
  <c r="P175" i="2"/>
  <c r="H175" i="2"/>
  <c r="Q174" i="2"/>
  <c r="R171" i="2"/>
  <c r="I169" i="2"/>
  <c r="S166" i="2"/>
  <c r="L163" i="2"/>
  <c r="D160" i="2"/>
  <c r="E159" i="2"/>
  <c r="R155" i="2"/>
  <c r="D152" i="2"/>
  <c r="C150" i="2"/>
  <c r="L148" i="2"/>
  <c r="Q147" i="2"/>
  <c r="E147" i="2"/>
  <c r="S140" i="2"/>
  <c r="I140" i="2"/>
  <c r="I139" i="2"/>
  <c r="L137" i="2"/>
  <c r="R136" i="2"/>
  <c r="B136" i="2"/>
  <c r="S131" i="2"/>
  <c r="M128" i="2"/>
  <c r="C128" i="2"/>
  <c r="F128" i="2" s="1"/>
  <c r="I125" i="2"/>
  <c r="M124" i="2"/>
  <c r="B124" i="2"/>
  <c r="D122" i="2"/>
  <c r="S116" i="2"/>
  <c r="M116" i="2"/>
  <c r="N116" i="2" s="1"/>
  <c r="O116" i="2" s="1"/>
  <c r="E116" i="2"/>
  <c r="I115" i="2"/>
  <c r="D114" i="2"/>
  <c r="L110" i="2"/>
  <c r="R108" i="2"/>
  <c r="M108" i="2"/>
  <c r="H108" i="2"/>
  <c r="B108" i="2"/>
  <c r="D106" i="2"/>
  <c r="D105" i="2"/>
  <c r="I101" i="2"/>
  <c r="E100" i="2"/>
  <c r="S96" i="2"/>
  <c r="L96" i="2"/>
  <c r="B96" i="2"/>
  <c r="L94" i="2"/>
  <c r="R88" i="2"/>
  <c r="L88" i="2"/>
  <c r="D88" i="2"/>
  <c r="F88" i="2" s="1"/>
  <c r="Q87" i="2"/>
  <c r="L85" i="2"/>
  <c r="R84" i="2"/>
  <c r="L84" i="2"/>
  <c r="D78" i="2"/>
  <c r="L78" i="2"/>
  <c r="B76" i="2"/>
  <c r="H76" i="2"/>
  <c r="M76" i="2"/>
  <c r="R76" i="2"/>
  <c r="I74" i="2"/>
  <c r="R72" i="2"/>
  <c r="H72" i="2"/>
  <c r="S68" i="2"/>
  <c r="L68" i="2"/>
  <c r="Q64" i="2"/>
  <c r="S59" i="2"/>
  <c r="E56" i="2"/>
  <c r="H56" i="2"/>
  <c r="S56" i="2"/>
  <c r="D48" i="2"/>
  <c r="L48" i="2"/>
  <c r="R48" i="2"/>
  <c r="I44" i="2"/>
  <c r="J44" i="2" s="1"/>
  <c r="K44" i="2" s="1"/>
  <c r="D40" i="2"/>
  <c r="C40" i="2"/>
  <c r="R40" i="2"/>
  <c r="L38" i="2"/>
  <c r="E28" i="2"/>
  <c r="G28" i="2" s="1"/>
  <c r="Q28" i="2"/>
  <c r="C28" i="2"/>
  <c r="F28" i="2" s="1"/>
  <c r="L28" i="2"/>
  <c r="D26" i="2"/>
  <c r="I26" i="2"/>
  <c r="D16" i="2"/>
  <c r="G16" i="2" s="1"/>
  <c r="L16" i="2"/>
  <c r="R16" i="2"/>
  <c r="B16" i="2"/>
  <c r="H16" i="2"/>
  <c r="P16" i="2"/>
  <c r="D177" i="3"/>
  <c r="I177" i="3"/>
  <c r="L175" i="3"/>
  <c r="P174" i="3"/>
  <c r="D173" i="3"/>
  <c r="P173" i="3"/>
  <c r="Q165" i="3"/>
  <c r="B164" i="3"/>
  <c r="I164" i="3"/>
  <c r="J160" i="3"/>
  <c r="K160" i="3" s="1"/>
  <c r="Q160" i="3"/>
  <c r="F160" i="3"/>
  <c r="D158" i="3"/>
  <c r="M158" i="3"/>
  <c r="D153" i="3"/>
  <c r="I153" i="3"/>
  <c r="Q153" i="3"/>
  <c r="F147" i="3"/>
  <c r="B147" i="3"/>
  <c r="L147" i="3"/>
  <c r="G147" i="3"/>
  <c r="P147" i="3"/>
  <c r="D84" i="2"/>
  <c r="E84" i="2"/>
  <c r="L82" i="2"/>
  <c r="D82" i="2"/>
  <c r="I71" i="2"/>
  <c r="Q71" i="2"/>
  <c r="C68" i="2"/>
  <c r="I68" i="2"/>
  <c r="Q68" i="2"/>
  <c r="D45" i="2"/>
  <c r="L45" i="2"/>
  <c r="Q25" i="2"/>
  <c r="L25" i="2"/>
  <c r="B180" i="3"/>
  <c r="I180" i="3"/>
  <c r="I175" i="3"/>
  <c r="L174" i="3"/>
  <c r="M165" i="3"/>
  <c r="C163" i="3"/>
  <c r="E163" i="3" s="1"/>
  <c r="J163" i="3"/>
  <c r="P163" i="3"/>
  <c r="F163" i="3"/>
  <c r="N163" i="3"/>
  <c r="C162" i="3"/>
  <c r="E162" i="3" s="1"/>
  <c r="M162" i="3"/>
  <c r="I162" i="3"/>
  <c r="Q162" i="3"/>
  <c r="N159" i="3"/>
  <c r="F155" i="3"/>
  <c r="G155" i="3"/>
  <c r="P155" i="3"/>
  <c r="B155" i="3"/>
  <c r="L155" i="3"/>
  <c r="C192" i="2"/>
  <c r="R189" i="2"/>
  <c r="L189" i="2"/>
  <c r="P187" i="2"/>
  <c r="B187" i="2"/>
  <c r="L185" i="2"/>
  <c r="R177" i="2"/>
  <c r="L177" i="2"/>
  <c r="B177" i="2"/>
  <c r="L175" i="2"/>
  <c r="B175" i="2"/>
  <c r="C174" i="2"/>
  <c r="I172" i="2"/>
  <c r="M167" i="2"/>
  <c r="R163" i="2"/>
  <c r="B163" i="2"/>
  <c r="R159" i="2"/>
  <c r="B155" i="2"/>
  <c r="D149" i="2"/>
  <c r="S147" i="2"/>
  <c r="L147" i="2"/>
  <c r="B147" i="2"/>
  <c r="I145" i="2"/>
  <c r="L136" i="2"/>
  <c r="R124" i="2"/>
  <c r="H124" i="2"/>
  <c r="D121" i="2"/>
  <c r="C119" i="2"/>
  <c r="I117" i="2"/>
  <c r="Q116" i="2"/>
  <c r="I116" i="2"/>
  <c r="B116" i="2"/>
  <c r="Q114" i="2"/>
  <c r="C111" i="2"/>
  <c r="P108" i="2"/>
  <c r="D108" i="2"/>
  <c r="G108" i="2" s="1"/>
  <c r="L106" i="2"/>
  <c r="Q105" i="2"/>
  <c r="L102" i="2"/>
  <c r="Q100" i="2"/>
  <c r="P96" i="2"/>
  <c r="E96" i="2"/>
  <c r="G96" i="2" s="1"/>
  <c r="C95" i="2"/>
  <c r="P88" i="2"/>
  <c r="H88" i="2"/>
  <c r="H84" i="2"/>
  <c r="J84" i="2" s="1"/>
  <c r="K84" i="2" s="1"/>
  <c r="C83" i="2"/>
  <c r="I83" i="2"/>
  <c r="C79" i="2"/>
  <c r="L72" i="2"/>
  <c r="P68" i="2"/>
  <c r="E68" i="2"/>
  <c r="L54" i="2"/>
  <c r="I47" i="2"/>
  <c r="Q47" i="2"/>
  <c r="R44" i="2"/>
  <c r="D30" i="2"/>
  <c r="L30" i="2"/>
  <c r="B24" i="2"/>
  <c r="P24" i="2"/>
  <c r="B15" i="2"/>
  <c r="S15" i="2"/>
  <c r="C15" i="2"/>
  <c r="F176" i="3"/>
  <c r="N176" i="3"/>
  <c r="B176" i="3"/>
  <c r="B167" i="3"/>
  <c r="G167" i="3"/>
  <c r="L163" i="3"/>
  <c r="P162" i="3"/>
  <c r="O155" i="3"/>
  <c r="B154" i="3"/>
  <c r="C154" i="3"/>
  <c r="E154" i="3" s="1"/>
  <c r="L154" i="3"/>
  <c r="Q154" i="3"/>
  <c r="G154" i="3"/>
  <c r="O154" i="3"/>
  <c r="C151" i="3"/>
  <c r="I151" i="3"/>
  <c r="G146" i="3"/>
  <c r="D146" i="3"/>
  <c r="O146" i="3"/>
  <c r="B142" i="3"/>
  <c r="C142" i="3"/>
  <c r="L142" i="3"/>
  <c r="Q142" i="3"/>
  <c r="D142" i="3"/>
  <c r="M142" i="3"/>
  <c r="G142" i="3"/>
  <c r="O142" i="3"/>
  <c r="I160" i="2"/>
  <c r="M159" i="2"/>
  <c r="L125" i="2"/>
  <c r="E124" i="2"/>
  <c r="G124" i="2" s="1"/>
  <c r="Q122" i="2"/>
  <c r="I114" i="2"/>
  <c r="S108" i="2"/>
  <c r="I108" i="2"/>
  <c r="L105" i="2"/>
  <c r="L100" i="2"/>
  <c r="M96" i="2"/>
  <c r="C96" i="2"/>
  <c r="F96" i="2" s="1"/>
  <c r="S84" i="2"/>
  <c r="M84" i="2"/>
  <c r="C84" i="2"/>
  <c r="Q82" i="2"/>
  <c r="L73" i="2"/>
  <c r="D73" i="2"/>
  <c r="E72" i="2"/>
  <c r="G72" i="2" s="1"/>
  <c r="P72" i="2"/>
  <c r="M68" i="2"/>
  <c r="D68" i="2"/>
  <c r="E44" i="2"/>
  <c r="C44" i="2"/>
  <c r="Q44" i="2"/>
  <c r="C35" i="2"/>
  <c r="I35" i="2"/>
  <c r="B18" i="2"/>
  <c r="Q18" i="2"/>
  <c r="D18" i="2"/>
  <c r="C175" i="3"/>
  <c r="E175" i="3" s="1"/>
  <c r="J175" i="3"/>
  <c r="P175" i="3"/>
  <c r="F175" i="3"/>
  <c r="N175" i="3"/>
  <c r="C174" i="3"/>
  <c r="E174" i="3" s="1"/>
  <c r="M174" i="3"/>
  <c r="I174" i="3"/>
  <c r="Q174" i="3"/>
  <c r="D165" i="3"/>
  <c r="P165" i="3"/>
  <c r="L165" i="3"/>
  <c r="C159" i="3"/>
  <c r="B159" i="3"/>
  <c r="P159" i="3"/>
  <c r="I159" i="3"/>
  <c r="C150" i="3"/>
  <c r="L150" i="3"/>
  <c r="P143" i="3"/>
  <c r="J143" i="3"/>
  <c r="B143" i="3"/>
  <c r="Q141" i="3"/>
  <c r="D141" i="3"/>
  <c r="L138" i="3"/>
  <c r="P131" i="3"/>
  <c r="C131" i="3"/>
  <c r="E131" i="3" s="1"/>
  <c r="C130" i="3"/>
  <c r="E130" i="3" s="1"/>
  <c r="B129" i="3"/>
  <c r="G126" i="3"/>
  <c r="L123" i="3"/>
  <c r="L121" i="3"/>
  <c r="B121" i="3"/>
  <c r="Q119" i="3"/>
  <c r="M119" i="3"/>
  <c r="G119" i="3"/>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M76" i="3"/>
  <c r="Q76" i="3"/>
  <c r="C76" i="3"/>
  <c r="I76" i="3"/>
  <c r="N76" i="3"/>
  <c r="L74" i="3"/>
  <c r="G63" i="3"/>
  <c r="P63" i="3"/>
  <c r="Q61" i="3"/>
  <c r="Q60" i="3"/>
  <c r="B53" i="3"/>
  <c r="I53" i="3"/>
  <c r="O53" i="3"/>
  <c r="C53" i="3"/>
  <c r="J53" i="3"/>
  <c r="Q53" i="3"/>
  <c r="C52" i="3"/>
  <c r="B52" i="3"/>
  <c r="M52" i="3"/>
  <c r="F52" i="3"/>
  <c r="P52" i="3"/>
  <c r="F41" i="3"/>
  <c r="N41" i="3"/>
  <c r="C41" i="3"/>
  <c r="Q41" i="3"/>
  <c r="O139" i="3"/>
  <c r="Q132" i="3"/>
  <c r="Q124" i="3"/>
  <c r="G99" i="3"/>
  <c r="J98" i="3"/>
  <c r="Q98" i="3"/>
  <c r="N96" i="3"/>
  <c r="C96" i="3"/>
  <c r="N89" i="3"/>
  <c r="G87" i="3"/>
  <c r="I83" i="3"/>
  <c r="F82" i="3"/>
  <c r="P82" i="3"/>
  <c r="D79" i="3"/>
  <c r="E79" i="3" s="1"/>
  <c r="J74" i="3"/>
  <c r="L62" i="3"/>
  <c r="J61" i="3"/>
  <c r="L60" i="3"/>
  <c r="S36" i="2"/>
  <c r="I36" i="2"/>
  <c r="L33" i="2"/>
  <c r="R32" i="2"/>
  <c r="D32" i="2"/>
  <c r="G32" i="2" s="1"/>
  <c r="S27" i="2"/>
  <c r="M20" i="2"/>
  <c r="I12" i="2"/>
  <c r="N187" i="3"/>
  <c r="I187" i="3"/>
  <c r="L186" i="3"/>
  <c r="Q184" i="3"/>
  <c r="O179" i="3"/>
  <c r="D179" i="3"/>
  <c r="P166" i="3"/>
  <c r="Q157" i="3"/>
  <c r="M156" i="3"/>
  <c r="F152" i="3"/>
  <c r="P149" i="3"/>
  <c r="M143" i="3"/>
  <c r="M141" i="3"/>
  <c r="I139" i="3"/>
  <c r="N135" i="3"/>
  <c r="I135" i="3"/>
  <c r="I132" i="3"/>
  <c r="J131" i="3"/>
  <c r="M130" i="3"/>
  <c r="M129" i="3"/>
  <c r="O127" i="3"/>
  <c r="D127" i="3"/>
  <c r="Q125" i="3"/>
  <c r="L125" i="3"/>
  <c r="D125" i="3"/>
  <c r="Q122" i="3"/>
  <c r="G122" i="3"/>
  <c r="P121" i="3"/>
  <c r="I121" i="3"/>
  <c r="O119" i="3"/>
  <c r="J119" i="3"/>
  <c r="M117" i="3"/>
  <c r="L116" i="3"/>
  <c r="O112" i="3"/>
  <c r="J112" i="3"/>
  <c r="P111" i="3"/>
  <c r="M108" i="3"/>
  <c r="F108" i="3"/>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L52" i="3"/>
  <c r="D96" i="3"/>
  <c r="F96" i="3"/>
  <c r="M96" i="3"/>
  <c r="I89" i="3"/>
  <c r="F89" i="3"/>
  <c r="G83" i="3"/>
  <c r="Q83" i="3"/>
  <c r="B81" i="3"/>
  <c r="F81" i="3"/>
  <c r="G79" i="3"/>
  <c r="I79" i="3"/>
  <c r="Q79" i="3"/>
  <c r="F74" i="3"/>
  <c r="D74" i="3"/>
  <c r="N74" i="3"/>
  <c r="I74" i="3"/>
  <c r="P74" i="3"/>
  <c r="D62" i="3"/>
  <c r="N62" i="3"/>
  <c r="F62" i="3"/>
  <c r="Q62" i="3"/>
  <c r="B61" i="3"/>
  <c r="M61" i="3"/>
  <c r="F61" i="3"/>
  <c r="H61" i="3" s="1"/>
  <c r="O61" i="3"/>
  <c r="C60" i="3"/>
  <c r="B60" i="3"/>
  <c r="M60" i="3"/>
  <c r="F60" i="3"/>
  <c r="H60" i="3" s="1"/>
  <c r="P60" i="3"/>
  <c r="F58" i="3"/>
  <c r="N58" i="3"/>
  <c r="J50" i="3"/>
  <c r="L50" i="3"/>
  <c r="B38" i="3"/>
  <c r="F38" i="3"/>
  <c r="J37" i="3"/>
  <c r="C27" i="3"/>
  <c r="L27" i="3"/>
  <c r="J26" i="3"/>
  <c r="P23" i="3"/>
  <c r="M21" i="3"/>
  <c r="G13" i="3"/>
  <c r="Q13" i="3"/>
  <c r="J189" i="7"/>
  <c r="I162" i="7"/>
  <c r="M162" i="7"/>
  <c r="N148" i="7"/>
  <c r="F148" i="7"/>
  <c r="O47" i="3"/>
  <c r="G47" i="3"/>
  <c r="E47" i="5" s="1"/>
  <c r="F47" i="5" s="1"/>
  <c r="G47" i="5" s="1"/>
  <c r="J45" i="3"/>
  <c r="P44" i="3"/>
  <c r="M42" i="3"/>
  <c r="F42" i="3"/>
  <c r="Q37" i="3"/>
  <c r="G37" i="3"/>
  <c r="F34" i="3"/>
  <c r="M34" i="3"/>
  <c r="G31" i="3"/>
  <c r="E31" i="5" s="1"/>
  <c r="F31" i="5" s="1"/>
  <c r="G31" i="5" s="1"/>
  <c r="L31" i="3"/>
  <c r="C28" i="3"/>
  <c r="I28" i="3"/>
  <c r="N28" i="3"/>
  <c r="Q26" i="3"/>
  <c r="D26" i="3"/>
  <c r="M23" i="3"/>
  <c r="J21" i="3"/>
  <c r="J13" i="3"/>
  <c r="I9" i="3"/>
  <c r="F9" i="3"/>
  <c r="C189" i="7"/>
  <c r="D189" i="7"/>
  <c r="I189" i="7"/>
  <c r="I189" i="12" s="1"/>
  <c r="N189" i="7"/>
  <c r="M148" i="7"/>
  <c r="M77" i="3"/>
  <c r="M72" i="3"/>
  <c r="F72" i="3"/>
  <c r="P71" i="3"/>
  <c r="M68" i="3"/>
  <c r="F68" i="3"/>
  <c r="O67" i="3"/>
  <c r="M66" i="3"/>
  <c r="M64" i="3"/>
  <c r="F64" i="3"/>
  <c r="N57" i="3"/>
  <c r="P56" i="3"/>
  <c r="G56" i="3"/>
  <c r="E56" i="5" s="1"/>
  <c r="M47" i="3"/>
  <c r="F45" i="3"/>
  <c r="H45" i="3" s="1"/>
  <c r="L44" i="3"/>
  <c r="Q42" i="3"/>
  <c r="L42" i="3"/>
  <c r="L39" i="3"/>
  <c r="G39" i="3"/>
  <c r="E39" i="5" s="1"/>
  <c r="F39" i="5" s="1"/>
  <c r="G39" i="5" s="1"/>
  <c r="O37" i="3"/>
  <c r="I35" i="3"/>
  <c r="G35" i="3"/>
  <c r="C32" i="3"/>
  <c r="I32" i="3"/>
  <c r="N32" i="3"/>
  <c r="Q30" i="3"/>
  <c r="M28" i="3"/>
  <c r="F28" i="3"/>
  <c r="Q27" i="3"/>
  <c r="N26" i="3"/>
  <c r="L23" i="3"/>
  <c r="C21" i="3"/>
  <c r="M18" i="3"/>
  <c r="C16" i="3"/>
  <c r="G16" i="3"/>
  <c r="F13" i="3"/>
  <c r="G11" i="3"/>
  <c r="F10" i="3"/>
  <c r="L10" i="3"/>
  <c r="D167" i="7"/>
  <c r="F37" i="3"/>
  <c r="N37" i="3"/>
  <c r="I26" i="3"/>
  <c r="P26" i="3"/>
  <c r="C8" i="3"/>
  <c r="I8" i="3"/>
  <c r="C148" i="7"/>
  <c r="G148" i="7"/>
  <c r="K148" i="7"/>
  <c r="O148" i="7"/>
  <c r="D148" i="7"/>
  <c r="H148" i="7"/>
  <c r="L148" i="7"/>
  <c r="H144" i="7"/>
  <c r="N132" i="7"/>
  <c r="I132" i="7"/>
  <c r="C132" i="7"/>
  <c r="N114" i="7"/>
  <c r="I107" i="7"/>
  <c r="G67" i="7"/>
  <c r="E67" i="7"/>
  <c r="L45" i="7"/>
  <c r="E30" i="7"/>
  <c r="F30" i="7"/>
  <c r="H30" i="7"/>
  <c r="E25" i="7"/>
  <c r="H22" i="7"/>
  <c r="C14" i="7"/>
  <c r="E14" i="7"/>
  <c r="L14" i="7"/>
  <c r="F14" i="7"/>
  <c r="M14" i="7"/>
  <c r="B7" i="7"/>
  <c r="G7" i="7"/>
  <c r="I7" i="7"/>
  <c r="C179" i="6"/>
  <c r="F179" i="6"/>
  <c r="I179" i="6"/>
  <c r="M179" i="12" s="1"/>
  <c r="I173" i="6"/>
  <c r="B172" i="6"/>
  <c r="E172" i="6"/>
  <c r="I172" i="6"/>
  <c r="Q172" i="12" s="1"/>
  <c r="D171" i="6"/>
  <c r="B171" i="6"/>
  <c r="J171" i="6"/>
  <c r="E171" i="6"/>
  <c r="L171" i="6"/>
  <c r="O171" i="12" s="1"/>
  <c r="I149" i="6"/>
  <c r="B148" i="6"/>
  <c r="C148" i="6"/>
  <c r="K148" i="6"/>
  <c r="E148" i="6"/>
  <c r="M148" i="6"/>
  <c r="G148" i="6"/>
  <c r="O148" i="6"/>
  <c r="D144" i="6"/>
  <c r="C144" i="6"/>
  <c r="K144" i="6"/>
  <c r="E144" i="6"/>
  <c r="L144" i="6"/>
  <c r="G144" i="6"/>
  <c r="M144" i="6"/>
  <c r="I180" i="7"/>
  <c r="M144" i="7"/>
  <c r="E144" i="7"/>
  <c r="L136" i="7"/>
  <c r="H136" i="7"/>
  <c r="M132" i="7"/>
  <c r="G132" i="7"/>
  <c r="B132" i="7"/>
  <c r="L114" i="7"/>
  <c r="K112" i="7"/>
  <c r="K111" i="7"/>
  <c r="G107" i="7"/>
  <c r="M105" i="7"/>
  <c r="M94" i="7"/>
  <c r="L92" i="7"/>
  <c r="M72" i="7"/>
  <c r="K41" i="7"/>
  <c r="M30" i="7"/>
  <c r="C18" i="7"/>
  <c r="D18" i="7"/>
  <c r="I18" i="7"/>
  <c r="N18" i="7"/>
  <c r="E18" i="7"/>
  <c r="J18" i="7"/>
  <c r="J14" i="7"/>
  <c r="O7" i="7"/>
  <c r="C187" i="6"/>
  <c r="D187" i="6"/>
  <c r="I187" i="6"/>
  <c r="M187" i="12" s="1"/>
  <c r="N187" i="6"/>
  <c r="E187" i="6"/>
  <c r="J187" i="6"/>
  <c r="N179" i="6"/>
  <c r="C177" i="6"/>
  <c r="G177" i="6"/>
  <c r="K177" i="6"/>
  <c r="O177" i="6"/>
  <c r="D177" i="6"/>
  <c r="H177" i="6"/>
  <c r="L177" i="6"/>
  <c r="D176" i="6"/>
  <c r="E176" i="6"/>
  <c r="M176" i="6"/>
  <c r="G176" i="6"/>
  <c r="O176" i="6"/>
  <c r="M171" i="6"/>
  <c r="B164" i="6"/>
  <c r="C164" i="6"/>
  <c r="O164" i="6"/>
  <c r="G164" i="6"/>
  <c r="C157" i="6"/>
  <c r="E157" i="6"/>
  <c r="I157" i="6"/>
  <c r="M157" i="6"/>
  <c r="B151" i="6"/>
  <c r="H151" i="6"/>
  <c r="M151" i="6"/>
  <c r="D151" i="6"/>
  <c r="I151" i="6"/>
  <c r="M151" i="12" s="1"/>
  <c r="N151" i="6"/>
  <c r="E151" i="6"/>
  <c r="J151" i="6"/>
  <c r="C143" i="6"/>
  <c r="E143" i="6"/>
  <c r="I143" i="6"/>
  <c r="M143" i="6"/>
  <c r="C45" i="7"/>
  <c r="D45" i="7"/>
  <c r="O45" i="7"/>
  <c r="G45" i="7"/>
  <c r="C22" i="7"/>
  <c r="B22" i="7"/>
  <c r="J22" i="7"/>
  <c r="E22" i="7"/>
  <c r="L22" i="7"/>
  <c r="E20" i="7"/>
  <c r="M20" i="7"/>
  <c r="B173" i="6"/>
  <c r="C173" i="6"/>
  <c r="K173" i="6"/>
  <c r="E173" i="6"/>
  <c r="M173" i="6"/>
  <c r="B160" i="6"/>
  <c r="C160" i="6"/>
  <c r="O160" i="6"/>
  <c r="G160" i="6"/>
  <c r="I160" i="6"/>
  <c r="B149" i="6"/>
  <c r="F149" i="6"/>
  <c r="J149" i="6"/>
  <c r="N149" i="6"/>
  <c r="C149" i="6"/>
  <c r="G149" i="6"/>
  <c r="K149" i="6"/>
  <c r="O149" i="6"/>
  <c r="D149" i="6"/>
  <c r="H149" i="6"/>
  <c r="P149" i="12" s="1"/>
  <c r="L149" i="6"/>
  <c r="B58" i="7"/>
  <c r="F58" i="7"/>
  <c r="L58" i="7"/>
  <c r="E41" i="7"/>
  <c r="C41" i="7"/>
  <c r="M41" i="7"/>
  <c r="G41" i="7"/>
  <c r="M22" i="7"/>
  <c r="C31" i="7"/>
  <c r="C13" i="7"/>
  <c r="I186" i="6"/>
  <c r="M186" i="12" s="1"/>
  <c r="M183" i="6"/>
  <c r="H183" i="6"/>
  <c r="B183" i="6"/>
  <c r="N181" i="6"/>
  <c r="J181" i="6"/>
  <c r="F181" i="6"/>
  <c r="K180" i="6"/>
  <c r="C180" i="6"/>
  <c r="N175" i="6"/>
  <c r="D175" i="6"/>
  <c r="F163" i="6"/>
  <c r="M161" i="6"/>
  <c r="H161" i="6"/>
  <c r="B161" i="6"/>
  <c r="L159" i="6"/>
  <c r="I156" i="6"/>
  <c r="Q156" i="12" s="1"/>
  <c r="I153" i="6"/>
  <c r="Q153" i="12" s="1"/>
  <c r="N147" i="6"/>
  <c r="D147" i="6"/>
  <c r="K142" i="6"/>
  <c r="R142" i="12" s="1"/>
  <c r="H141" i="6"/>
  <c r="O139" i="6"/>
  <c r="G139" i="6"/>
  <c r="N138" i="6"/>
  <c r="C138" i="6"/>
  <c r="H136" i="6"/>
  <c r="F133" i="6"/>
  <c r="J131" i="6"/>
  <c r="E131" i="6"/>
  <c r="N126" i="6"/>
  <c r="L125" i="6"/>
  <c r="F123" i="6"/>
  <c r="M120" i="6"/>
  <c r="O116" i="6"/>
  <c r="L115" i="6"/>
  <c r="K114" i="6"/>
  <c r="M112" i="6"/>
  <c r="H112" i="6"/>
  <c r="M111" i="6"/>
  <c r="G111" i="6"/>
  <c r="C108" i="6"/>
  <c r="I107" i="6"/>
  <c r="M107" i="12" s="1"/>
  <c r="G104" i="6"/>
  <c r="K103" i="6"/>
  <c r="C103" i="6"/>
  <c r="M101" i="6"/>
  <c r="H101" i="6"/>
  <c r="P101" i="12" s="1"/>
  <c r="O99" i="6"/>
  <c r="I99" i="6"/>
  <c r="D99" i="6"/>
  <c r="F97" i="6"/>
  <c r="G95" i="6"/>
  <c r="J93" i="6"/>
  <c r="E93" i="6"/>
  <c r="O92" i="6"/>
  <c r="L91" i="6"/>
  <c r="L89" i="6"/>
  <c r="K88" i="6"/>
  <c r="S88" i="12" s="1"/>
  <c r="L85" i="6"/>
  <c r="E85" i="6"/>
  <c r="K84" i="6"/>
  <c r="R84" i="12" s="1"/>
  <c r="H81" i="6"/>
  <c r="E80" i="6"/>
  <c r="I80" i="6"/>
  <c r="M80" i="12" s="1"/>
  <c r="L77" i="6"/>
  <c r="O77" i="12" s="1"/>
  <c r="E77" i="6"/>
  <c r="K76" i="6"/>
  <c r="D73" i="6"/>
  <c r="F73" i="6"/>
  <c r="M73" i="6"/>
  <c r="E72" i="6"/>
  <c r="C72" i="6"/>
  <c r="L72" i="5" s="1"/>
  <c r="O72" i="6"/>
  <c r="I67" i="6"/>
  <c r="F61" i="6"/>
  <c r="I55" i="6"/>
  <c r="M55" i="12" s="1"/>
  <c r="F49" i="6"/>
  <c r="E49" i="6"/>
  <c r="H49" i="6"/>
  <c r="O47" i="6"/>
  <c r="J46" i="6"/>
  <c r="J38" i="6"/>
  <c r="M33" i="6"/>
  <c r="M25" i="6"/>
  <c r="E25" i="6"/>
  <c r="M21" i="6"/>
  <c r="E21" i="6"/>
  <c r="M11" i="6"/>
  <c r="F159" i="6"/>
  <c r="I154" i="6"/>
  <c r="Q154" i="12" s="1"/>
  <c r="E153" i="6"/>
  <c r="F142" i="6"/>
  <c r="E141" i="6"/>
  <c r="M139" i="6"/>
  <c r="E139" i="6"/>
  <c r="F134" i="6"/>
  <c r="N131" i="6"/>
  <c r="I131" i="6"/>
  <c r="D131" i="6"/>
  <c r="L127" i="6"/>
  <c r="K126" i="6"/>
  <c r="S126" i="12" s="1"/>
  <c r="L121" i="6"/>
  <c r="L116" i="6"/>
  <c r="F115" i="6"/>
  <c r="G107" i="6"/>
  <c r="H105" i="6"/>
  <c r="M99" i="6"/>
  <c r="H99" i="6"/>
  <c r="M97" i="6"/>
  <c r="B97" i="6"/>
  <c r="O95" i="6"/>
  <c r="D95" i="6"/>
  <c r="N93" i="6"/>
  <c r="I93" i="6"/>
  <c r="D93" i="6"/>
  <c r="K92" i="6"/>
  <c r="S92" i="12" s="1"/>
  <c r="G91" i="6"/>
  <c r="H89" i="6"/>
  <c r="J85" i="6"/>
  <c r="F81" i="6"/>
  <c r="C79" i="6"/>
  <c r="I79" i="6"/>
  <c r="J77" i="6"/>
  <c r="C75" i="6"/>
  <c r="L75" i="5" s="1"/>
  <c r="I75" i="6"/>
  <c r="Q75" i="12" s="1"/>
  <c r="E71" i="6"/>
  <c r="I71" i="6"/>
  <c r="G68" i="6"/>
  <c r="C68" i="6"/>
  <c r="L68" i="5" s="1"/>
  <c r="G67" i="6"/>
  <c r="C63" i="6"/>
  <c r="E63" i="6"/>
  <c r="C59" i="6"/>
  <c r="B59" i="6"/>
  <c r="H59" i="6"/>
  <c r="M59" i="6"/>
  <c r="D59" i="6"/>
  <c r="I59" i="6"/>
  <c r="Q59" i="12" s="1"/>
  <c r="N59" i="6"/>
  <c r="D57" i="6"/>
  <c r="L57" i="6"/>
  <c r="O57" i="12" s="1"/>
  <c r="G55" i="6"/>
  <c r="L47" i="6"/>
  <c r="B43" i="6"/>
  <c r="F43" i="6"/>
  <c r="I43" i="6"/>
  <c r="E35" i="6"/>
  <c r="G35" i="6"/>
  <c r="O35" i="6"/>
  <c r="I35" i="6"/>
  <c r="J33" i="6"/>
  <c r="L25" i="6"/>
  <c r="L21" i="6"/>
  <c r="E19" i="6"/>
  <c r="H19" i="6"/>
  <c r="P19" i="12" s="1"/>
  <c r="H14" i="6"/>
  <c r="L14" i="12" s="1"/>
  <c r="E14" i="6"/>
  <c r="L14" i="6"/>
  <c r="D11" i="6"/>
  <c r="I11" i="6"/>
  <c r="N11" i="6"/>
  <c r="E11" i="6"/>
  <c r="J11" i="6"/>
  <c r="B181" i="10"/>
  <c r="C181" i="10"/>
  <c r="K181" i="10"/>
  <c r="E181" i="10"/>
  <c r="M181" i="10"/>
  <c r="G181" i="10"/>
  <c r="O181" i="10"/>
  <c r="K139" i="6"/>
  <c r="C139" i="6"/>
  <c r="L137" i="6"/>
  <c r="M131" i="6"/>
  <c r="H131" i="6"/>
  <c r="B131" i="6"/>
  <c r="G127" i="6"/>
  <c r="C126" i="6"/>
  <c r="F121" i="6"/>
  <c r="I117" i="6"/>
  <c r="D116" i="6"/>
  <c r="O107" i="6"/>
  <c r="D107" i="6"/>
  <c r="O100" i="6"/>
  <c r="M93" i="6"/>
  <c r="H93" i="6"/>
  <c r="P93" i="12" s="1"/>
  <c r="C92" i="6"/>
  <c r="L92" i="5" s="1"/>
  <c r="E89" i="6"/>
  <c r="B85" i="6"/>
  <c r="H85" i="6"/>
  <c r="P85" i="12" s="1"/>
  <c r="M85" i="6"/>
  <c r="G84" i="6"/>
  <c r="I84" i="6"/>
  <c r="Q84" i="12" s="1"/>
  <c r="M81" i="6"/>
  <c r="B77" i="6"/>
  <c r="H77" i="6"/>
  <c r="L77" i="12" s="1"/>
  <c r="M77" i="6"/>
  <c r="G76" i="6"/>
  <c r="I76" i="6"/>
  <c r="O67" i="6"/>
  <c r="D64" i="6"/>
  <c r="G64" i="6"/>
  <c r="K62" i="6"/>
  <c r="S62" i="12" s="1"/>
  <c r="N55" i="6"/>
  <c r="E46" i="6"/>
  <c r="C46" i="6"/>
  <c r="N46" i="6"/>
  <c r="F46" i="6"/>
  <c r="O46" i="6"/>
  <c r="F38" i="6"/>
  <c r="O38" i="6"/>
  <c r="G38" i="6"/>
  <c r="I28" i="6"/>
  <c r="L26" i="6"/>
  <c r="B25" i="6"/>
  <c r="F25" i="6"/>
  <c r="J25" i="6"/>
  <c r="N25" i="6"/>
  <c r="C25" i="6"/>
  <c r="G25" i="6"/>
  <c r="K25" i="6"/>
  <c r="S25" i="12" s="1"/>
  <c r="O25" i="6"/>
  <c r="L22" i="6"/>
  <c r="B21" i="6"/>
  <c r="F21" i="6"/>
  <c r="J21" i="6"/>
  <c r="N21" i="6"/>
  <c r="C21" i="6"/>
  <c r="G21" i="6"/>
  <c r="K21" i="6"/>
  <c r="S21" i="12" s="1"/>
  <c r="O21" i="6"/>
  <c r="C189" i="10"/>
  <c r="K189" i="10"/>
  <c r="E189" i="10"/>
  <c r="M189" i="10"/>
  <c r="G189" i="10"/>
  <c r="O189" i="10"/>
  <c r="D81" i="6"/>
  <c r="B81" i="6"/>
  <c r="J81" i="6"/>
  <c r="C67" i="6"/>
  <c r="L67" i="5" s="1"/>
  <c r="K67" i="6"/>
  <c r="N67" i="12" s="1"/>
  <c r="C55" i="6"/>
  <c r="E55" i="6"/>
  <c r="J55" i="6"/>
  <c r="O55" i="6"/>
  <c r="F55" i="6"/>
  <c r="K55" i="6"/>
  <c r="R55" i="12" s="1"/>
  <c r="C47" i="6"/>
  <c r="G47" i="6"/>
  <c r="I47" i="6"/>
  <c r="Q47" i="12" s="1"/>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H246" i="2"/>
  <c r="F248" i="2"/>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163" i="5"/>
  <c r="C159" i="5"/>
  <c r="C155" i="5"/>
  <c r="K147" i="5"/>
  <c r="N146" i="5"/>
  <c r="O145" i="5"/>
  <c r="C145" i="5"/>
  <c r="C143" i="5"/>
  <c r="I142" i="5"/>
  <c r="K137" i="5"/>
  <c r="N135" i="5"/>
  <c r="K131" i="5"/>
  <c r="N130" i="5"/>
  <c r="O129" i="5"/>
  <c r="C129" i="5"/>
  <c r="C127" i="5"/>
  <c r="I126" i="5"/>
  <c r="K121" i="5"/>
  <c r="N119" i="5"/>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C48" i="5"/>
  <c r="K46" i="5"/>
  <c r="N45" i="5"/>
  <c r="O44" i="5"/>
  <c r="C44" i="5"/>
  <c r="K42" i="5"/>
  <c r="N41" i="5"/>
  <c r="O40" i="5"/>
  <c r="C40" i="5"/>
  <c r="K38" i="5"/>
  <c r="N37" i="5"/>
  <c r="O36" i="5"/>
  <c r="C36" i="5"/>
  <c r="K34" i="5"/>
  <c r="N33" i="5"/>
  <c r="O32" i="5"/>
  <c r="P32" i="5" s="1"/>
  <c r="C32" i="5"/>
  <c r="K30" i="5"/>
  <c r="N29" i="5"/>
  <c r="O28" i="5"/>
  <c r="C28" i="5"/>
  <c r="K26" i="5"/>
  <c r="N25" i="5"/>
  <c r="O24" i="5"/>
  <c r="C24" i="5"/>
  <c r="K22" i="5"/>
  <c r="N21" i="5"/>
  <c r="O20" i="5"/>
  <c r="C20" i="5"/>
  <c r="K18" i="5"/>
  <c r="N17" i="5"/>
  <c r="O16" i="5"/>
  <c r="C16" i="5"/>
  <c r="K14" i="5"/>
  <c r="N13" i="5"/>
  <c r="O12" i="5"/>
  <c r="P12" i="5" s="1"/>
  <c r="C12" i="5"/>
  <c r="K10" i="5"/>
  <c r="N9" i="5"/>
  <c r="O8" i="5"/>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I160" i="5"/>
  <c r="N159" i="5"/>
  <c r="N155" i="5"/>
  <c r="I150" i="5"/>
  <c r="N143" i="5"/>
  <c r="O137" i="5"/>
  <c r="C135" i="5"/>
  <c r="I134" i="5"/>
  <c r="N127" i="5"/>
  <c r="O121" i="5"/>
  <c r="C119" i="5"/>
  <c r="I118" i="5"/>
  <c r="N111" i="5"/>
  <c r="N108" i="5"/>
  <c r="N107" i="5"/>
  <c r="N104" i="5"/>
  <c r="N103" i="5"/>
  <c r="N100" i="5"/>
  <c r="N99" i="5"/>
  <c r="N96" i="5"/>
  <c r="N95" i="5"/>
  <c r="N92" i="5"/>
  <c r="N91" i="5"/>
  <c r="N88" i="5"/>
  <c r="N87" i="5"/>
  <c r="N84" i="5"/>
  <c r="N83" i="5"/>
  <c r="P83" i="5" s="1"/>
  <c r="N80" i="5"/>
  <c r="N79" i="5"/>
  <c r="N76" i="5"/>
  <c r="N75" i="5"/>
  <c r="N72" i="5"/>
  <c r="N71" i="5"/>
  <c r="N68" i="5"/>
  <c r="N67" i="5"/>
  <c r="P67" i="5" s="1"/>
  <c r="N64" i="5"/>
  <c r="N63" i="5"/>
  <c r="K48" i="5"/>
  <c r="K44" i="5"/>
  <c r="K40" i="5"/>
  <c r="K36" i="5"/>
  <c r="K32" i="5"/>
  <c r="K28" i="5"/>
  <c r="K24" i="5"/>
  <c r="K20" i="5"/>
  <c r="K16" i="5"/>
  <c r="K12" i="5"/>
  <c r="K8" i="5"/>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E179" i="13"/>
  <c r="E168" i="13"/>
  <c r="G154" i="13"/>
  <c r="B25" i="12"/>
  <c r="C25" i="12"/>
  <c r="G18" i="12"/>
  <c r="C18" i="12"/>
  <c r="E181" i="13"/>
  <c r="G181" i="13"/>
  <c r="F166" i="13"/>
  <c r="F162" i="13"/>
  <c r="G141" i="13"/>
  <c r="F133" i="13"/>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G174" i="13"/>
  <c r="F170" i="13"/>
  <c r="G166" i="13"/>
  <c r="G162" i="13"/>
  <c r="F161" i="13"/>
  <c r="F150" i="13"/>
  <c r="F146" i="13"/>
  <c r="F140" i="13"/>
  <c r="F132" i="13"/>
  <c r="E123" i="13"/>
  <c r="G65" i="12"/>
  <c r="E54" i="12"/>
  <c r="E53" i="12"/>
  <c r="G46" i="12"/>
  <c r="E45" i="12"/>
  <c r="E31" i="12"/>
  <c r="C28" i="12"/>
  <c r="E28" i="12"/>
  <c r="G25" i="12"/>
  <c r="C21" i="12"/>
  <c r="B21" i="12"/>
  <c r="E13" i="12"/>
  <c r="F11" i="12"/>
  <c r="G180" i="13"/>
  <c r="E166" i="13"/>
  <c r="G165" i="13"/>
  <c r="E162" i="13"/>
  <c r="F154" i="13"/>
  <c r="F145" i="13"/>
  <c r="G142" i="13"/>
  <c r="G139" i="13"/>
  <c r="G133" i="13"/>
  <c r="E131" i="13"/>
  <c r="E149" i="13"/>
  <c r="G138" i="13"/>
  <c r="E126" i="13"/>
  <c r="F125" i="13"/>
  <c r="G122" i="13"/>
  <c r="G114" i="13"/>
  <c r="G106" i="13"/>
  <c r="G98" i="13"/>
  <c r="G90" i="13"/>
  <c r="F67" i="13"/>
  <c r="E51" i="13"/>
  <c r="F48" i="13"/>
  <c r="F47" i="13"/>
  <c r="E45" i="13"/>
  <c r="E43" i="13"/>
  <c r="F41" i="13"/>
  <c r="F27" i="13"/>
  <c r="E25" i="13"/>
  <c r="E8" i="13"/>
  <c r="G8" i="13"/>
  <c r="E184" i="14"/>
  <c r="C183" i="14"/>
  <c r="F183" i="14"/>
  <c r="B176" i="14"/>
  <c r="G176" i="14" s="1"/>
  <c r="C176" i="14"/>
  <c r="B167" i="14"/>
  <c r="F167" i="14"/>
  <c r="C151" i="14"/>
  <c r="E151" i="14"/>
  <c r="B151" i="14"/>
  <c r="D144" i="14"/>
  <c r="C144" i="14"/>
  <c r="C110" i="14"/>
  <c r="E110" i="14"/>
  <c r="F68" i="13"/>
  <c r="E67" i="13"/>
  <c r="G65" i="13"/>
  <c r="F61" i="13"/>
  <c r="F49" i="13"/>
  <c r="E48" i="13"/>
  <c r="E41" i="13"/>
  <c r="E35" i="13"/>
  <c r="E27" i="13"/>
  <c r="E23" i="13"/>
  <c r="F7" i="13"/>
  <c r="C187" i="14"/>
  <c r="E187" i="14"/>
  <c r="G187" i="14" s="1"/>
  <c r="D172" i="14"/>
  <c r="B172" i="14"/>
  <c r="B169" i="14"/>
  <c r="D169" i="14"/>
  <c r="E154" i="14"/>
  <c r="C154" i="14"/>
  <c r="D146" i="14"/>
  <c r="E146" i="14"/>
  <c r="C131" i="14"/>
  <c r="B131" i="14"/>
  <c r="E131" i="14"/>
  <c r="C122" i="14"/>
  <c r="E122" i="14"/>
  <c r="E81" i="13"/>
  <c r="E75" i="13"/>
  <c r="F65" i="13"/>
  <c r="F56" i="13"/>
  <c r="F44" i="13"/>
  <c r="G42" i="13"/>
  <c r="E24" i="13"/>
  <c r="G24" i="13"/>
  <c r="F11" i="13"/>
  <c r="E9" i="13"/>
  <c r="C177" i="14"/>
  <c r="D177" i="14"/>
  <c r="F172" i="14"/>
  <c r="D171" i="14"/>
  <c r="F169" i="14"/>
  <c r="C143" i="14"/>
  <c r="B143" i="14"/>
  <c r="F143" i="14"/>
  <c r="F140" i="14"/>
  <c r="C128" i="14"/>
  <c r="E128" i="14"/>
  <c r="E7" i="13"/>
  <c r="D165" i="14"/>
  <c r="F165" i="14"/>
  <c r="F131" i="14"/>
  <c r="E103" i="14"/>
  <c r="D99" i="14"/>
  <c r="C97" i="14"/>
  <c r="E91" i="14"/>
  <c r="E89" i="14"/>
  <c r="D77" i="14"/>
  <c r="D73" i="14"/>
  <c r="D69" i="14"/>
  <c r="D65" i="14"/>
  <c r="D61" i="14"/>
  <c r="C57" i="14"/>
  <c r="D49" i="14"/>
  <c r="E35" i="14"/>
  <c r="D27" i="14"/>
  <c r="C25" i="14"/>
  <c r="D19" i="14"/>
  <c r="C17" i="14"/>
  <c r="E157" i="14"/>
  <c r="E153" i="14"/>
  <c r="D137" i="14"/>
  <c r="D129" i="14"/>
  <c r="D127" i="14"/>
  <c r="F123" i="14"/>
  <c r="F119" i="14"/>
  <c r="E111" i="14"/>
  <c r="D109" i="14"/>
  <c r="B103" i="14"/>
  <c r="B99" i="14"/>
  <c r="F97" i="14"/>
  <c r="B97" i="14"/>
  <c r="B91" i="14"/>
  <c r="C89" i="14"/>
  <c r="E87" i="14"/>
  <c r="G87" i="14" s="1"/>
  <c r="E79" i="14"/>
  <c r="B77" i="14"/>
  <c r="E75" i="14"/>
  <c r="B73" i="14"/>
  <c r="E71" i="14"/>
  <c r="B69" i="14"/>
  <c r="E67" i="14"/>
  <c r="B65" i="14"/>
  <c r="E63" i="14"/>
  <c r="B61" i="14"/>
  <c r="F57" i="14"/>
  <c r="B57" i="14"/>
  <c r="B49" i="14"/>
  <c r="D41" i="14"/>
  <c r="B35" i="14"/>
  <c r="D31" i="14"/>
  <c r="B27" i="14"/>
  <c r="F25" i="14"/>
  <c r="B25" i="14"/>
  <c r="E23" i="14"/>
  <c r="E21" i="14"/>
  <c r="B19" i="14"/>
  <c r="F17" i="14"/>
  <c r="B17" i="14"/>
  <c r="G17" i="14" s="1"/>
  <c r="E11" i="14"/>
  <c r="E10" i="14"/>
  <c r="D9" i="14"/>
  <c r="E8" i="14"/>
  <c r="G8" i="14" s="1"/>
  <c r="D7" i="14"/>
  <c r="F129" i="14"/>
  <c r="B123" i="14"/>
  <c r="B119" i="14"/>
  <c r="B111" i="14"/>
  <c r="F109" i="14"/>
  <c r="F103" i="14"/>
  <c r="E99" i="14"/>
  <c r="E96" i="14"/>
  <c r="F91" i="14"/>
  <c r="E77" i="14"/>
  <c r="E73" i="14"/>
  <c r="E69" i="14"/>
  <c r="E65" i="14"/>
  <c r="E61" i="14"/>
  <c r="F56" i="14"/>
  <c r="E49" i="14"/>
  <c r="F48" i="14"/>
  <c r="F41" i="14"/>
  <c r="F35" i="14"/>
  <c r="E34" i="14"/>
  <c r="E27" i="14"/>
  <c r="E26" i="14"/>
  <c r="E19" i="14"/>
  <c r="E18" i="14"/>
  <c r="E16" i="14"/>
  <c r="G16" i="14" s="1"/>
  <c r="B11" i="14"/>
  <c r="F9" i="14"/>
  <c r="C183" i="2"/>
  <c r="I183" i="2"/>
  <c r="E183" i="2"/>
  <c r="Q183" i="2"/>
  <c r="B183" i="2"/>
  <c r="H183" i="2"/>
  <c r="M183" i="2"/>
  <c r="D183" i="2"/>
  <c r="P183" i="2"/>
  <c r="C179" i="2"/>
  <c r="D179" i="2"/>
  <c r="L179" i="2"/>
  <c r="Q179" i="2"/>
  <c r="E179" i="2"/>
  <c r="M179" i="2"/>
  <c r="R179" i="2"/>
  <c r="B179" i="2"/>
  <c r="I179" i="2"/>
  <c r="J179" i="2" s="1"/>
  <c r="K179" i="2" s="1"/>
  <c r="P179" i="2"/>
  <c r="C185" i="2"/>
  <c r="D185" i="2"/>
  <c r="G185" i="2" s="1"/>
  <c r="P185" i="2"/>
  <c r="B185" i="2"/>
  <c r="H185" i="2"/>
  <c r="M185" i="2"/>
  <c r="R185" i="2"/>
  <c r="I185" i="2"/>
  <c r="S185" i="2"/>
  <c r="D193" i="2"/>
  <c r="P193" i="2"/>
  <c r="B193" i="2"/>
  <c r="H193" i="2"/>
  <c r="M193" i="2"/>
  <c r="R193" i="2"/>
  <c r="C193" i="2"/>
  <c r="I193" i="2"/>
  <c r="S193" i="2"/>
  <c r="R183" i="2"/>
  <c r="C180" i="2"/>
  <c r="Q180" i="2"/>
  <c r="I180" i="2"/>
  <c r="L193" i="2"/>
  <c r="Q185" i="2"/>
  <c r="L183" i="2"/>
  <c r="E167" i="2"/>
  <c r="R181" i="2"/>
  <c r="Q171" i="2"/>
  <c r="L171" i="2"/>
  <c r="E171" i="2"/>
  <c r="Q167" i="2"/>
  <c r="L167" i="2"/>
  <c r="D167" i="2"/>
  <c r="L159" i="2"/>
  <c r="D159" i="2"/>
  <c r="M192" i="2"/>
  <c r="E177" i="2"/>
  <c r="G177" i="2" s="1"/>
  <c r="I174" i="2"/>
  <c r="P171" i="2"/>
  <c r="D171" i="2"/>
  <c r="F171" i="2" s="1"/>
  <c r="C167" i="2"/>
  <c r="P159" i="2"/>
  <c r="C159" i="2"/>
  <c r="Q158" i="2"/>
  <c r="Q157" i="2"/>
  <c r="P155" i="2"/>
  <c r="I155" i="2"/>
  <c r="D155" i="2"/>
  <c r="P151" i="2"/>
  <c r="C151" i="2"/>
  <c r="Q150" i="2"/>
  <c r="Q149" i="2"/>
  <c r="L141" i="2"/>
  <c r="Q191" i="2"/>
  <c r="E191" i="2"/>
  <c r="S190" i="2"/>
  <c r="E190" i="2"/>
  <c r="R187" i="2"/>
  <c r="M187" i="2"/>
  <c r="E187" i="2"/>
  <c r="Q186" i="2"/>
  <c r="P181" i="2"/>
  <c r="H181" i="2"/>
  <c r="C181" i="2"/>
  <c r="F181" i="2" s="1"/>
  <c r="P177" i="2"/>
  <c r="S176" i="2"/>
  <c r="E176" i="2"/>
  <c r="Q175" i="2"/>
  <c r="E175" i="2"/>
  <c r="S174" i="2"/>
  <c r="S171" i="2"/>
  <c r="I171" i="2"/>
  <c r="B171" i="2"/>
  <c r="L169" i="2"/>
  <c r="L168" i="2"/>
  <c r="S167" i="2"/>
  <c r="H167" i="2"/>
  <c r="B167" i="2"/>
  <c r="I166" i="2"/>
  <c r="L165" i="2"/>
  <c r="S163" i="2"/>
  <c r="M163" i="2"/>
  <c r="H163" i="2"/>
  <c r="C163" i="2"/>
  <c r="L161" i="2"/>
  <c r="L160" i="2"/>
  <c r="S159" i="2"/>
  <c r="H159" i="2"/>
  <c r="B159" i="2"/>
  <c r="L157" i="2"/>
  <c r="S155" i="2"/>
  <c r="M155" i="2"/>
  <c r="H155" i="2"/>
  <c r="C155" i="2"/>
  <c r="L153" i="2"/>
  <c r="L152" i="2"/>
  <c r="S151" i="2"/>
  <c r="H151" i="2"/>
  <c r="J151" i="2" s="1"/>
  <c r="K151" i="2" s="1"/>
  <c r="B151" i="2"/>
  <c r="L149" i="2"/>
  <c r="P147" i="2"/>
  <c r="I147" i="2"/>
  <c r="I141" i="2"/>
  <c r="P136" i="2"/>
  <c r="H136" i="2"/>
  <c r="C136" i="2"/>
  <c r="F136" i="2" s="1"/>
  <c r="C135" i="2"/>
  <c r="L133" i="2"/>
  <c r="R132" i="2"/>
  <c r="M132" i="2"/>
  <c r="H132" i="2"/>
  <c r="B132" i="2"/>
  <c r="D130" i="2"/>
  <c r="D129" i="2"/>
  <c r="Q128" i="2"/>
  <c r="I128" i="2"/>
  <c r="Q127" i="2"/>
  <c r="S124" i="2"/>
  <c r="I124" i="2"/>
  <c r="C124" i="2"/>
  <c r="I123" i="2"/>
  <c r="I122" i="2"/>
  <c r="L121" i="2"/>
  <c r="L118" i="2"/>
  <c r="P116" i="2"/>
  <c r="S115" i="2"/>
  <c r="Q113" i="2"/>
  <c r="S112" i="2"/>
  <c r="M112" i="2"/>
  <c r="B112" i="2"/>
  <c r="I109" i="2"/>
  <c r="P104" i="2"/>
  <c r="H104" i="2"/>
  <c r="C104" i="2"/>
  <c r="F104" i="2" s="1"/>
  <c r="C103" i="2"/>
  <c r="L101" i="2"/>
  <c r="R100" i="2"/>
  <c r="M100" i="2"/>
  <c r="H100" i="2"/>
  <c r="B100" i="2"/>
  <c r="D98" i="2"/>
  <c r="D97" i="2"/>
  <c r="Q96" i="2"/>
  <c r="I96" i="2"/>
  <c r="J96" i="2" s="1"/>
  <c r="K96" i="2" s="1"/>
  <c r="Q95" i="2"/>
  <c r="S92" i="2"/>
  <c r="I92" i="2"/>
  <c r="J92" i="2" s="1"/>
  <c r="K92" i="2" s="1"/>
  <c r="C92" i="2"/>
  <c r="I91" i="2"/>
  <c r="I90" i="2"/>
  <c r="L89" i="2"/>
  <c r="L86" i="2"/>
  <c r="P84" i="2"/>
  <c r="S83" i="2"/>
  <c r="Q81" i="2"/>
  <c r="S80" i="2"/>
  <c r="M80" i="2"/>
  <c r="N80" i="2" s="1"/>
  <c r="O80" i="2" s="1"/>
  <c r="B80" i="2"/>
  <c r="I77" i="2"/>
  <c r="Q74" i="2"/>
  <c r="B72" i="2"/>
  <c r="M72" i="2"/>
  <c r="S72" i="2"/>
  <c r="L70" i="2"/>
  <c r="I67" i="2"/>
  <c r="R64" i="2"/>
  <c r="I64" i="2"/>
  <c r="L62" i="2"/>
  <c r="S60" i="2"/>
  <c r="L60" i="2"/>
  <c r="I58" i="2"/>
  <c r="I57" i="2"/>
  <c r="D57" i="2"/>
  <c r="M56" i="2"/>
  <c r="L53" i="2"/>
  <c r="Q52" i="2"/>
  <c r="Q50" i="2"/>
  <c r="D46" i="2"/>
  <c r="L46" i="2"/>
  <c r="S44" i="2"/>
  <c r="M44" i="2"/>
  <c r="D42" i="2"/>
  <c r="I41" i="2"/>
  <c r="Q41" i="2"/>
  <c r="L40" i="2"/>
  <c r="M32" i="2"/>
  <c r="N32" i="2" s="1"/>
  <c r="O32" i="2" s="1"/>
  <c r="B28" i="2"/>
  <c r="H28" i="2"/>
  <c r="M28" i="2"/>
  <c r="R28" i="2"/>
  <c r="Q26" i="2"/>
  <c r="R24" i="2"/>
  <c r="H24" i="2"/>
  <c r="D20" i="2"/>
  <c r="I20" i="2"/>
  <c r="S20" i="2"/>
  <c r="Q12" i="2"/>
  <c r="C6" i="3"/>
  <c r="O6" i="3" s="1"/>
  <c r="H10" i="2"/>
  <c r="B188" i="3"/>
  <c r="I188" i="3"/>
  <c r="O188" i="3"/>
  <c r="P186" i="3"/>
  <c r="B182" i="3"/>
  <c r="D182" i="3"/>
  <c r="E182" i="3" s="1"/>
  <c r="M182" i="3"/>
  <c r="M179" i="3"/>
  <c r="B175" i="3"/>
  <c r="G175" i="3"/>
  <c r="M175" i="3"/>
  <c r="Q175" i="3"/>
  <c r="B174" i="3"/>
  <c r="G174" i="3"/>
  <c r="O174" i="3"/>
  <c r="B172" i="3"/>
  <c r="M172" i="3"/>
  <c r="P170" i="3"/>
  <c r="P167" i="3"/>
  <c r="I167" i="3"/>
  <c r="B166" i="3"/>
  <c r="C166" i="3"/>
  <c r="L166" i="3"/>
  <c r="Q166" i="3"/>
  <c r="Q164" i="3"/>
  <c r="B163" i="3"/>
  <c r="G163" i="3"/>
  <c r="M163" i="3"/>
  <c r="Q163" i="3"/>
  <c r="B162" i="3"/>
  <c r="G162" i="3"/>
  <c r="O162" i="3"/>
  <c r="Q159" i="3"/>
  <c r="L159" i="3"/>
  <c r="O158" i="3"/>
  <c r="M155" i="3"/>
  <c r="J152" i="3"/>
  <c r="K152" i="3" s="1"/>
  <c r="P151" i="3"/>
  <c r="J151" i="3"/>
  <c r="M150" i="3"/>
  <c r="B148" i="3"/>
  <c r="I148" i="3"/>
  <c r="M147" i="3"/>
  <c r="P146" i="3"/>
  <c r="C143" i="3"/>
  <c r="I143" i="3"/>
  <c r="N143" i="3"/>
  <c r="P139" i="3"/>
  <c r="J139" i="3"/>
  <c r="M138" i="3"/>
  <c r="D137" i="3"/>
  <c r="Q137" i="3"/>
  <c r="Q134" i="3"/>
  <c r="L131" i="3"/>
  <c r="P130" i="3"/>
  <c r="N129" i="3"/>
  <c r="M127" i="3"/>
  <c r="B126" i="3"/>
  <c r="C126" i="3"/>
  <c r="O126" i="3"/>
  <c r="O123" i="3"/>
  <c r="M116" i="3"/>
  <c r="D115" i="3"/>
  <c r="O115" i="3"/>
  <c r="G115" i="3"/>
  <c r="Q115" i="3"/>
  <c r="B114" i="3"/>
  <c r="M114" i="3"/>
  <c r="F114" i="3"/>
  <c r="P114" i="3"/>
  <c r="Q111" i="3"/>
  <c r="D110" i="3"/>
  <c r="N110" i="3"/>
  <c r="F110" i="3"/>
  <c r="Q110" i="3"/>
  <c r="B109" i="3"/>
  <c r="M109" i="3"/>
  <c r="F109" i="3"/>
  <c r="H109" i="3" s="1"/>
  <c r="O109" i="3"/>
  <c r="G107" i="3"/>
  <c r="L107" i="3"/>
  <c r="D88" i="3"/>
  <c r="J88" i="3"/>
  <c r="O88" i="3"/>
  <c r="B88" i="3"/>
  <c r="G88" i="3"/>
  <c r="E88" i="5" s="1"/>
  <c r="M88" i="3"/>
  <c r="Q88" i="3"/>
  <c r="C88" i="3"/>
  <c r="I88" i="3"/>
  <c r="N88" i="3"/>
  <c r="D84" i="3"/>
  <c r="J84" i="3"/>
  <c r="O84" i="3"/>
  <c r="B84" i="3"/>
  <c r="G84" i="3"/>
  <c r="M84" i="3"/>
  <c r="Q84" i="3"/>
  <c r="C84" i="3"/>
  <c r="I84" i="3"/>
  <c r="N84" i="3"/>
  <c r="H171" i="2"/>
  <c r="Q132" i="2"/>
  <c r="L132" i="2"/>
  <c r="E132" i="2"/>
  <c r="Q130" i="2"/>
  <c r="C64" i="2"/>
  <c r="H64" i="2"/>
  <c r="P64" i="2"/>
  <c r="I55" i="2"/>
  <c r="Q55" i="2"/>
  <c r="C52" i="2"/>
  <c r="I52" i="2"/>
  <c r="S52" i="2"/>
  <c r="C43" i="2"/>
  <c r="S43" i="2"/>
  <c r="D37" i="2"/>
  <c r="I4" i="21" s="1"/>
  <c r="I37" i="2"/>
  <c r="I31" i="2"/>
  <c r="C31" i="2"/>
  <c r="D29" i="2"/>
  <c r="L29" i="2"/>
  <c r="D24" i="2"/>
  <c r="I24" i="2"/>
  <c r="Q24" i="2"/>
  <c r="D185" i="3"/>
  <c r="M185" i="3"/>
  <c r="D181" i="3"/>
  <c r="P181" i="3"/>
  <c r="I173" i="3"/>
  <c r="Q173" i="3"/>
  <c r="D169" i="3"/>
  <c r="M169" i="3"/>
  <c r="D167" i="3"/>
  <c r="J167" i="3"/>
  <c r="O167" i="3"/>
  <c r="B158" i="3"/>
  <c r="C158" i="3"/>
  <c r="L158" i="3"/>
  <c r="Q158" i="3"/>
  <c r="B151" i="3"/>
  <c r="G151" i="3"/>
  <c r="M151" i="3"/>
  <c r="Q151" i="3"/>
  <c r="B150" i="3"/>
  <c r="G150" i="3"/>
  <c r="O150" i="3"/>
  <c r="B139" i="3"/>
  <c r="G139" i="3"/>
  <c r="M139" i="3"/>
  <c r="Q139" i="3"/>
  <c r="B138" i="3"/>
  <c r="G138" i="3"/>
  <c r="O138" i="3"/>
  <c r="F136" i="3"/>
  <c r="Q136" i="3"/>
  <c r="B123" i="3"/>
  <c r="G123" i="3"/>
  <c r="E123" i="5" s="1"/>
  <c r="M123" i="3"/>
  <c r="Q123" i="3"/>
  <c r="C123" i="3"/>
  <c r="E123" i="3" s="1"/>
  <c r="I123" i="3"/>
  <c r="N123" i="3"/>
  <c r="C116" i="3"/>
  <c r="I116" i="3"/>
  <c r="N116" i="3"/>
  <c r="D116" i="3"/>
  <c r="J116" i="3"/>
  <c r="O116" i="3"/>
  <c r="D111" i="3"/>
  <c r="E111" i="3" s="1"/>
  <c r="M111" i="3"/>
  <c r="G111" i="3"/>
  <c r="O111" i="3"/>
  <c r="D100" i="3"/>
  <c r="J100" i="3"/>
  <c r="O100" i="3"/>
  <c r="B100" i="3"/>
  <c r="G100" i="3"/>
  <c r="H100" i="3" s="1"/>
  <c r="M100" i="3"/>
  <c r="Q100" i="3"/>
  <c r="C100" i="3"/>
  <c r="I100" i="3"/>
  <c r="N100" i="3"/>
  <c r="M176" i="2"/>
  <c r="Q159" i="2"/>
  <c r="Q151" i="2"/>
  <c r="L151" i="2"/>
  <c r="D151" i="2"/>
  <c r="P132" i="2"/>
  <c r="D132" i="2"/>
  <c r="F132" i="2" s="1"/>
  <c r="L130" i="2"/>
  <c r="Q129" i="2"/>
  <c r="Q112" i="2"/>
  <c r="I112" i="2"/>
  <c r="D112" i="2"/>
  <c r="P100" i="2"/>
  <c r="D100" i="2"/>
  <c r="L98" i="2"/>
  <c r="Q97" i="2"/>
  <c r="Q80" i="2"/>
  <c r="I80" i="2"/>
  <c r="D80" i="2"/>
  <c r="I73" i="2"/>
  <c r="Q73" i="2"/>
  <c r="M64" i="2"/>
  <c r="E64" i="2"/>
  <c r="B60" i="2"/>
  <c r="H60" i="2"/>
  <c r="M60" i="2"/>
  <c r="R60" i="2"/>
  <c r="Q58" i="2"/>
  <c r="M52" i="2"/>
  <c r="E52" i="2"/>
  <c r="I49" i="2"/>
  <c r="L49" i="2"/>
  <c r="Q42" i="2"/>
  <c r="B40" i="2"/>
  <c r="M40" i="2"/>
  <c r="S40" i="2"/>
  <c r="I25" i="2"/>
  <c r="D25" i="2"/>
  <c r="M24" i="2"/>
  <c r="E24" i="2"/>
  <c r="C13" i="2"/>
  <c r="I13" i="2"/>
  <c r="C12" i="2"/>
  <c r="F12" i="2" s="1"/>
  <c r="H12" i="2"/>
  <c r="M12" i="2"/>
  <c r="R12" i="2"/>
  <c r="B186" i="3"/>
  <c r="D186" i="3"/>
  <c r="M186" i="3"/>
  <c r="B184" i="3"/>
  <c r="N184" i="3"/>
  <c r="M181" i="3"/>
  <c r="I176" i="3"/>
  <c r="Q176" i="3"/>
  <c r="M173" i="3"/>
  <c r="B170" i="3"/>
  <c r="D170" i="3"/>
  <c r="M170" i="3"/>
  <c r="B168" i="3"/>
  <c r="N168" i="3"/>
  <c r="M167" i="3"/>
  <c r="F167" i="3"/>
  <c r="D161" i="3"/>
  <c r="Q161" i="3"/>
  <c r="D159" i="3"/>
  <c r="J159" i="3"/>
  <c r="O159" i="3"/>
  <c r="I158" i="3"/>
  <c r="N151" i="3"/>
  <c r="F151" i="3"/>
  <c r="Q150" i="3"/>
  <c r="I150" i="3"/>
  <c r="I149" i="3"/>
  <c r="Q149" i="3"/>
  <c r="B146" i="3"/>
  <c r="C146" i="3"/>
  <c r="L146" i="3"/>
  <c r="Q146" i="3"/>
  <c r="N139" i="3"/>
  <c r="F139" i="3"/>
  <c r="Q138" i="3"/>
  <c r="I138" i="3"/>
  <c r="J136" i="3"/>
  <c r="B131" i="3"/>
  <c r="G131" i="3"/>
  <c r="M131" i="3"/>
  <c r="Q131" i="3"/>
  <c r="B130" i="3"/>
  <c r="G130" i="3"/>
  <c r="O130" i="3"/>
  <c r="C129" i="3"/>
  <c r="D129" i="3"/>
  <c r="L129" i="3"/>
  <c r="Q129" i="3"/>
  <c r="J123" i="3"/>
  <c r="Q116" i="3"/>
  <c r="G116" i="3"/>
  <c r="E116" i="5" s="1"/>
  <c r="L111" i="3"/>
  <c r="P100" i="3"/>
  <c r="L88" i="3"/>
  <c r="D80" i="3"/>
  <c r="J80" i="3"/>
  <c r="O80" i="3"/>
  <c r="B80" i="3"/>
  <c r="G80" i="3"/>
  <c r="M80" i="3"/>
  <c r="Q80" i="3"/>
  <c r="C80" i="3"/>
  <c r="I80" i="3"/>
  <c r="N80" i="3"/>
  <c r="M171" i="2"/>
  <c r="R151" i="2"/>
  <c r="M151" i="2"/>
  <c r="E151" i="2"/>
  <c r="L181" i="2"/>
  <c r="E181" i="2"/>
  <c r="G181" i="2" s="1"/>
  <c r="Q155" i="2"/>
  <c r="H187" i="2"/>
  <c r="Q181" i="2"/>
  <c r="I181" i="2"/>
  <c r="P167" i="2"/>
  <c r="Q165" i="2"/>
  <c r="P163" i="2"/>
  <c r="I163" i="2"/>
  <c r="Q136" i="2"/>
  <c r="I136" i="2"/>
  <c r="Q135" i="2"/>
  <c r="S132" i="2"/>
  <c r="I132" i="2"/>
  <c r="L129" i="2"/>
  <c r="P124" i="2"/>
  <c r="S123" i="2"/>
  <c r="Q121" i="2"/>
  <c r="F120" i="2"/>
  <c r="P112" i="2"/>
  <c r="H112" i="2"/>
  <c r="L109" i="2"/>
  <c r="Q104" i="2"/>
  <c r="I104" i="2"/>
  <c r="Q103" i="2"/>
  <c r="S100" i="2"/>
  <c r="I100" i="2"/>
  <c r="L97" i="2"/>
  <c r="P92" i="2"/>
  <c r="S91" i="2"/>
  <c r="Q89" i="2"/>
  <c r="P80" i="2"/>
  <c r="H80" i="2"/>
  <c r="L77" i="2"/>
  <c r="D69" i="2"/>
  <c r="I69" i="2"/>
  <c r="S67" i="2"/>
  <c r="S64" i="2"/>
  <c r="L64" i="2"/>
  <c r="D64" i="2"/>
  <c r="I63" i="2"/>
  <c r="C63" i="2"/>
  <c r="D61" i="2"/>
  <c r="L61" i="2"/>
  <c r="E60" i="2"/>
  <c r="L58" i="2"/>
  <c r="D56" i="2"/>
  <c r="I56" i="2"/>
  <c r="Q56" i="2"/>
  <c r="R52" i="2"/>
  <c r="L52" i="2"/>
  <c r="D52" i="2"/>
  <c r="C51" i="2"/>
  <c r="I51" i="2"/>
  <c r="D44" i="2"/>
  <c r="P44" i="2"/>
  <c r="I42" i="2"/>
  <c r="P40" i="2"/>
  <c r="E40" i="2"/>
  <c r="C32" i="2"/>
  <c r="H32" i="2"/>
  <c r="P32" i="2"/>
  <c r="S24" i="2"/>
  <c r="L24" i="2"/>
  <c r="C24" i="2"/>
  <c r="Q13" i="2"/>
  <c r="S12" i="2"/>
  <c r="L12" i="2"/>
  <c r="E12" i="2"/>
  <c r="G12" i="2" s="1"/>
  <c r="Q186" i="3"/>
  <c r="I186" i="3"/>
  <c r="Q185" i="3"/>
  <c r="J184" i="3"/>
  <c r="K184" i="3" s="1"/>
  <c r="L181" i="3"/>
  <c r="C179" i="3"/>
  <c r="I179" i="3"/>
  <c r="N179" i="3"/>
  <c r="J176" i="3"/>
  <c r="L173" i="3"/>
  <c r="Q170" i="3"/>
  <c r="I170" i="3"/>
  <c r="Q169" i="3"/>
  <c r="J168" i="3"/>
  <c r="K168" i="3" s="1"/>
  <c r="Q167" i="3"/>
  <c r="L167" i="3"/>
  <c r="C167" i="3"/>
  <c r="M160" i="3"/>
  <c r="B160" i="3"/>
  <c r="N160" i="3"/>
  <c r="M159" i="3"/>
  <c r="F159" i="3"/>
  <c r="H159" i="3" s="1"/>
  <c r="P158" i="3"/>
  <c r="G158" i="3"/>
  <c r="C155" i="3"/>
  <c r="I155" i="3"/>
  <c r="K155" i="3" s="1"/>
  <c r="N155" i="3"/>
  <c r="L151" i="3"/>
  <c r="D151" i="3"/>
  <c r="P150" i="3"/>
  <c r="D150" i="3"/>
  <c r="M149" i="3"/>
  <c r="D147" i="3"/>
  <c r="E147" i="3" s="1"/>
  <c r="J147" i="3"/>
  <c r="O147" i="3"/>
  <c r="I146" i="3"/>
  <c r="B140" i="3"/>
  <c r="Q140" i="3"/>
  <c r="L139" i="3"/>
  <c r="D139" i="3"/>
  <c r="E139" i="3" s="1"/>
  <c r="P138" i="3"/>
  <c r="D138" i="3"/>
  <c r="E138" i="3" s="1"/>
  <c r="I136" i="3"/>
  <c r="B134" i="3"/>
  <c r="D134" i="3"/>
  <c r="M134" i="3"/>
  <c r="N131" i="3"/>
  <c r="F131" i="3"/>
  <c r="Q130" i="3"/>
  <c r="I130" i="3"/>
  <c r="P129" i="3"/>
  <c r="I129" i="3"/>
  <c r="C127" i="3"/>
  <c r="I127" i="3"/>
  <c r="N127" i="3"/>
  <c r="P123" i="3"/>
  <c r="F123" i="3"/>
  <c r="M120" i="3"/>
  <c r="Q120" i="3"/>
  <c r="P116" i="3"/>
  <c r="F116" i="3"/>
  <c r="I111" i="3"/>
  <c r="F105" i="3"/>
  <c r="I105" i="3"/>
  <c r="L100" i="3"/>
  <c r="G95" i="3"/>
  <c r="O95" i="3"/>
  <c r="C95" i="3"/>
  <c r="L95" i="3"/>
  <c r="Q95" i="3"/>
  <c r="D95" i="3"/>
  <c r="M95" i="3"/>
  <c r="F90" i="3"/>
  <c r="M90" i="3"/>
  <c r="B90" i="3"/>
  <c r="J90" i="3"/>
  <c r="K90" i="3" s="1"/>
  <c r="P90" i="3"/>
  <c r="D90" i="3"/>
  <c r="L90" i="3"/>
  <c r="Q90" i="3"/>
  <c r="F88" i="3"/>
  <c r="F84" i="3"/>
  <c r="P80" i="3"/>
  <c r="O92" i="3"/>
  <c r="J92" i="3"/>
  <c r="D92" i="3"/>
  <c r="E92" i="3" s="1"/>
  <c r="Q91" i="3"/>
  <c r="I78" i="3"/>
  <c r="Q77" i="3"/>
  <c r="G77" i="3"/>
  <c r="E77" i="5" s="1"/>
  <c r="F73" i="3"/>
  <c r="L71" i="3"/>
  <c r="Q70" i="3"/>
  <c r="Q69" i="3"/>
  <c r="J69" i="3"/>
  <c r="C69" i="3"/>
  <c r="I67" i="3"/>
  <c r="Q66" i="3"/>
  <c r="J66" i="3"/>
  <c r="Q65" i="3"/>
  <c r="M63" i="3"/>
  <c r="D63" i="3"/>
  <c r="O60" i="3"/>
  <c r="J60" i="3"/>
  <c r="D60" i="3"/>
  <c r="Q59" i="3"/>
  <c r="Q58" i="3"/>
  <c r="L58" i="3"/>
  <c r="D58" i="3"/>
  <c r="N56" i="3"/>
  <c r="I56" i="3"/>
  <c r="D56" i="3"/>
  <c r="E56" i="3" s="1"/>
  <c r="Q55" i="3"/>
  <c r="G55" i="3"/>
  <c r="E55" i="5" s="1"/>
  <c r="L54" i="3"/>
  <c r="O52" i="3"/>
  <c r="J52" i="3"/>
  <c r="D52" i="3"/>
  <c r="Q51" i="3"/>
  <c r="G51" i="3"/>
  <c r="P50" i="3"/>
  <c r="F50" i="3"/>
  <c r="O48" i="3"/>
  <c r="J48" i="3"/>
  <c r="D48" i="3"/>
  <c r="E48" i="3" s="1"/>
  <c r="N44" i="3"/>
  <c r="I44" i="3"/>
  <c r="C44" i="3"/>
  <c r="E44" i="3" s="1"/>
  <c r="L43" i="3"/>
  <c r="I41" i="3"/>
  <c r="L34" i="3"/>
  <c r="Q31" i="3"/>
  <c r="I31" i="3"/>
  <c r="D30" i="3"/>
  <c r="N30" i="3"/>
  <c r="G29" i="3"/>
  <c r="H29" i="3" s="1"/>
  <c r="D24" i="3"/>
  <c r="J24" i="3"/>
  <c r="O24" i="3"/>
  <c r="B22" i="3"/>
  <c r="L22" i="3"/>
  <c r="B21" i="3"/>
  <c r="I21" i="3"/>
  <c r="O21" i="3"/>
  <c r="M20" i="3"/>
  <c r="F20" i="3"/>
  <c r="G19" i="3"/>
  <c r="Q19" i="3"/>
  <c r="J18" i="3"/>
  <c r="B17" i="3"/>
  <c r="F17" i="3"/>
  <c r="M16" i="3"/>
  <c r="F16" i="3"/>
  <c r="P15" i="3"/>
  <c r="G15" i="3"/>
  <c r="E15" i="5" s="1"/>
  <c r="F15" i="5" s="1"/>
  <c r="G15" i="5" s="1"/>
  <c r="C12" i="3"/>
  <c r="I12" i="3"/>
  <c r="K12" i="3" s="1"/>
  <c r="N12" i="3"/>
  <c r="Q10" i="3"/>
  <c r="I10" i="3"/>
  <c r="L8" i="3"/>
  <c r="D8" i="3"/>
  <c r="L185" i="7"/>
  <c r="B184" i="7"/>
  <c r="C184" i="7"/>
  <c r="K184" i="7"/>
  <c r="E184" i="7"/>
  <c r="M184" i="7"/>
  <c r="G184" i="7"/>
  <c r="O184" i="7"/>
  <c r="C173" i="7"/>
  <c r="B173" i="7"/>
  <c r="H173" i="7"/>
  <c r="M173" i="7"/>
  <c r="D173" i="7"/>
  <c r="I173" i="7"/>
  <c r="N173" i="7"/>
  <c r="E173" i="7"/>
  <c r="J173" i="7"/>
  <c r="M121" i="3"/>
  <c r="F121" i="3"/>
  <c r="O108" i="3"/>
  <c r="J108" i="3"/>
  <c r="M101" i="3"/>
  <c r="O96" i="3"/>
  <c r="J96" i="3"/>
  <c r="N92" i="3"/>
  <c r="I92" i="3"/>
  <c r="L91" i="3"/>
  <c r="M85" i="3"/>
  <c r="O79" i="3"/>
  <c r="Q78" i="3"/>
  <c r="O77" i="3"/>
  <c r="M74" i="3"/>
  <c r="Q73" i="3"/>
  <c r="C73" i="3"/>
  <c r="O72" i="3"/>
  <c r="J72" i="3"/>
  <c r="Q71" i="3"/>
  <c r="L70" i="3"/>
  <c r="O69" i="3"/>
  <c r="I69" i="3"/>
  <c r="B69" i="3"/>
  <c r="O68" i="3"/>
  <c r="J68" i="3"/>
  <c r="K68" i="3" s="1"/>
  <c r="Q67" i="3"/>
  <c r="P66" i="3"/>
  <c r="F65" i="3"/>
  <c r="O64" i="3"/>
  <c r="J64" i="3"/>
  <c r="Q63" i="3"/>
  <c r="L63" i="3"/>
  <c r="C63" i="3"/>
  <c r="N60" i="3"/>
  <c r="I60" i="3"/>
  <c r="L59" i="3"/>
  <c r="P58" i="3"/>
  <c r="J58" i="3"/>
  <c r="K58" i="3" s="1"/>
  <c r="B58" i="3"/>
  <c r="Q56" i="3"/>
  <c r="M56" i="3"/>
  <c r="P55" i="3"/>
  <c r="C55" i="3"/>
  <c r="F54" i="3"/>
  <c r="N52" i="3"/>
  <c r="I52" i="3"/>
  <c r="O51" i="3"/>
  <c r="D51" i="3"/>
  <c r="M50" i="3"/>
  <c r="B50" i="3"/>
  <c r="N48" i="3"/>
  <c r="I48" i="3"/>
  <c r="Q45" i="3"/>
  <c r="Q44" i="3"/>
  <c r="M44" i="3"/>
  <c r="G44" i="3"/>
  <c r="B44" i="3"/>
  <c r="G43" i="3"/>
  <c r="Q38" i="3"/>
  <c r="B37" i="3"/>
  <c r="I37" i="3"/>
  <c r="B33" i="3"/>
  <c r="Q33" i="3"/>
  <c r="P31" i="3"/>
  <c r="L30" i="3"/>
  <c r="Q29" i="3"/>
  <c r="F26" i="3"/>
  <c r="M26" i="3"/>
  <c r="C25" i="3"/>
  <c r="Q25" i="3"/>
  <c r="M24" i="3"/>
  <c r="F24" i="3"/>
  <c r="G23" i="3"/>
  <c r="E23" i="5" s="1"/>
  <c r="F23" i="5" s="1"/>
  <c r="G23" i="5" s="1"/>
  <c r="Q23" i="3"/>
  <c r="Q21" i="3"/>
  <c r="G21" i="3"/>
  <c r="Q20" i="3"/>
  <c r="L20" i="3"/>
  <c r="L19" i="3"/>
  <c r="Q18" i="3"/>
  <c r="Q16" i="3"/>
  <c r="L16" i="3"/>
  <c r="O15" i="3"/>
  <c r="M12" i="3"/>
  <c r="F12" i="3"/>
  <c r="H12" i="3" s="1"/>
  <c r="N10" i="3"/>
  <c r="N9" i="3"/>
  <c r="P8" i="3"/>
  <c r="J8" i="3"/>
  <c r="G179" i="7"/>
  <c r="B29" i="3"/>
  <c r="M29" i="3"/>
  <c r="F18" i="3"/>
  <c r="P18" i="3"/>
  <c r="C15" i="3"/>
  <c r="E15" i="3" s="1"/>
  <c r="L15" i="3"/>
  <c r="Q15" i="3"/>
  <c r="B8" i="3"/>
  <c r="G8" i="3"/>
  <c r="E8" i="5" s="1"/>
  <c r="F8" i="5" s="1"/>
  <c r="G8" i="5" s="1"/>
  <c r="M8" i="3"/>
  <c r="Q8" i="3"/>
  <c r="C185" i="7"/>
  <c r="B185" i="7"/>
  <c r="H185" i="7"/>
  <c r="M185" i="7"/>
  <c r="D185" i="7"/>
  <c r="I185" i="7"/>
  <c r="N185" i="7"/>
  <c r="E185" i="7"/>
  <c r="J185" i="7"/>
  <c r="M69" i="3"/>
  <c r="O63" i="3"/>
  <c r="M58" i="3"/>
  <c r="Q54" i="3"/>
  <c r="Q50" i="3"/>
  <c r="O44" i="3"/>
  <c r="J44" i="3"/>
  <c r="Q43" i="3"/>
  <c r="J34" i="3"/>
  <c r="Q34" i="3"/>
  <c r="D31" i="3"/>
  <c r="E31" i="3" s="1"/>
  <c r="M31" i="3"/>
  <c r="J29" i="3"/>
  <c r="D20" i="3"/>
  <c r="E20" i="3" s="1"/>
  <c r="J20" i="3"/>
  <c r="O20" i="3"/>
  <c r="L18" i="3"/>
  <c r="D16" i="3"/>
  <c r="J16" i="3"/>
  <c r="O16" i="3"/>
  <c r="I15" i="3"/>
  <c r="C11" i="3"/>
  <c r="L11" i="3"/>
  <c r="B10" i="3"/>
  <c r="J10" i="3"/>
  <c r="P10" i="3"/>
  <c r="N8" i="3"/>
  <c r="F8" i="3"/>
  <c r="I184" i="7"/>
  <c r="I179" i="7"/>
  <c r="F173" i="7"/>
  <c r="O171" i="7"/>
  <c r="K171" i="7"/>
  <c r="G171" i="7"/>
  <c r="C171" i="7"/>
  <c r="I157" i="7"/>
  <c r="F151" i="7"/>
  <c r="K145" i="7"/>
  <c r="E145" i="7"/>
  <c r="O144" i="7"/>
  <c r="K144" i="7"/>
  <c r="G144" i="7"/>
  <c r="C3" i="21" s="1"/>
  <c r="C144" i="7"/>
  <c r="I135" i="7"/>
  <c r="N134" i="7"/>
  <c r="I119" i="7"/>
  <c r="D118" i="7"/>
  <c r="N118" i="7"/>
  <c r="K113" i="7"/>
  <c r="B112" i="7"/>
  <c r="F112" i="7"/>
  <c r="J112" i="7"/>
  <c r="N112" i="7"/>
  <c r="K107" i="7"/>
  <c r="K105" i="7"/>
  <c r="N103" i="7"/>
  <c r="G92" i="7"/>
  <c r="K83" i="7"/>
  <c r="O180" i="7"/>
  <c r="G180" i="7"/>
  <c r="N171" i="7"/>
  <c r="J171" i="7"/>
  <c r="F171" i="7"/>
  <c r="H167" i="7"/>
  <c r="M166" i="7"/>
  <c r="K164" i="7"/>
  <c r="G157" i="7"/>
  <c r="L152" i="7"/>
  <c r="H152" i="7"/>
  <c r="N151" i="7"/>
  <c r="C151" i="7"/>
  <c r="O145" i="7"/>
  <c r="I145" i="7"/>
  <c r="D145" i="7"/>
  <c r="N144" i="7"/>
  <c r="J144" i="7"/>
  <c r="F144" i="7"/>
  <c r="F135" i="7"/>
  <c r="L132" i="7"/>
  <c r="H132" i="7"/>
  <c r="K119" i="7"/>
  <c r="B114" i="7"/>
  <c r="I114" i="7"/>
  <c r="D113" i="7"/>
  <c r="I113" i="7"/>
  <c r="O113" i="7"/>
  <c r="E107" i="7"/>
  <c r="J107" i="7"/>
  <c r="O107" i="7"/>
  <c r="F107" i="7"/>
  <c r="M107" i="7"/>
  <c r="G105" i="7"/>
  <c r="F103" i="7"/>
  <c r="M92" i="7"/>
  <c r="D82" i="7"/>
  <c r="E166" i="7"/>
  <c r="O157" i="7"/>
  <c r="D157" i="7"/>
  <c r="M145" i="7"/>
  <c r="H145" i="7"/>
  <c r="N135" i="7"/>
  <c r="C135" i="7"/>
  <c r="N130" i="7"/>
  <c r="C101" i="7"/>
  <c r="G101" i="7"/>
  <c r="L101" i="7"/>
  <c r="B92" i="7"/>
  <c r="F92" i="7"/>
  <c r="J92" i="7"/>
  <c r="N92" i="7"/>
  <c r="D92" i="7"/>
  <c r="I92" i="7"/>
  <c r="O92" i="7"/>
  <c r="E92" i="7"/>
  <c r="K92" i="7"/>
  <c r="D88" i="7"/>
  <c r="E105" i="7"/>
  <c r="L105" i="7"/>
  <c r="H105" i="7"/>
  <c r="B103" i="7"/>
  <c r="I103" i="7"/>
  <c r="K103" i="7"/>
  <c r="H92" i="7"/>
  <c r="F83" i="7"/>
  <c r="M83" i="7"/>
  <c r="E83" i="7"/>
  <c r="O83" i="7"/>
  <c r="G83" i="7"/>
  <c r="C93" i="7"/>
  <c r="G93" i="7"/>
  <c r="K84" i="7"/>
  <c r="B79" i="7"/>
  <c r="K79" i="7"/>
  <c r="B72" i="7"/>
  <c r="F72" i="7"/>
  <c r="J72" i="7"/>
  <c r="N72" i="7"/>
  <c r="K67" i="7"/>
  <c r="M64" i="7"/>
  <c r="E64" i="7"/>
  <c r="M60" i="7"/>
  <c r="E59" i="7"/>
  <c r="O59" i="7"/>
  <c r="C29" i="7"/>
  <c r="G29" i="7"/>
  <c r="C185" i="6"/>
  <c r="G185" i="6"/>
  <c r="K185" i="6"/>
  <c r="O185" i="6"/>
  <c r="D185" i="6"/>
  <c r="H185" i="6"/>
  <c r="L185" i="6"/>
  <c r="B185" i="6"/>
  <c r="F185" i="6"/>
  <c r="J185" i="6"/>
  <c r="N185" i="6"/>
  <c r="B98" i="7"/>
  <c r="D97" i="7"/>
  <c r="L93" i="7"/>
  <c r="K72" i="7"/>
  <c r="E72" i="7"/>
  <c r="B71" i="7"/>
  <c r="I71" i="7"/>
  <c r="K64" i="7"/>
  <c r="C20" i="7"/>
  <c r="G20" i="7"/>
  <c r="K20" i="7"/>
  <c r="O20" i="7"/>
  <c r="D20" i="7"/>
  <c r="H20" i="7"/>
  <c r="L20" i="7"/>
  <c r="B20" i="7"/>
  <c r="F20" i="7"/>
  <c r="J20" i="7"/>
  <c r="N20" i="7"/>
  <c r="C12" i="7"/>
  <c r="G12" i="7"/>
  <c r="K12" i="7"/>
  <c r="O12" i="7"/>
  <c r="D12" i="7"/>
  <c r="H12" i="7"/>
  <c r="L12" i="7"/>
  <c r="B12" i="7"/>
  <c r="F12" i="7"/>
  <c r="J12" i="7"/>
  <c r="N12" i="7"/>
  <c r="L166" i="5"/>
  <c r="D64" i="7"/>
  <c r="H64" i="7"/>
  <c r="L64" i="7"/>
  <c r="B64" i="7"/>
  <c r="F64" i="7"/>
  <c r="J64" i="7"/>
  <c r="N64" i="7"/>
  <c r="B60" i="7"/>
  <c r="C19" i="7"/>
  <c r="I19" i="7"/>
  <c r="M19" i="7"/>
  <c r="E19" i="7"/>
  <c r="D184" i="6"/>
  <c r="E184" i="6"/>
  <c r="M184" i="6"/>
  <c r="G184" i="6"/>
  <c r="O184" i="6"/>
  <c r="C184" i="6"/>
  <c r="K184" i="6"/>
  <c r="B74" i="7"/>
  <c r="L74" i="7"/>
  <c r="F67" i="7"/>
  <c r="M67" i="7"/>
  <c r="B67" i="7"/>
  <c r="J67" i="7"/>
  <c r="O64" i="7"/>
  <c r="G64" i="7"/>
  <c r="G11" i="7"/>
  <c r="I65" i="7"/>
  <c r="L46" i="7"/>
  <c r="L42" i="7"/>
  <c r="L41" i="7"/>
  <c r="F31" i="7"/>
  <c r="L30" i="7"/>
  <c r="N22" i="7"/>
  <c r="I22" i="7"/>
  <c r="D22" i="7"/>
  <c r="M21" i="7"/>
  <c r="N14" i="7"/>
  <c r="I14" i="7"/>
  <c r="D14" i="7"/>
  <c r="K8" i="7"/>
  <c r="M7" i="7"/>
  <c r="E7" i="7"/>
  <c r="J179" i="6"/>
  <c r="E179" i="6"/>
  <c r="I178" i="6"/>
  <c r="M178" i="12" s="1"/>
  <c r="J175" i="6"/>
  <c r="E175" i="6"/>
  <c r="L173" i="6"/>
  <c r="O173" i="12" s="1"/>
  <c r="H173" i="6"/>
  <c r="D173" i="6"/>
  <c r="O172" i="6"/>
  <c r="G172" i="6"/>
  <c r="N171" i="6"/>
  <c r="I171" i="6"/>
  <c r="Q171" i="12" s="1"/>
  <c r="L169" i="6"/>
  <c r="H169" i="6"/>
  <c r="L169" i="12" s="1"/>
  <c r="D169" i="6"/>
  <c r="O168" i="6"/>
  <c r="G168" i="6"/>
  <c r="N167" i="6"/>
  <c r="I167" i="6"/>
  <c r="O165" i="6"/>
  <c r="K165" i="6"/>
  <c r="G165" i="6"/>
  <c r="M164" i="6"/>
  <c r="E164" i="6"/>
  <c r="M163" i="6"/>
  <c r="H163" i="6"/>
  <c r="B163" i="6"/>
  <c r="O161" i="6"/>
  <c r="K161" i="6"/>
  <c r="G161" i="6"/>
  <c r="M160" i="6"/>
  <c r="E160" i="6"/>
  <c r="M159" i="6"/>
  <c r="H159" i="6"/>
  <c r="B159" i="6"/>
  <c r="N157" i="6"/>
  <c r="J157" i="6"/>
  <c r="F157" i="6"/>
  <c r="B157" i="6"/>
  <c r="K156" i="6"/>
  <c r="S156" i="12" s="1"/>
  <c r="C156" i="6"/>
  <c r="N153" i="6"/>
  <c r="J153" i="6"/>
  <c r="F153" i="6"/>
  <c r="B153" i="6"/>
  <c r="K152" i="6"/>
  <c r="C152" i="6"/>
  <c r="J147" i="6"/>
  <c r="E147" i="6"/>
  <c r="I146" i="6"/>
  <c r="Q146" i="12" s="1"/>
  <c r="O144" i="6"/>
  <c r="I144" i="6"/>
  <c r="M144" i="12" s="1"/>
  <c r="N143" i="6"/>
  <c r="J143" i="6"/>
  <c r="F143" i="6"/>
  <c r="B143" i="6"/>
  <c r="I142" i="6"/>
  <c r="M141" i="6"/>
  <c r="F141" i="6"/>
  <c r="L139" i="6"/>
  <c r="H139" i="6"/>
  <c r="D139" i="6"/>
  <c r="O138" i="6"/>
  <c r="J138" i="6"/>
  <c r="E138" i="6"/>
  <c r="N137" i="6"/>
  <c r="D137" i="6"/>
  <c r="K136" i="6"/>
  <c r="C136" i="6"/>
  <c r="M133" i="6"/>
  <c r="H133" i="6"/>
  <c r="B133" i="6"/>
  <c r="I132" i="6"/>
  <c r="Q132" i="12" s="1"/>
  <c r="O131" i="6"/>
  <c r="K131" i="6"/>
  <c r="G131" i="6"/>
  <c r="M130" i="6"/>
  <c r="F130" i="6"/>
  <c r="F129" i="6"/>
  <c r="L128" i="6"/>
  <c r="O128" i="12" s="1"/>
  <c r="M127" i="6"/>
  <c r="H127" i="6"/>
  <c r="P127" i="12" s="1"/>
  <c r="F125" i="6"/>
  <c r="M125" i="6"/>
  <c r="M123" i="6"/>
  <c r="G123" i="6"/>
  <c r="K122" i="6"/>
  <c r="R122" i="12" s="1"/>
  <c r="C120" i="6"/>
  <c r="K120" i="6"/>
  <c r="J117" i="6"/>
  <c r="M115" i="6"/>
  <c r="H115" i="6"/>
  <c r="F114" i="6"/>
  <c r="M114" i="6"/>
  <c r="D111" i="6"/>
  <c r="H111" i="6"/>
  <c r="P111" i="12" s="1"/>
  <c r="L111" i="6"/>
  <c r="B110" i="6"/>
  <c r="C110" i="6"/>
  <c r="N110" i="6"/>
  <c r="K107" i="6"/>
  <c r="S107" i="12" s="1"/>
  <c r="E107" i="6"/>
  <c r="J105" i="6"/>
  <c r="I104" i="6"/>
  <c r="O103" i="6"/>
  <c r="I103" i="6"/>
  <c r="M103" i="12" s="1"/>
  <c r="C100" i="6"/>
  <c r="B99" i="6"/>
  <c r="F99" i="6"/>
  <c r="J99" i="6"/>
  <c r="N99" i="6"/>
  <c r="L97" i="6"/>
  <c r="E96" i="6"/>
  <c r="M96" i="6"/>
  <c r="K95" i="6"/>
  <c r="E95" i="6"/>
  <c r="I92" i="6"/>
  <c r="M91" i="6"/>
  <c r="H91" i="6"/>
  <c r="P91" i="12" s="1"/>
  <c r="M89" i="6"/>
  <c r="F89" i="6"/>
  <c r="O88" i="6"/>
  <c r="B87" i="6"/>
  <c r="F87" i="6"/>
  <c r="J87" i="6"/>
  <c r="N87" i="6"/>
  <c r="M83" i="6"/>
  <c r="K79" i="6"/>
  <c r="S79" i="12" s="1"/>
  <c r="O75" i="6"/>
  <c r="G75" i="6"/>
  <c r="M71" i="6"/>
  <c r="C70" i="6"/>
  <c r="M70" i="6"/>
  <c r="E70" i="6"/>
  <c r="D67" i="6"/>
  <c r="H67" i="6"/>
  <c r="P67" i="12" s="1"/>
  <c r="L67" i="6"/>
  <c r="O67" i="12" s="1"/>
  <c r="B67" i="6"/>
  <c r="F67" i="6"/>
  <c r="J67" i="6"/>
  <c r="N67" i="6"/>
  <c r="O63" i="6"/>
  <c r="G63" i="6"/>
  <c r="N62" i="6"/>
  <c r="D61" i="6"/>
  <c r="N61" i="6"/>
  <c r="I61" i="6"/>
  <c r="Q61" i="12" s="1"/>
  <c r="C60" i="6"/>
  <c r="L60" i="5" s="1"/>
  <c r="K60" i="6"/>
  <c r="S60" i="12" s="1"/>
  <c r="G60" i="6"/>
  <c r="M60" i="6"/>
  <c r="I57" i="6"/>
  <c r="M57" i="12" s="1"/>
  <c r="O54" i="6"/>
  <c r="B127" i="6"/>
  <c r="F127" i="6"/>
  <c r="J127" i="6"/>
  <c r="N127" i="6"/>
  <c r="D123" i="6"/>
  <c r="H123" i="6"/>
  <c r="L123" i="6"/>
  <c r="B117" i="6"/>
  <c r="H117" i="6"/>
  <c r="P117" i="12" s="1"/>
  <c r="M117" i="6"/>
  <c r="C115" i="6"/>
  <c r="G115" i="6"/>
  <c r="K115" i="6"/>
  <c r="O115" i="6"/>
  <c r="D105" i="6"/>
  <c r="I105" i="6"/>
  <c r="M105" i="12" s="1"/>
  <c r="N105" i="6"/>
  <c r="C102" i="6"/>
  <c r="E102" i="6"/>
  <c r="B91" i="6"/>
  <c r="F91" i="6"/>
  <c r="J91" i="6"/>
  <c r="N91" i="6"/>
  <c r="E88" i="6"/>
  <c r="M88" i="6"/>
  <c r="D79" i="6"/>
  <c r="H79" i="6"/>
  <c r="L79" i="12" s="1"/>
  <c r="L79" i="6"/>
  <c r="B79" i="6"/>
  <c r="F79" i="6"/>
  <c r="J79" i="6"/>
  <c r="N79" i="6"/>
  <c r="B65" i="6"/>
  <c r="J65" i="6"/>
  <c r="F65" i="6"/>
  <c r="M65" i="6"/>
  <c r="E62" i="6"/>
  <c r="J62" i="6"/>
  <c r="O62" i="6"/>
  <c r="B62" i="6"/>
  <c r="G62" i="6"/>
  <c r="M62" i="6"/>
  <c r="D53" i="6"/>
  <c r="N53" i="6"/>
  <c r="L53" i="6"/>
  <c r="F53" i="6"/>
  <c r="I23" i="7"/>
  <c r="M179" i="6"/>
  <c r="H179" i="6"/>
  <c r="B179" i="6"/>
  <c r="M175" i="6"/>
  <c r="H175" i="6"/>
  <c r="B175" i="6"/>
  <c r="N173" i="6"/>
  <c r="J173" i="6"/>
  <c r="F173" i="6"/>
  <c r="K172" i="6"/>
  <c r="C172" i="6"/>
  <c r="N169" i="6"/>
  <c r="J169" i="6"/>
  <c r="F169" i="6"/>
  <c r="K168" i="6"/>
  <c r="C168" i="6"/>
  <c r="J163" i="6"/>
  <c r="E163" i="6"/>
  <c r="I162" i="6"/>
  <c r="J159" i="6"/>
  <c r="E159" i="6"/>
  <c r="L157" i="6"/>
  <c r="H157" i="6"/>
  <c r="D157" i="6"/>
  <c r="O156" i="6"/>
  <c r="G156" i="6"/>
  <c r="L153" i="6"/>
  <c r="H153" i="6"/>
  <c r="D153" i="6"/>
  <c r="O152" i="6"/>
  <c r="G152" i="6"/>
  <c r="M147" i="6"/>
  <c r="H147" i="6"/>
  <c r="L143" i="6"/>
  <c r="H143" i="6"/>
  <c r="P143" i="12" s="1"/>
  <c r="D143" i="6"/>
  <c r="N142" i="6"/>
  <c r="C142" i="6"/>
  <c r="J141" i="6"/>
  <c r="N139" i="6"/>
  <c r="J139" i="6"/>
  <c r="F139" i="6"/>
  <c r="M138" i="6"/>
  <c r="G138" i="6"/>
  <c r="I137" i="6"/>
  <c r="M136" i="6"/>
  <c r="G136" i="6"/>
  <c r="J133" i="6"/>
  <c r="E133" i="6"/>
  <c r="O132" i="6"/>
  <c r="D132" i="6"/>
  <c r="J130" i="6"/>
  <c r="D128" i="6"/>
  <c r="I128" i="6"/>
  <c r="K127" i="6"/>
  <c r="E127" i="6"/>
  <c r="B126" i="6"/>
  <c r="I126" i="6"/>
  <c r="O123" i="6"/>
  <c r="J123" i="6"/>
  <c r="E123" i="6"/>
  <c r="E122" i="6"/>
  <c r="J122" i="6"/>
  <c r="O122" i="6"/>
  <c r="B121" i="6"/>
  <c r="D121" i="6"/>
  <c r="N121" i="6"/>
  <c r="N117" i="6"/>
  <c r="F117" i="6"/>
  <c r="C116" i="6"/>
  <c r="I116" i="6"/>
  <c r="Q116" i="12" s="1"/>
  <c r="J115" i="6"/>
  <c r="E115" i="6"/>
  <c r="M107" i="6"/>
  <c r="H107" i="6"/>
  <c r="M105" i="6"/>
  <c r="F105" i="6"/>
  <c r="O104" i="6"/>
  <c r="B103" i="6"/>
  <c r="F103" i="6"/>
  <c r="J103" i="6"/>
  <c r="N103" i="6"/>
  <c r="K100" i="6"/>
  <c r="D97" i="6"/>
  <c r="I97" i="6"/>
  <c r="M97" i="12" s="1"/>
  <c r="N97" i="6"/>
  <c r="M95" i="6"/>
  <c r="H95" i="6"/>
  <c r="P95" i="12" s="1"/>
  <c r="C94" i="6"/>
  <c r="E94" i="6"/>
  <c r="K91" i="6"/>
  <c r="E91" i="6"/>
  <c r="J89" i="6"/>
  <c r="I88" i="6"/>
  <c r="Q88" i="12" s="1"/>
  <c r="C86" i="6"/>
  <c r="M86" i="6"/>
  <c r="E86" i="6"/>
  <c r="D83" i="6"/>
  <c r="H83" i="6"/>
  <c r="L83" i="6"/>
  <c r="B83" i="6"/>
  <c r="F83" i="6"/>
  <c r="J83" i="6"/>
  <c r="N83" i="6"/>
  <c r="O79" i="6"/>
  <c r="G79" i="6"/>
  <c r="K75" i="6"/>
  <c r="S75" i="12" s="1"/>
  <c r="D71" i="6"/>
  <c r="H71" i="6"/>
  <c r="L71" i="12" s="1"/>
  <c r="L71" i="6"/>
  <c r="O71" i="12" s="1"/>
  <c r="B71" i="6"/>
  <c r="F71" i="6"/>
  <c r="J71" i="6"/>
  <c r="N71" i="6"/>
  <c r="L65" i="6"/>
  <c r="K63" i="6"/>
  <c r="S63" i="12" s="1"/>
  <c r="I62" i="6"/>
  <c r="M62" i="12" s="1"/>
  <c r="N57" i="6"/>
  <c r="N163" i="6"/>
  <c r="I163" i="6"/>
  <c r="Q163" i="12" s="1"/>
  <c r="N159" i="6"/>
  <c r="I159" i="6"/>
  <c r="O157" i="6"/>
  <c r="K157" i="6"/>
  <c r="S157" i="12" s="1"/>
  <c r="G157" i="6"/>
  <c r="M156" i="6"/>
  <c r="E156" i="6"/>
  <c r="O153" i="6"/>
  <c r="K153" i="6"/>
  <c r="G153" i="6"/>
  <c r="M152" i="6"/>
  <c r="E152" i="6"/>
  <c r="O143" i="6"/>
  <c r="K143" i="6"/>
  <c r="R143" i="12" s="1"/>
  <c r="G143" i="6"/>
  <c r="F137" i="6"/>
  <c r="L136" i="6"/>
  <c r="N133" i="6"/>
  <c r="I133" i="6"/>
  <c r="O127" i="6"/>
  <c r="I127" i="6"/>
  <c r="D127" i="6"/>
  <c r="N123" i="6"/>
  <c r="I123" i="6"/>
  <c r="C123" i="6"/>
  <c r="L117" i="6"/>
  <c r="E117" i="6"/>
  <c r="N115" i="6"/>
  <c r="I115" i="6"/>
  <c r="Q115" i="12" s="1"/>
  <c r="D115" i="6"/>
  <c r="B107" i="6"/>
  <c r="F107" i="6"/>
  <c r="J107" i="6"/>
  <c r="N107" i="6"/>
  <c r="L105" i="6"/>
  <c r="E105" i="6"/>
  <c r="E104" i="6"/>
  <c r="M104" i="6"/>
  <c r="M102" i="6"/>
  <c r="I100" i="6"/>
  <c r="B95" i="6"/>
  <c r="F95" i="6"/>
  <c r="J95" i="6"/>
  <c r="N95" i="6"/>
  <c r="O91" i="6"/>
  <c r="I91" i="6"/>
  <c r="M91" i="12" s="1"/>
  <c r="D91" i="6"/>
  <c r="D89" i="6"/>
  <c r="I89" i="6"/>
  <c r="Q89" i="12" s="1"/>
  <c r="N89" i="6"/>
  <c r="G88" i="6"/>
  <c r="M79" i="6"/>
  <c r="E79" i="6"/>
  <c r="C78" i="6"/>
  <c r="M78" i="6"/>
  <c r="E78" i="6"/>
  <c r="D75" i="6"/>
  <c r="H75" i="6"/>
  <c r="P75" i="12" s="1"/>
  <c r="L75" i="6"/>
  <c r="O75" i="12" s="1"/>
  <c r="B75" i="6"/>
  <c r="F75" i="6"/>
  <c r="J75" i="6"/>
  <c r="N75" i="6"/>
  <c r="H65" i="6"/>
  <c r="P65" i="12" s="1"/>
  <c r="D63" i="6"/>
  <c r="H63" i="6"/>
  <c r="L63" i="12" s="1"/>
  <c r="L63" i="6"/>
  <c r="B63" i="6"/>
  <c r="F63" i="6"/>
  <c r="J63" i="6"/>
  <c r="N63" i="6"/>
  <c r="F62" i="6"/>
  <c r="B57" i="6"/>
  <c r="H57" i="6"/>
  <c r="L57" i="12" s="1"/>
  <c r="M57" i="6"/>
  <c r="E57" i="6"/>
  <c r="J57" i="6"/>
  <c r="F54" i="6"/>
  <c r="M54" i="6"/>
  <c r="G54" i="6"/>
  <c r="B54" i="6"/>
  <c r="K54" i="6"/>
  <c r="S54" i="12" s="1"/>
  <c r="N81" i="6"/>
  <c r="I81" i="6"/>
  <c r="M80" i="6"/>
  <c r="N73" i="6"/>
  <c r="I73" i="6"/>
  <c r="M73" i="12" s="1"/>
  <c r="M72" i="6"/>
  <c r="L64" i="6"/>
  <c r="O64" i="12" s="1"/>
  <c r="O59" i="6"/>
  <c r="K59" i="6"/>
  <c r="G59" i="6"/>
  <c r="L55" i="6"/>
  <c r="H55" i="6"/>
  <c r="D55" i="6"/>
  <c r="D51" i="6"/>
  <c r="H51" i="6"/>
  <c r="P51" i="12" s="1"/>
  <c r="L51" i="6"/>
  <c r="O51" i="12" s="1"/>
  <c r="C50" i="6"/>
  <c r="L50" i="5" s="1"/>
  <c r="N50" i="6"/>
  <c r="L48" i="6"/>
  <c r="O48" i="12" s="1"/>
  <c r="M47" i="6"/>
  <c r="H47" i="6"/>
  <c r="K46" i="6"/>
  <c r="M43" i="6"/>
  <c r="G43" i="6"/>
  <c r="M39" i="6"/>
  <c r="H39" i="6"/>
  <c r="E38" i="6"/>
  <c r="K38" i="6"/>
  <c r="M35" i="6"/>
  <c r="D31" i="6"/>
  <c r="H31" i="6"/>
  <c r="P31" i="12" s="1"/>
  <c r="L31" i="6"/>
  <c r="O31" i="12" s="1"/>
  <c r="B31" i="6"/>
  <c r="F31" i="6"/>
  <c r="J31" i="6"/>
  <c r="N31" i="6"/>
  <c r="G30" i="6"/>
  <c r="O30" i="6"/>
  <c r="C30" i="6"/>
  <c r="K30" i="6"/>
  <c r="M27" i="6"/>
  <c r="I22" i="6"/>
  <c r="Q22" i="12" s="1"/>
  <c r="I18" i="6"/>
  <c r="Q18" i="12" s="1"/>
  <c r="D18" i="6"/>
  <c r="O18" i="6"/>
  <c r="C12" i="6"/>
  <c r="L12" i="5" s="1"/>
  <c r="K12" i="6"/>
  <c r="S12" i="12" s="1"/>
  <c r="K9" i="6"/>
  <c r="R9" i="12" s="1"/>
  <c r="B189" i="10"/>
  <c r="F189" i="10"/>
  <c r="J189" i="10"/>
  <c r="N189" i="10"/>
  <c r="D189" i="10"/>
  <c r="H189" i="10"/>
  <c r="L189" i="10"/>
  <c r="K185" i="10"/>
  <c r="B47" i="6"/>
  <c r="F47" i="6"/>
  <c r="J47" i="6"/>
  <c r="N47" i="6"/>
  <c r="D43" i="6"/>
  <c r="H43" i="6"/>
  <c r="P43" i="12" s="1"/>
  <c r="L43" i="6"/>
  <c r="O43" i="12" s="1"/>
  <c r="C42" i="6"/>
  <c r="L42" i="5" s="1"/>
  <c r="N42" i="6"/>
  <c r="B39" i="6"/>
  <c r="F39" i="6"/>
  <c r="J39" i="6"/>
  <c r="N39" i="6"/>
  <c r="D26" i="6"/>
  <c r="O26" i="6"/>
  <c r="I26" i="6"/>
  <c r="Q26" i="12" s="1"/>
  <c r="C24" i="6"/>
  <c r="B24" i="6"/>
  <c r="J24" i="6"/>
  <c r="F24" i="6"/>
  <c r="M24" i="6"/>
  <c r="G22" i="6"/>
  <c r="C20" i="6"/>
  <c r="K20" i="6"/>
  <c r="S20" i="12" s="1"/>
  <c r="D19" i="6"/>
  <c r="B19" i="6"/>
  <c r="J19" i="6"/>
  <c r="F19" i="6"/>
  <c r="M19" i="6"/>
  <c r="B9" i="6"/>
  <c r="F9" i="6"/>
  <c r="J9" i="6"/>
  <c r="N9" i="6"/>
  <c r="D9" i="6"/>
  <c r="H9" i="6"/>
  <c r="L9" i="6"/>
  <c r="D185" i="10"/>
  <c r="H185" i="10"/>
  <c r="L185" i="10"/>
  <c r="B185" i="10"/>
  <c r="F185" i="10"/>
  <c r="J185" i="10"/>
  <c r="N185" i="10"/>
  <c r="B49" i="6"/>
  <c r="J49" i="6"/>
  <c r="K47" i="6"/>
  <c r="E47" i="6"/>
  <c r="B46" i="6"/>
  <c r="G46" i="6"/>
  <c r="M46" i="6"/>
  <c r="O43" i="6"/>
  <c r="J43" i="6"/>
  <c r="E43" i="6"/>
  <c r="K42" i="6"/>
  <c r="N42" i="12" s="1"/>
  <c r="K39" i="6"/>
  <c r="E39" i="6"/>
  <c r="D37" i="6"/>
  <c r="F37" i="6"/>
  <c r="D35" i="6"/>
  <c r="H35" i="6"/>
  <c r="L35" i="12" s="1"/>
  <c r="L35" i="6"/>
  <c r="B35" i="6"/>
  <c r="F35" i="6"/>
  <c r="J35" i="6"/>
  <c r="D27" i="6"/>
  <c r="H27" i="6"/>
  <c r="L27" i="6"/>
  <c r="O27" i="12" s="1"/>
  <c r="B27" i="6"/>
  <c r="F27" i="6"/>
  <c r="J27" i="6"/>
  <c r="N27" i="6"/>
  <c r="K24" i="6"/>
  <c r="S24" i="12" s="1"/>
  <c r="O22" i="6"/>
  <c r="L19" i="6"/>
  <c r="O19" i="12" s="1"/>
  <c r="D14" i="6"/>
  <c r="C14" i="6"/>
  <c r="K14" i="6"/>
  <c r="S14" i="12" s="1"/>
  <c r="G14" i="6"/>
  <c r="M14" i="6"/>
  <c r="O9" i="6"/>
  <c r="G9" i="6"/>
  <c r="O185" i="10"/>
  <c r="G185" i="10"/>
  <c r="C22" i="6"/>
  <c r="L22" i="5" s="1"/>
  <c r="H22" i="6"/>
  <c r="M22" i="6"/>
  <c r="E22" i="6"/>
  <c r="K22" i="6"/>
  <c r="S22" i="12" s="1"/>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N34" i="12" s="1"/>
  <c r="L33" i="6"/>
  <c r="N29" i="6"/>
  <c r="I29" i="6"/>
  <c r="M29" i="12" s="1"/>
  <c r="D29" i="6"/>
  <c r="O17" i="6"/>
  <c r="K17" i="6"/>
  <c r="G17" i="6"/>
  <c r="N16" i="6"/>
  <c r="I16" i="6"/>
  <c r="Q16" i="12" s="1"/>
  <c r="K8" i="6"/>
  <c r="R8" i="12" s="1"/>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E244" i="2"/>
  <c r="G248" i="2"/>
  <c r="H51" i="8"/>
  <c r="C51" i="8"/>
  <c r="G50" i="8"/>
  <c r="B50" i="8"/>
  <c r="E46" i="8"/>
  <c r="E38" i="8"/>
  <c r="I33" i="8"/>
  <c r="C32" i="8"/>
  <c r="E31" i="8"/>
  <c r="H27" i="8"/>
  <c r="C27" i="8"/>
  <c r="G26" i="8"/>
  <c r="B26" i="8"/>
  <c r="D25" i="8"/>
  <c r="C24" i="8"/>
  <c r="E23" i="8"/>
  <c r="I17" i="8"/>
  <c r="C16" i="8"/>
  <c r="E15" i="8"/>
  <c r="H11" i="8"/>
  <c r="C11" i="8"/>
  <c r="G10" i="8"/>
  <c r="B10" i="8"/>
  <c r="D9" i="8"/>
  <c r="C8" i="8"/>
  <c r="E7" i="8"/>
  <c r="J46" i="8"/>
  <c r="B46" i="8"/>
  <c r="J38" i="8"/>
  <c r="B38" i="8"/>
  <c r="C31" i="8"/>
  <c r="C23" i="8"/>
  <c r="G21" i="8"/>
  <c r="C15" i="8"/>
  <c r="C7" i="8"/>
  <c r="I51" i="8"/>
  <c r="I50" i="8"/>
  <c r="C47" i="8"/>
  <c r="F46" i="8"/>
  <c r="C39" i="8"/>
  <c r="F38" i="8"/>
  <c r="G31" i="8"/>
  <c r="J30" i="8"/>
  <c r="B30" i="8"/>
  <c r="I27" i="8"/>
  <c r="I26" i="8"/>
  <c r="G23" i="8"/>
  <c r="J22" i="8"/>
  <c r="B22" i="8"/>
  <c r="F20" i="8"/>
  <c r="G15" i="8"/>
  <c r="J14" i="8"/>
  <c r="B14" i="8"/>
  <c r="I11" i="8"/>
  <c r="I10" i="8"/>
  <c r="G7" i="8"/>
  <c r="N164" i="5"/>
  <c r="C162" i="5"/>
  <c r="O162" i="5"/>
  <c r="P162" i="5" s="1"/>
  <c r="K162" i="5"/>
  <c r="K156" i="5"/>
  <c r="C156" i="5"/>
  <c r="O156" i="5"/>
  <c r="P156" i="5" s="1"/>
  <c r="N154" i="5"/>
  <c r="N148" i="5"/>
  <c r="C158" i="5"/>
  <c r="O158" i="5"/>
  <c r="K158" i="5"/>
  <c r="K152" i="5"/>
  <c r="C152" i="5"/>
  <c r="O152" i="5"/>
  <c r="P152" i="5" s="1"/>
  <c r="K164" i="5"/>
  <c r="C164" i="5"/>
  <c r="O164"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I162" i="5"/>
  <c r="K160" i="5"/>
  <c r="C160" i="5"/>
  <c r="O160" i="5"/>
  <c r="P160" i="5" s="1"/>
  <c r="I156" i="5"/>
  <c r="C150" i="5"/>
  <c r="O150" i="5"/>
  <c r="P150" i="5" s="1"/>
  <c r="K150" i="5"/>
  <c r="K146" i="5"/>
  <c r="K142" i="5"/>
  <c r="K138" i="5"/>
  <c r="K134" i="5"/>
  <c r="K130" i="5"/>
  <c r="K126" i="5"/>
  <c r="K122" i="5"/>
  <c r="K118" i="5"/>
  <c r="K114" i="5"/>
  <c r="K110" i="5"/>
  <c r="O108" i="5"/>
  <c r="C108" i="5"/>
  <c r="K106" i="5"/>
  <c r="O104" i="5"/>
  <c r="C104" i="5"/>
  <c r="K102" i="5"/>
  <c r="O100" i="5"/>
  <c r="C100" i="5"/>
  <c r="K98" i="5"/>
  <c r="O96" i="5"/>
  <c r="C96" i="5"/>
  <c r="K94" i="5"/>
  <c r="O92" i="5"/>
  <c r="C92" i="5"/>
  <c r="K90" i="5"/>
  <c r="O88" i="5"/>
  <c r="C88" i="5"/>
  <c r="K86" i="5"/>
  <c r="O84" i="5"/>
  <c r="C84" i="5"/>
  <c r="K82" i="5"/>
  <c r="O80" i="5"/>
  <c r="C80" i="5"/>
  <c r="K78" i="5"/>
  <c r="O76" i="5"/>
  <c r="C76" i="5"/>
  <c r="K74" i="5"/>
  <c r="O72" i="5"/>
  <c r="C72" i="5"/>
  <c r="K70" i="5"/>
  <c r="O68" i="5"/>
  <c r="C68" i="5"/>
  <c r="K66" i="5"/>
  <c r="O64" i="5"/>
  <c r="C64" i="5"/>
  <c r="K49" i="5"/>
  <c r="O47" i="5"/>
  <c r="C47" i="5"/>
  <c r="K45" i="5"/>
  <c r="O43" i="5"/>
  <c r="C43" i="5"/>
  <c r="K41" i="5"/>
  <c r="O39" i="5"/>
  <c r="C39" i="5"/>
  <c r="K37" i="5"/>
  <c r="O35" i="5"/>
  <c r="C35" i="5"/>
  <c r="K33" i="5"/>
  <c r="O31" i="5"/>
  <c r="C31" i="5"/>
  <c r="K29" i="5"/>
  <c r="O27" i="5"/>
  <c r="C27" i="5"/>
  <c r="K25" i="5"/>
  <c r="O23" i="5"/>
  <c r="C23" i="5"/>
  <c r="K21" i="5"/>
  <c r="O19" i="5"/>
  <c r="C19" i="5"/>
  <c r="K17" i="5"/>
  <c r="O15" i="5"/>
  <c r="P15" i="5" s="1"/>
  <c r="C15" i="5"/>
  <c r="K13" i="5"/>
  <c r="O11" i="5"/>
  <c r="C11" i="5"/>
  <c r="K9" i="5"/>
  <c r="O7" i="5"/>
  <c r="C7" i="5"/>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O146" i="5"/>
  <c r="O142" i="5"/>
  <c r="O138" i="5"/>
  <c r="O134" i="5"/>
  <c r="O130" i="5"/>
  <c r="O126" i="5"/>
  <c r="O122" i="5"/>
  <c r="O118" i="5"/>
  <c r="O114" i="5"/>
  <c r="O110" i="5"/>
  <c r="K108" i="5"/>
  <c r="O106" i="5"/>
  <c r="K104" i="5"/>
  <c r="O102" i="5"/>
  <c r="K100" i="5"/>
  <c r="O98" i="5"/>
  <c r="K96" i="5"/>
  <c r="O94" i="5"/>
  <c r="P93" i="5"/>
  <c r="K92" i="5"/>
  <c r="O90" i="5"/>
  <c r="P90" i="5" s="1"/>
  <c r="K88" i="5"/>
  <c r="O86" i="5"/>
  <c r="P85" i="5"/>
  <c r="K84" i="5"/>
  <c r="O82" i="5"/>
  <c r="K80" i="5"/>
  <c r="O78" i="5"/>
  <c r="K76" i="5"/>
  <c r="O74" i="5"/>
  <c r="K72" i="5"/>
  <c r="O70" i="5"/>
  <c r="K68" i="5"/>
  <c r="O66" i="5"/>
  <c r="K64" i="5"/>
  <c r="O49" i="5"/>
  <c r="C49" i="5"/>
  <c r="K47" i="5"/>
  <c r="I46" i="5"/>
  <c r="O45" i="5"/>
  <c r="C45" i="5"/>
  <c r="K43" i="5"/>
  <c r="I42" i="5"/>
  <c r="O41" i="5"/>
  <c r="C41" i="5"/>
  <c r="K39" i="5"/>
  <c r="I38" i="5"/>
  <c r="O37" i="5"/>
  <c r="C37" i="5"/>
  <c r="K35" i="5"/>
  <c r="I34" i="5"/>
  <c r="O33" i="5"/>
  <c r="C33" i="5"/>
  <c r="K31" i="5"/>
  <c r="I30" i="5"/>
  <c r="O29" i="5"/>
  <c r="C29" i="5"/>
  <c r="K27" i="5"/>
  <c r="I26" i="5"/>
  <c r="O25" i="5"/>
  <c r="C25" i="5"/>
  <c r="K23" i="5"/>
  <c r="I22" i="5"/>
  <c r="O21" i="5"/>
  <c r="C21" i="5"/>
  <c r="K19" i="5"/>
  <c r="I18" i="5"/>
  <c r="O17" i="5"/>
  <c r="C17" i="5"/>
  <c r="K15" i="5"/>
  <c r="I14" i="5"/>
  <c r="O13" i="5"/>
  <c r="C13" i="5"/>
  <c r="K11" i="5"/>
  <c r="I10" i="5"/>
  <c r="O9" i="5"/>
  <c r="C9" i="5"/>
  <c r="K7" i="5"/>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I47" i="5"/>
  <c r="I43" i="5"/>
  <c r="I39" i="5"/>
  <c r="I35" i="5"/>
  <c r="I31" i="5"/>
  <c r="I27" i="5"/>
  <c r="I23" i="5"/>
  <c r="I19" i="5"/>
  <c r="I15" i="5"/>
  <c r="I11" i="5"/>
  <c r="I7" i="5"/>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E183" i="13"/>
  <c r="F180" i="13"/>
  <c r="G176" i="13"/>
  <c r="F174" i="13"/>
  <c r="E173" i="13"/>
  <c r="G167" i="13"/>
  <c r="G158" i="13"/>
  <c r="E155" i="13"/>
  <c r="G151" i="13"/>
  <c r="G147" i="13"/>
  <c r="E144" i="13"/>
  <c r="E136" i="13"/>
  <c r="F136" i="13"/>
  <c r="E128" i="13"/>
  <c r="E120" i="13"/>
  <c r="F120" i="13"/>
  <c r="B17" i="12"/>
  <c r="F17" i="12"/>
  <c r="E160" i="13"/>
  <c r="E117" i="13"/>
  <c r="G117" i="13"/>
  <c r="E109" i="13"/>
  <c r="G109" i="13"/>
  <c r="E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G184" i="13"/>
  <c r="E182" i="13"/>
  <c r="E176" i="13"/>
  <c r="F173" i="13"/>
  <c r="F169" i="13"/>
  <c r="E165" i="13"/>
  <c r="G155" i="13"/>
  <c r="F144" i="13"/>
  <c r="F142" i="13"/>
  <c r="G57" i="12"/>
  <c r="G33" i="12"/>
  <c r="D27" i="12"/>
  <c r="D17" i="12"/>
  <c r="G175" i="13"/>
  <c r="F168" i="13"/>
  <c r="G163" i="13"/>
  <c r="F160" i="13"/>
  <c r="F158" i="13"/>
  <c r="F152" i="13"/>
  <c r="E139" i="13"/>
  <c r="F137" i="13"/>
  <c r="F121" i="13"/>
  <c r="E113" i="13"/>
  <c r="G113" i="13"/>
  <c r="E105" i="13"/>
  <c r="G105" i="13"/>
  <c r="E97" i="13"/>
  <c r="G97" i="13"/>
  <c r="E88" i="13"/>
  <c r="G77" i="13"/>
  <c r="F60" i="13"/>
  <c r="G57" i="13"/>
  <c r="G53" i="13"/>
  <c r="F39" i="13"/>
  <c r="G33" i="13"/>
  <c r="E31" i="13"/>
  <c r="E26" i="13"/>
  <c r="G17" i="13"/>
  <c r="E15" i="13"/>
  <c r="E10" i="13"/>
  <c r="C181" i="14"/>
  <c r="B181" i="14"/>
  <c r="D181" i="14"/>
  <c r="E181" i="14"/>
  <c r="B179" i="14"/>
  <c r="F179" i="14"/>
  <c r="C179" i="14"/>
  <c r="D179" i="14"/>
  <c r="C170" i="14"/>
  <c r="E170" i="14"/>
  <c r="B45" i="14"/>
  <c r="F45" i="14"/>
  <c r="C45" i="14"/>
  <c r="D45" i="14"/>
  <c r="E45" i="14"/>
  <c r="C22" i="14"/>
  <c r="E22" i="14"/>
  <c r="G159" i="13"/>
  <c r="E157" i="13"/>
  <c r="G143" i="13"/>
  <c r="E141" i="13"/>
  <c r="G135" i="13"/>
  <c r="G127" i="13"/>
  <c r="F126" i="13"/>
  <c r="E125" i="13"/>
  <c r="G119" i="13"/>
  <c r="F88" i="13"/>
  <c r="E85" i="13"/>
  <c r="G85" i="13"/>
  <c r="E77" i="13"/>
  <c r="G73" i="13"/>
  <c r="F72" i="13"/>
  <c r="G64" i="13"/>
  <c r="F57" i="13"/>
  <c r="F53" i="13"/>
  <c r="G41" i="13"/>
  <c r="G37" i="13"/>
  <c r="F33" i="13"/>
  <c r="E32" i="13"/>
  <c r="G32" i="13"/>
  <c r="E22" i="13"/>
  <c r="F21" i="13"/>
  <c r="G21" i="13"/>
  <c r="F17" i="13"/>
  <c r="E16" i="13"/>
  <c r="G16" i="13"/>
  <c r="C162" i="14"/>
  <c r="D162" i="14"/>
  <c r="E162" i="14"/>
  <c r="C155" i="14"/>
  <c r="D155" i="14"/>
  <c r="F155" i="14"/>
  <c r="C147" i="14"/>
  <c r="F147" i="14"/>
  <c r="F145" i="14"/>
  <c r="C145" i="14"/>
  <c r="D145" i="14"/>
  <c r="E145" i="14"/>
  <c r="G93" i="13"/>
  <c r="G89" i="13"/>
  <c r="F79" i="13"/>
  <c r="F71" i="13"/>
  <c r="E57" i="13"/>
  <c r="E53" i="13"/>
  <c r="F45" i="13"/>
  <c r="G45" i="13"/>
  <c r="E33" i="13"/>
  <c r="F31" i="13"/>
  <c r="E28" i="13"/>
  <c r="G28" i="13"/>
  <c r="E17" i="13"/>
  <c r="F15" i="13"/>
  <c r="E12" i="13"/>
  <c r="G12" i="13"/>
  <c r="C150" i="14"/>
  <c r="D150" i="14"/>
  <c r="C106" i="14"/>
  <c r="E106" i="14"/>
  <c r="G131" i="13"/>
  <c r="G81" i="13"/>
  <c r="G78" i="13"/>
  <c r="F75" i="13"/>
  <c r="G70" i="13"/>
  <c r="F69" i="13"/>
  <c r="G61" i="13"/>
  <c r="E59" i="13"/>
  <c r="F55" i="13"/>
  <c r="G49" i="13"/>
  <c r="E46" i="13"/>
  <c r="G46"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D43" i="14"/>
  <c r="E43" i="14"/>
  <c r="G20" i="14"/>
  <c r="F52" i="13"/>
  <c r="G48" i="13"/>
  <c r="F36" i="13"/>
  <c r="E30" i="13"/>
  <c r="F25" i="13"/>
  <c r="E14" i="13"/>
  <c r="F9" i="13"/>
  <c r="D187" i="14"/>
  <c r="E186" i="14"/>
  <c r="D183" i="14"/>
  <c r="C182" i="14"/>
  <c r="E165" i="14"/>
  <c r="G165" i="14" s="1"/>
  <c r="B157" i="14"/>
  <c r="C146" i="14"/>
  <c r="D140" i="14"/>
  <c r="B140" i="14"/>
  <c r="E140" i="14"/>
  <c r="E138" i="14"/>
  <c r="C134" i="14"/>
  <c r="D134" i="14"/>
  <c r="C132" i="14"/>
  <c r="E132" i="14"/>
  <c r="C116" i="14"/>
  <c r="E116" i="14"/>
  <c r="C90" i="14"/>
  <c r="E90" i="14"/>
  <c r="C83" i="14"/>
  <c r="B83" i="14"/>
  <c r="D83" i="14"/>
  <c r="E83" i="14"/>
  <c r="B80" i="14"/>
  <c r="C80" i="14"/>
  <c r="E80" i="14"/>
  <c r="B76" i="14"/>
  <c r="C76" i="14"/>
  <c r="E76" i="14"/>
  <c r="B72" i="14"/>
  <c r="C72" i="14"/>
  <c r="E72" i="14"/>
  <c r="B68" i="14"/>
  <c r="C68" i="14"/>
  <c r="E68" i="14"/>
  <c r="B64" i="14"/>
  <c r="C64" i="14"/>
  <c r="E64" i="14"/>
  <c r="C38" i="14"/>
  <c r="E38" i="14"/>
  <c r="E36" i="14"/>
  <c r="C36" i="14"/>
  <c r="F171" i="14"/>
  <c r="C167" i="14"/>
  <c r="E167" i="14"/>
  <c r="C165" i="14"/>
  <c r="E159" i="14"/>
  <c r="G159" i="14" s="1"/>
  <c r="B153" i="14"/>
  <c r="F153" i="14"/>
  <c r="D141" i="14"/>
  <c r="B141" i="14"/>
  <c r="F141" i="14"/>
  <c r="F135" i="14"/>
  <c r="E133" i="14"/>
  <c r="E117" i="14"/>
  <c r="B101" i="14"/>
  <c r="G101" i="14" s="1"/>
  <c r="F101" i="14"/>
  <c r="C101" i="14"/>
  <c r="D101" i="14"/>
  <c r="D58" i="14"/>
  <c r="C58" i="14"/>
  <c r="E58" i="14"/>
  <c r="F105" i="14"/>
  <c r="B105" i="14"/>
  <c r="G105" i="14" s="1"/>
  <c r="E100" i="14"/>
  <c r="F89" i="14"/>
  <c r="B89" i="14"/>
  <c r="B60" i="14"/>
  <c r="C56" i="14"/>
  <c r="F53" i="14"/>
  <c r="B53" i="14"/>
  <c r="D51" i="14"/>
  <c r="C50" i="14"/>
  <c r="C46" i="14"/>
  <c r="F37" i="14"/>
  <c r="B37" i="14"/>
  <c r="F21" i="14"/>
  <c r="B21" i="14"/>
  <c r="C20" i="14"/>
  <c r="C16" i="14"/>
  <c r="C12" i="14"/>
  <c r="C8" i="14"/>
  <c r="G95" i="14"/>
  <c r="D123" i="14"/>
  <c r="D119" i="14"/>
  <c r="D107" i="14"/>
  <c r="D103" i="14"/>
  <c r="D91" i="14"/>
  <c r="D87" i="14"/>
  <c r="G84" i="14"/>
  <c r="D79" i="14"/>
  <c r="D75" i="14"/>
  <c r="D71" i="14"/>
  <c r="D67" i="14"/>
  <c r="D63" i="14"/>
  <c r="E60" i="14"/>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48" i="2"/>
  <c r="H244" i="2"/>
  <c r="B192" i="2"/>
  <c r="R192" i="2"/>
  <c r="D192" i="2"/>
  <c r="H192" i="2"/>
  <c r="L192" i="2"/>
  <c r="P192" i="2"/>
  <c r="E247" i="2"/>
  <c r="S188" i="2"/>
  <c r="S186" i="2"/>
  <c r="S180" i="2"/>
  <c r="S178" i="2"/>
  <c r="S172" i="2"/>
  <c r="M170" i="2"/>
  <c r="E170" i="2"/>
  <c r="B168" i="2"/>
  <c r="R168" i="2"/>
  <c r="E168" i="2"/>
  <c r="G168" i="2" s="1"/>
  <c r="P168" i="2"/>
  <c r="C168" i="2"/>
  <c r="F168" i="2" s="1"/>
  <c r="H168" i="2"/>
  <c r="M168" i="2"/>
  <c r="S168" i="2"/>
  <c r="D166" i="2"/>
  <c r="H166" i="2"/>
  <c r="L166" i="2"/>
  <c r="P166" i="2"/>
  <c r="B166" i="2"/>
  <c r="M166" i="2"/>
  <c r="R166" i="2"/>
  <c r="E166" i="2"/>
  <c r="Q164" i="2"/>
  <c r="Q162" i="2"/>
  <c r="B160" i="2"/>
  <c r="R160" i="2"/>
  <c r="E160" i="2"/>
  <c r="G160" i="2" s="1"/>
  <c r="P160" i="2"/>
  <c r="C160" i="2"/>
  <c r="F160" i="2" s="1"/>
  <c r="H160" i="2"/>
  <c r="M160" i="2"/>
  <c r="S160" i="2"/>
  <c r="D158" i="2"/>
  <c r="H158" i="2"/>
  <c r="J158" i="2" s="1"/>
  <c r="K158" i="2" s="1"/>
  <c r="L158" i="2"/>
  <c r="P158" i="2"/>
  <c r="B158" i="2"/>
  <c r="M158" i="2"/>
  <c r="R158" i="2"/>
  <c r="E158" i="2"/>
  <c r="Q156" i="2"/>
  <c r="Q154" i="2"/>
  <c r="B152" i="2"/>
  <c r="R152" i="2"/>
  <c r="E152" i="2"/>
  <c r="P152" i="2"/>
  <c r="C152" i="2"/>
  <c r="H152" i="2"/>
  <c r="M152" i="2"/>
  <c r="N152" i="2" s="1"/>
  <c r="O152" i="2" s="1"/>
  <c r="S152" i="2"/>
  <c r="D150" i="2"/>
  <c r="H150" i="2"/>
  <c r="L150" i="2"/>
  <c r="P150" i="2"/>
  <c r="B150" i="2"/>
  <c r="M150" i="2"/>
  <c r="R150" i="2"/>
  <c r="E150" i="2"/>
  <c r="Q148" i="2"/>
  <c r="Q146" i="2"/>
  <c r="B144" i="2"/>
  <c r="R144" i="2"/>
  <c r="E3" i="21" s="1"/>
  <c r="E144" i="2"/>
  <c r="G144" i="2" s="1"/>
  <c r="P144" i="2"/>
  <c r="D3" i="21" s="1"/>
  <c r="C144" i="2"/>
  <c r="F144" i="2" s="1"/>
  <c r="H144" i="2"/>
  <c r="J144" i="2" s="1"/>
  <c r="K144" i="2" s="1"/>
  <c r="M144" i="2"/>
  <c r="S144" i="2"/>
  <c r="Q142" i="2"/>
  <c r="F140" i="2"/>
  <c r="C138" i="2"/>
  <c r="S138" i="2"/>
  <c r="B138" i="2"/>
  <c r="H138" i="2"/>
  <c r="M138" i="2"/>
  <c r="R138" i="2"/>
  <c r="E138" i="2"/>
  <c r="P138" i="2"/>
  <c r="S135" i="2"/>
  <c r="Q134" i="2"/>
  <c r="C130" i="2"/>
  <c r="S130" i="2"/>
  <c r="B130" i="2"/>
  <c r="H130" i="2"/>
  <c r="J130" i="2" s="1"/>
  <c r="K130" i="2" s="1"/>
  <c r="M130" i="2"/>
  <c r="R130" i="2"/>
  <c r="E130" i="2"/>
  <c r="P130" i="2"/>
  <c r="S127" i="2"/>
  <c r="Q126" i="2"/>
  <c r="F124" i="2"/>
  <c r="C122" i="2"/>
  <c r="S122" i="2"/>
  <c r="B122" i="2"/>
  <c r="H122" i="2"/>
  <c r="M122" i="2"/>
  <c r="N122" i="2" s="1"/>
  <c r="O122" i="2" s="1"/>
  <c r="R122" i="2"/>
  <c r="E122" i="2"/>
  <c r="P122" i="2"/>
  <c r="S119" i="2"/>
  <c r="Q118" i="2"/>
  <c r="C114" i="2"/>
  <c r="S114" i="2"/>
  <c r="B114" i="2"/>
  <c r="H114" i="2"/>
  <c r="M114" i="2"/>
  <c r="N114" i="2" s="1"/>
  <c r="O114" i="2" s="1"/>
  <c r="R114" i="2"/>
  <c r="E114" i="2"/>
  <c r="P114" i="2"/>
  <c r="S111" i="2"/>
  <c r="Q110" i="2"/>
  <c r="C106" i="2"/>
  <c r="S106" i="2"/>
  <c r="B106" i="2"/>
  <c r="H106" i="2"/>
  <c r="J106" i="2" s="1"/>
  <c r="K106" i="2" s="1"/>
  <c r="M106" i="2"/>
  <c r="R106" i="2"/>
  <c r="E106" i="2"/>
  <c r="G106" i="2" s="1"/>
  <c r="P106" i="2"/>
  <c r="S103" i="2"/>
  <c r="Q102" i="2"/>
  <c r="C98" i="2"/>
  <c r="S98" i="2"/>
  <c r="B98" i="2"/>
  <c r="H98" i="2"/>
  <c r="J98" i="2" s="1"/>
  <c r="K98" i="2" s="1"/>
  <c r="M98" i="2"/>
  <c r="R98" i="2"/>
  <c r="E98" i="2"/>
  <c r="P98" i="2"/>
  <c r="S95" i="2"/>
  <c r="Q94" i="2"/>
  <c r="C90" i="2"/>
  <c r="S90" i="2"/>
  <c r="B90" i="2"/>
  <c r="H90" i="2"/>
  <c r="M90" i="2"/>
  <c r="N90" i="2" s="1"/>
  <c r="O90" i="2" s="1"/>
  <c r="R90" i="2"/>
  <c r="E90" i="2"/>
  <c r="P90" i="2"/>
  <c r="S87" i="2"/>
  <c r="Q86" i="2"/>
  <c r="C82" i="2"/>
  <c r="S82" i="2"/>
  <c r="B82" i="2"/>
  <c r="H82" i="2"/>
  <c r="J82" i="2" s="1"/>
  <c r="K82" i="2" s="1"/>
  <c r="M82" i="2"/>
  <c r="R82" i="2"/>
  <c r="E82" i="2"/>
  <c r="P82" i="2"/>
  <c r="S79" i="2"/>
  <c r="Q78" i="2"/>
  <c r="C74" i="2"/>
  <c r="S74" i="2"/>
  <c r="B74" i="2"/>
  <c r="H74" i="2"/>
  <c r="M74" i="2"/>
  <c r="R74" i="2"/>
  <c r="E74" i="2"/>
  <c r="P74" i="2"/>
  <c r="S71" i="2"/>
  <c r="Q70" i="2"/>
  <c r="C66" i="2"/>
  <c r="S66" i="2"/>
  <c r="B66" i="2"/>
  <c r="H66" i="2"/>
  <c r="M66" i="2"/>
  <c r="R66" i="2"/>
  <c r="E66" i="2"/>
  <c r="P66" i="2"/>
  <c r="S63" i="2"/>
  <c r="Q62" i="2"/>
  <c r="C58" i="2"/>
  <c r="F58" i="2" s="1"/>
  <c r="S58" i="2"/>
  <c r="B58" i="2"/>
  <c r="H58" i="2"/>
  <c r="M58" i="2"/>
  <c r="R58" i="2"/>
  <c r="E58" i="2"/>
  <c r="G58" i="2" s="1"/>
  <c r="P58" i="2"/>
  <c r="S55" i="2"/>
  <c r="Q54" i="2"/>
  <c r="C50" i="2"/>
  <c r="S50" i="2"/>
  <c r="B50" i="2"/>
  <c r="H50" i="2"/>
  <c r="J50" i="2" s="1"/>
  <c r="K50" i="2" s="1"/>
  <c r="M50" i="2"/>
  <c r="R50" i="2"/>
  <c r="E50" i="2"/>
  <c r="P50" i="2"/>
  <c r="S47" i="2"/>
  <c r="Q46" i="2"/>
  <c r="C42" i="2"/>
  <c r="S42" i="2"/>
  <c r="B42" i="2"/>
  <c r="H42" i="2"/>
  <c r="M42" i="2"/>
  <c r="N42" i="2" s="1"/>
  <c r="O42" i="2" s="1"/>
  <c r="R42" i="2"/>
  <c r="E42" i="2"/>
  <c r="P42" i="2"/>
  <c r="S39" i="2"/>
  <c r="Q38" i="2"/>
  <c r="C34" i="2"/>
  <c r="S34" i="2"/>
  <c r="B34" i="2"/>
  <c r="H34" i="2"/>
  <c r="J34" i="2" s="1"/>
  <c r="K34" i="2" s="1"/>
  <c r="M34" i="2"/>
  <c r="R34" i="2"/>
  <c r="E34" i="2"/>
  <c r="P34" i="2"/>
  <c r="S31" i="2"/>
  <c r="Q30" i="2"/>
  <c r="C26" i="2"/>
  <c r="S26" i="2"/>
  <c r="B26" i="2"/>
  <c r="H26" i="2"/>
  <c r="M26" i="2"/>
  <c r="N26" i="2" s="1"/>
  <c r="O26" i="2" s="1"/>
  <c r="R26" i="2"/>
  <c r="E26" i="2"/>
  <c r="P26" i="2"/>
  <c r="B17" i="2"/>
  <c r="R17" i="2"/>
  <c r="D17" i="2"/>
  <c r="I17" i="2"/>
  <c r="E17" i="2"/>
  <c r="P17" i="2"/>
  <c r="C17" i="2"/>
  <c r="H17" i="2"/>
  <c r="M17" i="2"/>
  <c r="N17" i="2" s="1"/>
  <c r="O17" i="2" s="1"/>
  <c r="S17" i="2"/>
  <c r="D11" i="2"/>
  <c r="H11" i="2"/>
  <c r="L11" i="2"/>
  <c r="P11" i="2"/>
  <c r="C11" i="2"/>
  <c r="I11" i="2"/>
  <c r="S11" i="2"/>
  <c r="E11" i="2"/>
  <c r="B11" i="2"/>
  <c r="M11" i="2"/>
  <c r="R11" i="2"/>
  <c r="B188" i="2"/>
  <c r="R188" i="2"/>
  <c r="D188" i="2"/>
  <c r="H188" i="2"/>
  <c r="J188" i="2" s="1"/>
  <c r="K188" i="2" s="1"/>
  <c r="L188" i="2"/>
  <c r="P188" i="2"/>
  <c r="D186" i="2"/>
  <c r="H186" i="2"/>
  <c r="L186" i="2"/>
  <c r="P186" i="2"/>
  <c r="B186" i="2"/>
  <c r="R186" i="2"/>
  <c r="B180" i="2"/>
  <c r="R180" i="2"/>
  <c r="D180" i="2"/>
  <c r="H180" i="2"/>
  <c r="L180" i="2"/>
  <c r="P180" i="2"/>
  <c r="D178" i="2"/>
  <c r="H178" i="2"/>
  <c r="L178" i="2"/>
  <c r="P178" i="2"/>
  <c r="B178" i="2"/>
  <c r="R178" i="2"/>
  <c r="B172" i="2"/>
  <c r="R172" i="2"/>
  <c r="D172" i="2"/>
  <c r="H172" i="2"/>
  <c r="L172" i="2"/>
  <c r="P172" i="2"/>
  <c r="S170" i="2"/>
  <c r="C170" i="2"/>
  <c r="C169" i="2"/>
  <c r="F169" i="2" s="1"/>
  <c r="S169" i="2"/>
  <c r="B169" i="2"/>
  <c r="H169" i="2"/>
  <c r="M169" i="2"/>
  <c r="R169" i="2"/>
  <c r="E169" i="2"/>
  <c r="G169" i="2" s="1"/>
  <c r="P169" i="2"/>
  <c r="D164" i="2"/>
  <c r="C161" i="2"/>
  <c r="F161" i="2" s="1"/>
  <c r="S161" i="2"/>
  <c r="B161" i="2"/>
  <c r="H161" i="2"/>
  <c r="M161" i="2"/>
  <c r="R161" i="2"/>
  <c r="E161" i="2"/>
  <c r="G161" i="2" s="1"/>
  <c r="P161" i="2"/>
  <c r="D156" i="2"/>
  <c r="C153" i="2"/>
  <c r="S153" i="2"/>
  <c r="B153" i="2"/>
  <c r="H153" i="2"/>
  <c r="M153" i="2"/>
  <c r="R153" i="2"/>
  <c r="E153" i="2"/>
  <c r="P153" i="2"/>
  <c r="C145" i="2"/>
  <c r="F145" i="2" s="1"/>
  <c r="S145" i="2"/>
  <c r="B145" i="2"/>
  <c r="H145" i="2"/>
  <c r="M145" i="2"/>
  <c r="R145" i="2"/>
  <c r="E145" i="2"/>
  <c r="G145" i="2" s="1"/>
  <c r="P145" i="2"/>
  <c r="B141" i="2"/>
  <c r="R141" i="2"/>
  <c r="C141" i="2"/>
  <c r="F141" i="2" s="1"/>
  <c r="H141" i="2"/>
  <c r="M141" i="2"/>
  <c r="S141" i="2"/>
  <c r="E141" i="2"/>
  <c r="G141" i="2" s="1"/>
  <c r="P141" i="2"/>
  <c r="D139" i="2"/>
  <c r="H139" i="2"/>
  <c r="L139" i="2"/>
  <c r="P139" i="2"/>
  <c r="E139" i="2"/>
  <c r="B139" i="2"/>
  <c r="M139" i="2"/>
  <c r="R139" i="2"/>
  <c r="B133" i="2"/>
  <c r="R133" i="2"/>
  <c r="C133" i="2"/>
  <c r="F133" i="2" s="1"/>
  <c r="H133" i="2"/>
  <c r="M133" i="2"/>
  <c r="N133" i="2" s="1"/>
  <c r="O133" i="2" s="1"/>
  <c r="S133" i="2"/>
  <c r="E133" i="2"/>
  <c r="G133" i="2" s="1"/>
  <c r="P133" i="2"/>
  <c r="D131" i="2"/>
  <c r="H131" i="2"/>
  <c r="L131" i="2"/>
  <c r="P131" i="2"/>
  <c r="E131" i="2"/>
  <c r="B131" i="2"/>
  <c r="M131" i="2"/>
  <c r="R131" i="2"/>
  <c r="B125" i="2"/>
  <c r="R125" i="2"/>
  <c r="C125" i="2"/>
  <c r="F125" i="2" s="1"/>
  <c r="H125" i="2"/>
  <c r="M125" i="2"/>
  <c r="S125" i="2"/>
  <c r="E125" i="2"/>
  <c r="G125" i="2" s="1"/>
  <c r="P125" i="2"/>
  <c r="D123" i="2"/>
  <c r="H123" i="2"/>
  <c r="L123" i="2"/>
  <c r="P123" i="2"/>
  <c r="E123" i="2"/>
  <c r="B123" i="2"/>
  <c r="M123" i="2"/>
  <c r="R123" i="2"/>
  <c r="B117" i="2"/>
  <c r="R117" i="2"/>
  <c r="C117" i="2"/>
  <c r="F117" i="2" s="1"/>
  <c r="H117" i="2"/>
  <c r="M117" i="2"/>
  <c r="S117" i="2"/>
  <c r="E117" i="2"/>
  <c r="G117" i="2" s="1"/>
  <c r="P117" i="2"/>
  <c r="D115" i="2"/>
  <c r="H115" i="2"/>
  <c r="J115" i="2" s="1"/>
  <c r="K115" i="2" s="1"/>
  <c r="L115" i="2"/>
  <c r="P115" i="2"/>
  <c r="E115" i="2"/>
  <c r="B115" i="2"/>
  <c r="M115" i="2"/>
  <c r="R115" i="2"/>
  <c r="B109" i="2"/>
  <c r="R109" i="2"/>
  <c r="C109" i="2"/>
  <c r="F109" i="2" s="1"/>
  <c r="H109" i="2"/>
  <c r="M109" i="2"/>
  <c r="S109" i="2"/>
  <c r="E109" i="2"/>
  <c r="G109" i="2" s="1"/>
  <c r="P109" i="2"/>
  <c r="D107" i="2"/>
  <c r="H107" i="2"/>
  <c r="L107" i="2"/>
  <c r="P107" i="2"/>
  <c r="E107" i="2"/>
  <c r="B107" i="2"/>
  <c r="M107" i="2"/>
  <c r="R107" i="2"/>
  <c r="B101" i="2"/>
  <c r="R101" i="2"/>
  <c r="C101" i="2"/>
  <c r="F101" i="2" s="1"/>
  <c r="H101" i="2"/>
  <c r="M101" i="2"/>
  <c r="S101" i="2"/>
  <c r="E101" i="2"/>
  <c r="G101" i="2" s="1"/>
  <c r="P101" i="2"/>
  <c r="D99" i="2"/>
  <c r="H99" i="2"/>
  <c r="J99" i="2" s="1"/>
  <c r="K99" i="2" s="1"/>
  <c r="L99" i="2"/>
  <c r="P99" i="2"/>
  <c r="E99" i="2"/>
  <c r="B99" i="2"/>
  <c r="M99" i="2"/>
  <c r="R99" i="2"/>
  <c r="B93" i="2"/>
  <c r="R93" i="2"/>
  <c r="C93" i="2"/>
  <c r="H93" i="2"/>
  <c r="J93" i="2" s="1"/>
  <c r="K93" i="2" s="1"/>
  <c r="M93" i="2"/>
  <c r="S93" i="2"/>
  <c r="E93" i="2"/>
  <c r="P93" i="2"/>
  <c r="D91" i="2"/>
  <c r="H91" i="2"/>
  <c r="L91" i="2"/>
  <c r="P91" i="2"/>
  <c r="E91" i="2"/>
  <c r="B91" i="2"/>
  <c r="M91" i="2"/>
  <c r="R91" i="2"/>
  <c r="B85" i="2"/>
  <c r="R85" i="2"/>
  <c r="C85" i="2"/>
  <c r="F85" i="2" s="1"/>
  <c r="H85" i="2"/>
  <c r="M85" i="2"/>
  <c r="S85" i="2"/>
  <c r="E85" i="2"/>
  <c r="G85" i="2" s="1"/>
  <c r="P85" i="2"/>
  <c r="D83" i="2"/>
  <c r="H83" i="2"/>
  <c r="L83" i="2"/>
  <c r="P83" i="2"/>
  <c r="E83" i="2"/>
  <c r="B83" i="2"/>
  <c r="M83" i="2"/>
  <c r="R83" i="2"/>
  <c r="B77" i="2"/>
  <c r="R77" i="2"/>
  <c r="C77" i="2"/>
  <c r="F77" i="2" s="1"/>
  <c r="H77" i="2"/>
  <c r="M77" i="2"/>
  <c r="S77" i="2"/>
  <c r="E77" i="2"/>
  <c r="G77" i="2" s="1"/>
  <c r="P77" i="2"/>
  <c r="D75" i="2"/>
  <c r="H75" i="2"/>
  <c r="L75" i="2"/>
  <c r="P75" i="2"/>
  <c r="E75" i="2"/>
  <c r="B75" i="2"/>
  <c r="M75" i="2"/>
  <c r="R75" i="2"/>
  <c r="B69" i="2"/>
  <c r="R69" i="2"/>
  <c r="C69" i="2"/>
  <c r="H69" i="2"/>
  <c r="M69" i="2"/>
  <c r="N69" i="2" s="1"/>
  <c r="O69" i="2" s="1"/>
  <c r="S69" i="2"/>
  <c r="E69" i="2"/>
  <c r="P69" i="2"/>
  <c r="D67" i="2"/>
  <c r="H67" i="2"/>
  <c r="L67" i="2"/>
  <c r="P67" i="2"/>
  <c r="E67" i="2"/>
  <c r="B67" i="2"/>
  <c r="M67" i="2"/>
  <c r="R67" i="2"/>
  <c r="B61" i="2"/>
  <c r="R61" i="2"/>
  <c r="C61" i="2"/>
  <c r="H61" i="2"/>
  <c r="J61" i="2" s="1"/>
  <c r="K61" i="2" s="1"/>
  <c r="M61" i="2"/>
  <c r="S61" i="2"/>
  <c r="E61" i="2"/>
  <c r="P61" i="2"/>
  <c r="D59" i="2"/>
  <c r="H59" i="2"/>
  <c r="L59" i="2"/>
  <c r="P59" i="2"/>
  <c r="E59" i="2"/>
  <c r="B59" i="2"/>
  <c r="M59" i="2"/>
  <c r="R59" i="2"/>
  <c r="B53" i="2"/>
  <c r="R53" i="2"/>
  <c r="C53" i="2"/>
  <c r="F53" i="2" s="1"/>
  <c r="H53" i="2"/>
  <c r="M53" i="2"/>
  <c r="S53" i="2"/>
  <c r="E53" i="2"/>
  <c r="G53" i="2" s="1"/>
  <c r="P53" i="2"/>
  <c r="D51" i="2"/>
  <c r="H51" i="2"/>
  <c r="L51" i="2"/>
  <c r="P51" i="2"/>
  <c r="E51" i="2"/>
  <c r="B51" i="2"/>
  <c r="M51" i="2"/>
  <c r="R51" i="2"/>
  <c r="B45" i="2"/>
  <c r="R45" i="2"/>
  <c r="C45" i="2"/>
  <c r="H45" i="2"/>
  <c r="J45" i="2" s="1"/>
  <c r="K45" i="2" s="1"/>
  <c r="M45" i="2"/>
  <c r="S45" i="2"/>
  <c r="E45" i="2"/>
  <c r="P45" i="2"/>
  <c r="D43" i="2"/>
  <c r="H43" i="2"/>
  <c r="J43" i="2" s="1"/>
  <c r="K43" i="2" s="1"/>
  <c r="L43" i="2"/>
  <c r="P43" i="2"/>
  <c r="E43" i="2"/>
  <c r="B43" i="2"/>
  <c r="M43" i="2"/>
  <c r="R43" i="2"/>
  <c r="B37" i="2"/>
  <c r="R37" i="2"/>
  <c r="E4" i="21" s="1"/>
  <c r="C37" i="2"/>
  <c r="H4" i="21" s="1"/>
  <c r="H37" i="2"/>
  <c r="B4" i="21" s="1"/>
  <c r="M37" i="2"/>
  <c r="N37" i="2" s="1"/>
  <c r="O37" i="2" s="1"/>
  <c r="S37" i="2"/>
  <c r="E37" i="2"/>
  <c r="J4" i="21" s="1"/>
  <c r="P37" i="2"/>
  <c r="D4" i="21" s="1"/>
  <c r="D35" i="2"/>
  <c r="H35" i="2"/>
  <c r="L35" i="2"/>
  <c r="P35" i="2"/>
  <c r="E35" i="2"/>
  <c r="B35" i="2"/>
  <c r="M35" i="2"/>
  <c r="R35" i="2"/>
  <c r="B29" i="2"/>
  <c r="R29" i="2"/>
  <c r="C29" i="2"/>
  <c r="H29" i="2"/>
  <c r="J29" i="2" s="1"/>
  <c r="K29" i="2" s="1"/>
  <c r="M29" i="2"/>
  <c r="S29" i="2"/>
  <c r="E29" i="2"/>
  <c r="P29" i="2"/>
  <c r="D27" i="2"/>
  <c r="H27" i="2"/>
  <c r="L27" i="2"/>
  <c r="P27" i="2"/>
  <c r="E27" i="2"/>
  <c r="B27" i="2"/>
  <c r="M27" i="2"/>
  <c r="R27" i="2"/>
  <c r="C22" i="2"/>
  <c r="S22" i="2"/>
  <c r="E22" i="2"/>
  <c r="P22" i="2"/>
  <c r="B22" i="2"/>
  <c r="H22" i="2"/>
  <c r="M22" i="2"/>
  <c r="R22" i="2"/>
  <c r="D22" i="2"/>
  <c r="I22" i="2"/>
  <c r="E245" i="2"/>
  <c r="L164" i="2"/>
  <c r="D162" i="2"/>
  <c r="H162" i="2"/>
  <c r="L162" i="2"/>
  <c r="P162" i="2"/>
  <c r="E162" i="2"/>
  <c r="B162" i="2"/>
  <c r="M162" i="2"/>
  <c r="R162" i="2"/>
  <c r="L156" i="2"/>
  <c r="D154" i="2"/>
  <c r="H154" i="2"/>
  <c r="L154" i="2"/>
  <c r="P154" i="2"/>
  <c r="E154" i="2"/>
  <c r="B154" i="2"/>
  <c r="M154" i="2"/>
  <c r="R154" i="2"/>
  <c r="B148" i="2"/>
  <c r="R148" i="2"/>
  <c r="C148" i="2"/>
  <c r="H3" i="21" s="1"/>
  <c r="K3" i="21" s="1"/>
  <c r="H148" i="2"/>
  <c r="B3" i="21" s="1"/>
  <c r="M148" i="2"/>
  <c r="S148" i="2"/>
  <c r="E148" i="2"/>
  <c r="J3" i="21" s="1"/>
  <c r="P148" i="2"/>
  <c r="D146" i="2"/>
  <c r="H146" i="2"/>
  <c r="L146" i="2"/>
  <c r="P146" i="2"/>
  <c r="E146" i="2"/>
  <c r="B146" i="2"/>
  <c r="M146" i="2"/>
  <c r="R146" i="2"/>
  <c r="C142" i="2"/>
  <c r="S142" i="2"/>
  <c r="E142" i="2"/>
  <c r="P142" i="2"/>
  <c r="B142" i="2"/>
  <c r="H142" i="2"/>
  <c r="M142" i="2"/>
  <c r="R142" i="2"/>
  <c r="C134" i="2"/>
  <c r="S134" i="2"/>
  <c r="E134" i="2"/>
  <c r="P134" i="2"/>
  <c r="B134" i="2"/>
  <c r="H134" i="2"/>
  <c r="M134" i="2"/>
  <c r="R134" i="2"/>
  <c r="C126" i="2"/>
  <c r="F126" i="2" s="1"/>
  <c r="S126" i="2"/>
  <c r="E126" i="2"/>
  <c r="G126" i="2" s="1"/>
  <c r="P126" i="2"/>
  <c r="B126" i="2"/>
  <c r="H126" i="2"/>
  <c r="M126" i="2"/>
  <c r="R126" i="2"/>
  <c r="C118" i="2"/>
  <c r="F118" i="2" s="1"/>
  <c r="S118" i="2"/>
  <c r="E118" i="2"/>
  <c r="G118" i="2" s="1"/>
  <c r="P118" i="2"/>
  <c r="B118" i="2"/>
  <c r="H118" i="2"/>
  <c r="M118" i="2"/>
  <c r="R118" i="2"/>
  <c r="C110" i="2"/>
  <c r="F110" i="2" s="1"/>
  <c r="S110" i="2"/>
  <c r="E110" i="2"/>
  <c r="G110" i="2" s="1"/>
  <c r="P110" i="2"/>
  <c r="B110" i="2"/>
  <c r="H110" i="2"/>
  <c r="M110" i="2"/>
  <c r="R110" i="2"/>
  <c r="C102" i="2"/>
  <c r="F102" i="2" s="1"/>
  <c r="S102" i="2"/>
  <c r="E102" i="2"/>
  <c r="G102" i="2" s="1"/>
  <c r="P102" i="2"/>
  <c r="B102" i="2"/>
  <c r="H102" i="2"/>
  <c r="M102" i="2"/>
  <c r="R102" i="2"/>
  <c r="C94" i="2"/>
  <c r="F94" i="2" s="1"/>
  <c r="S94" i="2"/>
  <c r="E94" i="2"/>
  <c r="G94" i="2" s="1"/>
  <c r="P94" i="2"/>
  <c r="B94" i="2"/>
  <c r="H94" i="2"/>
  <c r="M94" i="2"/>
  <c r="R94" i="2"/>
  <c r="C86" i="2"/>
  <c r="F86" i="2" s="1"/>
  <c r="S86" i="2"/>
  <c r="E86" i="2"/>
  <c r="G86" i="2" s="1"/>
  <c r="P86" i="2"/>
  <c r="B86" i="2"/>
  <c r="H86" i="2"/>
  <c r="M86" i="2"/>
  <c r="R86" i="2"/>
  <c r="C78" i="2"/>
  <c r="S78" i="2"/>
  <c r="E78" i="2"/>
  <c r="P78" i="2"/>
  <c r="B78" i="2"/>
  <c r="H78" i="2"/>
  <c r="M78" i="2"/>
  <c r="R78" i="2"/>
  <c r="C70" i="2"/>
  <c r="F70" i="2" s="1"/>
  <c r="S70" i="2"/>
  <c r="E70" i="2"/>
  <c r="G70" i="2" s="1"/>
  <c r="P70" i="2"/>
  <c r="B70" i="2"/>
  <c r="H70" i="2"/>
  <c r="M70" i="2"/>
  <c r="R70" i="2"/>
  <c r="C62" i="2"/>
  <c r="F62" i="2" s="1"/>
  <c r="S62" i="2"/>
  <c r="E62" i="2"/>
  <c r="G62" i="2" s="1"/>
  <c r="P62" i="2"/>
  <c r="B62" i="2"/>
  <c r="H62" i="2"/>
  <c r="M62" i="2"/>
  <c r="R62" i="2"/>
  <c r="C54" i="2"/>
  <c r="F54" i="2" s="1"/>
  <c r="S54" i="2"/>
  <c r="E54" i="2"/>
  <c r="G54" i="2" s="1"/>
  <c r="P54" i="2"/>
  <c r="B54" i="2"/>
  <c r="H54" i="2"/>
  <c r="M54" i="2"/>
  <c r="R54" i="2"/>
  <c r="C46" i="2"/>
  <c r="S46" i="2"/>
  <c r="E46" i="2"/>
  <c r="P46" i="2"/>
  <c r="B46" i="2"/>
  <c r="H46" i="2"/>
  <c r="M46" i="2"/>
  <c r="R46" i="2"/>
  <c r="C38" i="2"/>
  <c r="S38" i="2"/>
  <c r="E38" i="2"/>
  <c r="P38" i="2"/>
  <c r="B38" i="2"/>
  <c r="H38" i="2"/>
  <c r="M38" i="2"/>
  <c r="R38" i="2"/>
  <c r="C30" i="2"/>
  <c r="S30" i="2"/>
  <c r="E30" i="2"/>
  <c r="P30" i="2"/>
  <c r="B30" i="2"/>
  <c r="H30" i="2"/>
  <c r="M30" i="2"/>
  <c r="R30" i="2"/>
  <c r="C14" i="2"/>
  <c r="S14" i="2"/>
  <c r="D14" i="2"/>
  <c r="I14" i="2"/>
  <c r="E14" i="2"/>
  <c r="P14" i="2"/>
  <c r="B14" i="2"/>
  <c r="H14" i="2"/>
  <c r="M14" i="2"/>
  <c r="N14" i="2" s="1"/>
  <c r="O14" i="2" s="1"/>
  <c r="R14" i="2"/>
  <c r="I170" i="2"/>
  <c r="Q192" i="2"/>
  <c r="I192" i="2"/>
  <c r="D190" i="2"/>
  <c r="H190" i="2"/>
  <c r="J190" i="2" s="1"/>
  <c r="K190" i="2" s="1"/>
  <c r="L190" i="2"/>
  <c r="P190" i="2"/>
  <c r="B190" i="2"/>
  <c r="R190" i="2"/>
  <c r="M188" i="2"/>
  <c r="E188" i="2"/>
  <c r="M186" i="2"/>
  <c r="E186" i="2"/>
  <c r="B184" i="2"/>
  <c r="R184" i="2"/>
  <c r="D184" i="2"/>
  <c r="H184" i="2"/>
  <c r="L184" i="2"/>
  <c r="P184" i="2"/>
  <c r="D182" i="2"/>
  <c r="H182" i="2"/>
  <c r="L182" i="2"/>
  <c r="N182" i="2" s="1"/>
  <c r="O182" i="2" s="1"/>
  <c r="P182" i="2"/>
  <c r="B182" i="2"/>
  <c r="R182" i="2"/>
  <c r="M180" i="2"/>
  <c r="E180" i="2"/>
  <c r="M178" i="2"/>
  <c r="E178" i="2"/>
  <c r="B176" i="2"/>
  <c r="R176" i="2"/>
  <c r="D176" i="2"/>
  <c r="H176" i="2"/>
  <c r="J176" i="2" s="1"/>
  <c r="K176" i="2" s="1"/>
  <c r="L176" i="2"/>
  <c r="P176" i="2"/>
  <c r="D174" i="2"/>
  <c r="H174" i="2"/>
  <c r="L174" i="2"/>
  <c r="N174" i="2" s="1"/>
  <c r="O174" i="2" s="1"/>
  <c r="P174" i="2"/>
  <c r="B174" i="2"/>
  <c r="R174" i="2"/>
  <c r="M172" i="2"/>
  <c r="E172" i="2"/>
  <c r="Q169" i="2"/>
  <c r="C165" i="2"/>
  <c r="S165" i="2"/>
  <c r="E165" i="2"/>
  <c r="G165" i="2" s="1"/>
  <c r="P165" i="2"/>
  <c r="B165" i="2"/>
  <c r="H165" i="2"/>
  <c r="J165" i="2" s="1"/>
  <c r="K165" i="2" s="1"/>
  <c r="M165" i="2"/>
  <c r="R165" i="2"/>
  <c r="I164" i="2"/>
  <c r="S162" i="2"/>
  <c r="I162" i="2"/>
  <c r="Q161" i="2"/>
  <c r="C157" i="2"/>
  <c r="F157" i="2" s="1"/>
  <c r="S157" i="2"/>
  <c r="E157" i="2"/>
  <c r="G157" i="2" s="1"/>
  <c r="P157" i="2"/>
  <c r="B157" i="2"/>
  <c r="H157" i="2"/>
  <c r="J157" i="2" s="1"/>
  <c r="K157" i="2" s="1"/>
  <c r="M157" i="2"/>
  <c r="R157" i="2"/>
  <c r="I156" i="2"/>
  <c r="S154" i="2"/>
  <c r="I154" i="2"/>
  <c r="Q153" i="2"/>
  <c r="C149" i="2"/>
  <c r="S149" i="2"/>
  <c r="E149" i="2"/>
  <c r="P149" i="2"/>
  <c r="B149" i="2"/>
  <c r="H149" i="2"/>
  <c r="M149" i="2"/>
  <c r="R149" i="2"/>
  <c r="I148" i="2"/>
  <c r="S146" i="2"/>
  <c r="I146" i="2"/>
  <c r="Q145" i="2"/>
  <c r="D143" i="2"/>
  <c r="H143" i="2"/>
  <c r="J143" i="2" s="1"/>
  <c r="M143" i="2"/>
  <c r="Q143" i="2"/>
  <c r="B143" i="2"/>
  <c r="S143" i="2"/>
  <c r="E143" i="2"/>
  <c r="P143" i="2"/>
  <c r="I142" i="2"/>
  <c r="Q141" i="2"/>
  <c r="Q139" i="2"/>
  <c r="B137" i="2"/>
  <c r="R137" i="2"/>
  <c r="E137" i="2"/>
  <c r="P137" i="2"/>
  <c r="C137" i="2"/>
  <c r="H137" i="2"/>
  <c r="J137" i="2" s="1"/>
  <c r="K137" i="2" s="1"/>
  <c r="M137" i="2"/>
  <c r="S137" i="2"/>
  <c r="D135" i="2"/>
  <c r="H135" i="2"/>
  <c r="J135" i="2" s="1"/>
  <c r="K135" i="2" s="1"/>
  <c r="L135" i="2"/>
  <c r="P135" i="2"/>
  <c r="B135" i="2"/>
  <c r="M135" i="2"/>
  <c r="R135" i="2"/>
  <c r="E135" i="2"/>
  <c r="I134" i="2"/>
  <c r="Q133" i="2"/>
  <c r="Q131" i="2"/>
  <c r="B129" i="2"/>
  <c r="R129" i="2"/>
  <c r="E129" i="2"/>
  <c r="P129" i="2"/>
  <c r="C129" i="2"/>
  <c r="H129" i="2"/>
  <c r="J129" i="2" s="1"/>
  <c r="K129" i="2" s="1"/>
  <c r="M129" i="2"/>
  <c r="S129" i="2"/>
  <c r="D127" i="2"/>
  <c r="B6" i="28" s="1"/>
  <c r="H127" i="2"/>
  <c r="J127" i="2" s="1"/>
  <c r="K127" i="2" s="1"/>
  <c r="L127" i="2"/>
  <c r="P127" i="2"/>
  <c r="B127" i="2"/>
  <c r="M127" i="2"/>
  <c r="R127" i="2"/>
  <c r="E127" i="2"/>
  <c r="I126" i="2"/>
  <c r="Q125" i="2"/>
  <c r="Q123" i="2"/>
  <c r="B121" i="2"/>
  <c r="R121" i="2"/>
  <c r="E121" i="2"/>
  <c r="P121" i="2"/>
  <c r="C121" i="2"/>
  <c r="H121" i="2"/>
  <c r="J121" i="2" s="1"/>
  <c r="K121" i="2" s="1"/>
  <c r="M121" i="2"/>
  <c r="S121" i="2"/>
  <c r="D119" i="2"/>
  <c r="H119" i="2"/>
  <c r="L119" i="2"/>
  <c r="P119" i="2"/>
  <c r="B119" i="2"/>
  <c r="M119" i="2"/>
  <c r="R119" i="2"/>
  <c r="E119" i="2"/>
  <c r="I118" i="2"/>
  <c r="Q117" i="2"/>
  <c r="Q115" i="2"/>
  <c r="B113" i="2"/>
  <c r="R113" i="2"/>
  <c r="E113" i="2"/>
  <c r="G113" i="2" s="1"/>
  <c r="P113" i="2"/>
  <c r="C113" i="2"/>
  <c r="F113" i="2" s="1"/>
  <c r="H113" i="2"/>
  <c r="M113" i="2"/>
  <c r="S113" i="2"/>
  <c r="D111" i="2"/>
  <c r="H111" i="2"/>
  <c r="J111" i="2" s="1"/>
  <c r="K111" i="2" s="1"/>
  <c r="L111" i="2"/>
  <c r="P111" i="2"/>
  <c r="B111" i="2"/>
  <c r="M111" i="2"/>
  <c r="R111" i="2"/>
  <c r="E111" i="2"/>
  <c r="I110" i="2"/>
  <c r="Q109" i="2"/>
  <c r="Q107" i="2"/>
  <c r="B105" i="2"/>
  <c r="R105" i="2"/>
  <c r="E105" i="2"/>
  <c r="P105" i="2"/>
  <c r="C105" i="2"/>
  <c r="H105" i="2"/>
  <c r="J105" i="2" s="1"/>
  <c r="K105" i="2" s="1"/>
  <c r="M105" i="2"/>
  <c r="S105" i="2"/>
  <c r="D103" i="2"/>
  <c r="H103" i="2"/>
  <c r="J103" i="2" s="1"/>
  <c r="K103" i="2" s="1"/>
  <c r="L103" i="2"/>
  <c r="P103" i="2"/>
  <c r="B103" i="2"/>
  <c r="M103" i="2"/>
  <c r="R103" i="2"/>
  <c r="E103" i="2"/>
  <c r="I102" i="2"/>
  <c r="Q101" i="2"/>
  <c r="Q99" i="2"/>
  <c r="B97" i="2"/>
  <c r="R97" i="2"/>
  <c r="E97" i="2"/>
  <c r="P97" i="2"/>
  <c r="C97" i="2"/>
  <c r="H97" i="2"/>
  <c r="J97" i="2" s="1"/>
  <c r="K97" i="2" s="1"/>
  <c r="M97" i="2"/>
  <c r="N97" i="2" s="1"/>
  <c r="O97" i="2" s="1"/>
  <c r="S97" i="2"/>
  <c r="D95" i="2"/>
  <c r="H95" i="2"/>
  <c r="J95" i="2" s="1"/>
  <c r="K95" i="2" s="1"/>
  <c r="L95" i="2"/>
  <c r="P95" i="2"/>
  <c r="B95" i="2"/>
  <c r="M95" i="2"/>
  <c r="R95" i="2"/>
  <c r="E95" i="2"/>
  <c r="I94" i="2"/>
  <c r="Q93" i="2"/>
  <c r="Q91" i="2"/>
  <c r="B89" i="2"/>
  <c r="R89" i="2"/>
  <c r="E89" i="2"/>
  <c r="P89" i="2"/>
  <c r="C89" i="2"/>
  <c r="H89" i="2"/>
  <c r="J89" i="2" s="1"/>
  <c r="K89" i="2" s="1"/>
  <c r="M89" i="2"/>
  <c r="S89" i="2"/>
  <c r="D87" i="2"/>
  <c r="H87" i="2"/>
  <c r="J87" i="2" s="1"/>
  <c r="K87" i="2" s="1"/>
  <c r="L87" i="2"/>
  <c r="P87" i="2"/>
  <c r="B87" i="2"/>
  <c r="M87" i="2"/>
  <c r="R87" i="2"/>
  <c r="E87" i="2"/>
  <c r="I86" i="2"/>
  <c r="Q85" i="2"/>
  <c r="Q83" i="2"/>
  <c r="B81" i="2"/>
  <c r="R81" i="2"/>
  <c r="E81" i="2"/>
  <c r="P81" i="2"/>
  <c r="C81" i="2"/>
  <c r="H81" i="2"/>
  <c r="J81" i="2" s="1"/>
  <c r="K81" i="2" s="1"/>
  <c r="M81" i="2"/>
  <c r="S81" i="2"/>
  <c r="D79" i="2"/>
  <c r="H79" i="2"/>
  <c r="L79" i="2"/>
  <c r="P79" i="2"/>
  <c r="B79" i="2"/>
  <c r="M79" i="2"/>
  <c r="R79" i="2"/>
  <c r="E79" i="2"/>
  <c r="I78" i="2"/>
  <c r="Q77" i="2"/>
  <c r="Q75" i="2"/>
  <c r="B73" i="2"/>
  <c r="R73" i="2"/>
  <c r="E73" i="2"/>
  <c r="P73" i="2"/>
  <c r="C73" i="2"/>
  <c r="H73" i="2"/>
  <c r="M73" i="2"/>
  <c r="S73" i="2"/>
  <c r="D71" i="2"/>
  <c r="H71" i="2"/>
  <c r="L71" i="2"/>
  <c r="P71" i="2"/>
  <c r="B71" i="2"/>
  <c r="M71" i="2"/>
  <c r="R71" i="2"/>
  <c r="E71" i="2"/>
  <c r="I70" i="2"/>
  <c r="Q69" i="2"/>
  <c r="Q67" i="2"/>
  <c r="B65" i="2"/>
  <c r="R65" i="2"/>
  <c r="E65" i="2"/>
  <c r="G65" i="2" s="1"/>
  <c r="P65" i="2"/>
  <c r="C65" i="2"/>
  <c r="F65" i="2" s="1"/>
  <c r="H65" i="2"/>
  <c r="M65" i="2"/>
  <c r="S65" i="2"/>
  <c r="D63" i="2"/>
  <c r="H63" i="2"/>
  <c r="L63" i="2"/>
  <c r="P63" i="2"/>
  <c r="B63" i="2"/>
  <c r="M63" i="2"/>
  <c r="R63" i="2"/>
  <c r="E63" i="2"/>
  <c r="I62" i="2"/>
  <c r="Q61" i="2"/>
  <c r="Q59" i="2"/>
  <c r="B57" i="2"/>
  <c r="R57" i="2"/>
  <c r="E57" i="2"/>
  <c r="P57" i="2"/>
  <c r="C57" i="2"/>
  <c r="F57" i="2" s="1"/>
  <c r="H57" i="2"/>
  <c r="J57" i="2" s="1"/>
  <c r="K57" i="2" s="1"/>
  <c r="M57" i="2"/>
  <c r="S57" i="2"/>
  <c r="D55" i="2"/>
  <c r="H55" i="2"/>
  <c r="L55" i="2"/>
  <c r="P55" i="2"/>
  <c r="B55" i="2"/>
  <c r="M55" i="2"/>
  <c r="R55" i="2"/>
  <c r="E55" i="2"/>
  <c r="I54" i="2"/>
  <c r="Q53" i="2"/>
  <c r="Q51" i="2"/>
  <c r="B49" i="2"/>
  <c r="R49" i="2"/>
  <c r="E49" i="2"/>
  <c r="P49" i="2"/>
  <c r="C49" i="2"/>
  <c r="H49" i="2"/>
  <c r="M49" i="2"/>
  <c r="S49" i="2"/>
  <c r="D47" i="2"/>
  <c r="H47" i="2"/>
  <c r="J47" i="2" s="1"/>
  <c r="K47" i="2" s="1"/>
  <c r="L47" i="2"/>
  <c r="P47" i="2"/>
  <c r="B47" i="2"/>
  <c r="M47" i="2"/>
  <c r="R47" i="2"/>
  <c r="E47" i="2"/>
  <c r="I46" i="2"/>
  <c r="Q45" i="2"/>
  <c r="Q43" i="2"/>
  <c r="B41" i="2"/>
  <c r="R41" i="2"/>
  <c r="E41" i="2"/>
  <c r="P41" i="2"/>
  <c r="C41" i="2"/>
  <c r="H41" i="2"/>
  <c r="M41" i="2"/>
  <c r="N41" i="2" s="1"/>
  <c r="O41" i="2" s="1"/>
  <c r="S41" i="2"/>
  <c r="D39" i="2"/>
  <c r="H39" i="2"/>
  <c r="L39" i="2"/>
  <c r="P39" i="2"/>
  <c r="B39" i="2"/>
  <c r="M39" i="2"/>
  <c r="R39" i="2"/>
  <c r="E39" i="2"/>
  <c r="I38" i="2"/>
  <c r="Q37" i="2"/>
  <c r="Q35" i="2"/>
  <c r="B33" i="2"/>
  <c r="R33" i="2"/>
  <c r="E33" i="2"/>
  <c r="G33" i="2" s="1"/>
  <c r="P33" i="2"/>
  <c r="C33" i="2"/>
  <c r="F33" i="2" s="1"/>
  <c r="H33" i="2"/>
  <c r="M33" i="2"/>
  <c r="S33" i="2"/>
  <c r="D31" i="2"/>
  <c r="H31" i="2"/>
  <c r="L31" i="2"/>
  <c r="P31" i="2"/>
  <c r="B31" i="2"/>
  <c r="M31" i="2"/>
  <c r="R31" i="2"/>
  <c r="E31" i="2"/>
  <c r="I30" i="2"/>
  <c r="Q29" i="2"/>
  <c r="Q27" i="2"/>
  <c r="B25" i="2"/>
  <c r="R25" i="2"/>
  <c r="E25" i="2"/>
  <c r="P25" i="2"/>
  <c r="C25" i="2"/>
  <c r="H25" i="2"/>
  <c r="M25" i="2"/>
  <c r="S25" i="2"/>
  <c r="L22" i="2"/>
  <c r="D19" i="2"/>
  <c r="H19" i="2"/>
  <c r="L19" i="2"/>
  <c r="P19" i="2"/>
  <c r="C19" i="2"/>
  <c r="I19" i="2"/>
  <c r="S19" i="2"/>
  <c r="E19" i="2"/>
  <c r="B19" i="2"/>
  <c r="M19" i="2"/>
  <c r="R19" i="2"/>
  <c r="Q14" i="2"/>
  <c r="D23" i="2"/>
  <c r="H23" i="2"/>
  <c r="L23" i="2"/>
  <c r="P23" i="2"/>
  <c r="B21" i="2"/>
  <c r="R21" i="2"/>
  <c r="L18" i="2"/>
  <c r="Q15" i="2"/>
  <c r="S191" i="2"/>
  <c r="S187" i="2"/>
  <c r="S183" i="2"/>
  <c r="S179" i="2"/>
  <c r="S175" i="2"/>
  <c r="E23" i="2"/>
  <c r="P21" i="2"/>
  <c r="E21" i="2"/>
  <c r="P18" i="2"/>
  <c r="E18" i="2"/>
  <c r="E15" i="2"/>
  <c r="P13" i="2"/>
  <c r="E13" i="2"/>
  <c r="P185" i="3"/>
  <c r="D184" i="3"/>
  <c r="L184" i="3"/>
  <c r="P184" i="3"/>
  <c r="C184" i="3"/>
  <c r="G184" i="3"/>
  <c r="O184" i="3"/>
  <c r="C181" i="3"/>
  <c r="G181" i="3"/>
  <c r="O181" i="3"/>
  <c r="B181" i="3"/>
  <c r="F181" i="3"/>
  <c r="J181" i="3"/>
  <c r="K181" i="3" s="1"/>
  <c r="N181" i="3"/>
  <c r="J180" i="3"/>
  <c r="L177" i="3"/>
  <c r="N172" i="3"/>
  <c r="F172" i="3"/>
  <c r="P169" i="3"/>
  <c r="D168" i="3"/>
  <c r="L168" i="3"/>
  <c r="P168" i="3"/>
  <c r="C168" i="3"/>
  <c r="G168" i="3"/>
  <c r="O168" i="3"/>
  <c r="C165" i="3"/>
  <c r="G165" i="3"/>
  <c r="O165" i="3"/>
  <c r="B165" i="3"/>
  <c r="F165" i="3"/>
  <c r="J165" i="3"/>
  <c r="K165" i="3" s="1"/>
  <c r="N165" i="3"/>
  <c r="J164" i="3"/>
  <c r="L161" i="3"/>
  <c r="N156" i="3"/>
  <c r="F156" i="3"/>
  <c r="P153" i="3"/>
  <c r="D152" i="3"/>
  <c r="L152" i="3"/>
  <c r="P152" i="3"/>
  <c r="C152" i="3"/>
  <c r="G152" i="3"/>
  <c r="O152" i="3"/>
  <c r="C149" i="3"/>
  <c r="G149" i="3"/>
  <c r="O149" i="3"/>
  <c r="B149" i="3"/>
  <c r="F149" i="3"/>
  <c r="J149" i="3"/>
  <c r="N149" i="3"/>
  <c r="J148" i="3"/>
  <c r="L145" i="3"/>
  <c r="N140" i="3"/>
  <c r="F140" i="3"/>
  <c r="P137" i="3"/>
  <c r="D136" i="3"/>
  <c r="L136" i="3"/>
  <c r="P136" i="3"/>
  <c r="C136" i="3"/>
  <c r="G136" i="3"/>
  <c r="O136" i="3"/>
  <c r="C133" i="3"/>
  <c r="G133" i="3"/>
  <c r="O133" i="3"/>
  <c r="B133" i="3"/>
  <c r="F133" i="3"/>
  <c r="J133" i="3"/>
  <c r="K133" i="3" s="1"/>
  <c r="N133" i="3"/>
  <c r="J132" i="3"/>
  <c r="D124" i="3"/>
  <c r="L124" i="3"/>
  <c r="P124" i="3"/>
  <c r="B124" i="3"/>
  <c r="F124" i="3"/>
  <c r="J124" i="3"/>
  <c r="N124" i="3"/>
  <c r="C124" i="3"/>
  <c r="G124" i="3"/>
  <c r="O124" i="3"/>
  <c r="Q113" i="3"/>
  <c r="Q107" i="3"/>
  <c r="Q97" i="3"/>
  <c r="D180" i="3"/>
  <c r="L180" i="3"/>
  <c r="P180" i="3"/>
  <c r="C180" i="3"/>
  <c r="G180" i="3"/>
  <c r="O180" i="3"/>
  <c r="C177" i="3"/>
  <c r="G177" i="3"/>
  <c r="O177" i="3"/>
  <c r="B177" i="3"/>
  <c r="F177" i="3"/>
  <c r="J177" i="3"/>
  <c r="N177" i="3"/>
  <c r="D164" i="3"/>
  <c r="L164" i="3"/>
  <c r="P164" i="3"/>
  <c r="C164" i="3"/>
  <c r="G164" i="3"/>
  <c r="E164" i="5" s="1"/>
  <c r="O164" i="3"/>
  <c r="C161" i="3"/>
  <c r="G161" i="3"/>
  <c r="O161" i="3"/>
  <c r="B161" i="3"/>
  <c r="F161" i="3"/>
  <c r="J161" i="3"/>
  <c r="K161" i="3" s="1"/>
  <c r="N161" i="3"/>
  <c r="D148" i="3"/>
  <c r="L148" i="3"/>
  <c r="P148" i="3"/>
  <c r="C148" i="3"/>
  <c r="G148" i="3"/>
  <c r="O148" i="3"/>
  <c r="C145" i="3"/>
  <c r="G145" i="3"/>
  <c r="O145" i="3"/>
  <c r="B145" i="3"/>
  <c r="F145" i="3"/>
  <c r="J145" i="3"/>
  <c r="N145" i="3"/>
  <c r="D132" i="3"/>
  <c r="L132" i="3"/>
  <c r="P132" i="3"/>
  <c r="C132" i="3"/>
  <c r="G132" i="3"/>
  <c r="O132" i="3"/>
  <c r="D128" i="3"/>
  <c r="L128" i="3"/>
  <c r="P128" i="3"/>
  <c r="B128" i="3"/>
  <c r="F128" i="3"/>
  <c r="J128" i="3"/>
  <c r="N128" i="3"/>
  <c r="C128" i="3"/>
  <c r="G128" i="3"/>
  <c r="O128" i="3"/>
  <c r="C118" i="3"/>
  <c r="G118" i="3"/>
  <c r="H118" i="3" s="1"/>
  <c r="J118" i="3"/>
  <c r="N118" i="3"/>
  <c r="B118" i="3"/>
  <c r="L118" i="3"/>
  <c r="P118" i="3"/>
  <c r="D118" i="3"/>
  <c r="I118" i="3"/>
  <c r="M118" i="3"/>
  <c r="Q118" i="3"/>
  <c r="C102" i="3"/>
  <c r="G102" i="3"/>
  <c r="H102" i="3" s="1"/>
  <c r="O102" i="3"/>
  <c r="J102" i="3"/>
  <c r="P102" i="3"/>
  <c r="B102" i="3"/>
  <c r="M102" i="3"/>
  <c r="D102" i="3"/>
  <c r="I102" i="3"/>
  <c r="N102" i="3"/>
  <c r="C248" i="2"/>
  <c r="R23" i="2"/>
  <c r="M23" i="2"/>
  <c r="B23" i="2"/>
  <c r="S21" i="2"/>
  <c r="M21" i="2"/>
  <c r="N21" i="2" s="1"/>
  <c r="O21" i="2" s="1"/>
  <c r="H21" i="2"/>
  <c r="C21" i="2"/>
  <c r="R18" i="2"/>
  <c r="M18" i="2"/>
  <c r="H18" i="2"/>
  <c r="J18" i="2" s="1"/>
  <c r="K18" i="2" s="1"/>
  <c r="R15" i="2"/>
  <c r="M15" i="2"/>
  <c r="S13" i="2"/>
  <c r="M13" i="2"/>
  <c r="N13" i="2" s="1"/>
  <c r="O13" i="2" s="1"/>
  <c r="H13" i="2"/>
  <c r="D188" i="3"/>
  <c r="L188" i="3"/>
  <c r="P188" i="3"/>
  <c r="L185" i="3"/>
  <c r="M184" i="3"/>
  <c r="N180" i="3"/>
  <c r="F180" i="3"/>
  <c r="P177" i="3"/>
  <c r="D176" i="3"/>
  <c r="L176" i="3"/>
  <c r="P176" i="3"/>
  <c r="C176" i="3"/>
  <c r="G176" i="3"/>
  <c r="O176" i="3"/>
  <c r="C173" i="3"/>
  <c r="G173" i="3"/>
  <c r="O173" i="3"/>
  <c r="B173" i="3"/>
  <c r="F173" i="3"/>
  <c r="J173" i="3"/>
  <c r="N173" i="3"/>
  <c r="J172" i="3"/>
  <c r="L169" i="3"/>
  <c r="M168" i="3"/>
  <c r="N164" i="3"/>
  <c r="F164" i="3"/>
  <c r="P161" i="3"/>
  <c r="D160" i="3"/>
  <c r="L160" i="3"/>
  <c r="P160" i="3"/>
  <c r="C160" i="3"/>
  <c r="G160" i="3"/>
  <c r="O160" i="3"/>
  <c r="C157" i="3"/>
  <c r="E157" i="3" s="1"/>
  <c r="G157" i="3"/>
  <c r="O157" i="3"/>
  <c r="B157" i="3"/>
  <c r="F157" i="3"/>
  <c r="J157" i="3"/>
  <c r="K157" i="3" s="1"/>
  <c r="N157" i="3"/>
  <c r="J156" i="3"/>
  <c r="L153" i="3"/>
  <c r="M152" i="3"/>
  <c r="N148" i="3"/>
  <c r="F148" i="3"/>
  <c r="P145" i="3"/>
  <c r="D144" i="3"/>
  <c r="L144" i="3"/>
  <c r="P144" i="3"/>
  <c r="C144" i="3"/>
  <c r="G144" i="3"/>
  <c r="O144" i="3"/>
  <c r="C141" i="3"/>
  <c r="G141" i="3"/>
  <c r="O141" i="3"/>
  <c r="B141" i="3"/>
  <c r="F141" i="3"/>
  <c r="J141" i="3"/>
  <c r="K141" i="3" s="1"/>
  <c r="N141" i="3"/>
  <c r="J140" i="3"/>
  <c r="L137" i="3"/>
  <c r="M136" i="3"/>
  <c r="M133" i="3"/>
  <c r="N132" i="3"/>
  <c r="F132" i="3"/>
  <c r="M128" i="3"/>
  <c r="I124" i="3"/>
  <c r="O118" i="3"/>
  <c r="Q102" i="3"/>
  <c r="C18" i="2"/>
  <c r="S18" i="2"/>
  <c r="D15" i="2"/>
  <c r="H15" i="2"/>
  <c r="J15" i="2" s="1"/>
  <c r="K15" i="2" s="1"/>
  <c r="L15" i="2"/>
  <c r="P15" i="2"/>
  <c r="B13" i="2"/>
  <c r="R13" i="2"/>
  <c r="B6" i="6"/>
  <c r="N6" i="5"/>
  <c r="H6" i="5"/>
  <c r="K6" i="5"/>
  <c r="C185" i="3"/>
  <c r="G185" i="3"/>
  <c r="O185" i="3"/>
  <c r="B185" i="3"/>
  <c r="F185" i="3"/>
  <c r="J185" i="3"/>
  <c r="K185" i="3" s="1"/>
  <c r="N185" i="3"/>
  <c r="M180" i="3"/>
  <c r="M177" i="3"/>
  <c r="D172" i="3"/>
  <c r="L172" i="3"/>
  <c r="P172" i="3"/>
  <c r="C172" i="3"/>
  <c r="G172" i="3"/>
  <c r="O172" i="3"/>
  <c r="C169" i="3"/>
  <c r="G169" i="3"/>
  <c r="O169" i="3"/>
  <c r="B169" i="3"/>
  <c r="F169" i="3"/>
  <c r="J169" i="3"/>
  <c r="K169" i="3" s="1"/>
  <c r="N169" i="3"/>
  <c r="M164" i="3"/>
  <c r="M161" i="3"/>
  <c r="D156" i="3"/>
  <c r="L156" i="3"/>
  <c r="P156" i="3"/>
  <c r="C156" i="3"/>
  <c r="G156" i="3"/>
  <c r="E156" i="5" s="1"/>
  <c r="O156" i="3"/>
  <c r="C153" i="3"/>
  <c r="G153" i="3"/>
  <c r="E153" i="5" s="1"/>
  <c r="O153" i="3"/>
  <c r="B153" i="3"/>
  <c r="F153" i="3"/>
  <c r="J153" i="3"/>
  <c r="N153" i="3"/>
  <c r="M148" i="3"/>
  <c r="M145" i="3"/>
  <c r="D140" i="3"/>
  <c r="L140" i="3"/>
  <c r="P140" i="3"/>
  <c r="C140" i="3"/>
  <c r="G140" i="3"/>
  <c r="O140" i="3"/>
  <c r="C137" i="3"/>
  <c r="G137" i="3"/>
  <c r="E137" i="5" s="1"/>
  <c r="O137" i="3"/>
  <c r="B137" i="3"/>
  <c r="F137" i="3"/>
  <c r="J137" i="3"/>
  <c r="N137" i="3"/>
  <c r="M132" i="3"/>
  <c r="I128" i="3"/>
  <c r="D120" i="3"/>
  <c r="L120" i="3"/>
  <c r="P120" i="3"/>
  <c r="B120" i="3"/>
  <c r="F120" i="3"/>
  <c r="J120" i="3"/>
  <c r="K120" i="3" s="1"/>
  <c r="N120" i="3"/>
  <c r="C120" i="3"/>
  <c r="G120" i="3"/>
  <c r="O120" i="3"/>
  <c r="D113" i="3"/>
  <c r="L113" i="3"/>
  <c r="P113" i="3"/>
  <c r="J113" i="3"/>
  <c r="O113" i="3"/>
  <c r="B113" i="3"/>
  <c r="G113" i="3"/>
  <c r="H113" i="3" s="1"/>
  <c r="M113" i="3"/>
  <c r="C113" i="3"/>
  <c r="I113" i="3"/>
  <c r="N113" i="3"/>
  <c r="B107" i="3"/>
  <c r="F107" i="3"/>
  <c r="J107" i="3"/>
  <c r="N107" i="3"/>
  <c r="P107" i="3"/>
  <c r="C107" i="3"/>
  <c r="M107" i="3"/>
  <c r="D107" i="3"/>
  <c r="I107" i="3"/>
  <c r="O107" i="3"/>
  <c r="L102" i="3"/>
  <c r="D97" i="3"/>
  <c r="L97" i="3"/>
  <c r="P97" i="3"/>
  <c r="J97" i="3"/>
  <c r="O97" i="3"/>
  <c r="B97" i="3"/>
  <c r="G97" i="3"/>
  <c r="H97" i="3" s="1"/>
  <c r="M97" i="3"/>
  <c r="C97" i="3"/>
  <c r="I97" i="3"/>
  <c r="N97" i="3"/>
  <c r="B115" i="3"/>
  <c r="F115" i="3"/>
  <c r="J115" i="3"/>
  <c r="K115" i="3" s="1"/>
  <c r="N115" i="3"/>
  <c r="C110" i="3"/>
  <c r="G110" i="3"/>
  <c r="O110" i="3"/>
  <c r="D105" i="3"/>
  <c r="L105" i="3"/>
  <c r="P105" i="3"/>
  <c r="B99" i="3"/>
  <c r="F99" i="3"/>
  <c r="J99" i="3"/>
  <c r="K99" i="3" s="1"/>
  <c r="N99" i="3"/>
  <c r="C94" i="3"/>
  <c r="E94" i="3" s="1"/>
  <c r="G94" i="3"/>
  <c r="O94" i="3"/>
  <c r="O91" i="3"/>
  <c r="I91" i="3"/>
  <c r="D91" i="3"/>
  <c r="E91" i="3" s="1"/>
  <c r="D89" i="3"/>
  <c r="E89" i="3" s="1"/>
  <c r="L89" i="3"/>
  <c r="P89" i="3"/>
  <c r="N86" i="3"/>
  <c r="I86" i="3"/>
  <c r="D86" i="3"/>
  <c r="B83" i="3"/>
  <c r="F83" i="3"/>
  <c r="J83" i="3"/>
  <c r="N83" i="3"/>
  <c r="N81" i="3"/>
  <c r="I81" i="3"/>
  <c r="C81" i="3"/>
  <c r="C78" i="3"/>
  <c r="G78" i="3"/>
  <c r="O78" i="3"/>
  <c r="O75" i="3"/>
  <c r="I75" i="3"/>
  <c r="D75" i="3"/>
  <c r="D73" i="3"/>
  <c r="L73" i="3"/>
  <c r="P73" i="3"/>
  <c r="N70" i="3"/>
  <c r="I70" i="3"/>
  <c r="D70" i="3"/>
  <c r="B67" i="3"/>
  <c r="F67" i="3"/>
  <c r="H67" i="3" s="1"/>
  <c r="J67" i="3"/>
  <c r="N67" i="3"/>
  <c r="N65" i="3"/>
  <c r="I65" i="3"/>
  <c r="C65" i="3"/>
  <c r="C62" i="3"/>
  <c r="G62" i="3"/>
  <c r="O62" i="3"/>
  <c r="O59" i="3"/>
  <c r="I59" i="3"/>
  <c r="D59" i="3"/>
  <c r="E59" i="3" s="1"/>
  <c r="D57" i="3"/>
  <c r="L57" i="3"/>
  <c r="P57" i="3"/>
  <c r="N54" i="3"/>
  <c r="I54" i="3"/>
  <c r="D54" i="3"/>
  <c r="B51" i="3"/>
  <c r="F51" i="3"/>
  <c r="J51" i="3"/>
  <c r="K51" i="3" s="1"/>
  <c r="N51" i="3"/>
  <c r="N49" i="3"/>
  <c r="I49" i="3"/>
  <c r="C49" i="3"/>
  <c r="C46" i="3"/>
  <c r="G46" i="3"/>
  <c r="O46" i="3"/>
  <c r="O43" i="3"/>
  <c r="I43" i="3"/>
  <c r="D43" i="3"/>
  <c r="E43" i="3" s="1"/>
  <c r="D41" i="3"/>
  <c r="L41" i="3"/>
  <c r="P41" i="3"/>
  <c r="N38" i="3"/>
  <c r="I38" i="3"/>
  <c r="D38" i="3"/>
  <c r="B35" i="3"/>
  <c r="F35" i="3"/>
  <c r="J35" i="3"/>
  <c r="N35" i="3"/>
  <c r="N33" i="3"/>
  <c r="I33" i="3"/>
  <c r="C33" i="3"/>
  <c r="C30" i="3"/>
  <c r="G30" i="3"/>
  <c r="O30" i="3"/>
  <c r="O27" i="3"/>
  <c r="I27" i="3"/>
  <c r="D27" i="3"/>
  <c r="D25" i="3"/>
  <c r="L25" i="3"/>
  <c r="P25" i="3"/>
  <c r="N22" i="3"/>
  <c r="I22" i="3"/>
  <c r="D22" i="3"/>
  <c r="B19" i="3"/>
  <c r="F19" i="3"/>
  <c r="J19" i="3"/>
  <c r="N19" i="3"/>
  <c r="N17" i="3"/>
  <c r="I17" i="3"/>
  <c r="C17" i="3"/>
  <c r="C14" i="3"/>
  <c r="G14" i="3"/>
  <c r="O14" i="3"/>
  <c r="O11" i="3"/>
  <c r="I11" i="3"/>
  <c r="D11" i="3"/>
  <c r="D9" i="3"/>
  <c r="E9" i="3" s="1"/>
  <c r="L9" i="3"/>
  <c r="P9" i="3"/>
  <c r="D62" i="5"/>
  <c r="I62" i="5"/>
  <c r="O62" i="5"/>
  <c r="D61" i="5"/>
  <c r="H61" i="5"/>
  <c r="D60" i="5"/>
  <c r="H60" i="5"/>
  <c r="D59" i="5"/>
  <c r="H59" i="5"/>
  <c r="D58" i="5"/>
  <c r="H58" i="5"/>
  <c r="D57" i="5"/>
  <c r="H57" i="5"/>
  <c r="D56" i="5"/>
  <c r="H56" i="5"/>
  <c r="D55" i="5"/>
  <c r="H55" i="5"/>
  <c r="D54" i="5"/>
  <c r="H54" i="5"/>
  <c r="D53" i="5"/>
  <c r="H53" i="5"/>
  <c r="D52" i="5"/>
  <c r="H52" i="5"/>
  <c r="D51" i="5"/>
  <c r="H51" i="5"/>
  <c r="D50" i="5"/>
  <c r="H50" i="5"/>
  <c r="E12" i="5"/>
  <c r="D159" i="7"/>
  <c r="C159" i="7"/>
  <c r="H159" i="7"/>
  <c r="L159" i="7"/>
  <c r="E159" i="7"/>
  <c r="I159" i="7"/>
  <c r="M159" i="7"/>
  <c r="B159" i="7"/>
  <c r="G159" i="7"/>
  <c r="K159" i="7"/>
  <c r="O159" i="7"/>
  <c r="C154" i="7"/>
  <c r="G154" i="7"/>
  <c r="K154" i="7"/>
  <c r="O154" i="7"/>
  <c r="D154" i="7"/>
  <c r="I154" i="7"/>
  <c r="N154" i="7"/>
  <c r="E154" i="7"/>
  <c r="J154" i="7"/>
  <c r="B154" i="7"/>
  <c r="H154" i="7"/>
  <c r="M154" i="7"/>
  <c r="K143" i="7"/>
  <c r="L138" i="7"/>
  <c r="P126" i="3"/>
  <c r="L126" i="3"/>
  <c r="D126" i="3"/>
  <c r="P122" i="3"/>
  <c r="L122" i="3"/>
  <c r="D122" i="3"/>
  <c r="P115" i="3"/>
  <c r="C114" i="3"/>
  <c r="G114" i="3"/>
  <c r="H114" i="3" s="1"/>
  <c r="O114" i="3"/>
  <c r="P110" i="3"/>
  <c r="J110" i="3"/>
  <c r="K110" i="3" s="1"/>
  <c r="D109" i="3"/>
  <c r="L109" i="3"/>
  <c r="P109" i="3"/>
  <c r="O105" i="3"/>
  <c r="J105" i="3"/>
  <c r="B103" i="3"/>
  <c r="F103" i="3"/>
  <c r="H103" i="3" s="1"/>
  <c r="J103" i="3"/>
  <c r="N103" i="3"/>
  <c r="P99" i="3"/>
  <c r="C98" i="3"/>
  <c r="G98" i="3"/>
  <c r="H98" i="3" s="1"/>
  <c r="O98" i="3"/>
  <c r="P94" i="3"/>
  <c r="J94" i="3"/>
  <c r="D93" i="3"/>
  <c r="L93" i="3"/>
  <c r="P93" i="3"/>
  <c r="M91" i="3"/>
  <c r="O89" i="3"/>
  <c r="J89" i="3"/>
  <c r="B87" i="3"/>
  <c r="F87" i="3"/>
  <c r="J87" i="3"/>
  <c r="N87" i="3"/>
  <c r="M86" i="3"/>
  <c r="P83" i="3"/>
  <c r="C82" i="3"/>
  <c r="G82" i="3"/>
  <c r="O82" i="3"/>
  <c r="M81" i="3"/>
  <c r="G81" i="3"/>
  <c r="P78" i="3"/>
  <c r="J78" i="3"/>
  <c r="D77" i="3"/>
  <c r="L77" i="3"/>
  <c r="P77" i="3"/>
  <c r="M75" i="3"/>
  <c r="O73" i="3"/>
  <c r="J73" i="3"/>
  <c r="K73" i="3" s="1"/>
  <c r="B71" i="3"/>
  <c r="F71" i="3"/>
  <c r="H71" i="3" s="1"/>
  <c r="J71" i="3"/>
  <c r="N71" i="3"/>
  <c r="M70" i="3"/>
  <c r="P67" i="3"/>
  <c r="C66" i="3"/>
  <c r="G66" i="3"/>
  <c r="H66" i="3" s="1"/>
  <c r="O66" i="3"/>
  <c r="M65" i="3"/>
  <c r="G65" i="3"/>
  <c r="P62" i="3"/>
  <c r="J62" i="3"/>
  <c r="K62" i="3" s="1"/>
  <c r="D61" i="3"/>
  <c r="L61" i="3"/>
  <c r="P61" i="3"/>
  <c r="M59" i="3"/>
  <c r="O57" i="3"/>
  <c r="J57" i="3"/>
  <c r="K57" i="3" s="1"/>
  <c r="B55" i="3"/>
  <c r="F55" i="3"/>
  <c r="J55" i="3"/>
  <c r="N55" i="3"/>
  <c r="M54" i="3"/>
  <c r="P51" i="3"/>
  <c r="C50" i="3"/>
  <c r="G50" i="3"/>
  <c r="O50" i="3"/>
  <c r="M49" i="3"/>
  <c r="G49" i="3"/>
  <c r="E49" i="5" s="1"/>
  <c r="F49" i="5" s="1"/>
  <c r="G49" i="5" s="1"/>
  <c r="P46" i="3"/>
  <c r="J46" i="3"/>
  <c r="K46" i="3" s="1"/>
  <c r="D45" i="3"/>
  <c r="L45" i="3"/>
  <c r="P45" i="3"/>
  <c r="M43" i="3"/>
  <c r="O41" i="3"/>
  <c r="J41" i="3"/>
  <c r="B39" i="3"/>
  <c r="F39" i="3"/>
  <c r="J39" i="3"/>
  <c r="N39" i="3"/>
  <c r="M38" i="3"/>
  <c r="P35" i="3"/>
  <c r="C34" i="3"/>
  <c r="G34" i="3"/>
  <c r="O34" i="3"/>
  <c r="M33" i="3"/>
  <c r="G33" i="3"/>
  <c r="E33" i="5" s="1"/>
  <c r="F33" i="5" s="1"/>
  <c r="G33" i="5" s="1"/>
  <c r="P30" i="3"/>
  <c r="J30" i="3"/>
  <c r="K30" i="3" s="1"/>
  <c r="D29" i="3"/>
  <c r="L29" i="3"/>
  <c r="P29" i="3"/>
  <c r="M27" i="3"/>
  <c r="O25" i="3"/>
  <c r="J25" i="3"/>
  <c r="K25" i="3" s="1"/>
  <c r="B23" i="3"/>
  <c r="F23" i="3"/>
  <c r="J23" i="3"/>
  <c r="N23" i="3"/>
  <c r="M22" i="3"/>
  <c r="P19" i="3"/>
  <c r="C18" i="3"/>
  <c r="G18" i="3"/>
  <c r="O18" i="3"/>
  <c r="M17" i="3"/>
  <c r="G17" i="3"/>
  <c r="E17" i="5" s="1"/>
  <c r="F17" i="5" s="1"/>
  <c r="G17" i="5" s="1"/>
  <c r="P14" i="3"/>
  <c r="J14" i="3"/>
  <c r="K14" i="3" s="1"/>
  <c r="D13" i="3"/>
  <c r="L13" i="3"/>
  <c r="P13" i="3"/>
  <c r="M11" i="3"/>
  <c r="O9" i="3"/>
  <c r="J9" i="3"/>
  <c r="B7" i="3"/>
  <c r="F7" i="3"/>
  <c r="J7" i="3"/>
  <c r="N7" i="3"/>
  <c r="E166" i="5"/>
  <c r="E109" i="5"/>
  <c r="E103" i="5"/>
  <c r="E71" i="5"/>
  <c r="E67" i="5"/>
  <c r="N62" i="5"/>
  <c r="K61" i="5"/>
  <c r="K60" i="5"/>
  <c r="K59" i="5"/>
  <c r="K58" i="5"/>
  <c r="K57" i="5"/>
  <c r="K56" i="5"/>
  <c r="K55" i="5"/>
  <c r="K54" i="5"/>
  <c r="K53" i="5"/>
  <c r="K52" i="5"/>
  <c r="K51" i="5"/>
  <c r="K50" i="5"/>
  <c r="L170" i="7"/>
  <c r="C162" i="7"/>
  <c r="G162" i="7"/>
  <c r="K162" i="7"/>
  <c r="O162" i="7"/>
  <c r="D162" i="7"/>
  <c r="H162" i="7"/>
  <c r="L162" i="7"/>
  <c r="B162" i="7"/>
  <c r="F162" i="7"/>
  <c r="J162" i="7"/>
  <c r="N162" i="7"/>
  <c r="N159" i="7"/>
  <c r="L149" i="7"/>
  <c r="B91" i="3"/>
  <c r="F91" i="3"/>
  <c r="J91" i="3"/>
  <c r="N91" i="3"/>
  <c r="C86" i="3"/>
  <c r="G86" i="3"/>
  <c r="O86" i="3"/>
  <c r="D81" i="3"/>
  <c r="L81" i="3"/>
  <c r="P81" i="3"/>
  <c r="B75" i="3"/>
  <c r="F75" i="3"/>
  <c r="J75" i="3"/>
  <c r="N75" i="3"/>
  <c r="C70" i="3"/>
  <c r="G70" i="3"/>
  <c r="O70" i="3"/>
  <c r="D65" i="3"/>
  <c r="L65" i="3"/>
  <c r="P65" i="3"/>
  <c r="B59" i="3"/>
  <c r="F59" i="3"/>
  <c r="J59" i="3"/>
  <c r="N59" i="3"/>
  <c r="C54" i="3"/>
  <c r="G54" i="3"/>
  <c r="O54" i="3"/>
  <c r="D49" i="3"/>
  <c r="L49" i="3"/>
  <c r="P49" i="3"/>
  <c r="B43" i="3"/>
  <c r="F43" i="3"/>
  <c r="J43" i="3"/>
  <c r="N43" i="3"/>
  <c r="C38" i="3"/>
  <c r="G38" i="3"/>
  <c r="O38" i="3"/>
  <c r="D33" i="3"/>
  <c r="L33" i="3"/>
  <c r="P33" i="3"/>
  <c r="B27" i="3"/>
  <c r="F27" i="3"/>
  <c r="H27" i="3" s="1"/>
  <c r="J27" i="3"/>
  <c r="N27" i="3"/>
  <c r="C22" i="3"/>
  <c r="G22" i="3"/>
  <c r="H22" i="3" s="1"/>
  <c r="O22" i="3"/>
  <c r="D17" i="3"/>
  <c r="L17" i="3"/>
  <c r="P17" i="3"/>
  <c r="B11" i="3"/>
  <c r="F11" i="3"/>
  <c r="J11" i="3"/>
  <c r="N11" i="3"/>
  <c r="E61" i="5"/>
  <c r="E60" i="5"/>
  <c r="E43" i="5"/>
  <c r="F43" i="5" s="1"/>
  <c r="G43" i="5" s="1"/>
  <c r="E13" i="5"/>
  <c r="F13" i="5" s="1"/>
  <c r="G13" i="5" s="1"/>
  <c r="F188" i="7"/>
  <c r="J159" i="7"/>
  <c r="D143" i="7"/>
  <c r="H143" i="7"/>
  <c r="L143" i="7"/>
  <c r="C143" i="7"/>
  <c r="I143" i="7"/>
  <c r="N143" i="7"/>
  <c r="E143" i="7"/>
  <c r="J143" i="7"/>
  <c r="O143" i="7"/>
  <c r="B143" i="7"/>
  <c r="G143" i="7"/>
  <c r="M143" i="7"/>
  <c r="C138" i="7"/>
  <c r="G138" i="7"/>
  <c r="K138" i="7"/>
  <c r="O138" i="7"/>
  <c r="D138" i="7"/>
  <c r="I138" i="7"/>
  <c r="N138" i="7"/>
  <c r="E138" i="7"/>
  <c r="J138" i="7"/>
  <c r="B138" i="7"/>
  <c r="H138" i="7"/>
  <c r="M138" i="7"/>
  <c r="N186" i="3"/>
  <c r="J186" i="3"/>
  <c r="F186" i="3"/>
  <c r="H186" i="3" s="1"/>
  <c r="N182" i="3"/>
  <c r="J182" i="3"/>
  <c r="F182" i="3"/>
  <c r="H182" i="3" s="1"/>
  <c r="N178" i="3"/>
  <c r="J178" i="3"/>
  <c r="F178" i="3"/>
  <c r="N174" i="3"/>
  <c r="J174" i="3"/>
  <c r="F174" i="3"/>
  <c r="N170" i="3"/>
  <c r="J170" i="3"/>
  <c r="F170" i="3"/>
  <c r="H170" i="3" s="1"/>
  <c r="N166" i="3"/>
  <c r="J166" i="3"/>
  <c r="K166" i="3" s="1"/>
  <c r="F166" i="3"/>
  <c r="H166" i="3" s="1"/>
  <c r="N162" i="3"/>
  <c r="J162" i="3"/>
  <c r="F162" i="3"/>
  <c r="N158" i="3"/>
  <c r="J158" i="3"/>
  <c r="F158" i="3"/>
  <c r="N154" i="3"/>
  <c r="J154" i="3"/>
  <c r="F154" i="3"/>
  <c r="N150" i="3"/>
  <c r="J150" i="3"/>
  <c r="F150" i="3"/>
  <c r="N146" i="3"/>
  <c r="J146" i="3"/>
  <c r="F146" i="3"/>
  <c r="N142" i="3"/>
  <c r="J142" i="3"/>
  <c r="K142" i="3" s="1"/>
  <c r="F142" i="3"/>
  <c r="N138" i="3"/>
  <c r="J138" i="3"/>
  <c r="F138" i="3"/>
  <c r="N134" i="3"/>
  <c r="J134" i="3"/>
  <c r="F134" i="3"/>
  <c r="N130" i="3"/>
  <c r="J130" i="3"/>
  <c r="K130" i="3" s="1"/>
  <c r="F130" i="3"/>
  <c r="O129" i="3"/>
  <c r="G129" i="3"/>
  <c r="H129" i="3" s="1"/>
  <c r="N126" i="3"/>
  <c r="J126" i="3"/>
  <c r="F126" i="3"/>
  <c r="O125" i="3"/>
  <c r="G125" i="3"/>
  <c r="N122" i="3"/>
  <c r="J122" i="3"/>
  <c r="F122" i="3"/>
  <c r="O121" i="3"/>
  <c r="G121" i="3"/>
  <c r="D117" i="3"/>
  <c r="L117" i="3"/>
  <c r="P117" i="3"/>
  <c r="M115" i="3"/>
  <c r="C115" i="3"/>
  <c r="N114" i="3"/>
  <c r="I114" i="3"/>
  <c r="K114" i="3" s="1"/>
  <c r="D114" i="3"/>
  <c r="B111" i="3"/>
  <c r="F111" i="3"/>
  <c r="J111" i="3"/>
  <c r="K111" i="3" s="1"/>
  <c r="N111" i="3"/>
  <c r="M110" i="3"/>
  <c r="B110" i="3"/>
  <c r="N109" i="3"/>
  <c r="I109" i="3"/>
  <c r="C109" i="3"/>
  <c r="C106" i="3"/>
  <c r="E106" i="3" s="1"/>
  <c r="G106" i="3"/>
  <c r="O106" i="3"/>
  <c r="M105" i="3"/>
  <c r="G105" i="3"/>
  <c r="E105" i="5" s="1"/>
  <c r="B105" i="3"/>
  <c r="O103" i="3"/>
  <c r="I103" i="3"/>
  <c r="D103" i="3"/>
  <c r="D101" i="3"/>
  <c r="L101" i="3"/>
  <c r="P101" i="3"/>
  <c r="M99" i="3"/>
  <c r="C99" i="3"/>
  <c r="E99" i="3" s="1"/>
  <c r="N98" i="3"/>
  <c r="I98" i="3"/>
  <c r="D98" i="3"/>
  <c r="B95" i="3"/>
  <c r="F95" i="3"/>
  <c r="J95" i="3"/>
  <c r="N95" i="3"/>
  <c r="M94" i="3"/>
  <c r="B94" i="3"/>
  <c r="N93" i="3"/>
  <c r="I93" i="3"/>
  <c r="C93" i="3"/>
  <c r="P91" i="3"/>
  <c r="C90" i="3"/>
  <c r="G90" i="3"/>
  <c r="O90" i="3"/>
  <c r="M89" i="3"/>
  <c r="G89" i="3"/>
  <c r="E89" i="5" s="1"/>
  <c r="B89" i="3"/>
  <c r="O87" i="3"/>
  <c r="I87" i="3"/>
  <c r="D87" i="3"/>
  <c r="E87" i="3" s="1"/>
  <c r="P86" i="3"/>
  <c r="J86" i="3"/>
  <c r="D85" i="3"/>
  <c r="L85" i="3"/>
  <c r="P85" i="3"/>
  <c r="M83" i="3"/>
  <c r="C83" i="3"/>
  <c r="E83" i="3" s="1"/>
  <c r="N82" i="3"/>
  <c r="I82" i="3"/>
  <c r="D82" i="3"/>
  <c r="O81" i="3"/>
  <c r="J81" i="3"/>
  <c r="B79" i="3"/>
  <c r="F79" i="3"/>
  <c r="J79" i="3"/>
  <c r="N79" i="3"/>
  <c r="M78" i="3"/>
  <c r="B78" i="3"/>
  <c r="N77" i="3"/>
  <c r="I77" i="3"/>
  <c r="C77" i="3"/>
  <c r="P75" i="3"/>
  <c r="C74" i="3"/>
  <c r="G74" i="3"/>
  <c r="O74" i="3"/>
  <c r="M73" i="3"/>
  <c r="G73" i="3"/>
  <c r="E73" i="5" s="1"/>
  <c r="B73" i="3"/>
  <c r="O71" i="3"/>
  <c r="I71" i="3"/>
  <c r="D71" i="3"/>
  <c r="P70" i="3"/>
  <c r="J70" i="3"/>
  <c r="D69" i="3"/>
  <c r="L69" i="3"/>
  <c r="P69" i="3"/>
  <c r="M67" i="3"/>
  <c r="C67" i="3"/>
  <c r="N66" i="3"/>
  <c r="I66" i="3"/>
  <c r="D66" i="3"/>
  <c r="O65" i="3"/>
  <c r="J65" i="3"/>
  <c r="B63" i="3"/>
  <c r="F63" i="3"/>
  <c r="J63" i="3"/>
  <c r="K63" i="3" s="1"/>
  <c r="N63" i="3"/>
  <c r="M62" i="3"/>
  <c r="B62" i="3"/>
  <c r="N61" i="3"/>
  <c r="I61" i="3"/>
  <c r="C61" i="3"/>
  <c r="P59" i="3"/>
  <c r="C58" i="3"/>
  <c r="G58" i="3"/>
  <c r="O58" i="3"/>
  <c r="M57" i="3"/>
  <c r="G57" i="3"/>
  <c r="B57" i="3"/>
  <c r="O55" i="3"/>
  <c r="I55" i="3"/>
  <c r="D55" i="3"/>
  <c r="P54" i="3"/>
  <c r="J54" i="3"/>
  <c r="D53" i="3"/>
  <c r="L53" i="3"/>
  <c r="P53" i="3"/>
  <c r="M51" i="3"/>
  <c r="C51" i="3"/>
  <c r="N50" i="3"/>
  <c r="I50" i="3"/>
  <c r="D50" i="3"/>
  <c r="O49" i="3"/>
  <c r="J49" i="3"/>
  <c r="B47" i="3"/>
  <c r="F47" i="3"/>
  <c r="H47" i="3" s="1"/>
  <c r="J47" i="3"/>
  <c r="N47" i="3"/>
  <c r="M46" i="3"/>
  <c r="B46" i="3"/>
  <c r="N45" i="3"/>
  <c r="I45" i="3"/>
  <c r="C45" i="3"/>
  <c r="P43" i="3"/>
  <c r="C42" i="3"/>
  <c r="E42" i="3" s="1"/>
  <c r="G42" i="3"/>
  <c r="O42" i="3"/>
  <c r="M41" i="3"/>
  <c r="G41" i="3"/>
  <c r="B41" i="3"/>
  <c r="O39" i="3"/>
  <c r="I39" i="3"/>
  <c r="D39" i="3"/>
  <c r="P38" i="3"/>
  <c r="J38" i="3"/>
  <c r="D37" i="3"/>
  <c r="E37" i="3" s="1"/>
  <c r="L37" i="3"/>
  <c r="P37" i="3"/>
  <c r="M35" i="3"/>
  <c r="C35" i="3"/>
  <c r="E35" i="3" s="1"/>
  <c r="N34" i="3"/>
  <c r="I34" i="3"/>
  <c r="D34" i="3"/>
  <c r="O33" i="3"/>
  <c r="J33" i="3"/>
  <c r="B31" i="3"/>
  <c r="F31" i="3"/>
  <c r="J31" i="3"/>
  <c r="N31" i="3"/>
  <c r="M30" i="3"/>
  <c r="B30" i="3"/>
  <c r="N29" i="3"/>
  <c r="I29" i="3"/>
  <c r="C29" i="3"/>
  <c r="P27" i="3"/>
  <c r="C26" i="3"/>
  <c r="G26" i="3"/>
  <c r="O26" i="3"/>
  <c r="M25" i="3"/>
  <c r="G25" i="3"/>
  <c r="B25" i="3"/>
  <c r="O23" i="3"/>
  <c r="I23" i="3"/>
  <c r="D23" i="3"/>
  <c r="E23" i="3" s="1"/>
  <c r="P22" i="3"/>
  <c r="J22" i="3"/>
  <c r="D21" i="3"/>
  <c r="L21" i="3"/>
  <c r="P21" i="3"/>
  <c r="M19" i="3"/>
  <c r="C19" i="3"/>
  <c r="E19" i="3" s="1"/>
  <c r="N18" i="3"/>
  <c r="I18" i="3"/>
  <c r="D18" i="3"/>
  <c r="O17" i="3"/>
  <c r="J17" i="3"/>
  <c r="B15" i="3"/>
  <c r="F15" i="3"/>
  <c r="J15" i="3"/>
  <c r="N15" i="3"/>
  <c r="M14" i="3"/>
  <c r="B14" i="3"/>
  <c r="N13" i="3"/>
  <c r="I13" i="3"/>
  <c r="C13" i="3"/>
  <c r="P11" i="3"/>
  <c r="C10" i="3"/>
  <c r="G10" i="3"/>
  <c r="O10" i="3"/>
  <c r="M9" i="3"/>
  <c r="G9" i="3"/>
  <c r="B9" i="3"/>
  <c r="O7" i="3"/>
  <c r="I7" i="3"/>
  <c r="D7" i="3"/>
  <c r="E7" i="3" s="1"/>
  <c r="D166" i="5"/>
  <c r="H166" i="5"/>
  <c r="J166" i="5" s="1"/>
  <c r="D165" i="5"/>
  <c r="H165" i="5"/>
  <c r="J165" i="5" s="1"/>
  <c r="L165" i="5"/>
  <c r="D164" i="5"/>
  <c r="H164" i="5"/>
  <c r="J164" i="5" s="1"/>
  <c r="D163" i="5"/>
  <c r="H163" i="5"/>
  <c r="J163" i="5" s="1"/>
  <c r="D162" i="5"/>
  <c r="H162" i="5"/>
  <c r="D161" i="5"/>
  <c r="H161" i="5"/>
  <c r="D160" i="5"/>
  <c r="H160" i="5"/>
  <c r="D159" i="5"/>
  <c r="H159" i="5"/>
  <c r="J159" i="5" s="1"/>
  <c r="D158" i="5"/>
  <c r="H158" i="5"/>
  <c r="J158" i="5" s="1"/>
  <c r="D157" i="5"/>
  <c r="H157" i="5"/>
  <c r="D156" i="5"/>
  <c r="H156" i="5"/>
  <c r="D155" i="5"/>
  <c r="H155" i="5"/>
  <c r="J155" i="5" s="1"/>
  <c r="D154" i="5"/>
  <c r="H154" i="5"/>
  <c r="J154" i="5" s="1"/>
  <c r="D153" i="5"/>
  <c r="H153" i="5"/>
  <c r="J153" i="5" s="1"/>
  <c r="D152" i="5"/>
  <c r="H152" i="5"/>
  <c r="D151" i="5"/>
  <c r="H151" i="5"/>
  <c r="J151" i="5" s="1"/>
  <c r="D150" i="5"/>
  <c r="H150" i="5"/>
  <c r="D149" i="5"/>
  <c r="H149" i="5"/>
  <c r="J149" i="5" s="1"/>
  <c r="D148" i="5"/>
  <c r="H148" i="5"/>
  <c r="J148" i="5" s="1"/>
  <c r="D147" i="5"/>
  <c r="H147" i="5"/>
  <c r="J147" i="5" s="1"/>
  <c r="D146" i="5"/>
  <c r="H146" i="5"/>
  <c r="D145" i="5"/>
  <c r="H145" i="5"/>
  <c r="J145" i="5" s="1"/>
  <c r="D144" i="5"/>
  <c r="H144" i="5"/>
  <c r="D143" i="5"/>
  <c r="H143" i="5"/>
  <c r="J143" i="5" s="1"/>
  <c r="D142" i="5"/>
  <c r="H142" i="5"/>
  <c r="D141" i="5"/>
  <c r="H141" i="5"/>
  <c r="J141" i="5" s="1"/>
  <c r="D140" i="5"/>
  <c r="H140" i="5"/>
  <c r="D139" i="5"/>
  <c r="H139" i="5"/>
  <c r="J139" i="5" s="1"/>
  <c r="D138" i="5"/>
  <c r="H138" i="5"/>
  <c r="D137" i="5"/>
  <c r="H137" i="5"/>
  <c r="J137" i="5" s="1"/>
  <c r="D136" i="5"/>
  <c r="H136" i="5"/>
  <c r="D135" i="5"/>
  <c r="H135" i="5"/>
  <c r="J135" i="5" s="1"/>
  <c r="D134" i="5"/>
  <c r="H134" i="5"/>
  <c r="D133" i="5"/>
  <c r="H133" i="5"/>
  <c r="J133" i="5" s="1"/>
  <c r="D132" i="5"/>
  <c r="H132" i="5"/>
  <c r="D131" i="5"/>
  <c r="H131" i="5"/>
  <c r="J131" i="5" s="1"/>
  <c r="D130" i="5"/>
  <c r="H130" i="5"/>
  <c r="J130" i="5" s="1"/>
  <c r="D129" i="5"/>
  <c r="H129" i="5"/>
  <c r="D128" i="5"/>
  <c r="H128" i="5"/>
  <c r="D127" i="5"/>
  <c r="H127" i="5"/>
  <c r="J127" i="5" s="1"/>
  <c r="D126" i="5"/>
  <c r="H126" i="5"/>
  <c r="D125" i="5"/>
  <c r="H125" i="5"/>
  <c r="J125" i="5" s="1"/>
  <c r="D124" i="5"/>
  <c r="H124" i="5"/>
  <c r="D123" i="5"/>
  <c r="H123" i="5"/>
  <c r="J123" i="5" s="1"/>
  <c r="D122" i="5"/>
  <c r="H122" i="5"/>
  <c r="J122" i="5" s="1"/>
  <c r="D121" i="5"/>
  <c r="H121" i="5"/>
  <c r="D120" i="5"/>
  <c r="H120" i="5"/>
  <c r="D119" i="5"/>
  <c r="H119" i="5"/>
  <c r="J119" i="5" s="1"/>
  <c r="D118" i="5"/>
  <c r="H118" i="5"/>
  <c r="D117" i="5"/>
  <c r="H117" i="5"/>
  <c r="D116" i="5"/>
  <c r="H116" i="5"/>
  <c r="D115" i="5"/>
  <c r="H115" i="5"/>
  <c r="J115" i="5" s="1"/>
  <c r="D114" i="5"/>
  <c r="H114" i="5"/>
  <c r="J114" i="5" s="1"/>
  <c r="D113" i="5"/>
  <c r="H113" i="5"/>
  <c r="J113" i="5" s="1"/>
  <c r="D112" i="5"/>
  <c r="H112" i="5"/>
  <c r="D111" i="5"/>
  <c r="H111" i="5"/>
  <c r="J111" i="5" s="1"/>
  <c r="D110" i="5"/>
  <c r="H110" i="5"/>
  <c r="D109" i="5"/>
  <c r="H109" i="5"/>
  <c r="J109" i="5" s="1"/>
  <c r="D108" i="5"/>
  <c r="H108" i="5"/>
  <c r="J108" i="5" s="1"/>
  <c r="D107" i="5"/>
  <c r="H107" i="5"/>
  <c r="J107" i="5" s="1"/>
  <c r="D106" i="5"/>
  <c r="H106" i="5"/>
  <c r="D105" i="5"/>
  <c r="H105" i="5"/>
  <c r="J105" i="5" s="1"/>
  <c r="D104" i="5"/>
  <c r="H104" i="5"/>
  <c r="J104" i="5" s="1"/>
  <c r="D103" i="5"/>
  <c r="H103" i="5"/>
  <c r="J103" i="5" s="1"/>
  <c r="D102" i="5"/>
  <c r="H102" i="5"/>
  <c r="D101" i="5"/>
  <c r="H101" i="5"/>
  <c r="J101" i="5" s="1"/>
  <c r="D100" i="5"/>
  <c r="H100" i="5"/>
  <c r="J100" i="5" s="1"/>
  <c r="D99" i="5"/>
  <c r="H99" i="5"/>
  <c r="J99" i="5" s="1"/>
  <c r="D98" i="5"/>
  <c r="H98" i="5"/>
  <c r="D97" i="5"/>
  <c r="H97" i="5"/>
  <c r="J97" i="5" s="1"/>
  <c r="D96" i="5"/>
  <c r="H96" i="5"/>
  <c r="J96" i="5" s="1"/>
  <c r="D95" i="5"/>
  <c r="H95" i="5"/>
  <c r="J95" i="5" s="1"/>
  <c r="D94" i="5"/>
  <c r="H94" i="5"/>
  <c r="D93" i="5"/>
  <c r="H93" i="5"/>
  <c r="J93" i="5" s="1"/>
  <c r="D92" i="5"/>
  <c r="H92" i="5"/>
  <c r="J92" i="5" s="1"/>
  <c r="D91" i="5"/>
  <c r="H91" i="5"/>
  <c r="J91" i="5" s="1"/>
  <c r="L91" i="5"/>
  <c r="M91" i="5" s="1"/>
  <c r="D90" i="5"/>
  <c r="H90" i="5"/>
  <c r="D89" i="5"/>
  <c r="H89" i="5"/>
  <c r="J89" i="5" s="1"/>
  <c r="D88" i="5"/>
  <c r="H88" i="5"/>
  <c r="J88" i="5" s="1"/>
  <c r="L88" i="5"/>
  <c r="D87" i="5"/>
  <c r="H87" i="5"/>
  <c r="J87" i="5" s="1"/>
  <c r="D86" i="5"/>
  <c r="H86" i="5"/>
  <c r="D85" i="5"/>
  <c r="H85" i="5"/>
  <c r="J85" i="5" s="1"/>
  <c r="D84" i="5"/>
  <c r="H84" i="5"/>
  <c r="J84" i="5" s="1"/>
  <c r="L84" i="5"/>
  <c r="D83" i="5"/>
  <c r="H83" i="5"/>
  <c r="J83" i="5" s="1"/>
  <c r="D82" i="5"/>
  <c r="H82" i="5"/>
  <c r="D81" i="5"/>
  <c r="H81" i="5"/>
  <c r="J81" i="5" s="1"/>
  <c r="D80" i="5"/>
  <c r="H80" i="5"/>
  <c r="J80" i="5" s="1"/>
  <c r="L80" i="5"/>
  <c r="D79" i="5"/>
  <c r="H79" i="5"/>
  <c r="J79" i="5" s="1"/>
  <c r="D78" i="5"/>
  <c r="H78" i="5"/>
  <c r="D77" i="5"/>
  <c r="H77" i="5"/>
  <c r="J77" i="5" s="1"/>
  <c r="D76" i="5"/>
  <c r="H76" i="5"/>
  <c r="J76" i="5" s="1"/>
  <c r="D75" i="5"/>
  <c r="H75" i="5"/>
  <c r="J75" i="5" s="1"/>
  <c r="D74" i="5"/>
  <c r="H74" i="5"/>
  <c r="D73" i="5"/>
  <c r="H73" i="5"/>
  <c r="J73" i="5" s="1"/>
  <c r="D72" i="5"/>
  <c r="H72" i="5"/>
  <c r="J72" i="5" s="1"/>
  <c r="D71" i="5"/>
  <c r="H71" i="5"/>
  <c r="J71" i="5" s="1"/>
  <c r="D70" i="5"/>
  <c r="H70" i="5"/>
  <c r="D69" i="5"/>
  <c r="H69" i="5"/>
  <c r="J69" i="5" s="1"/>
  <c r="D68" i="5"/>
  <c r="H68" i="5"/>
  <c r="J68" i="5" s="1"/>
  <c r="D67" i="5"/>
  <c r="H67" i="5"/>
  <c r="J67" i="5" s="1"/>
  <c r="D66" i="5"/>
  <c r="H66" i="5"/>
  <c r="D65" i="5"/>
  <c r="H65" i="5"/>
  <c r="J65" i="5" s="1"/>
  <c r="D64" i="5"/>
  <c r="H64" i="5"/>
  <c r="J64" i="5" s="1"/>
  <c r="D63" i="5"/>
  <c r="H63" i="5"/>
  <c r="J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C182" i="7"/>
  <c r="G182" i="7"/>
  <c r="K182" i="7"/>
  <c r="O182" i="7"/>
  <c r="D182" i="7"/>
  <c r="H182" i="7"/>
  <c r="L182" i="7"/>
  <c r="B182" i="7"/>
  <c r="F182" i="7"/>
  <c r="J182" i="7"/>
  <c r="N182" i="7"/>
  <c r="C166" i="7"/>
  <c r="G166" i="7"/>
  <c r="K166" i="7"/>
  <c r="O166" i="7"/>
  <c r="D166" i="7"/>
  <c r="H166" i="7"/>
  <c r="L166" i="7"/>
  <c r="B166" i="7"/>
  <c r="F166" i="7"/>
  <c r="J166" i="7"/>
  <c r="N166" i="7"/>
  <c r="F159" i="7"/>
  <c r="B149" i="7"/>
  <c r="F149" i="7"/>
  <c r="J149" i="7"/>
  <c r="N149" i="7"/>
  <c r="D149" i="7"/>
  <c r="I149" i="7"/>
  <c r="O149" i="7"/>
  <c r="E149" i="7"/>
  <c r="K149" i="7"/>
  <c r="C149" i="7"/>
  <c r="H149" i="7"/>
  <c r="M149" i="7"/>
  <c r="L184" i="7"/>
  <c r="H184" i="7"/>
  <c r="D184" i="7"/>
  <c r="L180" i="7"/>
  <c r="H180" i="7"/>
  <c r="D180" i="7"/>
  <c r="H176" i="7"/>
  <c r="L172" i="7"/>
  <c r="H172" i="7"/>
  <c r="D172" i="7"/>
  <c r="L164" i="7"/>
  <c r="H164" i="7"/>
  <c r="D164" i="7"/>
  <c r="L160" i="7"/>
  <c r="D160" i="7"/>
  <c r="O158" i="7"/>
  <c r="K157" i="7"/>
  <c r="E157" i="7"/>
  <c r="O151" i="7"/>
  <c r="J151" i="7"/>
  <c r="E151" i="7"/>
  <c r="O135" i="7"/>
  <c r="J135" i="7"/>
  <c r="E135" i="7"/>
  <c r="L131" i="7"/>
  <c r="O119" i="7"/>
  <c r="J119" i="7"/>
  <c r="E119" i="7"/>
  <c r="J114" i="7"/>
  <c r="E114" i="7"/>
  <c r="M111" i="7"/>
  <c r="G111" i="7"/>
  <c r="K109" i="7"/>
  <c r="E109" i="7"/>
  <c r="M106" i="7"/>
  <c r="B105" i="7"/>
  <c r="F105" i="7"/>
  <c r="J105" i="7"/>
  <c r="N105" i="7"/>
  <c r="O103" i="7"/>
  <c r="J103" i="7"/>
  <c r="E103" i="7"/>
  <c r="M101" i="7"/>
  <c r="H101" i="7"/>
  <c r="D99" i="7"/>
  <c r="H99" i="7"/>
  <c r="M95" i="7"/>
  <c r="G95" i="7"/>
  <c r="C94" i="7"/>
  <c r="G94" i="7"/>
  <c r="K94" i="7"/>
  <c r="O94" i="7"/>
  <c r="K93" i="7"/>
  <c r="E93" i="7"/>
  <c r="H90" i="7"/>
  <c r="D83" i="7"/>
  <c r="H83" i="7"/>
  <c r="L83" i="7"/>
  <c r="M79" i="7"/>
  <c r="G79" i="7"/>
  <c r="K77" i="7"/>
  <c r="E77" i="7"/>
  <c r="M74" i="7"/>
  <c r="H74" i="7"/>
  <c r="O71" i="7"/>
  <c r="J71" i="7"/>
  <c r="E71" i="7"/>
  <c r="D67" i="7"/>
  <c r="H67" i="7"/>
  <c r="L67" i="7"/>
  <c r="M63" i="7"/>
  <c r="G63" i="7"/>
  <c r="G62" i="7"/>
  <c r="M58" i="7"/>
  <c r="H58" i="7"/>
  <c r="H58" i="12" s="1"/>
  <c r="B57" i="7"/>
  <c r="F57" i="7"/>
  <c r="J57" i="7"/>
  <c r="N57" i="7"/>
  <c r="J50" i="7"/>
  <c r="E50" i="7"/>
  <c r="C46" i="7"/>
  <c r="G46" i="7"/>
  <c r="K46" i="7"/>
  <c r="O46" i="7"/>
  <c r="K45" i="7"/>
  <c r="E45" i="7"/>
  <c r="M42" i="7"/>
  <c r="H42" i="7"/>
  <c r="B41" i="7"/>
  <c r="F41" i="7"/>
  <c r="J41" i="7"/>
  <c r="N41" i="7"/>
  <c r="M37" i="7"/>
  <c r="H37" i="7"/>
  <c r="H35" i="7"/>
  <c r="M31" i="7"/>
  <c r="G31" i="7"/>
  <c r="C30" i="7"/>
  <c r="G30" i="7"/>
  <c r="K30" i="7"/>
  <c r="O30" i="7"/>
  <c r="K29" i="7"/>
  <c r="E29" i="7"/>
  <c r="M26" i="7"/>
  <c r="H26" i="7"/>
  <c r="B25" i="7"/>
  <c r="J25" i="7"/>
  <c r="O23" i="7"/>
  <c r="G23" i="7"/>
  <c r="K19" i="7"/>
  <c r="M182" i="6"/>
  <c r="M174" i="6"/>
  <c r="M166" i="6"/>
  <c r="M158" i="6"/>
  <c r="M150" i="6"/>
  <c r="C145" i="6"/>
  <c r="G145" i="6"/>
  <c r="K145" i="6"/>
  <c r="B145" i="6"/>
  <c r="H145" i="6"/>
  <c r="M145" i="6"/>
  <c r="D145" i="6"/>
  <c r="I145" i="6"/>
  <c r="Q145" i="12" s="1"/>
  <c r="N145" i="6"/>
  <c r="E145" i="6"/>
  <c r="J145" i="6"/>
  <c r="O145" i="6"/>
  <c r="D118" i="6"/>
  <c r="H118" i="6"/>
  <c r="L118" i="12" s="1"/>
  <c r="L118" i="6"/>
  <c r="O118" i="12" s="1"/>
  <c r="B118" i="6"/>
  <c r="G118" i="6"/>
  <c r="M118" i="6"/>
  <c r="C118" i="6"/>
  <c r="I118" i="6"/>
  <c r="Q118" i="12" s="1"/>
  <c r="N118" i="6"/>
  <c r="E118" i="6"/>
  <c r="J118" i="6"/>
  <c r="O118" i="6"/>
  <c r="C113" i="6"/>
  <c r="G113" i="6"/>
  <c r="K113" i="6"/>
  <c r="R113" i="12" s="1"/>
  <c r="O113" i="6"/>
  <c r="B113" i="6"/>
  <c r="H113" i="6"/>
  <c r="M113" i="6"/>
  <c r="D113" i="6"/>
  <c r="I113" i="6"/>
  <c r="N113" i="6"/>
  <c r="E113" i="6"/>
  <c r="J113" i="6"/>
  <c r="H127" i="7"/>
  <c r="K122" i="7"/>
  <c r="D111" i="7"/>
  <c r="H111" i="7"/>
  <c r="L111" i="7"/>
  <c r="B101" i="7"/>
  <c r="F101" i="7"/>
  <c r="J101" i="7"/>
  <c r="N101" i="7"/>
  <c r="D95" i="7"/>
  <c r="H95" i="7"/>
  <c r="L95" i="7"/>
  <c r="C90" i="7"/>
  <c r="D79" i="7"/>
  <c r="H79" i="7"/>
  <c r="L79" i="7"/>
  <c r="C74" i="7"/>
  <c r="G74" i="7"/>
  <c r="K74" i="7"/>
  <c r="O74" i="7"/>
  <c r="D63" i="7"/>
  <c r="H63" i="7"/>
  <c r="L63" i="7"/>
  <c r="C58" i="7"/>
  <c r="G58" i="7"/>
  <c r="K58" i="7"/>
  <c r="O58" i="7"/>
  <c r="F53" i="7"/>
  <c r="N53" i="7"/>
  <c r="C42" i="7"/>
  <c r="G42" i="7"/>
  <c r="K42" i="7"/>
  <c r="O42" i="7"/>
  <c r="B37" i="7"/>
  <c r="F37" i="7"/>
  <c r="J37" i="7"/>
  <c r="N37" i="7"/>
  <c r="D31" i="7"/>
  <c r="H31" i="7"/>
  <c r="L31" i="7"/>
  <c r="O29" i="7"/>
  <c r="I29" i="7"/>
  <c r="D29" i="7"/>
  <c r="O26" i="7"/>
  <c r="M23" i="7"/>
  <c r="E23" i="7"/>
  <c r="D19" i="7"/>
  <c r="H19" i="7"/>
  <c r="L19" i="7"/>
  <c r="B19" i="7"/>
  <c r="F19" i="7"/>
  <c r="J19" i="7"/>
  <c r="N19" i="7"/>
  <c r="M15" i="7"/>
  <c r="B186" i="6"/>
  <c r="F186" i="6"/>
  <c r="J186" i="6"/>
  <c r="N186" i="6"/>
  <c r="C186" i="6"/>
  <c r="G186" i="6"/>
  <c r="K186" i="6"/>
  <c r="O186" i="6"/>
  <c r="D186" i="6"/>
  <c r="H186" i="6"/>
  <c r="L186" i="12" s="1"/>
  <c r="L186" i="6"/>
  <c r="O186" i="12" s="1"/>
  <c r="I182" i="6"/>
  <c r="M182" i="12" s="1"/>
  <c r="B178" i="6"/>
  <c r="F178" i="6"/>
  <c r="J178" i="6"/>
  <c r="N178" i="6"/>
  <c r="C178" i="6"/>
  <c r="G178" i="6"/>
  <c r="K178" i="6"/>
  <c r="O178" i="6"/>
  <c r="D178" i="6"/>
  <c r="H178" i="6"/>
  <c r="L178" i="12" s="1"/>
  <c r="L178" i="6"/>
  <c r="O178" i="12" s="1"/>
  <c r="I174" i="6"/>
  <c r="M174" i="12" s="1"/>
  <c r="Q170" i="12"/>
  <c r="B170" i="6"/>
  <c r="F170" i="6"/>
  <c r="J170" i="6"/>
  <c r="N170" i="6"/>
  <c r="C170" i="6"/>
  <c r="G170" i="6"/>
  <c r="K170" i="6"/>
  <c r="O170" i="6"/>
  <c r="D170" i="6"/>
  <c r="H170" i="6"/>
  <c r="L170" i="6"/>
  <c r="I166" i="6"/>
  <c r="Q166" i="12" s="1"/>
  <c r="Q162" i="12"/>
  <c r="B162" i="6"/>
  <c r="F162" i="6"/>
  <c r="J162" i="6"/>
  <c r="N162" i="6"/>
  <c r="C162" i="6"/>
  <c r="G162" i="6"/>
  <c r="K162" i="6"/>
  <c r="R162" i="12" s="1"/>
  <c r="O162" i="6"/>
  <c r="D162" i="6"/>
  <c r="H162" i="6"/>
  <c r="P162" i="12" s="1"/>
  <c r="L162" i="6"/>
  <c r="I158" i="6"/>
  <c r="Q158" i="12" s="1"/>
  <c r="B154" i="6"/>
  <c r="F154" i="6"/>
  <c r="J154" i="6"/>
  <c r="N154" i="6"/>
  <c r="C154" i="6"/>
  <c r="G154" i="6"/>
  <c r="K154" i="6"/>
  <c r="S154" i="12" s="1"/>
  <c r="O154" i="6"/>
  <c r="D154" i="6"/>
  <c r="H154" i="6"/>
  <c r="L154" i="6"/>
  <c r="I150" i="6"/>
  <c r="Q150" i="12" s="1"/>
  <c r="B146" i="6"/>
  <c r="F146" i="6"/>
  <c r="J146" i="6"/>
  <c r="N146" i="6"/>
  <c r="C146" i="6"/>
  <c r="G146" i="6"/>
  <c r="K146" i="6"/>
  <c r="O146" i="6"/>
  <c r="D146" i="6"/>
  <c r="H146" i="6"/>
  <c r="L146" i="12" s="1"/>
  <c r="L146" i="6"/>
  <c r="O146" i="12" s="1"/>
  <c r="L140" i="6"/>
  <c r="O140" i="12" s="1"/>
  <c r="B124" i="6"/>
  <c r="F124" i="6"/>
  <c r="J124" i="6"/>
  <c r="N124" i="6"/>
  <c r="C124" i="6"/>
  <c r="H124" i="6"/>
  <c r="L124" i="12" s="1"/>
  <c r="M124" i="6"/>
  <c r="D124" i="6"/>
  <c r="I124" i="6"/>
  <c r="O124" i="6"/>
  <c r="E124" i="6"/>
  <c r="K124" i="6"/>
  <c r="H49" i="5"/>
  <c r="H48" i="5"/>
  <c r="H47" i="5"/>
  <c r="H46" i="5"/>
  <c r="H45" i="5"/>
  <c r="H44" i="5"/>
  <c r="H43" i="5"/>
  <c r="H42" i="5"/>
  <c r="H41" i="5"/>
  <c r="J41" i="5" s="1"/>
  <c r="H40" i="5"/>
  <c r="H39" i="5"/>
  <c r="H38" i="5"/>
  <c r="H37" i="5"/>
  <c r="H36" i="5"/>
  <c r="H35" i="5"/>
  <c r="L34" i="5"/>
  <c r="H34" i="5"/>
  <c r="H33" i="5"/>
  <c r="H32" i="5"/>
  <c r="J32" i="5" s="1"/>
  <c r="H31" i="5"/>
  <c r="H30" i="5"/>
  <c r="L29" i="5"/>
  <c r="H29" i="5"/>
  <c r="H28" i="5"/>
  <c r="J28" i="5" s="1"/>
  <c r="H27" i="5"/>
  <c r="H26" i="5"/>
  <c r="H25" i="5"/>
  <c r="H24" i="5"/>
  <c r="H23" i="5"/>
  <c r="H22" i="5"/>
  <c r="H21" i="5"/>
  <c r="J21" i="5" s="1"/>
  <c r="H20" i="5"/>
  <c r="H19" i="5"/>
  <c r="H18" i="5"/>
  <c r="H17" i="5"/>
  <c r="L16" i="5"/>
  <c r="H16" i="5"/>
  <c r="H15" i="5"/>
  <c r="H14" i="5"/>
  <c r="H13" i="5"/>
  <c r="H12" i="5"/>
  <c r="J12" i="5" s="1"/>
  <c r="H11" i="5"/>
  <c r="H10" i="5"/>
  <c r="H9" i="5"/>
  <c r="L8" i="5"/>
  <c r="H8" i="5"/>
  <c r="H7" i="5"/>
  <c r="O189" i="7"/>
  <c r="K189" i="7"/>
  <c r="J189" i="12" s="1"/>
  <c r="G189" i="7"/>
  <c r="O185" i="7"/>
  <c r="K185" i="7"/>
  <c r="G185" i="7"/>
  <c r="N184" i="7"/>
  <c r="J184" i="7"/>
  <c r="F184" i="7"/>
  <c r="N180" i="7"/>
  <c r="J180" i="7"/>
  <c r="F180" i="7"/>
  <c r="O177" i="7"/>
  <c r="K177" i="7"/>
  <c r="G177" i="7"/>
  <c r="O173" i="7"/>
  <c r="K173" i="7"/>
  <c r="G173" i="7"/>
  <c r="N172" i="7"/>
  <c r="J172" i="7"/>
  <c r="F172" i="7"/>
  <c r="N164" i="7"/>
  <c r="J164" i="7"/>
  <c r="F164" i="7"/>
  <c r="K161" i="7"/>
  <c r="G161" i="7"/>
  <c r="M157" i="7"/>
  <c r="H157" i="7"/>
  <c r="M151" i="7"/>
  <c r="G151" i="7"/>
  <c r="B145" i="7"/>
  <c r="F145" i="7"/>
  <c r="J145" i="7"/>
  <c r="N145" i="7"/>
  <c r="H141" i="7"/>
  <c r="M135" i="7"/>
  <c r="G135" i="7"/>
  <c r="N131" i="7"/>
  <c r="E127" i="7"/>
  <c r="M119" i="7"/>
  <c r="G119" i="7"/>
  <c r="M114" i="7"/>
  <c r="H114" i="7"/>
  <c r="B113" i="7"/>
  <c r="F113" i="7"/>
  <c r="J113" i="7"/>
  <c r="N113" i="7"/>
  <c r="O111" i="7"/>
  <c r="J111" i="7"/>
  <c r="E111" i="7"/>
  <c r="M109" i="7"/>
  <c r="H109" i="7"/>
  <c r="D107" i="7"/>
  <c r="H107" i="7"/>
  <c r="L107" i="7"/>
  <c r="J106" i="7"/>
  <c r="O105" i="7"/>
  <c r="I105" i="7"/>
  <c r="D105" i="7"/>
  <c r="M103" i="7"/>
  <c r="G103" i="7"/>
  <c r="K101" i="7"/>
  <c r="E101" i="7"/>
  <c r="I99" i="7"/>
  <c r="M98" i="7"/>
  <c r="B97" i="7"/>
  <c r="F97" i="7"/>
  <c r="J97" i="7"/>
  <c r="N97" i="7"/>
  <c r="O95" i="7"/>
  <c r="J95" i="7"/>
  <c r="E95" i="7"/>
  <c r="N94" i="7"/>
  <c r="I94" i="7"/>
  <c r="D94" i="7"/>
  <c r="M93" i="7"/>
  <c r="H93" i="7"/>
  <c r="H91" i="7"/>
  <c r="C86" i="7"/>
  <c r="G86" i="7"/>
  <c r="K86" i="7"/>
  <c r="O86" i="7"/>
  <c r="N83" i="7"/>
  <c r="I83" i="7"/>
  <c r="C83" i="7"/>
  <c r="M82" i="7"/>
  <c r="H82" i="7"/>
  <c r="B81" i="7"/>
  <c r="F81" i="7"/>
  <c r="J81" i="7"/>
  <c r="N81" i="7"/>
  <c r="O79" i="7"/>
  <c r="J79" i="7"/>
  <c r="E79" i="7"/>
  <c r="M77" i="7"/>
  <c r="H77" i="7"/>
  <c r="J74" i="7"/>
  <c r="E74" i="7"/>
  <c r="M71" i="7"/>
  <c r="G71" i="7"/>
  <c r="C70" i="7"/>
  <c r="N67" i="7"/>
  <c r="I67" i="7"/>
  <c r="C67" i="7"/>
  <c r="B65" i="7"/>
  <c r="F65" i="7"/>
  <c r="J65" i="7"/>
  <c r="N65" i="7"/>
  <c r="O63" i="7"/>
  <c r="J63" i="7"/>
  <c r="E63" i="7"/>
  <c r="D59" i="7"/>
  <c r="H59" i="7"/>
  <c r="L59" i="7"/>
  <c r="J58" i="7"/>
  <c r="E58" i="7"/>
  <c r="O57" i="7"/>
  <c r="I57" i="7"/>
  <c r="D57" i="7"/>
  <c r="G54" i="7"/>
  <c r="K53" i="7"/>
  <c r="M50" i="7"/>
  <c r="B49" i="7"/>
  <c r="F49" i="7"/>
  <c r="J49" i="7"/>
  <c r="N49" i="7"/>
  <c r="N46" i="7"/>
  <c r="I46" i="7"/>
  <c r="D46" i="7"/>
  <c r="M45" i="7"/>
  <c r="H45" i="7"/>
  <c r="J42" i="7"/>
  <c r="E42" i="7"/>
  <c r="O41" i="7"/>
  <c r="I41" i="7"/>
  <c r="D41" i="7"/>
  <c r="K37" i="7"/>
  <c r="E37" i="7"/>
  <c r="N35" i="7"/>
  <c r="C35" i="7"/>
  <c r="O31" i="7"/>
  <c r="J31" i="7"/>
  <c r="E31" i="7"/>
  <c r="N30" i="7"/>
  <c r="I30" i="7"/>
  <c r="D30" i="7"/>
  <c r="M29" i="7"/>
  <c r="H29" i="7"/>
  <c r="D27" i="7"/>
  <c r="H27" i="7"/>
  <c r="L27" i="7"/>
  <c r="J26" i="7"/>
  <c r="E26" i="7"/>
  <c r="K23" i="7"/>
  <c r="B21" i="7"/>
  <c r="F21" i="7"/>
  <c r="J21" i="7"/>
  <c r="N21" i="7"/>
  <c r="D21" i="7"/>
  <c r="H21" i="7"/>
  <c r="L21" i="7"/>
  <c r="O19" i="7"/>
  <c r="G19" i="7"/>
  <c r="L13" i="7"/>
  <c r="M186" i="6"/>
  <c r="M178" i="6"/>
  <c r="M170" i="6"/>
  <c r="M162" i="6"/>
  <c r="M154" i="6"/>
  <c r="M146" i="6"/>
  <c r="L145" i="6"/>
  <c r="S134" i="12"/>
  <c r="D134" i="6"/>
  <c r="H134" i="6"/>
  <c r="L134" i="12" s="1"/>
  <c r="L134" i="6"/>
  <c r="O134" i="12" s="1"/>
  <c r="B134" i="6"/>
  <c r="G134" i="6"/>
  <c r="M134" i="6"/>
  <c r="C134" i="6"/>
  <c r="I134" i="6"/>
  <c r="Q134" i="12" s="1"/>
  <c r="N134" i="6"/>
  <c r="E134" i="6"/>
  <c r="J134" i="6"/>
  <c r="O134" i="6"/>
  <c r="C129" i="6"/>
  <c r="G129" i="6"/>
  <c r="K129" i="6"/>
  <c r="O129" i="6"/>
  <c r="B129" i="6"/>
  <c r="H129" i="6"/>
  <c r="M129" i="6"/>
  <c r="D129" i="6"/>
  <c r="I129" i="6"/>
  <c r="N129" i="6"/>
  <c r="E129" i="6"/>
  <c r="J129" i="6"/>
  <c r="K118" i="6"/>
  <c r="S118" i="12" s="1"/>
  <c r="L113" i="6"/>
  <c r="O113" i="12" s="1"/>
  <c r="Q106" i="12"/>
  <c r="D106" i="6"/>
  <c r="H106" i="6"/>
  <c r="L106" i="12" s="1"/>
  <c r="L106" i="6"/>
  <c r="B106" i="6"/>
  <c r="F106" i="6"/>
  <c r="J106" i="6"/>
  <c r="N106" i="6"/>
  <c r="C106" i="6"/>
  <c r="K106" i="6"/>
  <c r="S106" i="12" s="1"/>
  <c r="E106" i="6"/>
  <c r="M106" i="6"/>
  <c r="G106" i="6"/>
  <c r="O106" i="6"/>
  <c r="B157" i="7"/>
  <c r="F157" i="7"/>
  <c r="J157" i="7"/>
  <c r="N157" i="7"/>
  <c r="D151" i="7"/>
  <c r="H151" i="7"/>
  <c r="L151" i="7"/>
  <c r="B141" i="7"/>
  <c r="J141" i="7"/>
  <c r="D135" i="7"/>
  <c r="H135" i="7"/>
  <c r="L135" i="7"/>
  <c r="D119" i="7"/>
  <c r="H119" i="7"/>
  <c r="L119" i="7"/>
  <c r="C114" i="7"/>
  <c r="G114" i="7"/>
  <c r="K114" i="7"/>
  <c r="O114" i="7"/>
  <c r="N111" i="7"/>
  <c r="I111" i="7"/>
  <c r="C111" i="7"/>
  <c r="B109" i="7"/>
  <c r="F109" i="7"/>
  <c r="J109" i="7"/>
  <c r="N109" i="7"/>
  <c r="D103" i="7"/>
  <c r="H103" i="7"/>
  <c r="L103" i="7"/>
  <c r="O101" i="7"/>
  <c r="I101" i="7"/>
  <c r="D101" i="7"/>
  <c r="G98" i="7"/>
  <c r="O98" i="7"/>
  <c r="N95" i="7"/>
  <c r="I95" i="7"/>
  <c r="C95" i="7"/>
  <c r="B93" i="7"/>
  <c r="F93" i="7"/>
  <c r="J93" i="7"/>
  <c r="N93" i="7"/>
  <c r="D90" i="7"/>
  <c r="D87" i="7"/>
  <c r="C82" i="7"/>
  <c r="G82" i="7"/>
  <c r="K82" i="7"/>
  <c r="O82" i="7"/>
  <c r="N79" i="7"/>
  <c r="I79" i="7"/>
  <c r="C79" i="7"/>
  <c r="B77" i="7"/>
  <c r="F77" i="7"/>
  <c r="J77" i="7"/>
  <c r="N77" i="7"/>
  <c r="N74" i="7"/>
  <c r="I74" i="7"/>
  <c r="D74" i="7"/>
  <c r="D71" i="7"/>
  <c r="H71" i="7"/>
  <c r="L71" i="7"/>
  <c r="O66" i="7"/>
  <c r="N63" i="7"/>
  <c r="I63" i="7"/>
  <c r="C63" i="7"/>
  <c r="N58" i="7"/>
  <c r="I58" i="7"/>
  <c r="D58" i="7"/>
  <c r="O53" i="7"/>
  <c r="D53" i="7"/>
  <c r="O50" i="7"/>
  <c r="B45" i="7"/>
  <c r="F45" i="7"/>
  <c r="J45" i="7"/>
  <c r="N45" i="7"/>
  <c r="N42" i="7"/>
  <c r="I42" i="7"/>
  <c r="D42" i="7"/>
  <c r="B29" i="7"/>
  <c r="F29" i="7"/>
  <c r="J29" i="7"/>
  <c r="N29" i="7"/>
  <c r="D23" i="7"/>
  <c r="H23" i="7"/>
  <c r="L23" i="7"/>
  <c r="B23" i="7"/>
  <c r="F23" i="7"/>
  <c r="J23" i="7"/>
  <c r="N23" i="7"/>
  <c r="H15" i="7"/>
  <c r="B15" i="7"/>
  <c r="B182" i="6"/>
  <c r="F182" i="6"/>
  <c r="J182" i="6"/>
  <c r="N182" i="6"/>
  <c r="C182" i="6"/>
  <c r="G182" i="6"/>
  <c r="K182" i="6"/>
  <c r="O182" i="6"/>
  <c r="D182" i="6"/>
  <c r="H182" i="6"/>
  <c r="L182" i="12" s="1"/>
  <c r="L182" i="6"/>
  <c r="O182" i="12" s="1"/>
  <c r="B174" i="6"/>
  <c r="F174" i="6"/>
  <c r="J174" i="6"/>
  <c r="N174" i="6"/>
  <c r="C174" i="6"/>
  <c r="G174" i="6"/>
  <c r="K174" i="6"/>
  <c r="O174" i="6"/>
  <c r="D174" i="6"/>
  <c r="H174" i="6"/>
  <c r="L174" i="6"/>
  <c r="B166" i="6"/>
  <c r="F166" i="6"/>
  <c r="J166" i="6"/>
  <c r="N166" i="6"/>
  <c r="C166" i="6"/>
  <c r="G166" i="6"/>
  <c r="K166" i="6"/>
  <c r="O166" i="6"/>
  <c r="D166" i="6"/>
  <c r="H166" i="6"/>
  <c r="L166" i="12" s="1"/>
  <c r="L166" i="6"/>
  <c r="B158" i="6"/>
  <c r="F158" i="6"/>
  <c r="J158" i="6"/>
  <c r="N158" i="6"/>
  <c r="C158" i="6"/>
  <c r="G158" i="6"/>
  <c r="K158" i="6"/>
  <c r="O158" i="6"/>
  <c r="D158" i="6"/>
  <c r="H158" i="6"/>
  <c r="L158" i="6"/>
  <c r="B150" i="6"/>
  <c r="F150" i="6"/>
  <c r="J150" i="6"/>
  <c r="N150" i="6"/>
  <c r="C150" i="6"/>
  <c r="G150" i="6"/>
  <c r="K150" i="6"/>
  <c r="O150" i="6"/>
  <c r="D150" i="6"/>
  <c r="H150" i="6"/>
  <c r="L150" i="6"/>
  <c r="B140" i="6"/>
  <c r="F140" i="6"/>
  <c r="J140" i="6"/>
  <c r="N140" i="6"/>
  <c r="C140" i="6"/>
  <c r="H140" i="6"/>
  <c r="L140" i="12" s="1"/>
  <c r="M140" i="6"/>
  <c r="D140" i="6"/>
  <c r="I140" i="6"/>
  <c r="O140" i="6"/>
  <c r="E140" i="6"/>
  <c r="K140" i="6"/>
  <c r="L124" i="6"/>
  <c r="O124" i="12" s="1"/>
  <c r="Q98" i="12"/>
  <c r="D98" i="6"/>
  <c r="H98" i="6"/>
  <c r="P98" i="12" s="1"/>
  <c r="L98" i="6"/>
  <c r="B98" i="6"/>
  <c r="F98" i="6"/>
  <c r="J98" i="6"/>
  <c r="N98" i="6"/>
  <c r="Q90" i="12"/>
  <c r="D90" i="6"/>
  <c r="H90" i="6"/>
  <c r="P90" i="12" s="1"/>
  <c r="L90" i="6"/>
  <c r="O90" i="12" s="1"/>
  <c r="B90" i="6"/>
  <c r="F90" i="6"/>
  <c r="J90" i="6"/>
  <c r="N90" i="6"/>
  <c r="Q82" i="12"/>
  <c r="D82" i="6"/>
  <c r="H82" i="6"/>
  <c r="P82" i="12" s="1"/>
  <c r="L82" i="6"/>
  <c r="O82" i="12" s="1"/>
  <c r="B82" i="6"/>
  <c r="F82" i="6"/>
  <c r="J82" i="6"/>
  <c r="N82" i="6"/>
  <c r="Q74" i="12"/>
  <c r="D74" i="6"/>
  <c r="H74" i="6"/>
  <c r="P74" i="12" s="1"/>
  <c r="L74" i="6"/>
  <c r="O74" i="12" s="1"/>
  <c r="B74" i="6"/>
  <c r="F74" i="6"/>
  <c r="J74" i="6"/>
  <c r="N74" i="6"/>
  <c r="D66" i="6"/>
  <c r="H66" i="6"/>
  <c r="P66" i="12" s="1"/>
  <c r="L66" i="6"/>
  <c r="O66" i="12" s="1"/>
  <c r="B66" i="6"/>
  <c r="F66" i="6"/>
  <c r="J66" i="6"/>
  <c r="N66" i="6"/>
  <c r="D58" i="6"/>
  <c r="H58" i="6"/>
  <c r="P58" i="12" s="1"/>
  <c r="L58" i="6"/>
  <c r="O58" i="12" s="1"/>
  <c r="B58" i="6"/>
  <c r="G58" i="6"/>
  <c r="M58" i="6"/>
  <c r="E58" i="6"/>
  <c r="J58" i="6"/>
  <c r="O58" i="6"/>
  <c r="B40" i="6"/>
  <c r="F40" i="6"/>
  <c r="J40" i="6"/>
  <c r="N40" i="6"/>
  <c r="E40" i="6"/>
  <c r="K40" i="6"/>
  <c r="C40" i="6"/>
  <c r="L43" i="5" s="1"/>
  <c r="H40" i="6"/>
  <c r="L40" i="12" s="1"/>
  <c r="M40" i="6"/>
  <c r="B32" i="6"/>
  <c r="F32" i="6"/>
  <c r="J32" i="6"/>
  <c r="N32" i="6"/>
  <c r="C32" i="6"/>
  <c r="H32" i="6"/>
  <c r="P32" i="12" s="1"/>
  <c r="M32" i="6"/>
  <c r="E32" i="6"/>
  <c r="K32" i="6"/>
  <c r="M23" i="12"/>
  <c r="O25" i="12"/>
  <c r="M13" i="12"/>
  <c r="M25" i="12"/>
  <c r="M61" i="12"/>
  <c r="O40" i="12"/>
  <c r="M46" i="12"/>
  <c r="M74" i="12"/>
  <c r="M78" i="12"/>
  <c r="O61" i="12"/>
  <c r="O65" i="12"/>
  <c r="M82" i="12"/>
  <c r="M86" i="12"/>
  <c r="M90" i="12"/>
  <c r="M94" i="12"/>
  <c r="M98" i="12"/>
  <c r="M85" i="12"/>
  <c r="M111" i="12"/>
  <c r="M156" i="12"/>
  <c r="M160" i="12"/>
  <c r="N134" i="12"/>
  <c r="N135" i="12"/>
  <c r="M161" i="12"/>
  <c r="M185" i="12"/>
  <c r="M184" i="12"/>
  <c r="L165" i="12"/>
  <c r="C7" i="6"/>
  <c r="G7" i="6"/>
  <c r="K7" i="6"/>
  <c r="O7" i="6"/>
  <c r="E7" i="6"/>
  <c r="J7" i="6"/>
  <c r="B7" i="6"/>
  <c r="H7" i="6"/>
  <c r="M7" i="6"/>
  <c r="D7" i="6"/>
  <c r="N7" i="6"/>
  <c r="I7" i="6"/>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4" i="6"/>
  <c r="J184" i="6"/>
  <c r="F184" i="6"/>
  <c r="B184" i="6"/>
  <c r="N180" i="6"/>
  <c r="J180" i="6"/>
  <c r="F180" i="6"/>
  <c r="B180" i="6"/>
  <c r="N176" i="6"/>
  <c r="J176" i="6"/>
  <c r="F176" i="6"/>
  <c r="B176" i="6"/>
  <c r="N172" i="6"/>
  <c r="J172" i="6"/>
  <c r="F172" i="6"/>
  <c r="N168" i="6"/>
  <c r="J168" i="6"/>
  <c r="F168" i="6"/>
  <c r="N164" i="6"/>
  <c r="J164" i="6"/>
  <c r="F164" i="6"/>
  <c r="N160" i="6"/>
  <c r="J160" i="6"/>
  <c r="F160" i="6"/>
  <c r="N156" i="6"/>
  <c r="J156" i="6"/>
  <c r="F156" i="6"/>
  <c r="N152" i="6"/>
  <c r="J152" i="6"/>
  <c r="F152" i="6"/>
  <c r="N148" i="6"/>
  <c r="J148" i="6"/>
  <c r="F148" i="6"/>
  <c r="M142" i="6"/>
  <c r="G142" i="6"/>
  <c r="C141" i="6"/>
  <c r="G141" i="6"/>
  <c r="K141" i="6"/>
  <c r="N141" i="12" s="1"/>
  <c r="O141" i="6"/>
  <c r="M137" i="6"/>
  <c r="H137" i="6"/>
  <c r="B136" i="6"/>
  <c r="F136" i="6"/>
  <c r="J136" i="6"/>
  <c r="N136" i="6"/>
  <c r="M132" i="6"/>
  <c r="H132" i="6"/>
  <c r="R130" i="12"/>
  <c r="D130" i="6"/>
  <c r="H130" i="6"/>
  <c r="P130" i="12" s="1"/>
  <c r="L130" i="6"/>
  <c r="O130" i="12" s="1"/>
  <c r="M126" i="6"/>
  <c r="G126" i="6"/>
  <c r="C125" i="6"/>
  <c r="L125" i="5" s="1"/>
  <c r="M125" i="5" s="1"/>
  <c r="G125" i="6"/>
  <c r="K125" i="6"/>
  <c r="N125" i="12" s="1"/>
  <c r="O125" i="6"/>
  <c r="M121" i="6"/>
  <c r="H121" i="6"/>
  <c r="B120" i="6"/>
  <c r="F120" i="6"/>
  <c r="J120" i="6"/>
  <c r="N120" i="6"/>
  <c r="M116" i="6"/>
  <c r="H116" i="6"/>
  <c r="P116" i="12" s="1"/>
  <c r="D114" i="6"/>
  <c r="H114" i="6"/>
  <c r="L114" i="6"/>
  <c r="M110" i="6"/>
  <c r="G110" i="6"/>
  <c r="B108" i="6"/>
  <c r="F108" i="6"/>
  <c r="J108" i="6"/>
  <c r="N108" i="6"/>
  <c r="D108" i="6"/>
  <c r="H108" i="6"/>
  <c r="L108" i="6"/>
  <c r="O108" i="12" s="1"/>
  <c r="K102" i="6"/>
  <c r="S102" i="12" s="1"/>
  <c r="B100" i="6"/>
  <c r="F100" i="6"/>
  <c r="J100" i="6"/>
  <c r="N100" i="6"/>
  <c r="D100" i="6"/>
  <c r="H100" i="6"/>
  <c r="P100" i="12" s="1"/>
  <c r="L100" i="6"/>
  <c r="O98" i="6"/>
  <c r="G98" i="6"/>
  <c r="K94" i="6"/>
  <c r="B92" i="6"/>
  <c r="F92" i="6"/>
  <c r="J92" i="6"/>
  <c r="N92" i="6"/>
  <c r="D92" i="6"/>
  <c r="H92" i="6"/>
  <c r="L92" i="12" s="1"/>
  <c r="L92" i="6"/>
  <c r="O92" i="12" s="1"/>
  <c r="O90" i="6"/>
  <c r="G90" i="6"/>
  <c r="K86" i="6"/>
  <c r="S86" i="12" s="1"/>
  <c r="B84" i="6"/>
  <c r="F84" i="6"/>
  <c r="J84" i="6"/>
  <c r="N84" i="6"/>
  <c r="D84" i="6"/>
  <c r="H84" i="6"/>
  <c r="L84" i="6"/>
  <c r="O84" i="12" s="1"/>
  <c r="O82" i="6"/>
  <c r="G82" i="6"/>
  <c r="K78" i="6"/>
  <c r="B76" i="6"/>
  <c r="F76" i="6"/>
  <c r="J76" i="6"/>
  <c r="N76" i="6"/>
  <c r="D76" i="6"/>
  <c r="H76" i="6"/>
  <c r="L76" i="12" s="1"/>
  <c r="L76" i="6"/>
  <c r="O74" i="6"/>
  <c r="G74" i="6"/>
  <c r="K70" i="6"/>
  <c r="B68" i="6"/>
  <c r="F68" i="6"/>
  <c r="J68" i="6"/>
  <c r="N68" i="6"/>
  <c r="D68" i="6"/>
  <c r="H68" i="6"/>
  <c r="P68" i="12" s="1"/>
  <c r="L68" i="6"/>
  <c r="O68" i="12" s="1"/>
  <c r="O66" i="6"/>
  <c r="G66" i="6"/>
  <c r="O64" i="6"/>
  <c r="I58" i="6"/>
  <c r="M58" i="12" s="1"/>
  <c r="B56" i="6"/>
  <c r="F56" i="6"/>
  <c r="J56" i="6"/>
  <c r="N56" i="6"/>
  <c r="E56" i="6"/>
  <c r="K56" i="6"/>
  <c r="N56" i="12" s="1"/>
  <c r="C56" i="6"/>
  <c r="L56" i="5" s="1"/>
  <c r="H56" i="6"/>
  <c r="P56" i="12" s="1"/>
  <c r="M56" i="6"/>
  <c r="B48" i="6"/>
  <c r="F48" i="6"/>
  <c r="J48" i="6"/>
  <c r="N48" i="6"/>
  <c r="C48" i="6"/>
  <c r="H48" i="6"/>
  <c r="P48" i="12" s="1"/>
  <c r="M48" i="6"/>
  <c r="E48" i="6"/>
  <c r="K48" i="6"/>
  <c r="N45" i="6"/>
  <c r="I40" i="6"/>
  <c r="Q40" i="12" s="1"/>
  <c r="N37" i="6"/>
  <c r="N34" i="6"/>
  <c r="I32" i="6"/>
  <c r="B10" i="6"/>
  <c r="F10" i="6"/>
  <c r="J10" i="6"/>
  <c r="N10" i="6"/>
  <c r="C10" i="6"/>
  <c r="L10" i="5" s="1"/>
  <c r="H10" i="6"/>
  <c r="L10" i="12" s="1"/>
  <c r="M10" i="6"/>
  <c r="E10" i="6"/>
  <c r="K10" i="6"/>
  <c r="S10" i="12" s="1"/>
  <c r="I10" i="6"/>
  <c r="M10" i="12" s="1"/>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60" i="12"/>
  <c r="Q148" i="12"/>
  <c r="D142" i="6"/>
  <c r="H142" i="6"/>
  <c r="L142" i="6"/>
  <c r="O142" i="12" s="1"/>
  <c r="C137" i="6"/>
  <c r="G137" i="6"/>
  <c r="K137" i="6"/>
  <c r="R137" i="12" s="1"/>
  <c r="O137" i="6"/>
  <c r="B132" i="6"/>
  <c r="F132" i="6"/>
  <c r="J132" i="6"/>
  <c r="N132" i="6"/>
  <c r="D126" i="6"/>
  <c r="H126" i="6"/>
  <c r="P126" i="12" s="1"/>
  <c r="L126" i="6"/>
  <c r="O126" i="12" s="1"/>
  <c r="Q121" i="12"/>
  <c r="C121" i="6"/>
  <c r="L122" i="5" s="1"/>
  <c r="G121" i="6"/>
  <c r="K121" i="6"/>
  <c r="O121" i="6"/>
  <c r="B116" i="6"/>
  <c r="F116" i="6"/>
  <c r="J116" i="6"/>
  <c r="N116" i="6"/>
  <c r="D110" i="6"/>
  <c r="H110" i="6"/>
  <c r="P110" i="12" s="1"/>
  <c r="L110" i="6"/>
  <c r="Q102" i="12"/>
  <c r="D102" i="6"/>
  <c r="H102" i="6"/>
  <c r="L102" i="6"/>
  <c r="B102" i="6"/>
  <c r="F102" i="6"/>
  <c r="J102" i="6"/>
  <c r="N102" i="6"/>
  <c r="M98" i="6"/>
  <c r="E98" i="6"/>
  <c r="D94" i="6"/>
  <c r="H94" i="6"/>
  <c r="L94" i="6"/>
  <c r="O94" i="12" s="1"/>
  <c r="B94" i="6"/>
  <c r="F94" i="6"/>
  <c r="J94" i="6"/>
  <c r="N94" i="6"/>
  <c r="M90" i="6"/>
  <c r="E90" i="6"/>
  <c r="Q86" i="12"/>
  <c r="D86" i="6"/>
  <c r="H86" i="6"/>
  <c r="L86" i="6"/>
  <c r="O87" i="12" s="1"/>
  <c r="B86" i="6"/>
  <c r="F86" i="6"/>
  <c r="J86" i="6"/>
  <c r="N86" i="6"/>
  <c r="M82" i="6"/>
  <c r="E82" i="6"/>
  <c r="Q78" i="12"/>
  <c r="D78" i="6"/>
  <c r="H78" i="6"/>
  <c r="L78" i="6"/>
  <c r="O78" i="12" s="1"/>
  <c r="B78" i="6"/>
  <c r="F78" i="6"/>
  <c r="J78" i="6"/>
  <c r="N78" i="6"/>
  <c r="M74" i="6"/>
  <c r="E74" i="6"/>
  <c r="Q70" i="12"/>
  <c r="D70" i="6"/>
  <c r="H70" i="6"/>
  <c r="L70" i="12" s="1"/>
  <c r="L70" i="6"/>
  <c r="O70" i="12" s="1"/>
  <c r="B70" i="6"/>
  <c r="F70" i="6"/>
  <c r="J70" i="6"/>
  <c r="N70" i="6"/>
  <c r="M66" i="6"/>
  <c r="E66" i="6"/>
  <c r="B64" i="6"/>
  <c r="F64" i="6"/>
  <c r="J64" i="6"/>
  <c r="N64" i="6"/>
  <c r="C64" i="6"/>
  <c r="L64" i="5" s="1"/>
  <c r="H64" i="6"/>
  <c r="P64" i="12" s="1"/>
  <c r="M64" i="6"/>
  <c r="E64" i="6"/>
  <c r="K64" i="6"/>
  <c r="R64" i="12" s="1"/>
  <c r="F58" i="6"/>
  <c r="C45" i="6"/>
  <c r="L45" i="5" s="1"/>
  <c r="G45" i="6"/>
  <c r="K45" i="6"/>
  <c r="N45" i="12" s="1"/>
  <c r="O45" i="6"/>
  <c r="E45" i="6"/>
  <c r="J45" i="6"/>
  <c r="B45" i="6"/>
  <c r="H45" i="6"/>
  <c r="M45" i="6"/>
  <c r="G40" i="6"/>
  <c r="C37" i="6"/>
  <c r="G37" i="6"/>
  <c r="K37" i="6"/>
  <c r="O37" i="6"/>
  <c r="B37" i="6"/>
  <c r="H37" i="6"/>
  <c r="M37" i="6"/>
  <c r="E37" i="6"/>
  <c r="J37" i="6"/>
  <c r="D34" i="6"/>
  <c r="H34" i="6"/>
  <c r="L34" i="12" s="1"/>
  <c r="L34" i="6"/>
  <c r="E34" i="6"/>
  <c r="J34" i="6"/>
  <c r="O34" i="6"/>
  <c r="B34" i="6"/>
  <c r="G34" i="6"/>
  <c r="M34" i="6"/>
  <c r="G32" i="6"/>
  <c r="D28" i="6"/>
  <c r="H28" i="6"/>
  <c r="L28" i="12" s="1"/>
  <c r="L28" i="6"/>
  <c r="O28" i="12" s="1"/>
  <c r="B28" i="6"/>
  <c r="F28" i="6"/>
  <c r="J28" i="6"/>
  <c r="N28" i="6"/>
  <c r="G28" i="6"/>
  <c r="O28" i="6"/>
  <c r="C28" i="6"/>
  <c r="K28" i="6"/>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O22" i="7"/>
  <c r="K22" i="7"/>
  <c r="G22" i="7"/>
  <c r="O18" i="7"/>
  <c r="K18" i="7"/>
  <c r="G18" i="7"/>
  <c r="O14" i="7"/>
  <c r="K14" i="7"/>
  <c r="G14" i="7"/>
  <c r="L11" i="7"/>
  <c r="H11" i="7"/>
  <c r="O10" i="7"/>
  <c r="K10" i="7"/>
  <c r="G10" i="7"/>
  <c r="L7" i="7"/>
  <c r="H7" i="7"/>
  <c r="D7" i="7"/>
  <c r="O187" i="6"/>
  <c r="K187" i="6"/>
  <c r="N187" i="12" s="1"/>
  <c r="G187" i="6"/>
  <c r="L184" i="6"/>
  <c r="O184" i="12" s="1"/>
  <c r="H184" i="6"/>
  <c r="L184" i="12" s="1"/>
  <c r="O183" i="6"/>
  <c r="K183" i="6"/>
  <c r="N183" i="12" s="1"/>
  <c r="G183" i="6"/>
  <c r="L180" i="6"/>
  <c r="O180" i="12" s="1"/>
  <c r="H180" i="6"/>
  <c r="L180" i="12" s="1"/>
  <c r="O179" i="6"/>
  <c r="K179" i="6"/>
  <c r="N179" i="12" s="1"/>
  <c r="G179" i="6"/>
  <c r="L176" i="6"/>
  <c r="O176" i="12" s="1"/>
  <c r="H176" i="6"/>
  <c r="O175" i="6"/>
  <c r="K175" i="6"/>
  <c r="N175" i="12" s="1"/>
  <c r="G175" i="6"/>
  <c r="L172" i="6"/>
  <c r="H172" i="6"/>
  <c r="L172" i="12" s="1"/>
  <c r="D172" i="6"/>
  <c r="O171" i="6"/>
  <c r="K171" i="6"/>
  <c r="G171" i="6"/>
  <c r="C171" i="6"/>
  <c r="S169" i="12"/>
  <c r="L168" i="6"/>
  <c r="H168" i="6"/>
  <c r="L167" i="12" s="1"/>
  <c r="D168" i="6"/>
  <c r="O167" i="6"/>
  <c r="K167" i="6"/>
  <c r="R167" i="12" s="1"/>
  <c r="G167" i="6"/>
  <c r="C167" i="6"/>
  <c r="P165" i="12"/>
  <c r="L164" i="6"/>
  <c r="H164" i="6"/>
  <c r="D164" i="6"/>
  <c r="O163" i="6"/>
  <c r="K163" i="6"/>
  <c r="S163" i="12" s="1"/>
  <c r="G163" i="6"/>
  <c r="C163" i="6"/>
  <c r="Q161" i="12"/>
  <c r="L160" i="6"/>
  <c r="H160" i="6"/>
  <c r="P160" i="12" s="1"/>
  <c r="D160" i="6"/>
  <c r="O159" i="6"/>
  <c r="K159" i="6"/>
  <c r="G159" i="6"/>
  <c r="C159" i="6"/>
  <c r="L156" i="6"/>
  <c r="O156" i="12" s="1"/>
  <c r="H156" i="6"/>
  <c r="P156" i="12" s="1"/>
  <c r="D156" i="6"/>
  <c r="O155" i="6"/>
  <c r="K155" i="6"/>
  <c r="N155" i="12" s="1"/>
  <c r="G155" i="6"/>
  <c r="C155" i="6"/>
  <c r="L152" i="6"/>
  <c r="O152" i="12" s="1"/>
  <c r="H152" i="6"/>
  <c r="L152" i="12" s="1"/>
  <c r="D152" i="6"/>
  <c r="O151" i="6"/>
  <c r="K151" i="6"/>
  <c r="G151" i="6"/>
  <c r="C151" i="6"/>
  <c r="L151" i="5" s="1"/>
  <c r="L148" i="6"/>
  <c r="O148" i="12" s="1"/>
  <c r="H148" i="6"/>
  <c r="P148" i="12" s="1"/>
  <c r="D148" i="6"/>
  <c r="O147" i="6"/>
  <c r="K147" i="6"/>
  <c r="G147" i="6"/>
  <c r="C147" i="6"/>
  <c r="L147" i="5" s="1"/>
  <c r="M147" i="5" s="1"/>
  <c r="Q144" i="12"/>
  <c r="B144" i="6"/>
  <c r="F144" i="6"/>
  <c r="J144" i="6"/>
  <c r="N144" i="6"/>
  <c r="O142" i="6"/>
  <c r="J142" i="6"/>
  <c r="E142" i="6"/>
  <c r="N141" i="6"/>
  <c r="I141" i="6"/>
  <c r="M141" i="12" s="1"/>
  <c r="D141" i="6"/>
  <c r="D138" i="6"/>
  <c r="H138" i="6"/>
  <c r="L138" i="12" s="1"/>
  <c r="L138" i="6"/>
  <c r="O138" i="12" s="1"/>
  <c r="J137" i="6"/>
  <c r="E137" i="6"/>
  <c r="O136" i="6"/>
  <c r="I136" i="6"/>
  <c r="M136" i="12" s="1"/>
  <c r="D136" i="6"/>
  <c r="Q133" i="12"/>
  <c r="C133" i="6"/>
  <c r="L132" i="5" s="1"/>
  <c r="G133" i="6"/>
  <c r="K133" i="6"/>
  <c r="R133" i="12" s="1"/>
  <c r="O133" i="6"/>
  <c r="K132" i="6"/>
  <c r="E132" i="6"/>
  <c r="N130" i="6"/>
  <c r="I130" i="6"/>
  <c r="Q130" i="12" s="1"/>
  <c r="C130" i="6"/>
  <c r="B128" i="6"/>
  <c r="F128" i="6"/>
  <c r="J128" i="6"/>
  <c r="N128" i="6"/>
  <c r="O126" i="6"/>
  <c r="J126" i="6"/>
  <c r="E126" i="6"/>
  <c r="N125" i="6"/>
  <c r="I125" i="6"/>
  <c r="D125" i="6"/>
  <c r="D122" i="6"/>
  <c r="H122" i="6"/>
  <c r="L122" i="6"/>
  <c r="O122" i="12" s="1"/>
  <c r="J121" i="6"/>
  <c r="E121" i="6"/>
  <c r="O120" i="6"/>
  <c r="I120" i="6"/>
  <c r="Q120" i="12" s="1"/>
  <c r="D120" i="6"/>
  <c r="C117" i="6"/>
  <c r="G117" i="6"/>
  <c r="K117" i="6"/>
  <c r="S117" i="12" s="1"/>
  <c r="O117" i="6"/>
  <c r="K116" i="6"/>
  <c r="N116" i="12" s="1"/>
  <c r="E116" i="6"/>
  <c r="N114" i="6"/>
  <c r="I114" i="6"/>
  <c r="M114" i="12" s="1"/>
  <c r="C114" i="6"/>
  <c r="B112" i="6"/>
  <c r="F112" i="6"/>
  <c r="J112" i="6"/>
  <c r="N112" i="6"/>
  <c r="O110" i="6"/>
  <c r="J110" i="6"/>
  <c r="E110" i="6"/>
  <c r="M108" i="6"/>
  <c r="E108" i="6"/>
  <c r="B104" i="6"/>
  <c r="F104" i="6"/>
  <c r="J104" i="6"/>
  <c r="N104" i="6"/>
  <c r="D104" i="6"/>
  <c r="H104" i="6"/>
  <c r="P104" i="12" s="1"/>
  <c r="L104" i="6"/>
  <c r="O102" i="6"/>
  <c r="G102" i="6"/>
  <c r="M100" i="6"/>
  <c r="E100" i="6"/>
  <c r="K98" i="6"/>
  <c r="S98" i="12" s="1"/>
  <c r="C98" i="6"/>
  <c r="B96" i="6"/>
  <c r="F96" i="6"/>
  <c r="J96" i="6"/>
  <c r="N96" i="6"/>
  <c r="D96" i="6"/>
  <c r="H96" i="6"/>
  <c r="P96" i="12" s="1"/>
  <c r="L96" i="6"/>
  <c r="O96" i="12" s="1"/>
  <c r="O94" i="6"/>
  <c r="G94" i="6"/>
  <c r="M92" i="6"/>
  <c r="E92" i="6"/>
  <c r="K90" i="6"/>
  <c r="S90" i="12" s="1"/>
  <c r="C90" i="6"/>
  <c r="B88" i="6"/>
  <c r="F88" i="6"/>
  <c r="J88" i="6"/>
  <c r="N88" i="6"/>
  <c r="D88" i="6"/>
  <c r="H88" i="6"/>
  <c r="L88" i="6"/>
  <c r="O88" i="12" s="1"/>
  <c r="O86" i="6"/>
  <c r="G86" i="6"/>
  <c r="M84" i="6"/>
  <c r="E84" i="6"/>
  <c r="K82" i="6"/>
  <c r="R82" i="12" s="1"/>
  <c r="C82" i="6"/>
  <c r="B80" i="6"/>
  <c r="F80" i="6"/>
  <c r="J80" i="6"/>
  <c r="N80" i="6"/>
  <c r="D80" i="6"/>
  <c r="H80" i="6"/>
  <c r="L80" i="6"/>
  <c r="O80" i="12" s="1"/>
  <c r="O78" i="6"/>
  <c r="G78" i="6"/>
  <c r="M76" i="6"/>
  <c r="E76" i="6"/>
  <c r="K74" i="6"/>
  <c r="R74" i="12" s="1"/>
  <c r="C74" i="6"/>
  <c r="B72" i="6"/>
  <c r="F72" i="6"/>
  <c r="J72" i="6"/>
  <c r="N72" i="6"/>
  <c r="D72" i="6"/>
  <c r="H72" i="6"/>
  <c r="L72" i="12" s="1"/>
  <c r="L72" i="6"/>
  <c r="O72" i="12" s="1"/>
  <c r="O70" i="6"/>
  <c r="G70" i="6"/>
  <c r="M68" i="6"/>
  <c r="E68" i="6"/>
  <c r="K66" i="6"/>
  <c r="S66" i="12" s="1"/>
  <c r="C66" i="6"/>
  <c r="I64" i="6"/>
  <c r="C61" i="6"/>
  <c r="L61" i="5" s="1"/>
  <c r="G61" i="6"/>
  <c r="K61" i="6"/>
  <c r="N61" i="12" s="1"/>
  <c r="O61" i="6"/>
  <c r="E61" i="6"/>
  <c r="J61" i="6"/>
  <c r="B61" i="6"/>
  <c r="H61" i="6"/>
  <c r="M61" i="6"/>
  <c r="N58" i="6"/>
  <c r="C58" i="6"/>
  <c r="G56" i="6"/>
  <c r="Q53" i="12"/>
  <c r="C53" i="6"/>
  <c r="G53" i="6"/>
  <c r="K53" i="6"/>
  <c r="S53" i="12" s="1"/>
  <c r="O53" i="6"/>
  <c r="B53" i="6"/>
  <c r="H53" i="6"/>
  <c r="M53" i="6"/>
  <c r="E53" i="6"/>
  <c r="J53" i="6"/>
  <c r="D50" i="6"/>
  <c r="H50" i="6"/>
  <c r="L50" i="6"/>
  <c r="O50" i="12" s="1"/>
  <c r="E50" i="6"/>
  <c r="J50" i="6"/>
  <c r="O50" i="6"/>
  <c r="B50" i="6"/>
  <c r="G50" i="6"/>
  <c r="M50" i="6"/>
  <c r="G48" i="6"/>
  <c r="I45" i="6"/>
  <c r="D42" i="6"/>
  <c r="H42" i="6"/>
  <c r="L42" i="12" s="1"/>
  <c r="L42" i="6"/>
  <c r="B42" i="6"/>
  <c r="G42" i="6"/>
  <c r="M42" i="6"/>
  <c r="E42" i="6"/>
  <c r="J42" i="6"/>
  <c r="O42" i="6"/>
  <c r="O40" i="6"/>
  <c r="D40" i="6"/>
  <c r="I37" i="6"/>
  <c r="I34" i="6"/>
  <c r="Q34" i="12" s="1"/>
  <c r="O32" i="6"/>
  <c r="D32" i="6"/>
  <c r="M28" i="6"/>
  <c r="C15" i="6"/>
  <c r="G15" i="6"/>
  <c r="K15" i="6"/>
  <c r="S15" i="12" s="1"/>
  <c r="O15" i="6"/>
  <c r="B15" i="6"/>
  <c r="H15" i="6"/>
  <c r="M15" i="6"/>
  <c r="E15" i="6"/>
  <c r="J15" i="6"/>
  <c r="D15" i="6"/>
  <c r="N15" i="6"/>
  <c r="I15" i="6"/>
  <c r="L10" i="6"/>
  <c r="O10" i="12" s="1"/>
  <c r="F7" i="6"/>
  <c r="G53" i="8"/>
  <c r="G45" i="8"/>
  <c r="F36" i="8"/>
  <c r="B178" i="10"/>
  <c r="F178" i="10"/>
  <c r="J178" i="10"/>
  <c r="N178" i="10"/>
  <c r="E178" i="10"/>
  <c r="K178" i="10"/>
  <c r="C178" i="10"/>
  <c r="H178" i="10"/>
  <c r="M178" i="10"/>
  <c r="D178" i="10"/>
  <c r="O178" i="10"/>
  <c r="G178" i="10"/>
  <c r="I178" i="10"/>
  <c r="P97" i="12"/>
  <c r="P89" i="12"/>
  <c r="Q85" i="12"/>
  <c r="Q77" i="12"/>
  <c r="Q73" i="12"/>
  <c r="C65" i="6"/>
  <c r="G65" i="6"/>
  <c r="K65" i="6"/>
  <c r="N65" i="12" s="1"/>
  <c r="O65" i="6"/>
  <c r="B60" i="6"/>
  <c r="F60" i="6"/>
  <c r="J60" i="6"/>
  <c r="N60" i="6"/>
  <c r="D54" i="6"/>
  <c r="H54" i="6"/>
  <c r="L54" i="12" s="1"/>
  <c r="L54" i="6"/>
  <c r="O54" i="12" s="1"/>
  <c r="C49" i="6"/>
  <c r="L49" i="5" s="1"/>
  <c r="G49" i="6"/>
  <c r="K49" i="6"/>
  <c r="N49" i="12" s="1"/>
  <c r="O49" i="6"/>
  <c r="S44" i="12"/>
  <c r="B44" i="6"/>
  <c r="F44" i="6"/>
  <c r="J44" i="6"/>
  <c r="N44" i="6"/>
  <c r="D38" i="6"/>
  <c r="H38" i="6"/>
  <c r="P38" i="12" s="1"/>
  <c r="L38" i="6"/>
  <c r="C33" i="6"/>
  <c r="L33" i="5" s="1"/>
  <c r="G33" i="6"/>
  <c r="K33" i="6"/>
  <c r="N33" i="12" s="1"/>
  <c r="O33" i="6"/>
  <c r="Q23" i="12"/>
  <c r="C23" i="6"/>
  <c r="L23" i="5" s="1"/>
  <c r="G23" i="6"/>
  <c r="K23" i="6"/>
  <c r="S23" i="12" s="1"/>
  <c r="O23" i="6"/>
  <c r="E23" i="6"/>
  <c r="J23" i="6"/>
  <c r="B23" i="6"/>
  <c r="H23" i="6"/>
  <c r="M23" i="6"/>
  <c r="D20" i="6"/>
  <c r="H20" i="6"/>
  <c r="P20" i="12" s="1"/>
  <c r="L20" i="6"/>
  <c r="B20" i="6"/>
  <c r="G20" i="6"/>
  <c r="M20" i="6"/>
  <c r="E20" i="6"/>
  <c r="J20" i="6"/>
  <c r="O20" i="6"/>
  <c r="D12" i="6"/>
  <c r="H12" i="6"/>
  <c r="L12" i="6"/>
  <c r="O12" i="12" s="1"/>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R135" i="12"/>
  <c r="S127" i="12"/>
  <c r="R127" i="12"/>
  <c r="P119" i="12"/>
  <c r="R111" i="12"/>
  <c r="O109" i="6"/>
  <c r="K109" i="6"/>
  <c r="G109" i="6"/>
  <c r="C109" i="6"/>
  <c r="L109" i="5" s="1"/>
  <c r="M109" i="5" s="1"/>
  <c r="O105" i="6"/>
  <c r="K105" i="6"/>
  <c r="S105" i="12" s="1"/>
  <c r="G105" i="6"/>
  <c r="C105" i="6"/>
  <c r="S103" i="12"/>
  <c r="R103" i="12"/>
  <c r="O101" i="6"/>
  <c r="K101" i="6"/>
  <c r="S101" i="12" s="1"/>
  <c r="G101" i="6"/>
  <c r="C101" i="6"/>
  <c r="O97" i="6"/>
  <c r="K97" i="6"/>
  <c r="S97" i="12" s="1"/>
  <c r="G97" i="6"/>
  <c r="C97" i="6"/>
  <c r="L97" i="5" s="1"/>
  <c r="S95" i="12"/>
  <c r="O93" i="6"/>
  <c r="K93" i="6"/>
  <c r="N93" i="12" s="1"/>
  <c r="G93" i="6"/>
  <c r="C93" i="6"/>
  <c r="R91" i="12"/>
  <c r="S91" i="12"/>
  <c r="O89" i="6"/>
  <c r="K89" i="6"/>
  <c r="N89" i="12" s="1"/>
  <c r="G89" i="6"/>
  <c r="C89" i="6"/>
  <c r="L89" i="5" s="1"/>
  <c r="O85" i="6"/>
  <c r="K85" i="6"/>
  <c r="N85" i="12" s="1"/>
  <c r="G85" i="6"/>
  <c r="C85" i="6"/>
  <c r="L85" i="5" s="1"/>
  <c r="P83" i="12"/>
  <c r="O81" i="6"/>
  <c r="K81" i="6"/>
  <c r="R81" i="12" s="1"/>
  <c r="G81" i="6"/>
  <c r="C81" i="6"/>
  <c r="O77" i="6"/>
  <c r="K77" i="6"/>
  <c r="S77" i="12" s="1"/>
  <c r="G77" i="6"/>
  <c r="C77" i="6"/>
  <c r="L77" i="5" s="1"/>
  <c r="O73" i="6"/>
  <c r="K73" i="6"/>
  <c r="R73" i="12" s="1"/>
  <c r="G73" i="6"/>
  <c r="C73" i="6"/>
  <c r="O69" i="6"/>
  <c r="K69" i="6"/>
  <c r="N69" i="12" s="1"/>
  <c r="G69" i="6"/>
  <c r="C69" i="6"/>
  <c r="L69" i="5" s="1"/>
  <c r="M69" i="5" s="1"/>
  <c r="N65" i="6"/>
  <c r="I65" i="6"/>
  <c r="D65" i="6"/>
  <c r="D62" i="6"/>
  <c r="H62" i="6"/>
  <c r="L62" i="6"/>
  <c r="O62" i="12" s="1"/>
  <c r="O60" i="6"/>
  <c r="I60" i="6"/>
  <c r="Q60" i="12" s="1"/>
  <c r="D60" i="6"/>
  <c r="C57" i="6"/>
  <c r="G57" i="6"/>
  <c r="K57" i="6"/>
  <c r="N57" i="12" s="1"/>
  <c r="O57" i="6"/>
  <c r="N54" i="6"/>
  <c r="I54" i="6"/>
  <c r="Q54" i="12" s="1"/>
  <c r="C54" i="6"/>
  <c r="L54" i="5" s="1"/>
  <c r="B52" i="6"/>
  <c r="F52" i="6"/>
  <c r="J52" i="6"/>
  <c r="N52" i="6"/>
  <c r="N49" i="6"/>
  <c r="I49" i="6"/>
  <c r="Q48" i="12" s="1"/>
  <c r="D49" i="6"/>
  <c r="Q46" i="12"/>
  <c r="D46" i="6"/>
  <c r="H46" i="6"/>
  <c r="P46" i="12" s="1"/>
  <c r="L46" i="6"/>
  <c r="O46" i="12" s="1"/>
  <c r="O44" i="6"/>
  <c r="I44" i="6"/>
  <c r="D44" i="6"/>
  <c r="C41" i="6"/>
  <c r="G41" i="6"/>
  <c r="K41" i="6"/>
  <c r="O41" i="6"/>
  <c r="N38" i="6"/>
  <c r="I38" i="6"/>
  <c r="M38" i="12" s="1"/>
  <c r="C38" i="6"/>
  <c r="L38" i="5" s="1"/>
  <c r="B36" i="6"/>
  <c r="F36" i="6"/>
  <c r="J36" i="6"/>
  <c r="N36" i="6"/>
  <c r="N33" i="6"/>
  <c r="I33" i="6"/>
  <c r="Q33" i="12" s="1"/>
  <c r="D33" i="6"/>
  <c r="Q30" i="12"/>
  <c r="B30" i="6"/>
  <c r="F30" i="6"/>
  <c r="J30" i="6"/>
  <c r="N30" i="6"/>
  <c r="D30" i="6"/>
  <c r="H30" i="6"/>
  <c r="L30" i="12" s="1"/>
  <c r="L30" i="6"/>
  <c r="O30" i="12" s="1"/>
  <c r="B26" i="6"/>
  <c r="F26" i="6"/>
  <c r="J26" i="6"/>
  <c r="N26" i="6"/>
  <c r="C26" i="6"/>
  <c r="L26" i="5" s="1"/>
  <c r="H26" i="6"/>
  <c r="M26" i="6"/>
  <c r="E26" i="6"/>
  <c r="K26" i="6"/>
  <c r="S26" i="12" s="1"/>
  <c r="F23" i="6"/>
  <c r="F20" i="6"/>
  <c r="B18" i="6"/>
  <c r="F18" i="6"/>
  <c r="J18" i="6"/>
  <c r="N18" i="6"/>
  <c r="E18" i="6"/>
  <c r="K18" i="6"/>
  <c r="S18" i="12" s="1"/>
  <c r="C18" i="6"/>
  <c r="H18" i="6"/>
  <c r="M18" i="6"/>
  <c r="F12" i="6"/>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P47" i="12"/>
  <c r="O29" i="6"/>
  <c r="K29" i="6"/>
  <c r="G29" i="6"/>
  <c r="N24" i="6"/>
  <c r="I24" i="6"/>
  <c r="M24" i="12" s="1"/>
  <c r="B22" i="6"/>
  <c r="F22" i="6"/>
  <c r="J22" i="6"/>
  <c r="N22" i="6"/>
  <c r="N19" i="6"/>
  <c r="I19" i="6"/>
  <c r="D16" i="6"/>
  <c r="H16" i="6"/>
  <c r="P16" i="12" s="1"/>
  <c r="L16" i="6"/>
  <c r="O16" i="12" s="1"/>
  <c r="O14" i="6"/>
  <c r="I14" i="6"/>
  <c r="Q11" i="12"/>
  <c r="C11" i="6"/>
  <c r="G11" i="6"/>
  <c r="K11" i="6"/>
  <c r="N11" i="12" s="1"/>
  <c r="O11" i="6"/>
  <c r="N8" i="6"/>
  <c r="I8" i="6"/>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D24" i="6"/>
  <c r="H24" i="6"/>
  <c r="L24" i="12" s="1"/>
  <c r="L24" i="6"/>
  <c r="C19" i="6"/>
  <c r="G19" i="6"/>
  <c r="K19" i="6"/>
  <c r="N19" i="12" s="1"/>
  <c r="O19" i="6"/>
  <c r="B14" i="6"/>
  <c r="F14" i="6"/>
  <c r="J14" i="6"/>
  <c r="N14" i="6"/>
  <c r="D8" i="6"/>
  <c r="H8" i="6"/>
  <c r="L8" i="6"/>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Q25" i="12"/>
  <c r="Q21" i="12"/>
  <c r="S17" i="12"/>
  <c r="Q17" i="12"/>
  <c r="P17" i="12"/>
  <c r="R17" i="12"/>
  <c r="Q13" i="12"/>
  <c r="R13" i="12"/>
  <c r="P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G172" i="12"/>
  <c r="D170" i="12"/>
  <c r="B170" i="12"/>
  <c r="F170" i="12"/>
  <c r="G168" i="12"/>
  <c r="D166" i="12"/>
  <c r="B166" i="12"/>
  <c r="F166" i="12"/>
  <c r="G164"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4" i="12"/>
  <c r="F184" i="12"/>
  <c r="N184" i="12"/>
  <c r="D184" i="12"/>
  <c r="B180" i="12"/>
  <c r="F180" i="12"/>
  <c r="D180" i="12"/>
  <c r="B176" i="12"/>
  <c r="F176" i="12"/>
  <c r="N176" i="12"/>
  <c r="D176" i="12"/>
  <c r="M172" i="12"/>
  <c r="E172" i="12"/>
  <c r="E168" i="12"/>
  <c r="E164" i="12"/>
  <c r="C162" i="12"/>
  <c r="G162" i="12"/>
  <c r="D162" i="12"/>
  <c r="B162" i="12"/>
  <c r="F162" i="12"/>
  <c r="C154" i="12"/>
  <c r="G154" i="12"/>
  <c r="D154" i="12"/>
  <c r="B154" i="12"/>
  <c r="F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D186" i="12"/>
  <c r="B186" i="12"/>
  <c r="F186" i="12"/>
  <c r="G184" i="12"/>
  <c r="D182" i="12"/>
  <c r="B182" i="12"/>
  <c r="F182" i="12"/>
  <c r="G180" i="12"/>
  <c r="D178" i="12"/>
  <c r="B178" i="12"/>
  <c r="F178" i="12"/>
  <c r="G176" i="12"/>
  <c r="D174" i="12"/>
  <c r="B174" i="12"/>
  <c r="F174" i="12"/>
  <c r="M170" i="12"/>
  <c r="E170" i="12"/>
  <c r="S168" i="12"/>
  <c r="E166" i="12"/>
  <c r="S164" i="12"/>
  <c r="M162"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D172" i="12"/>
  <c r="B168" i="12"/>
  <c r="F168" i="12"/>
  <c r="N168" i="12"/>
  <c r="R168" i="12"/>
  <c r="D168" i="12"/>
  <c r="B164" i="12"/>
  <c r="F164" i="12"/>
  <c r="N164" i="12"/>
  <c r="R164" i="12"/>
  <c r="D164" i="12"/>
  <c r="C158" i="12"/>
  <c r="G158" i="12"/>
  <c r="D158" i="12"/>
  <c r="B158" i="12"/>
  <c r="F158" i="12"/>
  <c r="O16" i="11"/>
  <c r="K16" i="11"/>
  <c r="G16" i="11"/>
  <c r="O12" i="11"/>
  <c r="K12" i="11"/>
  <c r="G12" i="11"/>
  <c r="O8" i="11"/>
  <c r="K8" i="11"/>
  <c r="G8" i="11"/>
  <c r="O187" i="12"/>
  <c r="G187" i="12"/>
  <c r="O183" i="12"/>
  <c r="G183" i="12"/>
  <c r="O179" i="12"/>
  <c r="G179" i="12"/>
  <c r="O175" i="12"/>
  <c r="G175" i="12"/>
  <c r="G171" i="12"/>
  <c r="O167" i="12"/>
  <c r="G167" i="12"/>
  <c r="G163" i="12"/>
  <c r="D160" i="12"/>
  <c r="G159" i="12"/>
  <c r="D156" i="12"/>
  <c r="O155" i="12"/>
  <c r="G155" i="12"/>
  <c r="D152" i="12"/>
  <c r="G151" i="12"/>
  <c r="F150" i="12"/>
  <c r="B150" i="12"/>
  <c r="D148" i="12"/>
  <c r="G147" i="12"/>
  <c r="F146" i="12"/>
  <c r="B146" i="12"/>
  <c r="P144" i="12"/>
  <c r="L144" i="12"/>
  <c r="D144" i="12"/>
  <c r="G142" i="12"/>
  <c r="E141" i="12"/>
  <c r="D138" i="12"/>
  <c r="B136" i="12"/>
  <c r="F136" i="12"/>
  <c r="E134" i="12"/>
  <c r="M133" i="12"/>
  <c r="E132" i="12"/>
  <c r="S130" i="12"/>
  <c r="N130" i="12"/>
  <c r="C129" i="12"/>
  <c r="G129" i="12"/>
  <c r="O129" i="12"/>
  <c r="G126" i="12"/>
  <c r="E125" i="12"/>
  <c r="D122" i="12"/>
  <c r="B118" i="12"/>
  <c r="F118" i="12"/>
  <c r="D118" i="12"/>
  <c r="B114" i="12"/>
  <c r="F114" i="12"/>
  <c r="R114" i="12"/>
  <c r="D114" i="12"/>
  <c r="B110" i="12"/>
  <c r="F110" i="12"/>
  <c r="R110" i="12"/>
  <c r="D110" i="12"/>
  <c r="S108" i="12"/>
  <c r="B106" i="12"/>
  <c r="F106" i="12"/>
  <c r="D106" i="12"/>
  <c r="B102" i="12"/>
  <c r="F102" i="12"/>
  <c r="D102" i="12"/>
  <c r="D142" i="12"/>
  <c r="B140" i="12"/>
  <c r="F140" i="12"/>
  <c r="C133" i="12"/>
  <c r="G133" i="12"/>
  <c r="D126" i="12"/>
  <c r="B124" i="12"/>
  <c r="F124" i="12"/>
  <c r="D120" i="12"/>
  <c r="P120" i="12"/>
  <c r="B120" i="12"/>
  <c r="F120" i="12"/>
  <c r="D116" i="12"/>
  <c r="B116" i="12"/>
  <c r="F116" i="12"/>
  <c r="D112" i="12"/>
  <c r="P112" i="12"/>
  <c r="B112" i="12"/>
  <c r="F112" i="12"/>
  <c r="R112" i="12"/>
  <c r="D108" i="12"/>
  <c r="B108" i="12"/>
  <c r="F108" i="12"/>
  <c r="D104" i="12"/>
  <c r="B104" i="12"/>
  <c r="F104" i="12"/>
  <c r="D100" i="12"/>
  <c r="B100" i="12"/>
  <c r="F100" i="12"/>
  <c r="F160" i="12"/>
  <c r="F156" i="12"/>
  <c r="F152" i="12"/>
  <c r="D150" i="12"/>
  <c r="F148" i="12"/>
  <c r="D146" i="12"/>
  <c r="F144" i="12"/>
  <c r="E142" i="12"/>
  <c r="E140" i="12"/>
  <c r="C137" i="12"/>
  <c r="G137" i="12"/>
  <c r="R134" i="12"/>
  <c r="G134" i="12"/>
  <c r="E133" i="12"/>
  <c r="D130" i="12"/>
  <c r="B128" i="12"/>
  <c r="F128" i="12"/>
  <c r="E126" i="12"/>
  <c r="E124" i="12"/>
  <c r="G120" i="12"/>
  <c r="G116" i="12"/>
  <c r="G112" i="12"/>
  <c r="G108" i="12"/>
  <c r="M106" i="12"/>
  <c r="E106" i="12"/>
  <c r="G104" i="12"/>
  <c r="M102" i="12"/>
  <c r="E102" i="12"/>
  <c r="G100" i="12"/>
  <c r="C96" i="12"/>
  <c r="G96" i="12"/>
  <c r="S96" i="12"/>
  <c r="D96" i="12"/>
  <c r="B96" i="12"/>
  <c r="F96" i="12"/>
  <c r="N96" i="12"/>
  <c r="R96" i="12"/>
  <c r="G150" i="12"/>
  <c r="G146" i="12"/>
  <c r="S142" i="12"/>
  <c r="N142" i="12"/>
  <c r="C142" i="12"/>
  <c r="C141" i="12"/>
  <c r="G141" i="12"/>
  <c r="D140" i="12"/>
  <c r="D134" i="12"/>
  <c r="D133" i="12"/>
  <c r="B132" i="12"/>
  <c r="F132" i="12"/>
  <c r="C126" i="12"/>
  <c r="C125" i="12"/>
  <c r="G125" i="12"/>
  <c r="D124" i="12"/>
  <c r="E120" i="12"/>
  <c r="E116" i="12"/>
  <c r="M112" i="12"/>
  <c r="E112" i="12"/>
  <c r="E108" i="12"/>
  <c r="E104" i="12"/>
  <c r="E100" i="12"/>
  <c r="G121" i="12"/>
  <c r="G117" i="12"/>
  <c r="G113" i="12"/>
  <c r="G109" i="12"/>
  <c r="G105" i="12"/>
  <c r="O101" i="12"/>
  <c r="G101" i="12"/>
  <c r="D98" i="12"/>
  <c r="G97" i="12"/>
  <c r="D94" i="12"/>
  <c r="G93" i="12"/>
  <c r="R92" i="12"/>
  <c r="N92" i="12"/>
  <c r="F92" i="12"/>
  <c r="B92" i="12"/>
  <c r="D90" i="12"/>
  <c r="G89" i="12"/>
  <c r="N88" i="12"/>
  <c r="F88" i="12"/>
  <c r="B88" i="12"/>
  <c r="D86" i="12"/>
  <c r="G85" i="12"/>
  <c r="F84" i="12"/>
  <c r="B84" i="12"/>
  <c r="C80" i="12"/>
  <c r="G80" i="12"/>
  <c r="S80" i="12"/>
  <c r="M77" i="12"/>
  <c r="G77" i="12"/>
  <c r="E76" i="12"/>
  <c r="D73" i="12"/>
  <c r="B71" i="12"/>
  <c r="F71" i="12"/>
  <c r="D71" i="12"/>
  <c r="G69" i="12"/>
  <c r="R68" i="12"/>
  <c r="D60" i="12"/>
  <c r="L60" i="12"/>
  <c r="P60" i="12"/>
  <c r="B60" i="12"/>
  <c r="G60" i="12"/>
  <c r="E60" i="12"/>
  <c r="Q52" i="12"/>
  <c r="N51" i="12"/>
  <c r="D77" i="12"/>
  <c r="P77" i="12"/>
  <c r="B75" i="12"/>
  <c r="F75" i="12"/>
  <c r="B66" i="12"/>
  <c r="F66" i="12"/>
  <c r="E66" i="12"/>
  <c r="C66" i="12"/>
  <c r="C51" i="12"/>
  <c r="G51" i="12"/>
  <c r="S51" i="12"/>
  <c r="B51" i="12"/>
  <c r="R51" i="12"/>
  <c r="E51" i="12"/>
  <c r="B50" i="12"/>
  <c r="F50" i="12"/>
  <c r="N50" i="12"/>
  <c r="R50" i="12"/>
  <c r="D50" i="12"/>
  <c r="E50" i="12"/>
  <c r="C50" i="12"/>
  <c r="S50" i="12"/>
  <c r="F98" i="12"/>
  <c r="F94" i="12"/>
  <c r="D92" i="12"/>
  <c r="F90" i="12"/>
  <c r="D88" i="12"/>
  <c r="F86" i="12"/>
  <c r="D84" i="12"/>
  <c r="D81" i="12"/>
  <c r="B79" i="12"/>
  <c r="F79" i="12"/>
  <c r="E77" i="12"/>
  <c r="E75" i="12"/>
  <c r="N68" i="12"/>
  <c r="C67" i="12"/>
  <c r="G67" i="12"/>
  <c r="S67" i="12"/>
  <c r="B67" i="12"/>
  <c r="E67" i="12"/>
  <c r="N59" i="12"/>
  <c r="B58" i="12"/>
  <c r="F58" i="12"/>
  <c r="N58" i="12"/>
  <c r="R58" i="12"/>
  <c r="C58" i="12"/>
  <c r="S58" i="12"/>
  <c r="E58" i="12"/>
  <c r="K58" i="12"/>
  <c r="D52" i="12"/>
  <c r="L52" i="12"/>
  <c r="P52" i="12"/>
  <c r="E52" i="12"/>
  <c r="B52" i="12"/>
  <c r="G52" i="12"/>
  <c r="M52" i="12"/>
  <c r="G92" i="12"/>
  <c r="G88" i="12"/>
  <c r="G84" i="12"/>
  <c r="C77" i="12"/>
  <c r="C76" i="12"/>
  <c r="G76" i="12"/>
  <c r="D75" i="12"/>
  <c r="D69" i="12"/>
  <c r="B69" i="12"/>
  <c r="F69" i="12"/>
  <c r="D68" i="12"/>
  <c r="E68" i="12"/>
  <c r="S68" i="12"/>
  <c r="B68" i="12"/>
  <c r="G68" i="12"/>
  <c r="M68" i="12"/>
  <c r="Q68" i="12"/>
  <c r="G66" i="12"/>
  <c r="C59" i="12"/>
  <c r="G59" i="12"/>
  <c r="S59" i="12"/>
  <c r="E59" i="12"/>
  <c r="B59" i="12"/>
  <c r="R59" i="12"/>
  <c r="Q51" i="12"/>
  <c r="F51" i="12"/>
  <c r="D64" i="12"/>
  <c r="B62" i="12"/>
  <c r="F62" i="12"/>
  <c r="R62" i="12"/>
  <c r="C55" i="12"/>
  <c r="G55" i="12"/>
  <c r="O55" i="12"/>
  <c r="S55" i="12"/>
  <c r="D48" i="12"/>
  <c r="B46" i="12"/>
  <c r="F46" i="12"/>
  <c r="O44" i="12"/>
  <c r="E44" i="12"/>
  <c r="R43" i="12"/>
  <c r="E42" i="12"/>
  <c r="C39" i="12"/>
  <c r="G39" i="12"/>
  <c r="O39" i="12"/>
  <c r="R36" i="12"/>
  <c r="G36" i="12"/>
  <c r="D34" i="12"/>
  <c r="B34" i="12"/>
  <c r="F34" i="12"/>
  <c r="O32" i="12"/>
  <c r="G32" i="12"/>
  <c r="D30" i="12"/>
  <c r="B30" i="12"/>
  <c r="F30" i="12"/>
  <c r="G28" i="12"/>
  <c r="D26" i="12"/>
  <c r="B26" i="12"/>
  <c r="F26" i="12"/>
  <c r="G24" i="12"/>
  <c r="D22" i="12"/>
  <c r="L22" i="12"/>
  <c r="P22" i="12"/>
  <c r="B22" i="12"/>
  <c r="F22" i="12"/>
  <c r="G20" i="12"/>
  <c r="D18" i="12"/>
  <c r="B18" i="12"/>
  <c r="F18" i="12"/>
  <c r="G16" i="12"/>
  <c r="D14" i="12"/>
  <c r="B14" i="12"/>
  <c r="F14" i="12"/>
  <c r="G12" i="12"/>
  <c r="D10" i="12"/>
  <c r="B10" i="12"/>
  <c r="F10" i="12"/>
  <c r="G8" i="12"/>
  <c r="C43" i="12"/>
  <c r="G43" i="12"/>
  <c r="S43" i="12"/>
  <c r="D36" i="12"/>
  <c r="L36" i="12"/>
  <c r="P36" i="12"/>
  <c r="E8" i="12"/>
  <c r="F183" i="13"/>
  <c r="F179" i="13"/>
  <c r="G72" i="12"/>
  <c r="C64" i="12"/>
  <c r="C63" i="12"/>
  <c r="G63" i="12"/>
  <c r="O63" i="12"/>
  <c r="D62" i="12"/>
  <c r="D56" i="12"/>
  <c r="N55" i="12"/>
  <c r="D55" i="12"/>
  <c r="B54" i="12"/>
  <c r="F54" i="12"/>
  <c r="C48" i="12"/>
  <c r="C47" i="12"/>
  <c r="G47" i="12"/>
  <c r="O47" i="12"/>
  <c r="D46" i="12"/>
  <c r="R44" i="12"/>
  <c r="G44" i="12"/>
  <c r="E43" i="12"/>
  <c r="D40" i="12"/>
  <c r="D39" i="12"/>
  <c r="B38" i="12"/>
  <c r="F38" i="12"/>
  <c r="O36" i="12"/>
  <c r="E36" i="12"/>
  <c r="E34" i="12"/>
  <c r="M30" i="12"/>
  <c r="E30" i="12"/>
  <c r="E26" i="12"/>
  <c r="E22" i="12"/>
  <c r="E18" i="12"/>
  <c r="E14" i="12"/>
  <c r="E10" i="12"/>
  <c r="F185" i="13"/>
  <c r="G183" i="13"/>
  <c r="F181" i="13"/>
  <c r="G179" i="13"/>
  <c r="G172" i="13"/>
  <c r="E172" i="13"/>
  <c r="D44" i="12"/>
  <c r="L44" i="12"/>
  <c r="P44" i="12"/>
  <c r="N43" i="12"/>
  <c r="D43" i="12"/>
  <c r="B42" i="12"/>
  <c r="F42" i="12"/>
  <c r="S36" i="12"/>
  <c r="N36" i="12"/>
  <c r="C36" i="12"/>
  <c r="B32" i="12"/>
  <c r="F32" i="12"/>
  <c r="D32" i="12"/>
  <c r="B28" i="12"/>
  <c r="F28" i="12"/>
  <c r="D28" i="12"/>
  <c r="B24" i="12"/>
  <c r="F24" i="12"/>
  <c r="D24" i="12"/>
  <c r="B20" i="12"/>
  <c r="F20" i="12"/>
  <c r="D20" i="12"/>
  <c r="B16" i="12"/>
  <c r="F16" i="12"/>
  <c r="R16" i="12"/>
  <c r="D16" i="12"/>
  <c r="B12" i="12"/>
  <c r="F12" i="12"/>
  <c r="R12" i="12"/>
  <c r="D12" i="12"/>
  <c r="B8" i="12"/>
  <c r="F8" i="12"/>
  <c r="D8" i="12"/>
  <c r="O35" i="12"/>
  <c r="G35" i="12"/>
  <c r="G31" i="12"/>
  <c r="S27" i="12"/>
  <c r="G27" i="12"/>
  <c r="G23" i="12"/>
  <c r="G19" i="12"/>
  <c r="O15" i="12"/>
  <c r="G15" i="12"/>
  <c r="G11" i="12"/>
  <c r="G7" i="12"/>
  <c r="G186" i="13"/>
  <c r="G182" i="13"/>
  <c r="G178" i="13"/>
  <c r="F177" i="13"/>
  <c r="F171" i="13"/>
  <c r="G169" i="13"/>
  <c r="E167" i="13"/>
  <c r="E161" i="13"/>
  <c r="G160" i="13"/>
  <c r="E156" i="13"/>
  <c r="F155" i="13"/>
  <c r="G153" i="13"/>
  <c r="E151" i="13"/>
  <c r="E145" i="13"/>
  <c r="G144" i="13"/>
  <c r="E140" i="13"/>
  <c r="F139" i="13"/>
  <c r="G137" i="13"/>
  <c r="E135" i="13"/>
  <c r="E129" i="13"/>
  <c r="G128" i="13"/>
  <c r="E124" i="13"/>
  <c r="F123" i="13"/>
  <c r="G121" i="13"/>
  <c r="E119" i="13"/>
  <c r="G115" i="13"/>
  <c r="G111" i="13"/>
  <c r="G107" i="13"/>
  <c r="G103" i="13"/>
  <c r="G99" i="13"/>
  <c r="G95" i="13"/>
  <c r="G91" i="13"/>
  <c r="G87" i="13"/>
  <c r="F82" i="13"/>
  <c r="E82" i="13"/>
  <c r="G79" i="13"/>
  <c r="E79" i="13"/>
  <c r="E68" i="13"/>
  <c r="G68" i="13"/>
  <c r="F175" i="13"/>
  <c r="G164" i="13"/>
  <c r="F159" i="13"/>
  <c r="G148" i="13"/>
  <c r="F143" i="13"/>
  <c r="G132" i="13"/>
  <c r="F127" i="13"/>
  <c r="E115" i="13"/>
  <c r="E111" i="13"/>
  <c r="E107" i="13"/>
  <c r="E103" i="13"/>
  <c r="E99" i="13"/>
  <c r="E95" i="13"/>
  <c r="E91" i="13"/>
  <c r="E87" i="13"/>
  <c r="E84" i="13"/>
  <c r="G84" i="13"/>
  <c r="G71" i="13"/>
  <c r="E71" i="13"/>
  <c r="G66" i="13"/>
  <c r="E175" i="13"/>
  <c r="E169" i="13"/>
  <c r="G168" i="13"/>
  <c r="E164" i="13"/>
  <c r="F163" i="13"/>
  <c r="G161" i="13"/>
  <c r="E159" i="13"/>
  <c r="E153" i="13"/>
  <c r="G152" i="13"/>
  <c r="E148" i="13"/>
  <c r="F147" i="13"/>
  <c r="G145" i="13"/>
  <c r="E143" i="13"/>
  <c r="E137" i="13"/>
  <c r="G136" i="13"/>
  <c r="E132" i="13"/>
  <c r="F131" i="13"/>
  <c r="G129" i="13"/>
  <c r="E127" i="13"/>
  <c r="E121" i="13"/>
  <c r="G120" i="13"/>
  <c r="F117" i="13"/>
  <c r="F113" i="13"/>
  <c r="F109" i="13"/>
  <c r="F105" i="13"/>
  <c r="F101" i="13"/>
  <c r="F97" i="13"/>
  <c r="F93" i="13"/>
  <c r="F89" i="13"/>
  <c r="F85" i="13"/>
  <c r="G76" i="13"/>
  <c r="E76" i="13"/>
  <c r="F74" i="13"/>
  <c r="E74" i="13"/>
  <c r="G63" i="13"/>
  <c r="E63" i="13"/>
  <c r="F167" i="13"/>
  <c r="G156" i="13"/>
  <c r="F151" i="13"/>
  <c r="G140" i="13"/>
  <c r="F135" i="13"/>
  <c r="G124" i="13"/>
  <c r="F119" i="13"/>
  <c r="F115" i="13"/>
  <c r="F111" i="13"/>
  <c r="F107" i="13"/>
  <c r="F103" i="13"/>
  <c r="F99" i="13"/>
  <c r="F95" i="13"/>
  <c r="F91" i="13"/>
  <c r="F87" i="13"/>
  <c r="F66" i="13"/>
  <c r="E66" i="13"/>
  <c r="F58" i="13"/>
  <c r="E58" i="13"/>
  <c r="G116" i="13"/>
  <c r="G112" i="13"/>
  <c r="G108" i="13"/>
  <c r="G104" i="13"/>
  <c r="G100" i="13"/>
  <c r="G96" i="13"/>
  <c r="G92" i="13"/>
  <c r="G88" i="13"/>
  <c r="G75" i="13"/>
  <c r="F70" i="13"/>
  <c r="E60" i="13"/>
  <c r="G59" i="13"/>
  <c r="E55" i="13"/>
  <c r="F54" i="13"/>
  <c r="G52" i="13"/>
  <c r="E50" i="13"/>
  <c r="E44" i="13"/>
  <c r="G43" i="13"/>
  <c r="E39" i="13"/>
  <c r="F38" i="13"/>
  <c r="G36" i="13"/>
  <c r="E34" i="13"/>
  <c r="G30" i="13"/>
  <c r="G26" i="13"/>
  <c r="G22" i="13"/>
  <c r="G18" i="13"/>
  <c r="G14" i="13"/>
  <c r="G10" i="13"/>
  <c r="G6" i="13"/>
  <c r="B184" i="14"/>
  <c r="G184" i="14" s="1"/>
  <c r="F184" i="14"/>
  <c r="D184" i="14"/>
  <c r="G47" i="13"/>
  <c r="F42" i="13"/>
  <c r="D178" i="14"/>
  <c r="B178" i="14"/>
  <c r="F178" i="14"/>
  <c r="D168" i="14"/>
  <c r="C168" i="14"/>
  <c r="E168" i="14"/>
  <c r="B168" i="14"/>
  <c r="G83" i="13"/>
  <c r="F78" i="13"/>
  <c r="G67" i="13"/>
  <c r="F62" i="13"/>
  <c r="G60" i="13"/>
  <c r="E52" i="13"/>
  <c r="G51" i="13"/>
  <c r="E47" i="13"/>
  <c r="F46" i="13"/>
  <c r="G44" i="13"/>
  <c r="E42" i="13"/>
  <c r="E36" i="13"/>
  <c r="G35" i="13"/>
  <c r="F32" i="13"/>
  <c r="F28" i="13"/>
  <c r="F24" i="13"/>
  <c r="F20" i="13"/>
  <c r="F16" i="13"/>
  <c r="F12" i="13"/>
  <c r="F8" i="13"/>
  <c r="D182" i="14"/>
  <c r="B182" i="14"/>
  <c r="G182" i="14" s="1"/>
  <c r="F182" i="14"/>
  <c r="C174" i="14"/>
  <c r="D174" i="14"/>
  <c r="B174" i="14"/>
  <c r="G174" i="14" s="1"/>
  <c r="F174" i="14"/>
  <c r="G55" i="13"/>
  <c r="F50" i="13"/>
  <c r="G39" i="13"/>
  <c r="F34" i="13"/>
  <c r="F30" i="13"/>
  <c r="F26" i="13"/>
  <c r="F22" i="13"/>
  <c r="F18" i="13"/>
  <c r="F14" i="13"/>
  <c r="F10" i="13"/>
  <c r="F6" i="13"/>
  <c r="D186" i="14"/>
  <c r="B186" i="14"/>
  <c r="F186" i="14"/>
  <c r="B180" i="14"/>
  <c r="G180" i="14" s="1"/>
  <c r="F180" i="14"/>
  <c r="D180" i="14"/>
  <c r="E178" i="14"/>
  <c r="D176" i="14"/>
  <c r="E171" i="14"/>
  <c r="B170" i="14"/>
  <c r="F170" i="14"/>
  <c r="E166" i="14"/>
  <c r="B163" i="14"/>
  <c r="E160" i="14"/>
  <c r="E155" i="14"/>
  <c r="B154" i="14"/>
  <c r="G154" i="14" s="1"/>
  <c r="F154" i="14"/>
  <c r="B152" i="14"/>
  <c r="E150" i="14"/>
  <c r="B147" i="14"/>
  <c r="E144" i="14"/>
  <c r="F3" i="21" s="1"/>
  <c r="E139" i="14"/>
  <c r="B138" i="14"/>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D170" i="14"/>
  <c r="C164" i="14"/>
  <c r="E163" i="14"/>
  <c r="B162" i="14"/>
  <c r="F162" i="14"/>
  <c r="B160" i="14"/>
  <c r="D159" i="14"/>
  <c r="E158" i="14"/>
  <c r="B155" i="14"/>
  <c r="D154" i="14"/>
  <c r="E152" i="14"/>
  <c r="C148" i="14"/>
  <c r="E147" i="14"/>
  <c r="B146" i="14"/>
  <c r="F146" i="14"/>
  <c r="B144" i="14"/>
  <c r="G3" i="21" s="1"/>
  <c r="D143" i="14"/>
  <c r="E142" i="14"/>
  <c r="B139" i="14"/>
  <c r="D138" i="14"/>
  <c r="E136" i="14"/>
  <c r="E130" i="14"/>
  <c r="B128" i="14"/>
  <c r="F128" i="14"/>
  <c r="D128" i="14"/>
  <c r="D122" i="14"/>
  <c r="B122" i="14"/>
  <c r="F122" i="14"/>
  <c r="E120" i="14"/>
  <c r="E114" i="14"/>
  <c r="B112" i="14"/>
  <c r="F112" i="14"/>
  <c r="D112" i="14"/>
  <c r="D106" i="14"/>
  <c r="B106" i="14"/>
  <c r="F106" i="14"/>
  <c r="E104" i="14"/>
  <c r="E98" i="14"/>
  <c r="B96" i="14"/>
  <c r="F96" i="14"/>
  <c r="D96" i="14"/>
  <c r="D90" i="14"/>
  <c r="B90" i="14"/>
  <c r="F90" i="14"/>
  <c r="E88" i="14"/>
  <c r="C82" i="14"/>
  <c r="D82" i="14"/>
  <c r="B82" i="14"/>
  <c r="G82" i="14" s="1"/>
  <c r="F82" i="14"/>
  <c r="B166" i="14"/>
  <c r="F166" i="14"/>
  <c r="D163" i="14"/>
  <c r="D158" i="14"/>
  <c r="C152" i="14"/>
  <c r="B150" i="14"/>
  <c r="F150" i="14"/>
  <c r="D147" i="14"/>
  <c r="D142" i="14"/>
  <c r="C136" i="14"/>
  <c r="B134" i="14"/>
  <c r="F134" i="14"/>
  <c r="B132" i="14"/>
  <c r="D132" i="14"/>
  <c r="D126" i="14"/>
  <c r="B126" i="14"/>
  <c r="G126" i="14" s="1"/>
  <c r="F126" i="14"/>
  <c r="E124" i="14"/>
  <c r="E118" i="14"/>
  <c r="B116" i="14"/>
  <c r="F116" i="14"/>
  <c r="D116" i="14"/>
  <c r="D110" i="14"/>
  <c r="B110" i="14"/>
  <c r="F110" i="14"/>
  <c r="E108" i="14"/>
  <c r="E102" i="14"/>
  <c r="B100" i="14"/>
  <c r="F100" i="14"/>
  <c r="D100" i="14"/>
  <c r="D94" i="14"/>
  <c r="B94" i="14"/>
  <c r="F94" i="14"/>
  <c r="E92" i="14"/>
  <c r="E86" i="14"/>
  <c r="D84" i="14"/>
  <c r="D80" i="14"/>
  <c r="F78" i="14"/>
  <c r="B78" i="14"/>
  <c r="G78" i="14" s="1"/>
  <c r="D76" i="14"/>
  <c r="F74" i="14"/>
  <c r="B74" i="14"/>
  <c r="G74" i="14" s="1"/>
  <c r="D72" i="14"/>
  <c r="F70" i="14"/>
  <c r="B70" i="14"/>
  <c r="D68" i="14"/>
  <c r="F66" i="14"/>
  <c r="B66" i="14"/>
  <c r="D64" i="14"/>
  <c r="E62" i="14"/>
  <c r="B59" i="14"/>
  <c r="E56" i="14"/>
  <c r="C52" i="14"/>
  <c r="E51" i="14"/>
  <c r="B50" i="14"/>
  <c r="G50" i="14" s="1"/>
  <c r="F50" i="14"/>
  <c r="B48" i="14"/>
  <c r="B44" i="14"/>
  <c r="G44" i="14" s="1"/>
  <c r="F44" i="14"/>
  <c r="D44" i="14"/>
  <c r="D38" i="14"/>
  <c r="B38" i="14"/>
  <c r="G38" i="14" s="1"/>
  <c r="F38" i="14"/>
  <c r="B28" i="14"/>
  <c r="F28" i="14"/>
  <c r="D28" i="14"/>
  <c r="D22" i="14"/>
  <c r="B22" i="14"/>
  <c r="F22" i="14"/>
  <c r="B54" i="14"/>
  <c r="F54" i="14"/>
  <c r="D42" i="14"/>
  <c r="B42" i="14"/>
  <c r="F42" i="14"/>
  <c r="E40" i="14"/>
  <c r="G37" i="14"/>
  <c r="B32" i="14"/>
  <c r="F32" i="14"/>
  <c r="D32" i="14"/>
  <c r="D26" i="14"/>
  <c r="B26" i="14"/>
  <c r="F26" i="14"/>
  <c r="E24" i="14"/>
  <c r="F84" i="14"/>
  <c r="F80" i="14"/>
  <c r="D78" i="14"/>
  <c r="F76" i="14"/>
  <c r="D74" i="14"/>
  <c r="F72" i="14"/>
  <c r="D70" i="14"/>
  <c r="F68" i="14"/>
  <c r="D66" i="14"/>
  <c r="F64" i="14"/>
  <c r="E59" i="14"/>
  <c r="B58" i="14"/>
  <c r="F58" i="14"/>
  <c r="B56" i="14"/>
  <c r="E54" i="14"/>
  <c r="B51" i="14"/>
  <c r="E48" i="14"/>
  <c r="D46" i="14"/>
  <c r="B46" i="14"/>
  <c r="G46" i="14" s="1"/>
  <c r="F46" i="14"/>
  <c r="B36" i="14"/>
  <c r="F36" i="14"/>
  <c r="D36" i="14"/>
  <c r="D30" i="14"/>
  <c r="B30" i="14"/>
  <c r="G30" i="14" s="1"/>
  <c r="F30" i="14"/>
  <c r="B62" i="14"/>
  <c r="F62" i="14"/>
  <c r="D54" i="14"/>
  <c r="C48" i="14"/>
  <c r="E42" i="14"/>
  <c r="B40" i="14"/>
  <c r="F40" i="14"/>
  <c r="D40" i="14"/>
  <c r="D34" i="14"/>
  <c r="B34" i="14"/>
  <c r="F34" i="14"/>
  <c r="E32" i="14"/>
  <c r="B24" i="14"/>
  <c r="F24" i="14"/>
  <c r="D24" i="14"/>
  <c r="D20" i="14"/>
  <c r="F18" i="14"/>
  <c r="B18" i="14"/>
  <c r="G18" i="14" s="1"/>
  <c r="D16" i="14"/>
  <c r="F14" i="14"/>
  <c r="B14" i="14"/>
  <c r="G14" i="14" s="1"/>
  <c r="D12" i="14"/>
  <c r="F10" i="14"/>
  <c r="B10" i="14"/>
  <c r="D8" i="14"/>
  <c r="F20" i="14"/>
  <c r="D18" i="14"/>
  <c r="F16" i="14"/>
  <c r="D14" i="14"/>
  <c r="F12" i="14"/>
  <c r="D10" i="14"/>
  <c r="F8" i="14"/>
  <c r="E140" i="5" l="1"/>
  <c r="G143" i="14"/>
  <c r="F147" i="2"/>
  <c r="G147" i="2"/>
  <c r="G148" i="2"/>
  <c r="F148" i="2"/>
  <c r="E162" i="5"/>
  <c r="L118" i="5"/>
  <c r="E157" i="5"/>
  <c r="E151" i="5"/>
  <c r="E145" i="5"/>
  <c r="G125" i="14"/>
  <c r="P107" i="5"/>
  <c r="P137" i="5"/>
  <c r="J13" i="2"/>
  <c r="K13" i="2" s="1"/>
  <c r="E101" i="5"/>
  <c r="P7" i="5"/>
  <c r="G172" i="14"/>
  <c r="P98" i="5"/>
  <c r="G79" i="14"/>
  <c r="G97" i="14"/>
  <c r="H108" i="3"/>
  <c r="P8" i="5"/>
  <c r="P20" i="5"/>
  <c r="P125" i="5"/>
  <c r="N86" i="12"/>
  <c r="L160" i="12"/>
  <c r="N102" i="12"/>
  <c r="J149" i="2"/>
  <c r="K149" i="2" s="1"/>
  <c r="K93" i="3"/>
  <c r="H58" i="3"/>
  <c r="E85" i="3"/>
  <c r="K109" i="3"/>
  <c r="K182" i="3"/>
  <c r="E153" i="3"/>
  <c r="H42" i="3"/>
  <c r="E101" i="3"/>
  <c r="K132" i="3"/>
  <c r="K112" i="3"/>
  <c r="J27" i="5"/>
  <c r="G57" i="2"/>
  <c r="P139" i="5"/>
  <c r="P149" i="5"/>
  <c r="E227" i="11"/>
  <c r="E228" i="11" s="1"/>
  <c r="J227" i="11"/>
  <c r="H227" i="11"/>
  <c r="H228" i="11" s="1"/>
  <c r="N120" i="2"/>
  <c r="O120" i="2" s="1"/>
  <c r="D227" i="11"/>
  <c r="G227" i="11"/>
  <c r="I228" i="2"/>
  <c r="H228" i="2"/>
  <c r="K227" i="11"/>
  <c r="K228" i="11" s="1"/>
  <c r="M227" i="11"/>
  <c r="N227" i="11"/>
  <c r="N228" i="11" s="1"/>
  <c r="I60" i="8"/>
  <c r="F60" i="8"/>
  <c r="F61" i="8" s="1"/>
  <c r="C8" i="28"/>
  <c r="E50" i="5"/>
  <c r="E60" i="8"/>
  <c r="E61" i="8" s="1"/>
  <c r="E64" i="5"/>
  <c r="H60" i="8"/>
  <c r="H13" i="3"/>
  <c r="H36" i="3"/>
  <c r="E7" i="5"/>
  <c r="F7" i="5" s="1"/>
  <c r="G7" i="5" s="1"/>
  <c r="G231" i="3"/>
  <c r="G232" i="3" s="1"/>
  <c r="E81" i="5"/>
  <c r="E84" i="5"/>
  <c r="E21" i="5"/>
  <c r="F21" i="5" s="1"/>
  <c r="G21" i="5" s="1"/>
  <c r="E51" i="5"/>
  <c r="F51" i="5" s="1"/>
  <c r="G51" i="5" s="1"/>
  <c r="E76" i="5"/>
  <c r="F76" i="5" s="1"/>
  <c r="G76" i="5" s="1"/>
  <c r="I231" i="3"/>
  <c r="J231" i="3"/>
  <c r="J232" i="3" s="1"/>
  <c r="E132" i="5"/>
  <c r="F132" i="5" s="1"/>
  <c r="G132" i="5" s="1"/>
  <c r="H43" i="3"/>
  <c r="F231" i="3"/>
  <c r="E149" i="5"/>
  <c r="E19" i="5"/>
  <c r="F19" i="5" s="1"/>
  <c r="G19" i="5" s="1"/>
  <c r="E227" i="6"/>
  <c r="C227" i="6"/>
  <c r="S7" i="12"/>
  <c r="L227" i="6"/>
  <c r="M7" i="12"/>
  <c r="I227" i="6"/>
  <c r="L7" i="12"/>
  <c r="H227" i="6"/>
  <c r="F227" i="6"/>
  <c r="G227" i="6" s="1"/>
  <c r="N227" i="6"/>
  <c r="B227" i="6"/>
  <c r="K227" i="6"/>
  <c r="M18" i="12"/>
  <c r="P69" i="12"/>
  <c r="Q80" i="12"/>
  <c r="R86" i="12"/>
  <c r="P76" i="12"/>
  <c r="N112" i="12"/>
  <c r="Q55" i="12"/>
  <c r="P79" i="12"/>
  <c r="O177" i="12"/>
  <c r="M12" i="12"/>
  <c r="N22" i="12"/>
  <c r="M108" i="12"/>
  <c r="N12" i="12"/>
  <c r="L9" i="12"/>
  <c r="Q62" i="12"/>
  <c r="O181" i="12"/>
  <c r="R27" i="12"/>
  <c r="L162" i="12"/>
  <c r="H23" i="3"/>
  <c r="G78" i="2"/>
  <c r="J109" i="2"/>
  <c r="K109" i="2" s="1"/>
  <c r="K18" i="3"/>
  <c r="J23" i="2"/>
  <c r="K23" i="2" s="1"/>
  <c r="N57" i="2"/>
  <c r="O57" i="2" s="1"/>
  <c r="N89" i="2"/>
  <c r="O89" i="2" s="1"/>
  <c r="F42" i="2"/>
  <c r="N106" i="2"/>
  <c r="O106" i="2" s="1"/>
  <c r="E67" i="3"/>
  <c r="N46" i="2"/>
  <c r="O46" i="2" s="1"/>
  <c r="N142" i="2"/>
  <c r="O142" i="2" s="1"/>
  <c r="G138" i="2"/>
  <c r="H25" i="3"/>
  <c r="H38" i="3"/>
  <c r="E46" i="3"/>
  <c r="J119" i="2"/>
  <c r="K119" i="2" s="1"/>
  <c r="N143" i="2"/>
  <c r="O143" i="2" s="1"/>
  <c r="N157" i="2"/>
  <c r="O157" i="2" s="1"/>
  <c r="F78" i="2"/>
  <c r="N148" i="2"/>
  <c r="O148" i="2" s="1"/>
  <c r="J59" i="2"/>
  <c r="K59" i="2" s="1"/>
  <c r="J139" i="2"/>
  <c r="K139" i="2" s="1"/>
  <c r="F138" i="2"/>
  <c r="J128" i="2"/>
  <c r="K128" i="2" s="1"/>
  <c r="K21" i="3"/>
  <c r="P57" i="12"/>
  <c r="J38" i="5"/>
  <c r="N54" i="12"/>
  <c r="M88" i="12"/>
  <c r="R54" i="12"/>
  <c r="M64" i="5"/>
  <c r="Q91" i="12"/>
  <c r="M26" i="12"/>
  <c r="R22" i="12"/>
  <c r="P134" i="12"/>
  <c r="P169" i="12"/>
  <c r="L175" i="12"/>
  <c r="N82" i="2"/>
  <c r="O82" i="2" s="1"/>
  <c r="N163" i="7"/>
  <c r="I177" i="7"/>
  <c r="B119" i="7"/>
  <c r="H162" i="3"/>
  <c r="F12" i="5"/>
  <c r="G12" i="5" s="1"/>
  <c r="E165" i="3"/>
  <c r="I64" i="12"/>
  <c r="K42" i="3"/>
  <c r="E110" i="3"/>
  <c r="F44" i="2"/>
  <c r="C163" i="7"/>
  <c r="M26" i="5"/>
  <c r="M38" i="5"/>
  <c r="M34" i="5"/>
  <c r="E21" i="3"/>
  <c r="K126" i="3"/>
  <c r="E177" i="3"/>
  <c r="P86" i="5"/>
  <c r="M22" i="5"/>
  <c r="E143" i="3"/>
  <c r="G122" i="14"/>
  <c r="G22" i="14"/>
  <c r="G94" i="14"/>
  <c r="M10" i="5"/>
  <c r="J7" i="5"/>
  <c r="J39" i="5"/>
  <c r="H94" i="3"/>
  <c r="E149" i="3"/>
  <c r="J36" i="5"/>
  <c r="H41" i="3"/>
  <c r="K180" i="3"/>
  <c r="P126" i="5"/>
  <c r="C57" i="7"/>
  <c r="D49" i="7"/>
  <c r="M97" i="7"/>
  <c r="E183" i="7"/>
  <c r="P48" i="5"/>
  <c r="H163" i="7"/>
  <c r="H163" i="12" s="1"/>
  <c r="J163" i="7"/>
  <c r="J150" i="2"/>
  <c r="K150" i="2" s="1"/>
  <c r="G48" i="2"/>
  <c r="O158" i="12"/>
  <c r="O154" i="12"/>
  <c r="O162" i="12"/>
  <c r="O33" i="12"/>
  <c r="P55" i="12"/>
  <c r="L142" i="5"/>
  <c r="M142" i="5" s="1"/>
  <c r="O143" i="12"/>
  <c r="O53" i="12"/>
  <c r="E95" i="5"/>
  <c r="F95" i="5" s="1"/>
  <c r="G95" i="5" s="1"/>
  <c r="E138" i="5"/>
  <c r="F138" i="5" s="1"/>
  <c r="G138" i="5" s="1"/>
  <c r="L47" i="5"/>
  <c r="M47" i="5" s="1"/>
  <c r="L164" i="5"/>
  <c r="M164" i="5" s="1"/>
  <c r="E99" i="5"/>
  <c r="F99" i="5" s="1"/>
  <c r="G99" i="5" s="1"/>
  <c r="E142" i="5"/>
  <c r="F142" i="5" s="1"/>
  <c r="G142" i="5" s="1"/>
  <c r="M36" i="12"/>
  <c r="M51" i="12"/>
  <c r="M147" i="12"/>
  <c r="L95" i="5"/>
  <c r="M95" i="5" s="1"/>
  <c r="E85" i="5"/>
  <c r="F85" i="5" s="1"/>
  <c r="G85" i="5" s="1"/>
  <c r="R52" i="12"/>
  <c r="M169" i="12"/>
  <c r="L32" i="5"/>
  <c r="M32" i="5" s="1"/>
  <c r="S40" i="12"/>
  <c r="O150" i="12"/>
  <c r="L154" i="12"/>
  <c r="E159" i="5"/>
  <c r="F159" i="5" s="1"/>
  <c r="G159" i="5" s="1"/>
  <c r="E141" i="5"/>
  <c r="F141" i="5" s="1"/>
  <c r="G141" i="5" s="1"/>
  <c r="S39" i="12"/>
  <c r="L156" i="5"/>
  <c r="M156" i="5" s="1"/>
  <c r="E107" i="5"/>
  <c r="F107" i="5" s="1"/>
  <c r="G107" i="5" s="1"/>
  <c r="L99" i="12"/>
  <c r="N149" i="12"/>
  <c r="L143" i="5"/>
  <c r="M143" i="5" s="1"/>
  <c r="E53" i="5"/>
  <c r="F53" i="5" s="1"/>
  <c r="G53" i="5" s="1"/>
  <c r="E154" i="5"/>
  <c r="F154" i="5" s="1"/>
  <c r="G154" i="5" s="1"/>
  <c r="N88" i="2"/>
  <c r="O88" i="2" s="1"/>
  <c r="R35" i="12"/>
  <c r="M50" i="12"/>
  <c r="S31" i="12"/>
  <c r="M138" i="12"/>
  <c r="M175" i="12"/>
  <c r="F119" i="7"/>
  <c r="J120" i="2"/>
  <c r="K120" i="2" s="1"/>
  <c r="Q31" i="12"/>
  <c r="I100" i="7"/>
  <c r="I100" i="12" s="1"/>
  <c r="J40" i="2"/>
  <c r="K40" i="2" s="1"/>
  <c r="E108" i="5"/>
  <c r="F108" i="5" s="1"/>
  <c r="G108" i="5" s="1"/>
  <c r="M96" i="12"/>
  <c r="Q37" i="12"/>
  <c r="N28" i="12"/>
  <c r="L141" i="5"/>
  <c r="M141" i="5" s="1"/>
  <c r="L117" i="12"/>
  <c r="O131" i="12"/>
  <c r="M121" i="12"/>
  <c r="L31" i="12"/>
  <c r="O174" i="12"/>
  <c r="E133" i="5"/>
  <c r="F133" i="5" s="1"/>
  <c r="G133" i="5" s="1"/>
  <c r="N47" i="12"/>
  <c r="L39" i="12"/>
  <c r="S46" i="12"/>
  <c r="M100" i="12"/>
  <c r="L153" i="12"/>
  <c r="O123" i="12"/>
  <c r="O97" i="12"/>
  <c r="E158" i="5"/>
  <c r="F158" i="5" s="1"/>
  <c r="G158" i="5" s="1"/>
  <c r="M39" i="12"/>
  <c r="L55" i="5"/>
  <c r="M55" i="5" s="1"/>
  <c r="O85" i="12"/>
  <c r="O115" i="12"/>
  <c r="N180" i="12"/>
  <c r="O144" i="12"/>
  <c r="L119" i="12"/>
  <c r="L31" i="5"/>
  <c r="M31" i="5" s="1"/>
  <c r="M176" i="12"/>
  <c r="E48" i="5"/>
  <c r="F48" i="5" s="1"/>
  <c r="G48" i="5" s="1"/>
  <c r="E134" i="5"/>
  <c r="Q41" i="12"/>
  <c r="K21" i="7"/>
  <c r="J21" i="12" s="1"/>
  <c r="O112" i="12"/>
  <c r="M180" i="7"/>
  <c r="E32" i="5"/>
  <c r="F32" i="5" s="1"/>
  <c r="G32" i="5" s="1"/>
  <c r="E52" i="5"/>
  <c r="F52" i="5" s="1"/>
  <c r="G52" i="5" s="1"/>
  <c r="M44" i="12"/>
  <c r="L37" i="5"/>
  <c r="M37" i="5" s="1"/>
  <c r="O127" i="12"/>
  <c r="M115" i="12"/>
  <c r="O49" i="12"/>
  <c r="L47" i="12"/>
  <c r="O166" i="12"/>
  <c r="L174" i="12"/>
  <c r="L106" i="5"/>
  <c r="M106" i="5" s="1"/>
  <c r="L134" i="5"/>
  <c r="M134" i="5" s="1"/>
  <c r="L39" i="5"/>
  <c r="M39" i="5" s="1"/>
  <c r="L102" i="5"/>
  <c r="M102" i="5" s="1"/>
  <c r="L110" i="5"/>
  <c r="M110" i="5" s="1"/>
  <c r="L152" i="5"/>
  <c r="M152" i="5" s="1"/>
  <c r="E150" i="5"/>
  <c r="F150" i="5" s="1"/>
  <c r="G150" i="5" s="1"/>
  <c r="L46" i="5"/>
  <c r="M46" i="5" s="1"/>
  <c r="L126" i="5"/>
  <c r="M126" i="5" s="1"/>
  <c r="Q35" i="12"/>
  <c r="Q43" i="12"/>
  <c r="M93" i="12"/>
  <c r="L105" i="12"/>
  <c r="L160" i="5"/>
  <c r="E35" i="5"/>
  <c r="F35" i="5" s="1"/>
  <c r="G35" i="5" s="1"/>
  <c r="E147" i="5"/>
  <c r="F147" i="5" s="1"/>
  <c r="G147" i="5" s="1"/>
  <c r="O141" i="12"/>
  <c r="O147" i="12"/>
  <c r="M180" i="12"/>
  <c r="O95" i="12"/>
  <c r="O52" i="12"/>
  <c r="J14" i="5"/>
  <c r="K41" i="3"/>
  <c r="E30" i="3"/>
  <c r="J26" i="5"/>
  <c r="P40" i="12"/>
  <c r="E60" i="3"/>
  <c r="K146" i="3"/>
  <c r="R90" i="12"/>
  <c r="O7" i="12"/>
  <c r="M80" i="5"/>
  <c r="P72" i="5"/>
  <c r="L96" i="12"/>
  <c r="N62" i="2"/>
  <c r="O62" i="2" s="1"/>
  <c r="P49" i="5"/>
  <c r="P130" i="5"/>
  <c r="R102" i="12"/>
  <c r="H65" i="3"/>
  <c r="H51" i="3"/>
  <c r="H167" i="3"/>
  <c r="K135" i="7"/>
  <c r="J135" i="12" s="1"/>
  <c r="C119" i="7"/>
  <c r="P10" i="5"/>
  <c r="D54" i="7"/>
  <c r="M83" i="5"/>
  <c r="E36" i="3"/>
  <c r="H171" i="3"/>
  <c r="P163" i="5"/>
  <c r="E155" i="7"/>
  <c r="R88" i="12"/>
  <c r="Q138" i="12"/>
  <c r="L89" i="12"/>
  <c r="L155" i="7"/>
  <c r="M54" i="7"/>
  <c r="O68" i="7"/>
  <c r="P105" i="12"/>
  <c r="O54" i="7"/>
  <c r="H155" i="7"/>
  <c r="F73" i="7"/>
  <c r="J55" i="2"/>
  <c r="K55" i="2" s="1"/>
  <c r="J67" i="2"/>
  <c r="K67" i="2" s="1"/>
  <c r="J60" i="2"/>
  <c r="K60" i="2" s="1"/>
  <c r="H54" i="7"/>
  <c r="K54" i="7"/>
  <c r="J54" i="12" s="1"/>
  <c r="D155" i="7"/>
  <c r="H110" i="3"/>
  <c r="P119" i="5"/>
  <c r="B54" i="7"/>
  <c r="F158" i="7"/>
  <c r="C54" i="7"/>
  <c r="K158" i="7"/>
  <c r="P134" i="5"/>
  <c r="K64" i="3"/>
  <c r="D183" i="7"/>
  <c r="S35" i="12"/>
  <c r="L13" i="12"/>
  <c r="D158" i="7"/>
  <c r="G158" i="7"/>
  <c r="E117" i="3"/>
  <c r="H92" i="3"/>
  <c r="Q66" i="12"/>
  <c r="I158" i="7"/>
  <c r="J80" i="12"/>
  <c r="C158" i="7"/>
  <c r="J32" i="2"/>
  <c r="K32" i="2" s="1"/>
  <c r="M33" i="5"/>
  <c r="M49" i="5"/>
  <c r="N158" i="7"/>
  <c r="H39" i="3"/>
  <c r="O80" i="7"/>
  <c r="F183" i="7"/>
  <c r="P87" i="5"/>
  <c r="L80" i="7"/>
  <c r="K80" i="12" s="1"/>
  <c r="H20" i="3"/>
  <c r="O146" i="7"/>
  <c r="E146" i="7"/>
  <c r="H59" i="3"/>
  <c r="E57" i="3"/>
  <c r="N54" i="7"/>
  <c r="F68" i="7"/>
  <c r="J54" i="7"/>
  <c r="K72" i="12"/>
  <c r="N184" i="2"/>
  <c r="O184" i="2" s="1"/>
  <c r="N50" i="2"/>
  <c r="O50" i="2" s="1"/>
  <c r="H24" i="3"/>
  <c r="F155" i="7"/>
  <c r="P22" i="5"/>
  <c r="Q169" i="12"/>
  <c r="I53" i="7"/>
  <c r="I53" i="12" s="1"/>
  <c r="B33" i="7"/>
  <c r="H98" i="7"/>
  <c r="H98" i="12" s="1"/>
  <c r="N69" i="7"/>
  <c r="K95" i="12"/>
  <c r="F25" i="7"/>
  <c r="L35" i="7"/>
  <c r="M90" i="7"/>
  <c r="H160" i="7"/>
  <c r="H160" i="12" s="1"/>
  <c r="M88" i="5"/>
  <c r="E29" i="5"/>
  <c r="F29" i="5" s="1"/>
  <c r="G29" i="5" s="1"/>
  <c r="N33" i="2"/>
  <c r="O33" i="2" s="1"/>
  <c r="N94" i="2"/>
  <c r="O94" i="2" s="1"/>
  <c r="I98" i="7"/>
  <c r="E80" i="7"/>
  <c r="G117" i="7"/>
  <c r="M164" i="7"/>
  <c r="O13" i="7"/>
  <c r="N68" i="7"/>
  <c r="L183" i="7"/>
  <c r="I13" i="7"/>
  <c r="I13" i="12" s="1"/>
  <c r="K91" i="7"/>
  <c r="G96" i="14"/>
  <c r="N62" i="12"/>
  <c r="Q27" i="12"/>
  <c r="K98" i="7"/>
  <c r="I35" i="7"/>
  <c r="J53" i="7"/>
  <c r="D35" i="7"/>
  <c r="E90" i="3"/>
  <c r="K122" i="3"/>
  <c r="K156" i="3"/>
  <c r="L25" i="7"/>
  <c r="K25" i="12" s="1"/>
  <c r="K20" i="3"/>
  <c r="K88" i="7"/>
  <c r="F134" i="7"/>
  <c r="M158" i="7"/>
  <c r="O155" i="7"/>
  <c r="B183" i="7"/>
  <c r="I96" i="7"/>
  <c r="I96" i="12" s="1"/>
  <c r="O88" i="7"/>
  <c r="H134" i="7"/>
  <c r="G35" i="7"/>
  <c r="E28" i="3"/>
  <c r="D33" i="7"/>
  <c r="L104" i="12"/>
  <c r="R24" i="12"/>
  <c r="N156" i="12"/>
  <c r="L135" i="12"/>
  <c r="I90" i="7"/>
  <c r="C98" i="7"/>
  <c r="H13" i="7"/>
  <c r="H13" i="12" s="1"/>
  <c r="O127" i="7"/>
  <c r="J160" i="7"/>
  <c r="B53" i="7"/>
  <c r="D170" i="7"/>
  <c r="G46" i="2"/>
  <c r="N134" i="2"/>
  <c r="O134" i="2" s="1"/>
  <c r="G69" i="7"/>
  <c r="M91" i="7"/>
  <c r="J88" i="7"/>
  <c r="M134" i="7"/>
  <c r="G155" i="7"/>
  <c r="J183" i="7"/>
  <c r="P111" i="5"/>
  <c r="O35" i="7"/>
  <c r="L158" i="7"/>
  <c r="B155" i="7"/>
  <c r="O33" i="7"/>
  <c r="H183" i="7"/>
  <c r="R46" i="12"/>
  <c r="R156" i="12"/>
  <c r="M168" i="12"/>
  <c r="N90" i="7"/>
  <c r="D13" i="7"/>
  <c r="N160" i="7"/>
  <c r="J47" i="5"/>
  <c r="E73" i="3"/>
  <c r="K145" i="3"/>
  <c r="K35" i="7"/>
  <c r="E88" i="7"/>
  <c r="M155" i="7"/>
  <c r="N183" i="7"/>
  <c r="F35" i="7"/>
  <c r="J134" i="7"/>
  <c r="E158" i="7"/>
  <c r="B52" i="7"/>
  <c r="L134" i="7"/>
  <c r="K134" i="12" s="1"/>
  <c r="N104" i="2"/>
  <c r="O104" i="2" s="1"/>
  <c r="N13" i="7"/>
  <c r="O134" i="7"/>
  <c r="H77" i="3"/>
  <c r="F46" i="2"/>
  <c r="J180" i="2"/>
  <c r="K180" i="2" s="1"/>
  <c r="M13" i="7"/>
  <c r="M51" i="7"/>
  <c r="D24" i="7"/>
  <c r="E73" i="7"/>
  <c r="N88" i="7"/>
  <c r="C183" i="7"/>
  <c r="E155" i="3"/>
  <c r="E35" i="7"/>
  <c r="K155" i="7"/>
  <c r="D61" i="7"/>
  <c r="R26" i="12"/>
  <c r="J13" i="7"/>
  <c r="H51" i="7"/>
  <c r="K50" i="3"/>
  <c r="K78" i="3"/>
  <c r="N145" i="2"/>
  <c r="O145" i="2" s="1"/>
  <c r="J51" i="7"/>
  <c r="K24" i="7"/>
  <c r="J24" i="12" s="1"/>
  <c r="F91" i="7"/>
  <c r="N96" i="7"/>
  <c r="G88" i="7"/>
  <c r="I88" i="7"/>
  <c r="I88" i="12" s="1"/>
  <c r="F88" i="7"/>
  <c r="G183" i="7"/>
  <c r="J52" i="7"/>
  <c r="M25" i="7"/>
  <c r="J158" i="7"/>
  <c r="C73" i="7"/>
  <c r="B158" i="7"/>
  <c r="G162" i="14"/>
  <c r="G26" i="14"/>
  <c r="M146" i="12"/>
  <c r="F13" i="7"/>
  <c r="D25" i="7"/>
  <c r="G134" i="7"/>
  <c r="O90" i="7"/>
  <c r="H53" i="7"/>
  <c r="M127" i="7"/>
  <c r="H182" i="12"/>
  <c r="J150" i="5"/>
  <c r="H57" i="3"/>
  <c r="F6" i="3"/>
  <c r="N30" i="2"/>
  <c r="O30" i="2" s="1"/>
  <c r="G53" i="7"/>
  <c r="J96" i="7"/>
  <c r="C88" i="7"/>
  <c r="C155" i="7"/>
  <c r="K183" i="7"/>
  <c r="J183" i="12" s="1"/>
  <c r="N52" i="7"/>
  <c r="K187" i="3"/>
  <c r="P34" i="5"/>
  <c r="O61" i="7"/>
  <c r="P65" i="5"/>
  <c r="L19" i="12"/>
  <c r="F160" i="7"/>
  <c r="K134" i="7"/>
  <c r="J134" i="12" s="1"/>
  <c r="S83" i="12"/>
  <c r="B13" i="7"/>
  <c r="I25" i="7"/>
  <c r="I25" i="12" s="1"/>
  <c r="I51" i="7"/>
  <c r="E90" i="7"/>
  <c r="C134" i="7"/>
  <c r="K90" i="7"/>
  <c r="J90" i="12" s="1"/>
  <c r="M53" i="7"/>
  <c r="E98" i="7"/>
  <c r="K158" i="3"/>
  <c r="L6" i="3"/>
  <c r="C53" i="7"/>
  <c r="E96" i="7"/>
  <c r="F96" i="7"/>
  <c r="L88" i="7"/>
  <c r="D134" i="7"/>
  <c r="I155" i="7"/>
  <c r="O183" i="7"/>
  <c r="K147" i="3"/>
  <c r="M35" i="7"/>
  <c r="H25" i="7"/>
  <c r="H25" i="12" s="1"/>
  <c r="I91" i="7"/>
  <c r="I91" i="12" s="1"/>
  <c r="B90" i="7"/>
  <c r="N190" i="2"/>
  <c r="O190" i="2" s="1"/>
  <c r="R47" i="12"/>
  <c r="O103" i="12"/>
  <c r="L101" i="12"/>
  <c r="I117" i="7"/>
  <c r="O25" i="7"/>
  <c r="E53" i="7"/>
  <c r="J90" i="7"/>
  <c r="G90" i="7"/>
  <c r="N25" i="7"/>
  <c r="J98" i="7"/>
  <c r="J157" i="5"/>
  <c r="K95" i="3"/>
  <c r="I6" i="3"/>
  <c r="N113" i="2"/>
  <c r="O113" i="2" s="1"/>
  <c r="K96" i="7"/>
  <c r="J96" i="12" s="1"/>
  <c r="B96" i="7"/>
  <c r="H88" i="7"/>
  <c r="H88" i="12" s="1"/>
  <c r="M88" i="7"/>
  <c r="I134" i="7"/>
  <c r="I134" i="12" s="1"/>
  <c r="N155" i="7"/>
  <c r="G25" i="7"/>
  <c r="M183" i="7"/>
  <c r="F52" i="2"/>
  <c r="P146" i="12"/>
  <c r="P172" i="12"/>
  <c r="R154" i="12"/>
  <c r="P124" i="12"/>
  <c r="N154" i="12"/>
  <c r="P30" i="12"/>
  <c r="S69" i="12"/>
  <c r="P159" i="5"/>
  <c r="O172" i="12"/>
  <c r="B236" i="2"/>
  <c r="L10" i="7"/>
  <c r="K10" i="12" s="1"/>
  <c r="M56" i="5"/>
  <c r="L32" i="12"/>
  <c r="S137" i="12"/>
  <c r="L110" i="12"/>
  <c r="O104" i="12"/>
  <c r="P102" i="12"/>
  <c r="S116" i="12"/>
  <c r="L98" i="12"/>
  <c r="N137" i="12"/>
  <c r="S155" i="12"/>
  <c r="H48" i="3"/>
  <c r="L109" i="12"/>
  <c r="O107" i="12"/>
  <c r="S150" i="12"/>
  <c r="Q124" i="12"/>
  <c r="S162" i="12"/>
  <c r="R145" i="12"/>
  <c r="L108" i="5"/>
  <c r="M108" i="5" s="1"/>
  <c r="O105" i="12"/>
  <c r="R100" i="12"/>
  <c r="L107" i="12"/>
  <c r="O153" i="12"/>
  <c r="P157" i="12"/>
  <c r="P123" i="12"/>
  <c r="L100" i="5"/>
  <c r="M100" i="5" s="1"/>
  <c r="R131" i="12"/>
  <c r="O121" i="12"/>
  <c r="R148" i="12"/>
  <c r="M173" i="12"/>
  <c r="O151" i="12"/>
  <c r="N160" i="12"/>
  <c r="E117" i="5"/>
  <c r="F117" i="5" s="1"/>
  <c r="G117" i="5" s="1"/>
  <c r="O135" i="12"/>
  <c r="M122" i="12"/>
  <c r="Q112" i="12"/>
  <c r="O109" i="12"/>
  <c r="L121" i="12"/>
  <c r="S124" i="12"/>
  <c r="L124" i="5"/>
  <c r="M124" i="5" s="1"/>
  <c r="L146" i="5"/>
  <c r="M146" i="5" s="1"/>
  <c r="R170" i="12"/>
  <c r="E128" i="5"/>
  <c r="O117" i="12"/>
  <c r="L116" i="5"/>
  <c r="M116" i="5" s="1"/>
  <c r="Q128" i="12"/>
  <c r="O157" i="12"/>
  <c r="R115" i="12"/>
  <c r="N152" i="12"/>
  <c r="E139" i="5"/>
  <c r="F139" i="5" s="1"/>
  <c r="G139" i="5" s="1"/>
  <c r="E115" i="5"/>
  <c r="F115" i="5" s="1"/>
  <c r="G115" i="5" s="1"/>
  <c r="O137" i="12"/>
  <c r="N126" i="12"/>
  <c r="P141" i="12"/>
  <c r="M153" i="12"/>
  <c r="M143" i="12"/>
  <c r="M157" i="12"/>
  <c r="S110" i="12"/>
  <c r="Q152" i="12"/>
  <c r="P125" i="12"/>
  <c r="Q109" i="12"/>
  <c r="N169" i="12"/>
  <c r="N128" i="12"/>
  <c r="S104" i="12"/>
  <c r="R119" i="12"/>
  <c r="Q140" i="12"/>
  <c r="L150" i="5"/>
  <c r="M150" i="5" s="1"/>
  <c r="Q113" i="12"/>
  <c r="L113" i="5"/>
  <c r="M113" i="5" s="1"/>
  <c r="P145" i="12"/>
  <c r="L145" i="5"/>
  <c r="M145" i="5" s="1"/>
  <c r="N120" i="12"/>
  <c r="P139" i="12"/>
  <c r="R165" i="12"/>
  <c r="Q117" i="12"/>
  <c r="S114" i="12"/>
  <c r="L151" i="12"/>
  <c r="E119" i="5"/>
  <c r="F119" i="5" s="1"/>
  <c r="G119" i="5" s="1"/>
  <c r="S123" i="12"/>
  <c r="P155" i="12"/>
  <c r="L128" i="5"/>
  <c r="M128" i="5" s="1"/>
  <c r="L137" i="12"/>
  <c r="S140" i="12"/>
  <c r="L140" i="5"/>
  <c r="M140" i="5" s="1"/>
  <c r="S158" i="12"/>
  <c r="L129" i="5"/>
  <c r="M129" i="5" s="1"/>
  <c r="E124" i="5"/>
  <c r="F124" i="5" s="1"/>
  <c r="G124" i="5" s="1"/>
  <c r="Q123" i="12"/>
  <c r="N157" i="12"/>
  <c r="P153" i="12"/>
  <c r="Q104" i="12"/>
  <c r="O139" i="12"/>
  <c r="O116" i="12"/>
  <c r="O125" i="12"/>
  <c r="R149" i="12"/>
  <c r="L157" i="5"/>
  <c r="M157" i="5" s="1"/>
  <c r="M149" i="12"/>
  <c r="O163" i="12"/>
  <c r="Q135" i="12"/>
  <c r="N108" i="12"/>
  <c r="P128" i="12"/>
  <c r="O120" i="12"/>
  <c r="C11" i="28"/>
  <c r="B8" i="28"/>
  <c r="E235" i="2"/>
  <c r="K10" i="3"/>
  <c r="N182" i="12"/>
  <c r="M177" i="12"/>
  <c r="N174" i="12"/>
  <c r="N178" i="12"/>
  <c r="N185" i="12"/>
  <c r="N177" i="12"/>
  <c r="E29" i="3"/>
  <c r="N96" i="2"/>
  <c r="O96" i="2" s="1"/>
  <c r="G163" i="2"/>
  <c r="L146" i="7"/>
  <c r="K146" i="12" s="1"/>
  <c r="F193" i="2"/>
  <c r="P165" i="5"/>
  <c r="P13" i="5"/>
  <c r="P37" i="5"/>
  <c r="P73" i="5"/>
  <c r="P71" i="12"/>
  <c r="S89" i="12"/>
  <c r="M97" i="5"/>
  <c r="S115" i="12"/>
  <c r="O132" i="12"/>
  <c r="L51" i="12"/>
  <c r="M20" i="12"/>
  <c r="L15" i="7"/>
  <c r="K15" i="12" s="1"/>
  <c r="D117" i="7"/>
  <c r="C51" i="7"/>
  <c r="D91" i="7"/>
  <c r="J127" i="7"/>
  <c r="E15" i="7"/>
  <c r="L127" i="7"/>
  <c r="D51" i="7"/>
  <c r="C62" i="7"/>
  <c r="B188" i="7"/>
  <c r="H170" i="7"/>
  <c r="J49" i="2"/>
  <c r="K49" i="2" s="1"/>
  <c r="F89" i="2"/>
  <c r="N105" i="2"/>
  <c r="O105" i="2" s="1"/>
  <c r="P108" i="5"/>
  <c r="I15" i="7"/>
  <c r="O8" i="7"/>
  <c r="F51" i="7"/>
  <c r="D16" i="7"/>
  <c r="O24" i="7"/>
  <c r="N91" i="7"/>
  <c r="E60" i="7"/>
  <c r="C84" i="7"/>
  <c r="I118" i="7"/>
  <c r="I170" i="7"/>
  <c r="P36" i="5"/>
  <c r="M16" i="7"/>
  <c r="E52" i="7"/>
  <c r="M38" i="7"/>
  <c r="F38" i="7"/>
  <c r="H65" i="7"/>
  <c r="H65" i="12" s="1"/>
  <c r="C65" i="7"/>
  <c r="I33" i="7"/>
  <c r="I33" i="12" s="1"/>
  <c r="C8" i="7"/>
  <c r="N181" i="7"/>
  <c r="J69" i="7"/>
  <c r="O170" i="7"/>
  <c r="H14" i="3"/>
  <c r="H168" i="3"/>
  <c r="N38" i="2"/>
  <c r="O38" i="2" s="1"/>
  <c r="P25" i="5"/>
  <c r="P64" i="5"/>
  <c r="B51" i="7"/>
  <c r="C69" i="7"/>
  <c r="G24" i="7"/>
  <c r="G91" i="7"/>
  <c r="C117" i="7"/>
  <c r="F118" i="7"/>
  <c r="K96" i="3"/>
  <c r="G23" i="14"/>
  <c r="J38" i="7"/>
  <c r="I52" i="7"/>
  <c r="I52" i="12" s="1"/>
  <c r="M62" i="7"/>
  <c r="N20" i="2"/>
  <c r="O20" i="2" s="1"/>
  <c r="R39" i="12"/>
  <c r="G89" i="2"/>
  <c r="J101" i="2"/>
  <c r="K101" i="2" s="1"/>
  <c r="L68" i="12"/>
  <c r="P92" i="12"/>
  <c r="N104" i="12"/>
  <c r="R123" i="12"/>
  <c r="S128" i="12"/>
  <c r="P159" i="12"/>
  <c r="K117" i="7"/>
  <c r="J117" i="12" s="1"/>
  <c r="F69" i="7"/>
  <c r="J86" i="5"/>
  <c r="K13" i="3"/>
  <c r="H74" i="3"/>
  <c r="K170" i="7"/>
  <c r="G61" i="2"/>
  <c r="C24" i="7"/>
  <c r="J43" i="7"/>
  <c r="B91" i="7"/>
  <c r="G187" i="2"/>
  <c r="G123" i="14"/>
  <c r="E38" i="7"/>
  <c r="D52" i="7"/>
  <c r="I60" i="7"/>
  <c r="I60" i="12" s="1"/>
  <c r="F62" i="7"/>
  <c r="J118" i="7"/>
  <c r="L52" i="7"/>
  <c r="K52" i="12" s="1"/>
  <c r="H86" i="7"/>
  <c r="H86" i="12" s="1"/>
  <c r="J169" i="7"/>
  <c r="G33" i="7"/>
  <c r="C4" i="21" s="1"/>
  <c r="F127" i="7"/>
  <c r="E117" i="7"/>
  <c r="S34" i="12"/>
  <c r="S152" i="12"/>
  <c r="O118" i="7"/>
  <c r="B69" i="7"/>
  <c r="H181" i="12"/>
  <c r="K78" i="7"/>
  <c r="J78" i="12" s="1"/>
  <c r="H31" i="3"/>
  <c r="E74" i="3"/>
  <c r="G170" i="7"/>
  <c r="E25" i="3"/>
  <c r="F121" i="2"/>
  <c r="G167" i="14"/>
  <c r="P66" i="5"/>
  <c r="G52" i="7"/>
  <c r="K11" i="7"/>
  <c r="J11" i="12" s="1"/>
  <c r="N60" i="7"/>
  <c r="K60" i="7"/>
  <c r="J60" i="12" s="1"/>
  <c r="N123" i="7"/>
  <c r="K129" i="3"/>
  <c r="N38" i="7"/>
  <c r="C52" i="7"/>
  <c r="C60" i="7"/>
  <c r="E62" i="7"/>
  <c r="E86" i="7"/>
  <c r="F167" i="7"/>
  <c r="I188" i="7"/>
  <c r="I188" i="12" s="1"/>
  <c r="N136" i="2"/>
  <c r="O136" i="2" s="1"/>
  <c r="F86" i="7"/>
  <c r="M170" i="7"/>
  <c r="M52" i="7"/>
  <c r="K127" i="7"/>
  <c r="J127" i="12" s="1"/>
  <c r="E33" i="7"/>
  <c r="L33" i="7"/>
  <c r="K33" i="12" s="1"/>
  <c r="Q97" i="12"/>
  <c r="R69" i="12"/>
  <c r="R128" i="12"/>
  <c r="R152" i="12"/>
  <c r="R25" i="12"/>
  <c r="K15" i="7"/>
  <c r="J15" i="12" s="1"/>
  <c r="O38" i="7"/>
  <c r="K118" i="7"/>
  <c r="J118" i="12" s="1"/>
  <c r="H117" i="7"/>
  <c r="H117" i="12" s="1"/>
  <c r="G188" i="7"/>
  <c r="C170" i="7"/>
  <c r="E27" i="3"/>
  <c r="K164" i="3"/>
  <c r="N85" i="2"/>
  <c r="O85" i="2" s="1"/>
  <c r="F106" i="2"/>
  <c r="P84" i="5"/>
  <c r="K52" i="7"/>
  <c r="J52" i="12" s="1"/>
  <c r="C11" i="7"/>
  <c r="G60" i="7"/>
  <c r="N24" i="7"/>
  <c r="J60" i="7"/>
  <c r="D129" i="7"/>
  <c r="K56" i="3"/>
  <c r="E170" i="3"/>
  <c r="M67" i="5"/>
  <c r="I38" i="7"/>
  <c r="I38" i="12" s="1"/>
  <c r="L65" i="7"/>
  <c r="K65" i="12" s="1"/>
  <c r="O164" i="7"/>
  <c r="H38" i="7"/>
  <c r="J86" i="7"/>
  <c r="I169" i="7"/>
  <c r="I169" i="12" s="1"/>
  <c r="C188" i="7"/>
  <c r="J68" i="2"/>
  <c r="K68" i="2" s="1"/>
  <c r="J177" i="2"/>
  <c r="K177" i="2" s="1"/>
  <c r="K65" i="7"/>
  <c r="J65" i="12" s="1"/>
  <c r="M86" i="7"/>
  <c r="E170" i="7"/>
  <c r="F181" i="7"/>
  <c r="N39" i="12"/>
  <c r="M124" i="12"/>
  <c r="Q122" i="12"/>
  <c r="R34" i="12"/>
  <c r="N98" i="12"/>
  <c r="R75" i="12"/>
  <c r="M75" i="12"/>
  <c r="R116" i="12"/>
  <c r="M166" i="12"/>
  <c r="R72" i="12"/>
  <c r="M151" i="5"/>
  <c r="M89" i="12"/>
  <c r="C127" i="7"/>
  <c r="K38" i="7"/>
  <c r="D62" i="7"/>
  <c r="G118" i="7"/>
  <c r="H69" i="7"/>
  <c r="H69" i="12" s="1"/>
  <c r="M117" i="7"/>
  <c r="O188" i="7"/>
  <c r="J110" i="5"/>
  <c r="L188" i="7"/>
  <c r="K188" i="12" s="1"/>
  <c r="L178" i="7"/>
  <c r="N102" i="2"/>
  <c r="O102" i="2" s="1"/>
  <c r="O52" i="7"/>
  <c r="O11" i="7"/>
  <c r="O60" i="7"/>
  <c r="J24" i="7"/>
  <c r="F60" i="7"/>
  <c r="I24" i="7"/>
  <c r="I24" i="12" s="1"/>
  <c r="I129" i="7"/>
  <c r="P99" i="5"/>
  <c r="D38" i="7"/>
  <c r="E65" i="7"/>
  <c r="L181" i="7"/>
  <c r="K181" i="12" s="1"/>
  <c r="N175" i="2"/>
  <c r="O175" i="2" s="1"/>
  <c r="B86" i="7"/>
  <c r="M181" i="7"/>
  <c r="E178" i="3"/>
  <c r="M65" i="7"/>
  <c r="D15" i="7"/>
  <c r="R98" i="12"/>
  <c r="I127" i="7"/>
  <c r="G38" i="7"/>
  <c r="I62" i="7"/>
  <c r="I62" i="12" s="1"/>
  <c r="E69" i="7"/>
  <c r="C118" i="7"/>
  <c r="J63" i="12"/>
  <c r="N117" i="7"/>
  <c r="M69" i="7"/>
  <c r="K77" i="3"/>
  <c r="H188" i="7"/>
  <c r="H188" i="12" s="1"/>
  <c r="N170" i="7"/>
  <c r="K188" i="7"/>
  <c r="J188" i="12" s="1"/>
  <c r="F61" i="2"/>
  <c r="N169" i="2"/>
  <c r="O169" i="2" s="1"/>
  <c r="G157" i="14"/>
  <c r="F24" i="7"/>
  <c r="E181" i="7"/>
  <c r="M8" i="7"/>
  <c r="D65" i="7"/>
  <c r="E129" i="7"/>
  <c r="O51" i="7"/>
  <c r="D181" i="7"/>
  <c r="H33" i="7"/>
  <c r="H33" i="12" s="1"/>
  <c r="D86" i="7"/>
  <c r="O117" i="7"/>
  <c r="D127" i="7"/>
  <c r="R126" i="12"/>
  <c r="R106" i="12"/>
  <c r="N15" i="7"/>
  <c r="D69" i="7"/>
  <c r="N127" i="7"/>
  <c r="N33" i="7"/>
  <c r="C38" i="7"/>
  <c r="N62" i="7"/>
  <c r="K69" i="7"/>
  <c r="J69" i="12" s="1"/>
  <c r="G181" i="7"/>
  <c r="J117" i="7"/>
  <c r="G15" i="7"/>
  <c r="H95" i="3"/>
  <c r="D188" i="7"/>
  <c r="J170" i="7"/>
  <c r="E161" i="3"/>
  <c r="J113" i="2"/>
  <c r="K113" i="2" s="1"/>
  <c r="N176" i="2"/>
  <c r="O176" i="2" s="1"/>
  <c r="J75" i="2"/>
  <c r="K75" i="2" s="1"/>
  <c r="J123" i="2"/>
  <c r="K123" i="2" s="1"/>
  <c r="N130" i="2"/>
  <c r="O130" i="2" s="1"/>
  <c r="E236" i="2"/>
  <c r="O65" i="7"/>
  <c r="M11" i="7"/>
  <c r="B24" i="7"/>
  <c r="L60" i="7"/>
  <c r="K60" i="12" s="1"/>
  <c r="J99" i="7"/>
  <c r="J181" i="7"/>
  <c r="P143" i="5"/>
  <c r="I86" i="7"/>
  <c r="E51" i="7"/>
  <c r="H64" i="3"/>
  <c r="K28" i="3"/>
  <c r="I181" i="7"/>
  <c r="I180" i="12" s="1"/>
  <c r="M33" i="7"/>
  <c r="K129" i="7"/>
  <c r="E91" i="7"/>
  <c r="K33" i="7"/>
  <c r="J91" i="7"/>
  <c r="P152" i="12"/>
  <c r="N51" i="7"/>
  <c r="Q103" i="12"/>
  <c r="J15" i="7"/>
  <c r="I69" i="7"/>
  <c r="I69" i="12" s="1"/>
  <c r="J33" i="7"/>
  <c r="M55" i="7"/>
  <c r="K181" i="7"/>
  <c r="J181" i="12" s="1"/>
  <c r="F117" i="7"/>
  <c r="O15" i="7"/>
  <c r="O62" i="7"/>
  <c r="H172" i="12"/>
  <c r="J152" i="5"/>
  <c r="K162" i="3"/>
  <c r="N188" i="7"/>
  <c r="F170" i="7"/>
  <c r="H30" i="3"/>
  <c r="N45" i="2"/>
  <c r="O45" i="2" s="1"/>
  <c r="N117" i="2"/>
  <c r="O117" i="2" s="1"/>
  <c r="E11" i="7"/>
  <c r="L24" i="7"/>
  <c r="K24" i="12" s="1"/>
  <c r="H60" i="7"/>
  <c r="H60" i="12" s="1"/>
  <c r="K51" i="7"/>
  <c r="J51" i="12" s="1"/>
  <c r="B99" i="7"/>
  <c r="N86" i="7"/>
  <c r="G51" i="7"/>
  <c r="B181" i="7"/>
  <c r="L38" i="7"/>
  <c r="G31" i="14"/>
  <c r="O91" i="7"/>
  <c r="M75" i="5"/>
  <c r="K69" i="12"/>
  <c r="M56" i="12"/>
  <c r="L55" i="12"/>
  <c r="F15" i="7"/>
  <c r="O69" i="7"/>
  <c r="F33" i="7"/>
  <c r="L91" i="7"/>
  <c r="K91" i="12" s="1"/>
  <c r="L123" i="7"/>
  <c r="O181" i="7"/>
  <c r="B117" i="7"/>
  <c r="J89" i="7"/>
  <c r="G127" i="7"/>
  <c r="K172" i="12"/>
  <c r="K182" i="12"/>
  <c r="M84" i="5"/>
  <c r="E53" i="3"/>
  <c r="J188" i="7"/>
  <c r="N161" i="2"/>
  <c r="O161" i="2" s="1"/>
  <c r="D11" i="7"/>
  <c r="H24" i="7"/>
  <c r="H24" i="12" s="1"/>
  <c r="C164" i="7"/>
  <c r="M24" i="7"/>
  <c r="H52" i="7"/>
  <c r="H52" i="12" s="1"/>
  <c r="C181" i="7"/>
  <c r="H187" i="3"/>
  <c r="K136" i="3"/>
  <c r="E76" i="3"/>
  <c r="P10" i="12"/>
  <c r="S125" i="12"/>
  <c r="G40" i="2"/>
  <c r="N181" i="2"/>
  <c r="O181" i="2" s="1"/>
  <c r="J88" i="2"/>
  <c r="K88" i="2" s="1"/>
  <c r="D98" i="7"/>
  <c r="O132" i="7"/>
  <c r="B134" i="7"/>
  <c r="B144" i="7"/>
  <c r="K136" i="7"/>
  <c r="M136" i="7"/>
  <c r="G13" i="7"/>
  <c r="D136" i="7"/>
  <c r="E100" i="7"/>
  <c r="P101" i="5"/>
  <c r="C96" i="7"/>
  <c r="B100" i="7"/>
  <c r="G136" i="7"/>
  <c r="H96" i="7"/>
  <c r="H96" i="12" s="1"/>
  <c r="M96" i="7"/>
  <c r="E183" i="3"/>
  <c r="O96" i="7"/>
  <c r="J95" i="12"/>
  <c r="R125" i="12"/>
  <c r="H68" i="3"/>
  <c r="G122" i="2"/>
  <c r="H100" i="7"/>
  <c r="H100" i="12" s="1"/>
  <c r="F98" i="7"/>
  <c r="E132" i="7"/>
  <c r="B136" i="7"/>
  <c r="K132" i="7"/>
  <c r="L144" i="7"/>
  <c r="K144" i="12" s="1"/>
  <c r="E13" i="7"/>
  <c r="N136" i="7"/>
  <c r="N92" i="2"/>
  <c r="O92" i="2" s="1"/>
  <c r="J100" i="7"/>
  <c r="M188" i="7"/>
  <c r="P69" i="5"/>
  <c r="L96" i="7"/>
  <c r="K96" i="12" s="1"/>
  <c r="K100" i="7"/>
  <c r="D100" i="7"/>
  <c r="K171" i="3"/>
  <c r="L90" i="7"/>
  <c r="G100" i="7"/>
  <c r="M100" i="7"/>
  <c r="P131" i="5"/>
  <c r="L100" i="7"/>
  <c r="J35" i="7"/>
  <c r="C107" i="7"/>
  <c r="D132" i="7"/>
  <c r="J136" i="7"/>
  <c r="L121" i="7"/>
  <c r="I136" i="7"/>
  <c r="I136" i="12" s="1"/>
  <c r="P42" i="5"/>
  <c r="O100" i="7"/>
  <c r="D96" i="7"/>
  <c r="C100" i="7"/>
  <c r="L113" i="7"/>
  <c r="K113" i="12" s="1"/>
  <c r="N100" i="7"/>
  <c r="C25" i="7"/>
  <c r="N24" i="12"/>
  <c r="S28" i="12"/>
  <c r="N110" i="12"/>
  <c r="P63" i="12"/>
  <c r="Q157" i="12"/>
  <c r="M128" i="12"/>
  <c r="L43" i="7"/>
  <c r="H123" i="7"/>
  <c r="H123" i="12" s="1"/>
  <c r="G78" i="7"/>
  <c r="F89" i="7"/>
  <c r="H178" i="7"/>
  <c r="G137" i="2"/>
  <c r="F134" i="2"/>
  <c r="O16" i="7"/>
  <c r="E43" i="7"/>
  <c r="K55" i="7"/>
  <c r="E16" i="7"/>
  <c r="C121" i="7"/>
  <c r="C89" i="7"/>
  <c r="E89" i="7"/>
  <c r="F123" i="7"/>
  <c r="M77" i="5"/>
  <c r="H43" i="7"/>
  <c r="G87" i="7"/>
  <c r="D123" i="7"/>
  <c r="C78" i="7"/>
  <c r="B89" i="7"/>
  <c r="N121" i="7"/>
  <c r="D178" i="7"/>
  <c r="K16" i="7"/>
  <c r="J16" i="12" s="1"/>
  <c r="M43" i="7"/>
  <c r="F78" i="7"/>
  <c r="H121" i="7"/>
  <c r="H121" i="12" s="1"/>
  <c r="K87" i="7"/>
  <c r="J87" i="12" s="1"/>
  <c r="M178" i="7"/>
  <c r="M121" i="7"/>
  <c r="L89" i="7"/>
  <c r="K89" i="12" s="1"/>
  <c r="O123" i="7"/>
  <c r="S131" i="12"/>
  <c r="Q93" i="12"/>
  <c r="N122" i="12"/>
  <c r="D43" i="7"/>
  <c r="M87" i="7"/>
  <c r="I126" i="7"/>
  <c r="N133" i="7"/>
  <c r="J121" i="7"/>
  <c r="O178" i="7"/>
  <c r="E133" i="3"/>
  <c r="K148" i="3"/>
  <c r="J122" i="2"/>
  <c r="K122" i="2" s="1"/>
  <c r="G16" i="7"/>
  <c r="G43" i="7"/>
  <c r="M78" i="7"/>
  <c r="G123" i="7"/>
  <c r="I87" i="7"/>
  <c r="I87" i="12" s="1"/>
  <c r="I178" i="7"/>
  <c r="I178" i="12" s="1"/>
  <c r="I43" i="7"/>
  <c r="E123" i="7"/>
  <c r="P97" i="5"/>
  <c r="N66" i="2"/>
  <c r="O66" i="2" s="1"/>
  <c r="C16" i="7"/>
  <c r="B43" i="7"/>
  <c r="B78" i="7"/>
  <c r="M123" i="7"/>
  <c r="N87" i="7"/>
  <c r="E178" i="7"/>
  <c r="F43" i="7"/>
  <c r="M89" i="7"/>
  <c r="B123" i="7"/>
  <c r="H89" i="7"/>
  <c r="G66" i="14"/>
  <c r="R28" i="12"/>
  <c r="L56" i="12"/>
  <c r="L123" i="12"/>
  <c r="H55" i="7"/>
  <c r="H55" i="12" s="1"/>
  <c r="D133" i="7"/>
  <c r="I89" i="7"/>
  <c r="I89" i="12" s="1"/>
  <c r="F133" i="7"/>
  <c r="B121" i="7"/>
  <c r="G178" i="7"/>
  <c r="K149" i="3"/>
  <c r="J39" i="2"/>
  <c r="K39" i="2" s="1"/>
  <c r="N65" i="2"/>
  <c r="O65" i="2" s="1"/>
  <c r="H78" i="7"/>
  <c r="H78" i="12" s="1"/>
  <c r="C87" i="7"/>
  <c r="C43" i="7"/>
  <c r="E126" i="7"/>
  <c r="K89" i="7"/>
  <c r="J89" i="12" s="1"/>
  <c r="D89" i="7"/>
  <c r="J133" i="7"/>
  <c r="F121" i="7"/>
  <c r="K178" i="7"/>
  <c r="J178" i="12" s="1"/>
  <c r="P35" i="12"/>
  <c r="S122" i="12"/>
  <c r="D55" i="7"/>
  <c r="I133" i="7"/>
  <c r="I133" i="12" s="1"/>
  <c r="O89" i="7"/>
  <c r="B133" i="7"/>
  <c r="J116" i="5"/>
  <c r="H26" i="3"/>
  <c r="E39" i="3"/>
  <c r="C178" i="7"/>
  <c r="F122" i="2"/>
  <c r="G153" i="14"/>
  <c r="N16" i="7"/>
  <c r="L78" i="7"/>
  <c r="K78" i="12" s="1"/>
  <c r="B87" i="7"/>
  <c r="G121" i="7"/>
  <c r="N76" i="2"/>
  <c r="O76" i="2" s="1"/>
  <c r="L126" i="7"/>
  <c r="K126" i="12" s="1"/>
  <c r="R20" i="12"/>
  <c r="O9" i="12"/>
  <c r="O133" i="7"/>
  <c r="D78" i="7"/>
  <c r="E55" i="7"/>
  <c r="N186" i="7"/>
  <c r="F21" i="2"/>
  <c r="J25" i="2"/>
  <c r="K25" i="2" s="1"/>
  <c r="N160" i="2"/>
  <c r="O160" i="2" s="1"/>
  <c r="J16" i="7"/>
  <c r="I16" i="7"/>
  <c r="I16" i="12" s="1"/>
  <c r="E78" i="7"/>
  <c r="G191" i="2"/>
  <c r="G133" i="7"/>
  <c r="K123" i="7"/>
  <c r="J123" i="12" s="1"/>
  <c r="L55" i="7"/>
  <c r="N20" i="12"/>
  <c r="P168" i="12"/>
  <c r="Q143" i="12"/>
  <c r="I78" i="7"/>
  <c r="I78" i="12" s="1"/>
  <c r="E133" i="7"/>
  <c r="J55" i="7"/>
  <c r="E87" i="7"/>
  <c r="J128" i="5"/>
  <c r="N178" i="7"/>
  <c r="F16" i="7"/>
  <c r="N55" i="7"/>
  <c r="N170" i="12"/>
  <c r="L168" i="12"/>
  <c r="Q107" i="12"/>
  <c r="N78" i="7"/>
  <c r="D121" i="7"/>
  <c r="K133" i="7"/>
  <c r="J133" i="12" s="1"/>
  <c r="O55" i="7"/>
  <c r="J87" i="7"/>
  <c r="H133" i="7"/>
  <c r="H133" i="12" s="1"/>
  <c r="J140" i="5"/>
  <c r="J178" i="7"/>
  <c r="F81" i="2"/>
  <c r="B16" i="7"/>
  <c r="C55" i="7"/>
  <c r="K121" i="7"/>
  <c r="J121" i="12" s="1"/>
  <c r="S113" i="12"/>
  <c r="R124" i="12"/>
  <c r="L87" i="7"/>
  <c r="K87" i="12" s="1"/>
  <c r="I121" i="7"/>
  <c r="O87" i="7"/>
  <c r="M133" i="7"/>
  <c r="F178" i="7"/>
  <c r="J174" i="2"/>
  <c r="K174" i="2" s="1"/>
  <c r="L16" i="7"/>
  <c r="K16" i="12" s="1"/>
  <c r="I55" i="7"/>
  <c r="C123" i="7"/>
  <c r="L133" i="7"/>
  <c r="K133" i="12" s="1"/>
  <c r="M186" i="7"/>
  <c r="N124" i="12"/>
  <c r="H87" i="7"/>
  <c r="H87" i="12" s="1"/>
  <c r="G55" i="7"/>
  <c r="O121" i="7"/>
  <c r="O78" i="7"/>
  <c r="N89" i="7"/>
  <c r="G81" i="2"/>
  <c r="F137" i="2"/>
  <c r="G134" i="2"/>
  <c r="B55" i="7"/>
  <c r="O43" i="7"/>
  <c r="N43" i="7"/>
  <c r="I123" i="7"/>
  <c r="G21" i="7"/>
  <c r="S11" i="12"/>
  <c r="F123" i="5"/>
  <c r="G123" i="5" s="1"/>
  <c r="O168" i="12"/>
  <c r="N90" i="12"/>
  <c r="M134" i="12"/>
  <c r="L116" i="12"/>
  <c r="E97" i="5"/>
  <c r="F97" i="5" s="1"/>
  <c r="G97" i="5" s="1"/>
  <c r="N98" i="7"/>
  <c r="M49" i="7"/>
  <c r="D163" i="7"/>
  <c r="H97" i="7"/>
  <c r="H97" i="12" s="1"/>
  <c r="J180" i="12"/>
  <c r="L97" i="7"/>
  <c r="K97" i="12" s="1"/>
  <c r="N106" i="12"/>
  <c r="H121" i="3"/>
  <c r="H49" i="7"/>
  <c r="G49" i="7"/>
  <c r="O163" i="7"/>
  <c r="O175" i="7"/>
  <c r="P81" i="5"/>
  <c r="G116" i="7"/>
  <c r="P107" i="12"/>
  <c r="L111" i="12"/>
  <c r="O97" i="7"/>
  <c r="C49" i="7"/>
  <c r="K163" i="7"/>
  <c r="J163" i="12" s="1"/>
  <c r="E182" i="7"/>
  <c r="L109" i="7"/>
  <c r="J175" i="7"/>
  <c r="F111" i="7"/>
  <c r="P80" i="5"/>
  <c r="G37" i="7"/>
  <c r="I97" i="7"/>
  <c r="I97" i="12" s="1"/>
  <c r="D177" i="7"/>
  <c r="G163" i="7"/>
  <c r="I182" i="7"/>
  <c r="I182" i="12" s="1"/>
  <c r="E175" i="7"/>
  <c r="K97" i="7"/>
  <c r="J97" i="12" s="1"/>
  <c r="G175" i="7"/>
  <c r="I116" i="7"/>
  <c r="I116" i="12" s="1"/>
  <c r="D175" i="7"/>
  <c r="E116" i="7"/>
  <c r="N116" i="7"/>
  <c r="P154" i="12"/>
  <c r="B177" i="7"/>
  <c r="N177" i="7"/>
  <c r="G100" i="2"/>
  <c r="H116" i="7"/>
  <c r="J140" i="2"/>
  <c r="K140" i="2" s="1"/>
  <c r="I109" i="7"/>
  <c r="I109" i="12" s="1"/>
  <c r="J177" i="7"/>
  <c r="E118" i="7"/>
  <c r="B118" i="7"/>
  <c r="G69" i="2"/>
  <c r="H177" i="7"/>
  <c r="L116" i="7"/>
  <c r="G57" i="7"/>
  <c r="C177" i="7"/>
  <c r="M118" i="7"/>
  <c r="J73" i="2"/>
  <c r="K73" i="2" s="1"/>
  <c r="M177" i="7"/>
  <c r="E151" i="3"/>
  <c r="K49" i="7"/>
  <c r="M57" i="7"/>
  <c r="L37" i="7"/>
  <c r="K37" i="12" s="1"/>
  <c r="F175" i="7"/>
  <c r="F154" i="7"/>
  <c r="F116" i="7"/>
  <c r="M171" i="12"/>
  <c r="L57" i="7"/>
  <c r="K57" i="12" s="1"/>
  <c r="E163" i="7"/>
  <c r="I37" i="7"/>
  <c r="I37" i="12" s="1"/>
  <c r="G109" i="7"/>
  <c r="L118" i="7"/>
  <c r="K118" i="12" s="1"/>
  <c r="M175" i="7"/>
  <c r="F177" i="7"/>
  <c r="S167" i="12"/>
  <c r="J162" i="5"/>
  <c r="N49" i="2"/>
  <c r="O49" i="2" s="1"/>
  <c r="P104" i="5"/>
  <c r="E57" i="7"/>
  <c r="O49" i="7"/>
  <c r="H175" i="7"/>
  <c r="M163" i="7"/>
  <c r="D37" i="7"/>
  <c r="I163" i="7"/>
  <c r="O109" i="7"/>
  <c r="K175" i="7"/>
  <c r="B175" i="7"/>
  <c r="C97" i="7"/>
  <c r="L20" i="12"/>
  <c r="J31" i="5"/>
  <c r="F69" i="2"/>
  <c r="K57" i="7"/>
  <c r="J57" i="12" s="1"/>
  <c r="I49" i="7"/>
  <c r="I49" i="12" s="1"/>
  <c r="L175" i="7"/>
  <c r="F163" i="7"/>
  <c r="L163" i="7"/>
  <c r="K163" i="12" s="1"/>
  <c r="C37" i="7"/>
  <c r="L177" i="7"/>
  <c r="E97" i="7"/>
  <c r="D13" i="28"/>
  <c r="D12" i="28"/>
  <c r="G153" i="2"/>
  <c r="E158" i="3"/>
  <c r="F179" i="2"/>
  <c r="K53" i="3"/>
  <c r="E142" i="3"/>
  <c r="F153" i="2"/>
  <c r="S85" i="12"/>
  <c r="J153" i="2"/>
  <c r="K153" i="2" s="1"/>
  <c r="P155" i="5"/>
  <c r="B10" i="28"/>
  <c r="J171" i="2"/>
  <c r="K171" i="2" s="1"/>
  <c r="D10" i="28"/>
  <c r="E237" i="2"/>
  <c r="D11" i="28"/>
  <c r="I171" i="12"/>
  <c r="P151" i="5"/>
  <c r="G74" i="2"/>
  <c r="N75" i="12"/>
  <c r="M158" i="12"/>
  <c r="J66" i="5"/>
  <c r="K170" i="3"/>
  <c r="K172" i="3"/>
  <c r="B82" i="7"/>
  <c r="C179" i="7"/>
  <c r="B10" i="7"/>
  <c r="N26" i="7"/>
  <c r="E10" i="7"/>
  <c r="J58" i="12"/>
  <c r="L90" i="12"/>
  <c r="S141" i="12"/>
  <c r="O161" i="7"/>
  <c r="K26" i="7"/>
  <c r="J26" i="12" s="1"/>
  <c r="I179" i="12"/>
  <c r="H131" i="7"/>
  <c r="J74" i="2"/>
  <c r="K74" i="2" s="1"/>
  <c r="P68" i="5"/>
  <c r="N70" i="7"/>
  <c r="N179" i="7"/>
  <c r="E131" i="7"/>
  <c r="F161" i="7"/>
  <c r="F131" i="7"/>
  <c r="H10" i="7"/>
  <c r="H10" i="12" s="1"/>
  <c r="H161" i="7"/>
  <c r="H161" i="12" s="1"/>
  <c r="J10" i="7"/>
  <c r="Q149" i="12"/>
  <c r="G26" i="7"/>
  <c r="M118" i="5"/>
  <c r="D131" i="7"/>
  <c r="I70" i="7"/>
  <c r="I70" i="12" s="1"/>
  <c r="E161" i="7"/>
  <c r="J179" i="7"/>
  <c r="H44" i="3"/>
  <c r="K131" i="7"/>
  <c r="J131" i="12" s="1"/>
  <c r="M161" i="7"/>
  <c r="M131" i="7"/>
  <c r="M10" i="7"/>
  <c r="C161" i="7"/>
  <c r="O131" i="7"/>
  <c r="K116" i="7"/>
  <c r="C26" i="7"/>
  <c r="G18" i="2"/>
  <c r="J83" i="2"/>
  <c r="K83" i="2" s="1"/>
  <c r="D70" i="7"/>
  <c r="J161" i="7"/>
  <c r="F179" i="7"/>
  <c r="I26" i="7"/>
  <c r="I26" i="12" s="1"/>
  <c r="J70" i="7"/>
  <c r="E165" i="7"/>
  <c r="L26" i="7"/>
  <c r="K26" i="12" s="1"/>
  <c r="F70" i="7"/>
  <c r="K183" i="3"/>
  <c r="G131" i="7"/>
  <c r="G110" i="14"/>
  <c r="H166" i="12"/>
  <c r="H15" i="3"/>
  <c r="E41" i="3"/>
  <c r="G98" i="2"/>
  <c r="B179" i="7"/>
  <c r="K24" i="3"/>
  <c r="J165" i="7"/>
  <c r="D150" i="7"/>
  <c r="F150" i="7"/>
  <c r="K135" i="3"/>
  <c r="C165" i="7"/>
  <c r="R140" i="12"/>
  <c r="G165" i="7"/>
  <c r="K83" i="3"/>
  <c r="N86" i="2"/>
  <c r="O86" i="2" s="1"/>
  <c r="J131" i="7"/>
  <c r="B161" i="7"/>
  <c r="E179" i="7"/>
  <c r="M116" i="7"/>
  <c r="S8" i="12"/>
  <c r="N79" i="12"/>
  <c r="N140" i="12"/>
  <c r="L157" i="12"/>
  <c r="C131" i="7"/>
  <c r="K165" i="7"/>
  <c r="J165" i="12" s="1"/>
  <c r="H53" i="3"/>
  <c r="F16" i="2"/>
  <c r="B165" i="7"/>
  <c r="L179" i="7"/>
  <c r="K179" i="12" s="1"/>
  <c r="N161" i="7"/>
  <c r="M179" i="7"/>
  <c r="E70" i="7"/>
  <c r="P8" i="12"/>
  <c r="I131" i="7"/>
  <c r="O165" i="7"/>
  <c r="M16" i="5"/>
  <c r="E82" i="7"/>
  <c r="F73" i="2"/>
  <c r="P92" i="5"/>
  <c r="H165" i="7"/>
  <c r="H165" i="12" s="1"/>
  <c r="D165" i="7"/>
  <c r="H179" i="7"/>
  <c r="H179" i="12" s="1"/>
  <c r="D26" i="7"/>
  <c r="D161" i="7"/>
  <c r="M70" i="7"/>
  <c r="F10" i="7"/>
  <c r="C116" i="7"/>
  <c r="L8" i="12"/>
  <c r="R169" i="12"/>
  <c r="N35" i="12"/>
  <c r="O70" i="7"/>
  <c r="J83" i="12"/>
  <c r="J82" i="7"/>
  <c r="N34" i="2"/>
  <c r="O34" i="2" s="1"/>
  <c r="F26" i="7"/>
  <c r="L82" i="7"/>
  <c r="K82" i="12" s="1"/>
  <c r="M165" i="7"/>
  <c r="I165" i="7"/>
  <c r="I165" i="12" s="1"/>
  <c r="D179" i="7"/>
  <c r="F32" i="2"/>
  <c r="F165" i="7"/>
  <c r="L165" i="7"/>
  <c r="K165" i="12" s="1"/>
  <c r="O116" i="7"/>
  <c r="L130" i="12"/>
  <c r="R141" i="12"/>
  <c r="M150" i="12"/>
  <c r="K70" i="7"/>
  <c r="J70" i="12" s="1"/>
  <c r="K83" i="12"/>
  <c r="K79" i="3"/>
  <c r="E188" i="3"/>
  <c r="I82" i="7"/>
  <c r="I82" i="12" s="1"/>
  <c r="O179" i="7"/>
  <c r="D10" i="7"/>
  <c r="H70" i="7"/>
  <c r="H70" i="12" s="1"/>
  <c r="M34" i="12"/>
  <c r="G70" i="7"/>
  <c r="H83" i="12"/>
  <c r="H164" i="12"/>
  <c r="F18" i="2"/>
  <c r="F98" i="2"/>
  <c r="N82" i="7"/>
  <c r="M150" i="7"/>
  <c r="I10" i="7"/>
  <c r="I10" i="12" s="1"/>
  <c r="B116" i="7"/>
  <c r="L70" i="7"/>
  <c r="K70" i="12" s="1"/>
  <c r="G19" i="14"/>
  <c r="H22" i="12"/>
  <c r="H135" i="3"/>
  <c r="H52" i="3"/>
  <c r="J116" i="7"/>
  <c r="M160" i="5"/>
  <c r="K40" i="3"/>
  <c r="H131" i="3"/>
  <c r="H96" i="3"/>
  <c r="K119" i="3"/>
  <c r="P79" i="5"/>
  <c r="P123" i="5"/>
  <c r="K32" i="3"/>
  <c r="H112" i="3"/>
  <c r="L64" i="12"/>
  <c r="D47" i="7"/>
  <c r="N73" i="2"/>
  <c r="O73" i="2" s="1"/>
  <c r="G152" i="2"/>
  <c r="O156" i="7"/>
  <c r="D187" i="7"/>
  <c r="J187" i="7"/>
  <c r="I47" i="7"/>
  <c r="I47" i="12" s="1"/>
  <c r="N47" i="7"/>
  <c r="M29" i="5"/>
  <c r="C6" i="28"/>
  <c r="D6" i="28" s="1"/>
  <c r="N164" i="2"/>
  <c r="O164" i="2" s="1"/>
  <c r="J125" i="2"/>
  <c r="K125" i="2" s="1"/>
  <c r="J59" i="7"/>
  <c r="N120" i="7"/>
  <c r="D130" i="7"/>
  <c r="G75" i="14"/>
  <c r="G85" i="7"/>
  <c r="N16" i="12"/>
  <c r="P39" i="12"/>
  <c r="E47" i="7"/>
  <c r="J10" i="5"/>
  <c r="J172" i="2"/>
  <c r="K172" i="2" s="1"/>
  <c r="O172" i="7"/>
  <c r="P103" i="5"/>
  <c r="M75" i="7"/>
  <c r="L126" i="12"/>
  <c r="P118" i="12"/>
  <c r="J47" i="7"/>
  <c r="J11" i="5"/>
  <c r="E185" i="3"/>
  <c r="J48" i="7"/>
  <c r="E76" i="7"/>
  <c r="G172" i="7"/>
  <c r="L130" i="7"/>
  <c r="G186" i="14"/>
  <c r="P28" i="12"/>
  <c r="M83" i="12"/>
  <c r="O47" i="7"/>
  <c r="J134" i="5"/>
  <c r="H82" i="3"/>
  <c r="H78" i="3"/>
  <c r="F49" i="2"/>
  <c r="J145" i="2"/>
  <c r="K145" i="2" s="1"/>
  <c r="J90" i="2"/>
  <c r="K90" i="2" s="1"/>
  <c r="J166" i="2"/>
  <c r="K166" i="2" s="1"/>
  <c r="I59" i="7"/>
  <c r="I59" i="12" s="1"/>
  <c r="G160" i="7"/>
  <c r="H187" i="7"/>
  <c r="M172" i="7"/>
  <c r="F47" i="7"/>
  <c r="B160" i="7"/>
  <c r="S93" i="12"/>
  <c r="E71" i="3"/>
  <c r="J65" i="2"/>
  <c r="K65" i="2" s="1"/>
  <c r="F37" i="2"/>
  <c r="G45" i="2"/>
  <c r="O160" i="7"/>
  <c r="L187" i="7"/>
  <c r="E172" i="7"/>
  <c r="H88" i="3"/>
  <c r="K59" i="7"/>
  <c r="J59" i="12" s="1"/>
  <c r="B47" i="7"/>
  <c r="J116" i="2"/>
  <c r="K116" i="2" s="1"/>
  <c r="R71" i="12"/>
  <c r="P166" i="12"/>
  <c r="O130" i="7"/>
  <c r="H130" i="7"/>
  <c r="J34" i="5"/>
  <c r="G49" i="2"/>
  <c r="J26" i="2"/>
  <c r="K26" i="2" s="1"/>
  <c r="P19" i="5"/>
  <c r="K172" i="7"/>
  <c r="J172" i="12" s="1"/>
  <c r="E159" i="3"/>
  <c r="F59" i="7"/>
  <c r="G112" i="14"/>
  <c r="O8" i="12"/>
  <c r="N71" i="12"/>
  <c r="K130" i="7"/>
  <c r="M130" i="7"/>
  <c r="J25" i="5"/>
  <c r="E143" i="5"/>
  <c r="F143" i="5" s="1"/>
  <c r="G143" i="5" s="1"/>
  <c r="N141" i="2"/>
  <c r="O141" i="2" s="1"/>
  <c r="D234" i="2"/>
  <c r="K47" i="7"/>
  <c r="J47" i="12" s="1"/>
  <c r="C172" i="7"/>
  <c r="P129" i="5"/>
  <c r="B176" i="7"/>
  <c r="K144" i="3"/>
  <c r="S143" i="12"/>
  <c r="M45" i="5"/>
  <c r="G130" i="7"/>
  <c r="G47" i="7"/>
  <c r="H85" i="7"/>
  <c r="E141" i="3"/>
  <c r="N118" i="2"/>
  <c r="O118" i="2" s="1"/>
  <c r="J141" i="2"/>
  <c r="K141" i="2" s="1"/>
  <c r="P96" i="5"/>
  <c r="M59" i="7"/>
  <c r="I130" i="7"/>
  <c r="B172" i="7"/>
  <c r="N187" i="7"/>
  <c r="H76" i="3"/>
  <c r="K76" i="3"/>
  <c r="P26" i="5"/>
  <c r="C130" i="7"/>
  <c r="L47" i="7"/>
  <c r="M47" i="7"/>
  <c r="E130" i="7"/>
  <c r="H134" i="3"/>
  <c r="H152" i="3"/>
  <c r="F45" i="2"/>
  <c r="G59" i="7"/>
  <c r="F130" i="7"/>
  <c r="E127" i="3"/>
  <c r="G175" i="2"/>
  <c r="M76" i="7"/>
  <c r="N59" i="7"/>
  <c r="I187" i="7"/>
  <c r="I187" i="12" s="1"/>
  <c r="N143" i="12"/>
  <c r="M113" i="12"/>
  <c r="C47" i="7"/>
  <c r="J130" i="7"/>
  <c r="H87" i="3"/>
  <c r="J178" i="2"/>
  <c r="K178" i="2" s="1"/>
  <c r="J66" i="2"/>
  <c r="K66" i="2" s="1"/>
  <c r="F130" i="2"/>
  <c r="B59" i="7"/>
  <c r="N155" i="2"/>
  <c r="O155" i="2" s="1"/>
  <c r="E96" i="3"/>
  <c r="P45" i="5"/>
  <c r="P46" i="5"/>
  <c r="J173" i="2"/>
  <c r="K173" i="2" s="1"/>
  <c r="K121" i="3"/>
  <c r="P28" i="5"/>
  <c r="G55" i="14"/>
  <c r="M9" i="5"/>
  <c r="F108" i="2"/>
  <c r="G107" i="14"/>
  <c r="P91" i="5"/>
  <c r="P77" i="5"/>
  <c r="E150" i="3"/>
  <c r="P43" i="5"/>
  <c r="N191" i="2"/>
  <c r="O191" i="2" s="1"/>
  <c r="P94" i="12"/>
  <c r="L94" i="12"/>
  <c r="P170" i="12"/>
  <c r="L170" i="12"/>
  <c r="N162" i="12"/>
  <c r="N146" i="12"/>
  <c r="R146" i="12"/>
  <c r="S146" i="12"/>
  <c r="H28" i="3"/>
  <c r="P87" i="12"/>
  <c r="L87" i="12"/>
  <c r="S160" i="12"/>
  <c r="R160" i="12"/>
  <c r="Q125" i="12"/>
  <c r="M125" i="12"/>
  <c r="L125" i="7"/>
  <c r="M125" i="7"/>
  <c r="K125" i="7"/>
  <c r="H125" i="7"/>
  <c r="H126" i="12" s="1"/>
  <c r="B125" i="7"/>
  <c r="E125" i="7"/>
  <c r="F125" i="7"/>
  <c r="J125" i="7"/>
  <c r="O125" i="7"/>
  <c r="N125" i="7"/>
  <c r="D125" i="7"/>
  <c r="G125" i="7"/>
  <c r="B122" i="7"/>
  <c r="L122" i="7"/>
  <c r="K122" i="12" s="1"/>
  <c r="O122" i="7"/>
  <c r="M122" i="7"/>
  <c r="H122" i="7"/>
  <c r="H122" i="12" s="1"/>
  <c r="J122" i="7"/>
  <c r="N122" i="7"/>
  <c r="E122" i="7"/>
  <c r="I122" i="7"/>
  <c r="I122" i="12" s="1"/>
  <c r="F122" i="7"/>
  <c r="G122" i="7"/>
  <c r="B48" i="7"/>
  <c r="H72" i="3"/>
  <c r="D102" i="7"/>
  <c r="I102" i="7"/>
  <c r="I102" i="12" s="1"/>
  <c r="N102" i="7"/>
  <c r="L102" i="7"/>
  <c r="K102" i="12" s="1"/>
  <c r="F102" i="7"/>
  <c r="M102" i="7"/>
  <c r="C102" i="7"/>
  <c r="G102" i="7"/>
  <c r="K102" i="7"/>
  <c r="J102" i="12" s="1"/>
  <c r="O102" i="7"/>
  <c r="G137" i="7"/>
  <c r="O137" i="7"/>
  <c r="E137" i="7"/>
  <c r="I157" i="12"/>
  <c r="I137" i="7"/>
  <c r="I137" i="12" s="1"/>
  <c r="K154" i="12"/>
  <c r="D137" i="7"/>
  <c r="H162" i="12"/>
  <c r="M137" i="7"/>
  <c r="K112" i="12"/>
  <c r="H154" i="12"/>
  <c r="C137" i="7"/>
  <c r="H112" i="12"/>
  <c r="H132" i="12"/>
  <c r="H137" i="7"/>
  <c r="H137" i="12" s="1"/>
  <c r="H144" i="12"/>
  <c r="K162" i="12"/>
  <c r="L148" i="12"/>
  <c r="K66" i="3"/>
  <c r="Q42" i="12"/>
  <c r="M42" i="12"/>
  <c r="C153" i="7"/>
  <c r="O153" i="7"/>
  <c r="I153" i="7"/>
  <c r="I153" i="12" s="1"/>
  <c r="B153" i="7"/>
  <c r="F153" i="7"/>
  <c r="J153" i="7"/>
  <c r="M153" i="7"/>
  <c r="H40" i="3"/>
  <c r="E40" i="5"/>
  <c r="F40" i="5" s="1"/>
  <c r="G40" i="5" s="1"/>
  <c r="I141" i="7"/>
  <c r="K141" i="7"/>
  <c r="N141" i="7"/>
  <c r="E141" i="7"/>
  <c r="M141" i="7"/>
  <c r="F141" i="7"/>
  <c r="C36" i="7"/>
  <c r="H36" i="7"/>
  <c r="H36" i="12" s="1"/>
  <c r="I36" i="7"/>
  <c r="I36" i="12" s="1"/>
  <c r="O36" i="7"/>
  <c r="L36" i="7"/>
  <c r="K36" i="12" s="1"/>
  <c r="K36" i="7"/>
  <c r="J36" i="12" s="1"/>
  <c r="G36" i="7"/>
  <c r="B36" i="7"/>
  <c r="F36" i="7"/>
  <c r="J36" i="7"/>
  <c r="N36" i="7"/>
  <c r="M36" i="7"/>
  <c r="P150" i="12"/>
  <c r="L150" i="12"/>
  <c r="L158" i="12"/>
  <c r="P158" i="12"/>
  <c r="K56" i="7"/>
  <c r="J56" i="12" s="1"/>
  <c r="H56" i="7"/>
  <c r="H56" i="12" s="1"/>
  <c r="C56" i="7"/>
  <c r="L56" i="7"/>
  <c r="K56" i="12" s="1"/>
  <c r="I56" i="7"/>
  <c r="I56" i="12" s="1"/>
  <c r="O56" i="7"/>
  <c r="G56" i="7"/>
  <c r="L114" i="12"/>
  <c r="P114" i="12"/>
  <c r="K34" i="7"/>
  <c r="J34" i="12" s="1"/>
  <c r="P129" i="12"/>
  <c r="L129" i="12"/>
  <c r="M76" i="12"/>
  <c r="Q76" i="12"/>
  <c r="P131" i="12"/>
  <c r="L131" i="12"/>
  <c r="M71" i="12"/>
  <c r="Q71" i="12"/>
  <c r="L49" i="12"/>
  <c r="P49" i="12"/>
  <c r="S76" i="12"/>
  <c r="R76" i="12"/>
  <c r="N76" i="12"/>
  <c r="R144" i="12"/>
  <c r="N144" i="12"/>
  <c r="S144" i="12"/>
  <c r="G17" i="7"/>
  <c r="I17" i="7"/>
  <c r="I17" i="12" s="1"/>
  <c r="B17" i="7"/>
  <c r="M17" i="7"/>
  <c r="F17" i="7"/>
  <c r="E17" i="7"/>
  <c r="J17" i="7"/>
  <c r="N17" i="7"/>
  <c r="D17" i="7"/>
  <c r="H17" i="7"/>
  <c r="H17" i="12" s="1"/>
  <c r="L17" i="7"/>
  <c r="K17" i="12" s="1"/>
  <c r="K17" i="7"/>
  <c r="J17" i="12" s="1"/>
  <c r="C17" i="7"/>
  <c r="O17" i="7"/>
  <c r="C122" i="7"/>
  <c r="L48" i="12"/>
  <c r="Q14" i="12"/>
  <c r="M14" i="12"/>
  <c r="O22" i="12"/>
  <c r="O20" i="12"/>
  <c r="N166" i="12"/>
  <c r="R166" i="12"/>
  <c r="G153" i="7"/>
  <c r="L34" i="7"/>
  <c r="K34" i="12" s="1"/>
  <c r="N34" i="7"/>
  <c r="I34" i="7"/>
  <c r="I34" i="12" s="1"/>
  <c r="B34" i="7"/>
  <c r="D34" i="7"/>
  <c r="F34" i="7"/>
  <c r="M34" i="7"/>
  <c r="J34" i="7"/>
  <c r="H34" i="7"/>
  <c r="H34" i="12" s="1"/>
  <c r="E34" i="7"/>
  <c r="C34" i="7"/>
  <c r="O34" i="7"/>
  <c r="R48" i="12"/>
  <c r="S48" i="12"/>
  <c r="S94" i="12"/>
  <c r="R94" i="12"/>
  <c r="N94" i="12"/>
  <c r="P108" i="12"/>
  <c r="L108" i="12"/>
  <c r="S32" i="12"/>
  <c r="R32" i="12"/>
  <c r="D122" i="7"/>
  <c r="N30" i="12"/>
  <c r="R30" i="12"/>
  <c r="S30" i="12"/>
  <c r="N38" i="12"/>
  <c r="R38" i="12"/>
  <c r="S38" i="12"/>
  <c r="Q159" i="12"/>
  <c r="M159" i="12"/>
  <c r="L133" i="12"/>
  <c r="P133" i="12"/>
  <c r="C48" i="7"/>
  <c r="N48" i="7"/>
  <c r="M48" i="7"/>
  <c r="D48" i="7"/>
  <c r="H48" i="7"/>
  <c r="H48" i="12" s="1"/>
  <c r="G48" i="7"/>
  <c r="L48" i="7"/>
  <c r="K48" i="12" s="1"/>
  <c r="E48" i="7"/>
  <c r="O48" i="7"/>
  <c r="I48" i="7"/>
  <c r="I48" i="12" s="1"/>
  <c r="F48" i="7"/>
  <c r="L163" i="12"/>
  <c r="L164" i="12"/>
  <c r="P164" i="12"/>
  <c r="R129" i="12"/>
  <c r="S129" i="12"/>
  <c r="N192" i="2"/>
  <c r="O192" i="2" s="1"/>
  <c r="L103" i="12"/>
  <c r="P103" i="12"/>
  <c r="E174" i="7"/>
  <c r="I174" i="7"/>
  <c r="I174" i="12" s="1"/>
  <c r="K174" i="7"/>
  <c r="J174" i="12" s="1"/>
  <c r="M174" i="7"/>
  <c r="O174" i="7"/>
  <c r="D174" i="7"/>
  <c r="L12" i="12"/>
  <c r="P12" i="12"/>
  <c r="E69" i="5"/>
  <c r="F69" i="5" s="1"/>
  <c r="G69" i="5" s="1"/>
  <c r="L27" i="12"/>
  <c r="P27" i="12"/>
  <c r="S42" i="12"/>
  <c r="R42" i="12"/>
  <c r="M81" i="12"/>
  <c r="Q81" i="12"/>
  <c r="Q92" i="12"/>
  <c r="M92" i="12"/>
  <c r="Q142" i="12"/>
  <c r="M142" i="12"/>
  <c r="E36" i="7"/>
  <c r="J48" i="2"/>
  <c r="K48" i="2" s="1"/>
  <c r="P89" i="5"/>
  <c r="G36" i="14"/>
  <c r="G116" i="14"/>
  <c r="G106" i="14"/>
  <c r="H64" i="12"/>
  <c r="I77" i="12"/>
  <c r="J79" i="12"/>
  <c r="K93" i="12"/>
  <c r="L11" i="12"/>
  <c r="Q151" i="12"/>
  <c r="H50" i="7"/>
  <c r="H50" i="12" s="1"/>
  <c r="N99" i="7"/>
  <c r="E106" i="7"/>
  <c r="J45" i="5"/>
  <c r="H95" i="12"/>
  <c r="H89" i="12"/>
  <c r="B73" i="7"/>
  <c r="L99" i="7"/>
  <c r="K99" i="12" s="1"/>
  <c r="H106" i="7"/>
  <c r="H106" i="12" s="1"/>
  <c r="J146" i="7"/>
  <c r="L176" i="7"/>
  <c r="K176" i="12" s="1"/>
  <c r="K166" i="12"/>
  <c r="J161" i="5"/>
  <c r="H90" i="3"/>
  <c r="H91" i="3"/>
  <c r="H19" i="3"/>
  <c r="H160" i="3"/>
  <c r="J21" i="2"/>
  <c r="K21" i="2" s="1"/>
  <c r="J33" i="2"/>
  <c r="K33" i="2" s="1"/>
  <c r="G8" i="7"/>
  <c r="G61" i="7"/>
  <c r="L73" i="7"/>
  <c r="K73" i="12" s="1"/>
  <c r="L50" i="7"/>
  <c r="K50" i="12" s="1"/>
  <c r="G84" i="7"/>
  <c r="J80" i="7"/>
  <c r="G99" i="7"/>
  <c r="N163" i="2"/>
  <c r="O163" i="2" s="1"/>
  <c r="J68" i="7"/>
  <c r="H73" i="7"/>
  <c r="H73" i="12" s="1"/>
  <c r="N169" i="7"/>
  <c r="L129" i="7"/>
  <c r="K129" i="12" s="1"/>
  <c r="G137" i="14"/>
  <c r="F84" i="7"/>
  <c r="D169" i="7"/>
  <c r="C129" i="7"/>
  <c r="H84" i="7"/>
  <c r="H84" i="12" s="1"/>
  <c r="K31" i="3"/>
  <c r="K150" i="3"/>
  <c r="H81" i="12"/>
  <c r="H92" i="12"/>
  <c r="H90" i="12"/>
  <c r="H94" i="12"/>
  <c r="M116" i="12"/>
  <c r="Q57" i="12"/>
  <c r="S149" i="12"/>
  <c r="K50" i="7"/>
  <c r="J50" i="12" s="1"/>
  <c r="N61" i="7"/>
  <c r="K146" i="7"/>
  <c r="J148" i="12" s="1"/>
  <c r="N129" i="7"/>
  <c r="M8" i="5"/>
  <c r="J18" i="5"/>
  <c r="J29" i="5"/>
  <c r="K77" i="12"/>
  <c r="J81" i="12"/>
  <c r="J93" i="12"/>
  <c r="H106" i="3"/>
  <c r="H125" i="3"/>
  <c r="H144" i="3"/>
  <c r="J79" i="2"/>
  <c r="K79" i="2" s="1"/>
  <c r="F165" i="2"/>
  <c r="N54" i="2"/>
  <c r="O54" i="2" s="1"/>
  <c r="J37" i="2"/>
  <c r="K37" i="2" s="1"/>
  <c r="J85" i="2"/>
  <c r="K85" i="2" s="1"/>
  <c r="E84" i="7"/>
  <c r="H80" i="7"/>
  <c r="L167" i="7"/>
  <c r="O129" i="7"/>
  <c r="G25" i="14"/>
  <c r="L84" i="7"/>
  <c r="K84" i="12" s="1"/>
  <c r="M84" i="7"/>
  <c r="M169" i="7"/>
  <c r="F80" i="7"/>
  <c r="E169" i="7"/>
  <c r="K85" i="3"/>
  <c r="D84" i="7"/>
  <c r="P9" i="5"/>
  <c r="R108" i="12"/>
  <c r="M154" i="12"/>
  <c r="O106" i="12"/>
  <c r="L143" i="12"/>
  <c r="G50" i="7"/>
  <c r="J61" i="7"/>
  <c r="J82" i="12"/>
  <c r="G146" i="7"/>
  <c r="J129" i="7"/>
  <c r="F176" i="7"/>
  <c r="J9" i="5"/>
  <c r="K79" i="12"/>
  <c r="J77" i="12"/>
  <c r="M76" i="5"/>
  <c r="J118" i="5"/>
  <c r="K45" i="3"/>
  <c r="H138" i="3"/>
  <c r="H154" i="3"/>
  <c r="G93" i="2"/>
  <c r="J84" i="7"/>
  <c r="D80" i="7"/>
  <c r="O99" i="7"/>
  <c r="N132" i="2"/>
  <c r="O132" i="2" s="1"/>
  <c r="E32" i="3"/>
  <c r="H169" i="7"/>
  <c r="H169" i="12" s="1"/>
  <c r="B84" i="7"/>
  <c r="M99" i="7"/>
  <c r="I61" i="7"/>
  <c r="I61" i="12" s="1"/>
  <c r="L61" i="7"/>
  <c r="K61" i="12" s="1"/>
  <c r="L169" i="7"/>
  <c r="K169" i="12" s="1"/>
  <c r="M73" i="7"/>
  <c r="P94" i="5"/>
  <c r="N8" i="12"/>
  <c r="R14" i="12"/>
  <c r="M59" i="12"/>
  <c r="C50" i="7"/>
  <c r="F61" i="7"/>
  <c r="C146" i="7"/>
  <c r="F129" i="7"/>
  <c r="H146" i="7"/>
  <c r="H148" i="12" s="1"/>
  <c r="J176" i="7"/>
  <c r="J30" i="5"/>
  <c r="H79" i="12"/>
  <c r="H72" i="12"/>
  <c r="E61" i="7"/>
  <c r="E51" i="3"/>
  <c r="E69" i="3"/>
  <c r="K138" i="3"/>
  <c r="K186" i="3"/>
  <c r="J27" i="2"/>
  <c r="K27" i="2" s="1"/>
  <c r="J169" i="2"/>
  <c r="K169" i="2" s="1"/>
  <c r="N138" i="2"/>
  <c r="O138" i="2" s="1"/>
  <c r="N50" i="7"/>
  <c r="N80" i="7"/>
  <c r="F99" i="7"/>
  <c r="H123" i="3"/>
  <c r="P135" i="5"/>
  <c r="N167" i="7"/>
  <c r="B169" i="7"/>
  <c r="N16" i="2"/>
  <c r="O16" i="2" s="1"/>
  <c r="N8" i="7"/>
  <c r="F146" i="7"/>
  <c r="E99" i="7"/>
  <c r="G52" i="14"/>
  <c r="K73" i="7"/>
  <c r="J73" i="12" s="1"/>
  <c r="N129" i="2"/>
  <c r="O129" i="2" s="1"/>
  <c r="P21" i="5"/>
  <c r="N14" i="12"/>
  <c r="I79" i="12"/>
  <c r="B61" i="7"/>
  <c r="I95" i="12"/>
  <c r="D106" i="7"/>
  <c r="K64" i="12"/>
  <c r="H91" i="12"/>
  <c r="B129" i="7"/>
  <c r="M146" i="7"/>
  <c r="N176" i="7"/>
  <c r="J40" i="5"/>
  <c r="H63" i="12"/>
  <c r="O106" i="7"/>
  <c r="K94" i="12"/>
  <c r="K61" i="7"/>
  <c r="J61" i="12" s="1"/>
  <c r="J102" i="5"/>
  <c r="F25" i="2"/>
  <c r="F105" i="2"/>
  <c r="J138" i="2"/>
  <c r="K138" i="2" s="1"/>
  <c r="D50" i="7"/>
  <c r="I80" i="7"/>
  <c r="I80" i="12" s="1"/>
  <c r="H129" i="7"/>
  <c r="K99" i="7"/>
  <c r="J99" i="12" s="1"/>
  <c r="G44" i="2"/>
  <c r="H68" i="7"/>
  <c r="H68" i="12" s="1"/>
  <c r="I167" i="7"/>
  <c r="C169" i="7"/>
  <c r="N108" i="2"/>
  <c r="O108" i="2" s="1"/>
  <c r="F8" i="7"/>
  <c r="B146" i="7"/>
  <c r="I176" i="7"/>
  <c r="I175" i="12" s="1"/>
  <c r="N84" i="7"/>
  <c r="K173" i="3"/>
  <c r="G100" i="14"/>
  <c r="G132" i="14"/>
  <c r="K63" i="12"/>
  <c r="J62" i="12"/>
  <c r="J67" i="12"/>
  <c r="J94" i="12"/>
  <c r="H77" i="12"/>
  <c r="M89" i="5"/>
  <c r="L181" i="12"/>
  <c r="I106" i="7"/>
  <c r="I106" i="12" s="1"/>
  <c r="H151" i="12"/>
  <c r="H59" i="12"/>
  <c r="G169" i="7"/>
  <c r="K106" i="7"/>
  <c r="J106" i="12" s="1"/>
  <c r="I93" i="12"/>
  <c r="H142" i="3"/>
  <c r="H158" i="3"/>
  <c r="H174" i="3"/>
  <c r="H46" i="3"/>
  <c r="J69" i="2"/>
  <c r="K69" i="2" s="1"/>
  <c r="J117" i="2"/>
  <c r="K117" i="2" s="1"/>
  <c r="P102" i="5"/>
  <c r="I50" i="7"/>
  <c r="I50" i="12" s="1"/>
  <c r="C80" i="7"/>
  <c r="M129" i="7"/>
  <c r="C176" i="7"/>
  <c r="P75" i="5"/>
  <c r="L68" i="7"/>
  <c r="K68" i="12" s="1"/>
  <c r="J167" i="7"/>
  <c r="C167" i="7"/>
  <c r="O167" i="7"/>
  <c r="K163" i="3"/>
  <c r="M68" i="7"/>
  <c r="L8" i="7"/>
  <c r="K8" i="12" s="1"/>
  <c r="G7" i="14"/>
  <c r="N146" i="7"/>
  <c r="H176" i="12"/>
  <c r="Q36" i="12"/>
  <c r="I63" i="12"/>
  <c r="N106" i="7"/>
  <c r="D73" i="7"/>
  <c r="H93" i="12"/>
  <c r="K169" i="7"/>
  <c r="J42" i="5"/>
  <c r="G106" i="7"/>
  <c r="K81" i="12"/>
  <c r="K82" i="3"/>
  <c r="E103" i="3"/>
  <c r="K67" i="3"/>
  <c r="G25" i="2"/>
  <c r="G105" i="2"/>
  <c r="J184" i="2"/>
  <c r="K184" i="2" s="1"/>
  <c r="F93" i="2"/>
  <c r="P138" i="5"/>
  <c r="P88" i="5"/>
  <c r="B50" i="7"/>
  <c r="M80" i="7"/>
  <c r="F106" i="7"/>
  <c r="I146" i="7"/>
  <c r="K176" i="7"/>
  <c r="J176" i="12" s="1"/>
  <c r="E176" i="7"/>
  <c r="E8" i="3"/>
  <c r="C68" i="7"/>
  <c r="M167" i="7"/>
  <c r="I68" i="7"/>
  <c r="I68" i="12" s="1"/>
  <c r="G176" i="7"/>
  <c r="E8" i="7"/>
  <c r="J8" i="5"/>
  <c r="P33" i="5"/>
  <c r="P73" i="12"/>
  <c r="G58" i="14"/>
  <c r="G146" i="14"/>
  <c r="M104" i="12"/>
  <c r="O81" i="12"/>
  <c r="H61" i="7"/>
  <c r="H61" i="12" s="1"/>
  <c r="I73" i="7"/>
  <c r="I73" i="12" s="1"/>
  <c r="O169" i="7"/>
  <c r="J33" i="5"/>
  <c r="C106" i="7"/>
  <c r="J64" i="12"/>
  <c r="N73" i="7"/>
  <c r="J78" i="5"/>
  <c r="K29" i="3"/>
  <c r="E58" i="3"/>
  <c r="H11" i="3"/>
  <c r="H176" i="3"/>
  <c r="N137" i="2"/>
  <c r="O137" i="2" s="1"/>
  <c r="N165" i="2"/>
  <c r="O165" i="2" s="1"/>
  <c r="J107" i="2"/>
  <c r="K107" i="2" s="1"/>
  <c r="J186" i="2"/>
  <c r="K186" i="2" s="1"/>
  <c r="G89" i="14"/>
  <c r="P106" i="5"/>
  <c r="G80" i="7"/>
  <c r="L106" i="7"/>
  <c r="K106" i="12" s="1"/>
  <c r="M176" i="7"/>
  <c r="K151" i="3"/>
  <c r="B8" i="7"/>
  <c r="G68" i="7"/>
  <c r="G167" i="7"/>
  <c r="N147" i="2"/>
  <c r="O147" i="2" s="1"/>
  <c r="J76" i="2"/>
  <c r="K76" i="2" s="1"/>
  <c r="E68" i="7"/>
  <c r="J8" i="7"/>
  <c r="I84" i="7"/>
  <c r="I84" i="12" s="1"/>
  <c r="K92" i="12"/>
  <c r="J92" i="12"/>
  <c r="R79" i="12"/>
  <c r="M61" i="7"/>
  <c r="I67" i="12"/>
  <c r="O73" i="7"/>
  <c r="D126" i="7"/>
  <c r="J43" i="5"/>
  <c r="I92" i="12"/>
  <c r="J73" i="7"/>
  <c r="D176" i="7"/>
  <c r="J126" i="5"/>
  <c r="E11" i="5"/>
  <c r="F11" i="5" s="1"/>
  <c r="G11" i="5" s="1"/>
  <c r="K94" i="3"/>
  <c r="G21" i="14"/>
  <c r="P146" i="5"/>
  <c r="B80" i="7"/>
  <c r="F163" i="2"/>
  <c r="G57" i="14"/>
  <c r="H8" i="7"/>
  <c r="H8" i="12" s="1"/>
  <c r="B68" i="7"/>
  <c r="M126" i="7"/>
  <c r="K68" i="7"/>
  <c r="J68" i="12" s="1"/>
  <c r="B167" i="7"/>
  <c r="D8" i="7"/>
  <c r="K167" i="7"/>
  <c r="J167" i="12" s="1"/>
  <c r="G103" i="14"/>
  <c r="H147" i="3"/>
  <c r="N24" i="2"/>
  <c r="O24" i="2" s="1"/>
  <c r="F72" i="5"/>
  <c r="G72" i="5" s="1"/>
  <c r="J191" i="2"/>
  <c r="K191" i="2" s="1"/>
  <c r="F84" i="2"/>
  <c r="F60" i="2"/>
  <c r="G29" i="14"/>
  <c r="G148" i="14"/>
  <c r="K88" i="3"/>
  <c r="C235" i="2"/>
  <c r="E65" i="5"/>
  <c r="F65" i="5" s="1"/>
  <c r="G65" i="5" s="1"/>
  <c r="N26" i="12"/>
  <c r="H81" i="3"/>
  <c r="H164" i="3"/>
  <c r="K44" i="3"/>
  <c r="G27" i="14"/>
  <c r="L187" i="12"/>
  <c r="L171" i="12"/>
  <c r="L159" i="12"/>
  <c r="L162" i="5"/>
  <c r="M162" i="5" s="1"/>
  <c r="N186" i="12"/>
  <c r="N161" i="12"/>
  <c r="O169" i="12"/>
  <c r="E104" i="3"/>
  <c r="O161" i="12"/>
  <c r="K36" i="3"/>
  <c r="G173" i="2"/>
  <c r="P163" i="12"/>
  <c r="P167" i="12"/>
  <c r="P171" i="12"/>
  <c r="S166" i="12"/>
  <c r="E163" i="5"/>
  <c r="F163" i="5" s="1"/>
  <c r="G163" i="5" s="1"/>
  <c r="O159" i="12"/>
  <c r="N112" i="2"/>
  <c r="O112" i="2" s="1"/>
  <c r="L173" i="12"/>
  <c r="Q165" i="12"/>
  <c r="B235" i="2"/>
  <c r="L179" i="12"/>
  <c r="S170" i="12"/>
  <c r="L161" i="5"/>
  <c r="M161" i="5" s="1"/>
  <c r="J112" i="12"/>
  <c r="P95" i="5"/>
  <c r="F166" i="5"/>
  <c r="G166" i="5" s="1"/>
  <c r="E102" i="5"/>
  <c r="F102" i="5" s="1"/>
  <c r="G102" i="5" s="1"/>
  <c r="M72" i="5"/>
  <c r="J120" i="5"/>
  <c r="E118" i="5"/>
  <c r="F118" i="5" s="1"/>
  <c r="G118" i="5" s="1"/>
  <c r="F137" i="5"/>
  <c r="G137" i="5" s="1"/>
  <c r="H18" i="3"/>
  <c r="P63" i="5"/>
  <c r="E171" i="3"/>
  <c r="J132" i="5"/>
  <c r="J144" i="5"/>
  <c r="H183" i="3"/>
  <c r="K117" i="3"/>
  <c r="G15" i="14"/>
  <c r="J35" i="5"/>
  <c r="K179" i="3"/>
  <c r="G90" i="14"/>
  <c r="P27" i="5"/>
  <c r="K131" i="3"/>
  <c r="E119" i="3"/>
  <c r="J90" i="5"/>
  <c r="H111" i="3"/>
  <c r="K37" i="3"/>
  <c r="E70" i="3"/>
  <c r="H93" i="3"/>
  <c r="E88" i="3"/>
  <c r="E98" i="5"/>
  <c r="F98" i="5" s="1"/>
  <c r="G98" i="5" s="1"/>
  <c r="M12" i="5"/>
  <c r="K16" i="3"/>
  <c r="H139" i="3"/>
  <c r="F71" i="5"/>
  <c r="G71" i="5" s="1"/>
  <c r="K52" i="3"/>
  <c r="K159" i="3"/>
  <c r="H20" i="12"/>
  <c r="H18" i="12"/>
  <c r="N46" i="12"/>
  <c r="J84" i="12"/>
  <c r="N114" i="12"/>
  <c r="S120" i="12"/>
  <c r="Q96" i="12"/>
  <c r="Q147" i="12"/>
  <c r="L75" i="7"/>
  <c r="K75" i="12" s="1"/>
  <c r="N85" i="7"/>
  <c r="K74" i="12"/>
  <c r="M85" i="7"/>
  <c r="F165" i="5"/>
  <c r="G165" i="5" s="1"/>
  <c r="E181" i="3"/>
  <c r="J76" i="7"/>
  <c r="J120" i="7"/>
  <c r="H120" i="7"/>
  <c r="H120" i="12" s="1"/>
  <c r="G60" i="2"/>
  <c r="M108" i="7"/>
  <c r="C76" i="7"/>
  <c r="N139" i="7"/>
  <c r="J14" i="12"/>
  <c r="H75" i="7"/>
  <c r="J85" i="7"/>
  <c r="M166" i="5"/>
  <c r="H117" i="3"/>
  <c r="N93" i="2"/>
  <c r="O93" i="2" s="1"/>
  <c r="O76" i="7"/>
  <c r="F120" i="7"/>
  <c r="M120" i="7"/>
  <c r="K76" i="7"/>
  <c r="J76" i="12" s="1"/>
  <c r="J12" i="12"/>
  <c r="J46" i="12"/>
  <c r="K27" i="12"/>
  <c r="R10" i="12"/>
  <c r="L84" i="12"/>
  <c r="L155" i="12"/>
  <c r="D75" i="7"/>
  <c r="F85" i="7"/>
  <c r="J112" i="5"/>
  <c r="E55" i="3"/>
  <c r="E126" i="3"/>
  <c r="D235" i="2"/>
  <c r="B120" i="7"/>
  <c r="N75" i="7"/>
  <c r="C128" i="7"/>
  <c r="K20" i="12"/>
  <c r="N10" i="12"/>
  <c r="P84" i="12"/>
  <c r="P106" i="12"/>
  <c r="M152" i="12"/>
  <c r="M87" i="12"/>
  <c r="M117" i="12"/>
  <c r="N60" i="12"/>
  <c r="D85" i="7"/>
  <c r="B85" i="7"/>
  <c r="J124" i="5"/>
  <c r="J129" i="5"/>
  <c r="F90" i="2"/>
  <c r="D120" i="7"/>
  <c r="K108" i="3"/>
  <c r="J20" i="2"/>
  <c r="K20" i="2" s="1"/>
  <c r="L156" i="7"/>
  <c r="K156" i="12" s="1"/>
  <c r="M156" i="7"/>
  <c r="J20" i="12"/>
  <c r="P14" i="12"/>
  <c r="P99" i="12"/>
  <c r="I85" i="7"/>
  <c r="I85" i="12" s="1"/>
  <c r="H86" i="3"/>
  <c r="B2" i="28"/>
  <c r="J35" i="2"/>
  <c r="K35" i="2" s="1"/>
  <c r="N108" i="7"/>
  <c r="I120" i="7"/>
  <c r="I120" i="12" s="1"/>
  <c r="L85" i="7"/>
  <c r="K85" i="12" s="1"/>
  <c r="H16" i="12"/>
  <c r="J8" i="12"/>
  <c r="P140" i="12"/>
  <c r="M85" i="5"/>
  <c r="R107" i="12"/>
  <c r="S161" i="12"/>
  <c r="N63" i="12"/>
  <c r="O85" i="7"/>
  <c r="K86" i="12"/>
  <c r="H85" i="3"/>
  <c r="H70" i="3"/>
  <c r="N53" i="2"/>
  <c r="O53" i="2" s="1"/>
  <c r="P82" i="5"/>
  <c r="I108" i="7"/>
  <c r="I108" i="12" s="1"/>
  <c r="O120" i="7"/>
  <c r="E179" i="3"/>
  <c r="I156" i="7"/>
  <c r="I156" i="12" s="1"/>
  <c r="L120" i="7"/>
  <c r="K120" i="12" s="1"/>
  <c r="H14" i="12"/>
  <c r="J22" i="12"/>
  <c r="R120" i="12"/>
  <c r="H118" i="12"/>
  <c r="R31" i="12"/>
  <c r="R63" i="12"/>
  <c r="Q72" i="12"/>
  <c r="R161" i="12"/>
  <c r="J136" i="5"/>
  <c r="H62" i="3"/>
  <c r="J53" i="2"/>
  <c r="K53" i="2" s="1"/>
  <c r="C108" i="7"/>
  <c r="B156" i="7"/>
  <c r="G120" i="7"/>
  <c r="K19" i="12"/>
  <c r="H26" i="12"/>
  <c r="N129" i="12"/>
  <c r="E26" i="3"/>
  <c r="N22" i="2"/>
  <c r="O22" i="2" s="1"/>
  <c r="G37" i="2"/>
  <c r="L76" i="7"/>
  <c r="K76" i="12" s="1"/>
  <c r="L108" i="7"/>
  <c r="K108" i="12" s="1"/>
  <c r="J108" i="7"/>
  <c r="E108" i="7"/>
  <c r="E120" i="7"/>
  <c r="G71" i="14"/>
  <c r="K75" i="7"/>
  <c r="J75" i="12" s="1"/>
  <c r="I75" i="7"/>
  <c r="I75" i="12" s="1"/>
  <c r="C120" i="7"/>
  <c r="K7" i="12"/>
  <c r="K12" i="12"/>
  <c r="O76" i="12"/>
  <c r="J120" i="12"/>
  <c r="M43" i="5"/>
  <c r="E85" i="7"/>
  <c r="F142" i="2"/>
  <c r="O75" i="7"/>
  <c r="H76" i="7"/>
  <c r="H76" i="12" s="1"/>
  <c r="H108" i="7"/>
  <c r="F156" i="7"/>
  <c r="K108" i="7"/>
  <c r="J108" i="12" s="1"/>
  <c r="C156" i="7"/>
  <c r="B76" i="7"/>
  <c r="G108" i="7"/>
  <c r="G75" i="7"/>
  <c r="O108" i="7"/>
  <c r="K51" i="12"/>
  <c r="R60" i="12"/>
  <c r="S52" i="12"/>
  <c r="K85" i="7"/>
  <c r="J85" i="12" s="1"/>
  <c r="J49" i="5"/>
  <c r="K154" i="3"/>
  <c r="G90" i="2"/>
  <c r="P142" i="5"/>
  <c r="J75" i="7"/>
  <c r="D76" i="7"/>
  <c r="D108" i="7"/>
  <c r="J156" i="7"/>
  <c r="G156" i="7"/>
  <c r="H80" i="3"/>
  <c r="K188" i="3"/>
  <c r="F108" i="7"/>
  <c r="H156" i="7"/>
  <c r="H156" i="12" s="1"/>
  <c r="H32" i="3"/>
  <c r="B75" i="7"/>
  <c r="K23" i="12"/>
  <c r="E152" i="5"/>
  <c r="F152" i="5" s="1"/>
  <c r="G152" i="5" s="1"/>
  <c r="F114" i="2"/>
  <c r="E75" i="7"/>
  <c r="N156" i="7"/>
  <c r="K156" i="7"/>
  <c r="J156" i="12" s="1"/>
  <c r="F75" i="7"/>
  <c r="P18" i="5"/>
  <c r="D156" i="7"/>
  <c r="F38" i="2"/>
  <c r="J159" i="2"/>
  <c r="K159" i="2" s="1"/>
  <c r="G34" i="14"/>
  <c r="G38" i="2"/>
  <c r="H155" i="3"/>
  <c r="P38" i="5"/>
  <c r="G115" i="14"/>
  <c r="G11" i="14"/>
  <c r="G161" i="14"/>
  <c r="Q8" i="12"/>
  <c r="M9" i="12"/>
  <c r="L18" i="12"/>
  <c r="L81" i="5"/>
  <c r="M81" i="5" s="1"/>
  <c r="L86" i="5"/>
  <c r="M86" i="5" s="1"/>
  <c r="L101" i="5"/>
  <c r="M101" i="5" s="1"/>
  <c r="L107" i="5"/>
  <c r="M107" i="5" s="1"/>
  <c r="L105" i="5"/>
  <c r="M105" i="5" s="1"/>
  <c r="L111" i="5"/>
  <c r="M111" i="5" s="1"/>
  <c r="L65" i="5"/>
  <c r="M65" i="5" s="1"/>
  <c r="L70" i="5"/>
  <c r="M70" i="5" s="1"/>
  <c r="N15" i="12"/>
  <c r="N17" i="12"/>
  <c r="O42" i="12"/>
  <c r="O45" i="12"/>
  <c r="Q45" i="12"/>
  <c r="M48" i="12"/>
  <c r="L82" i="5"/>
  <c r="M82" i="5" s="1"/>
  <c r="L87" i="5"/>
  <c r="M87" i="5" s="1"/>
  <c r="L98" i="5"/>
  <c r="M98" i="5" s="1"/>
  <c r="L104" i="5"/>
  <c r="M104" i="5" s="1"/>
  <c r="N117" i="12"/>
  <c r="N123" i="12"/>
  <c r="L156" i="12"/>
  <c r="L159" i="5"/>
  <c r="M159" i="5" s="1"/>
  <c r="D236" i="2"/>
  <c r="O164" i="12"/>
  <c r="N171" i="12"/>
  <c r="L176" i="12"/>
  <c r="L185" i="12"/>
  <c r="B234" i="2"/>
  <c r="P142" i="12"/>
  <c r="L149" i="12"/>
  <c r="O24" i="12"/>
  <c r="O26" i="12"/>
  <c r="L11" i="5"/>
  <c r="M11" i="5" s="1"/>
  <c r="L13" i="5"/>
  <c r="M13" i="5" s="1"/>
  <c r="L18" i="5"/>
  <c r="M18" i="5" s="1"/>
  <c r="L20" i="5"/>
  <c r="M20" i="5" s="1"/>
  <c r="N41" i="12"/>
  <c r="N44" i="12"/>
  <c r="N97" i="12"/>
  <c r="N103" i="12"/>
  <c r="P15" i="12"/>
  <c r="L17" i="12"/>
  <c r="L50" i="12"/>
  <c r="P61" i="12"/>
  <c r="L66" i="12"/>
  <c r="L80" i="12"/>
  <c r="L85" i="12"/>
  <c r="L130" i="5"/>
  <c r="M130" i="5" s="1"/>
  <c r="L136" i="5"/>
  <c r="M136" i="5" s="1"/>
  <c r="S132" i="12"/>
  <c r="N138" i="12"/>
  <c r="L133" i="5"/>
  <c r="M133" i="5" s="1"/>
  <c r="L139" i="5"/>
  <c r="M139" i="5" s="1"/>
  <c r="B11" i="28"/>
  <c r="L145" i="12"/>
  <c r="Q141" i="12"/>
  <c r="M148" i="12"/>
  <c r="C236" i="2"/>
  <c r="P78" i="12"/>
  <c r="L83" i="12"/>
  <c r="L121" i="5"/>
  <c r="M121" i="5" s="1"/>
  <c r="L127" i="5"/>
  <c r="M127" i="5" s="1"/>
  <c r="Q10" i="12"/>
  <c r="M11" i="12"/>
  <c r="M19" i="12"/>
  <c r="M21" i="12"/>
  <c r="L26" i="12"/>
  <c r="Q44" i="12"/>
  <c r="M47" i="12"/>
  <c r="Q49" i="12"/>
  <c r="M53" i="12"/>
  <c r="P62" i="12"/>
  <c r="L67" i="12"/>
  <c r="L73" i="5"/>
  <c r="M73" i="5" s="1"/>
  <c r="L78" i="5"/>
  <c r="M78" i="5" s="1"/>
  <c r="L93" i="5"/>
  <c r="M93" i="5" s="1"/>
  <c r="L99" i="5"/>
  <c r="M99" i="5" s="1"/>
  <c r="R101" i="12"/>
  <c r="N107" i="12"/>
  <c r="N105" i="12"/>
  <c r="N111" i="12"/>
  <c r="N109" i="12"/>
  <c r="N115" i="12"/>
  <c r="L23" i="12"/>
  <c r="L25" i="12"/>
  <c r="L15" i="5"/>
  <c r="M15" i="5" s="1"/>
  <c r="L17" i="5"/>
  <c r="M17" i="5" s="1"/>
  <c r="L53" i="12"/>
  <c r="L58" i="12"/>
  <c r="L58" i="5"/>
  <c r="M58" i="5" s="1"/>
  <c r="L63" i="5"/>
  <c r="M63" i="5" s="1"/>
  <c r="M64" i="12"/>
  <c r="M69" i="12"/>
  <c r="L74" i="5"/>
  <c r="M74" i="5" s="1"/>
  <c r="L90" i="5"/>
  <c r="M90" i="5" s="1"/>
  <c r="L96" i="5"/>
  <c r="M96" i="5" s="1"/>
  <c r="L114" i="5"/>
  <c r="M114" i="5" s="1"/>
  <c r="L120" i="5"/>
  <c r="M120" i="5" s="1"/>
  <c r="L117" i="5"/>
  <c r="M117" i="5" s="1"/>
  <c r="L123" i="5"/>
  <c r="M123" i="5" s="1"/>
  <c r="O160" i="12"/>
  <c r="L163" i="5"/>
  <c r="M163" i="5" s="1"/>
  <c r="L28" i="5"/>
  <c r="M28" i="5" s="1"/>
  <c r="L30" i="5"/>
  <c r="M30" i="5" s="1"/>
  <c r="C234" i="2"/>
  <c r="L45" i="12"/>
  <c r="O86" i="12"/>
  <c r="O91" i="12"/>
  <c r="O102" i="12"/>
  <c r="O110" i="12"/>
  <c r="L137" i="5"/>
  <c r="M137" i="5" s="1"/>
  <c r="L144" i="5"/>
  <c r="M144" i="5" s="1"/>
  <c r="L19" i="5"/>
  <c r="M19" i="5" s="1"/>
  <c r="L21" i="5"/>
  <c r="M21" i="5" s="1"/>
  <c r="N29" i="12"/>
  <c r="N31" i="12"/>
  <c r="L41" i="5"/>
  <c r="M41" i="5" s="1"/>
  <c r="L44" i="5"/>
  <c r="M44" i="5" s="1"/>
  <c r="L57" i="5"/>
  <c r="M57" i="5" s="1"/>
  <c r="L62" i="5"/>
  <c r="Q65" i="12"/>
  <c r="M70" i="12"/>
  <c r="N23" i="12"/>
  <c r="N25" i="12"/>
  <c r="O38" i="12"/>
  <c r="O41" i="12"/>
  <c r="M15" i="12"/>
  <c r="M17" i="12"/>
  <c r="L53" i="5"/>
  <c r="M53" i="5" s="1"/>
  <c r="L66" i="5"/>
  <c r="M66" i="5" s="1"/>
  <c r="L71" i="5"/>
  <c r="M71" i="5" s="1"/>
  <c r="P88" i="12"/>
  <c r="L93" i="12"/>
  <c r="L122" i="12"/>
  <c r="L128" i="12"/>
  <c r="L155" i="5"/>
  <c r="M155" i="5" s="1"/>
  <c r="E234" i="2"/>
  <c r="O34" i="12"/>
  <c r="O37" i="12"/>
  <c r="P86" i="12"/>
  <c r="L91" i="12"/>
  <c r="L102" i="12"/>
  <c r="N121" i="12"/>
  <c r="N127" i="12"/>
  <c r="Q32" i="12"/>
  <c r="M35" i="12"/>
  <c r="N70" i="12"/>
  <c r="N78" i="12"/>
  <c r="L100" i="12"/>
  <c r="L127" i="12"/>
  <c r="I58" i="12"/>
  <c r="O145" i="12"/>
  <c r="L131" i="5"/>
  <c r="M131" i="5" s="1"/>
  <c r="E45" i="5"/>
  <c r="F45" i="5" s="1"/>
  <c r="G45" i="5" s="1"/>
  <c r="E91" i="5"/>
  <c r="F91" i="5" s="1"/>
  <c r="G91" i="5" s="1"/>
  <c r="J154" i="12"/>
  <c r="E24" i="5"/>
  <c r="F24" i="5" s="1"/>
  <c r="G24" i="5" s="1"/>
  <c r="L94" i="5"/>
  <c r="O185" i="12"/>
  <c r="M28" i="12"/>
  <c r="O21" i="12"/>
  <c r="L59" i="5"/>
  <c r="M59" i="5" s="1"/>
  <c r="L79" i="5"/>
  <c r="M79" i="5" s="1"/>
  <c r="O89" i="12"/>
  <c r="L103" i="5"/>
  <c r="M103" i="5" s="1"/>
  <c r="L161" i="12"/>
  <c r="O149" i="12"/>
  <c r="L177" i="12"/>
  <c r="E16" i="5"/>
  <c r="F16" i="5" s="1"/>
  <c r="G16" i="5" s="1"/>
  <c r="E75" i="5"/>
  <c r="F75" i="5" s="1"/>
  <c r="G75" i="5" s="1"/>
  <c r="E122" i="5"/>
  <c r="F122" i="5" s="1"/>
  <c r="G122" i="5" s="1"/>
  <c r="E112" i="5"/>
  <c r="F112" i="5" s="1"/>
  <c r="G112" i="5" s="1"/>
  <c r="L36" i="5"/>
  <c r="M36" i="5" s="1"/>
  <c r="O119" i="12"/>
  <c r="O93" i="12"/>
  <c r="O18" i="12"/>
  <c r="O56" i="12"/>
  <c r="M119" i="12"/>
  <c r="K127" i="3"/>
  <c r="I81" i="12"/>
  <c r="G116" i="2"/>
  <c r="K104" i="3"/>
  <c r="N173" i="2"/>
  <c r="O173" i="2" s="1"/>
  <c r="P31" i="5"/>
  <c r="P153" i="5"/>
  <c r="N128" i="2"/>
  <c r="O128" i="2" s="1"/>
  <c r="O114" i="12"/>
  <c r="N91" i="12"/>
  <c r="I74" i="12"/>
  <c r="I90" i="12"/>
  <c r="I83" i="12"/>
  <c r="J74" i="12"/>
  <c r="I72" i="12"/>
  <c r="H74" i="12"/>
  <c r="L119" i="5"/>
  <c r="M119" i="5" s="1"/>
  <c r="L148" i="5"/>
  <c r="M148" i="5" s="1"/>
  <c r="L153" i="5"/>
  <c r="M153" i="5" s="1"/>
  <c r="E78" i="5"/>
  <c r="F78" i="5" s="1"/>
  <c r="G78" i="5" s="1"/>
  <c r="E96" i="5"/>
  <c r="F96" i="5" s="1"/>
  <c r="G96" i="5" s="1"/>
  <c r="E131" i="5"/>
  <c r="F131" i="5" s="1"/>
  <c r="G131" i="5" s="1"/>
  <c r="E135" i="5"/>
  <c r="F135" i="5" s="1"/>
  <c r="G135" i="5" s="1"/>
  <c r="E28" i="5"/>
  <c r="F28" i="5" s="1"/>
  <c r="G28" i="5" s="1"/>
  <c r="E148" i="5"/>
  <c r="F148" i="5" s="1"/>
  <c r="G148" i="5" s="1"/>
  <c r="L43" i="12"/>
  <c r="O83" i="12"/>
  <c r="O79" i="12"/>
  <c r="O111" i="12"/>
  <c r="M132" i="12"/>
  <c r="N165" i="12"/>
  <c r="K132" i="12"/>
  <c r="E16" i="3"/>
  <c r="K26" i="3"/>
  <c r="K74" i="3"/>
  <c r="E52" i="3"/>
  <c r="E126" i="5"/>
  <c r="F126" i="5" s="1"/>
  <c r="G126" i="5" s="1"/>
  <c r="E155" i="5"/>
  <c r="F155" i="5" s="1"/>
  <c r="G155" i="5" s="1"/>
  <c r="G114" i="2"/>
  <c r="H184" i="3"/>
  <c r="K106" i="3"/>
  <c r="P30" i="5"/>
  <c r="P14" i="5"/>
  <c r="P161" i="5"/>
  <c r="M41" i="12"/>
  <c r="E104" i="5"/>
  <c r="F104" i="5" s="1"/>
  <c r="G104" i="5" s="1"/>
  <c r="N72" i="12"/>
  <c r="N48" i="2"/>
  <c r="O48" i="2" s="1"/>
  <c r="B13" i="28"/>
  <c r="P166" i="5"/>
  <c r="L97" i="12"/>
  <c r="M181" i="12"/>
  <c r="P133" i="5"/>
  <c r="G140" i="2"/>
  <c r="G50" i="2"/>
  <c r="L48" i="5"/>
  <c r="M48" i="5" s="1"/>
  <c r="N131" i="12"/>
  <c r="O136" i="12"/>
  <c r="N83" i="12"/>
  <c r="O98" i="12"/>
  <c r="L158" i="5"/>
  <c r="M158" i="5" s="1"/>
  <c r="H82" i="12"/>
  <c r="I94" i="12"/>
  <c r="L35" i="5"/>
  <c r="M35" i="5" s="1"/>
  <c r="L154" i="5"/>
  <c r="M154" i="5" s="1"/>
  <c r="O170" i="12"/>
  <c r="J166" i="12"/>
  <c r="L112" i="5"/>
  <c r="M112" i="5" s="1"/>
  <c r="L135" i="5"/>
  <c r="M135" i="5" s="1"/>
  <c r="E27" i="5"/>
  <c r="F27" i="5" s="1"/>
  <c r="G27" i="5" s="1"/>
  <c r="E111" i="5"/>
  <c r="F111" i="5" s="1"/>
  <c r="G111" i="5" s="1"/>
  <c r="K159" i="12"/>
  <c r="L52" i="5"/>
  <c r="M52" i="5" s="1"/>
  <c r="C237" i="2"/>
  <c r="L24" i="5"/>
  <c r="M24" i="5" s="1"/>
  <c r="L115" i="5"/>
  <c r="M115" i="5" s="1"/>
  <c r="C7" i="28"/>
  <c r="G42" i="2"/>
  <c r="L25" i="5"/>
  <c r="M25" i="5" s="1"/>
  <c r="N139" i="12"/>
  <c r="L59" i="12"/>
  <c r="L149" i="5"/>
  <c r="M149" i="5" s="1"/>
  <c r="N173" i="12"/>
  <c r="K8" i="3"/>
  <c r="B7" i="28"/>
  <c r="E146" i="5"/>
  <c r="F146" i="5" s="1"/>
  <c r="G146" i="5" s="1"/>
  <c r="P121" i="5"/>
  <c r="P40" i="5"/>
  <c r="L27" i="5"/>
  <c r="M27" i="5" s="1"/>
  <c r="O29" i="12"/>
  <c r="N181" i="12"/>
  <c r="L120" i="12"/>
  <c r="L51" i="5"/>
  <c r="M51" i="5" s="1"/>
  <c r="O99" i="12"/>
  <c r="M183" i="12"/>
  <c r="O100" i="12"/>
  <c r="L132" i="12"/>
  <c r="M63" i="12"/>
  <c r="O73" i="12"/>
  <c r="L40" i="5"/>
  <c r="M40" i="5" s="1"/>
  <c r="E94" i="5"/>
  <c r="F94" i="5" s="1"/>
  <c r="G94" i="5" s="1"/>
  <c r="E20" i="5"/>
  <c r="F20" i="5" s="1"/>
  <c r="G20" i="5" s="1"/>
  <c r="E36" i="5"/>
  <c r="F36" i="5" s="1"/>
  <c r="G36" i="5" s="1"/>
  <c r="E120" i="5"/>
  <c r="F120" i="5" s="1"/>
  <c r="G120" i="5" s="1"/>
  <c r="E161" i="5"/>
  <c r="F161" i="5" s="1"/>
  <c r="G161" i="5" s="1"/>
  <c r="M16" i="12"/>
  <c r="L14" i="5"/>
  <c r="M14" i="5" s="1"/>
  <c r="L75" i="12"/>
  <c r="J72" i="12"/>
  <c r="J179" i="12"/>
  <c r="E130" i="5"/>
  <c r="F130" i="5" s="1"/>
  <c r="G130" i="5" s="1"/>
  <c r="E100" i="3"/>
  <c r="K84" i="3"/>
  <c r="F159" i="2"/>
  <c r="P17" i="5"/>
  <c r="P29" i="5"/>
  <c r="P41" i="5"/>
  <c r="O14" i="12"/>
  <c r="M131" i="12"/>
  <c r="M67" i="12"/>
  <c r="L81" i="12"/>
  <c r="L112" i="12"/>
  <c r="L183" i="12"/>
  <c r="I76" i="12"/>
  <c r="E79" i="5"/>
  <c r="F79" i="5" s="1"/>
  <c r="G79" i="5" s="1"/>
  <c r="E83" i="5"/>
  <c r="F83" i="5" s="1"/>
  <c r="G83" i="5" s="1"/>
  <c r="E87" i="5"/>
  <c r="F87" i="5" s="1"/>
  <c r="G87" i="5" s="1"/>
  <c r="E63" i="5"/>
  <c r="F63" i="5" s="1"/>
  <c r="G63" i="5" s="1"/>
  <c r="K175" i="3"/>
  <c r="F152" i="2"/>
  <c r="P115" i="5"/>
  <c r="N99" i="12"/>
  <c r="C10" i="28"/>
  <c r="N13" i="12"/>
  <c r="L125" i="12"/>
  <c r="J72" i="2"/>
  <c r="K72" i="2" s="1"/>
  <c r="P16" i="5"/>
  <c r="P71" i="5"/>
  <c r="M109" i="12"/>
  <c r="O165" i="12"/>
  <c r="E127" i="5"/>
  <c r="F127" i="5" s="1"/>
  <c r="G127" i="5" s="1"/>
  <c r="P44" i="5"/>
  <c r="P157" i="5"/>
  <c r="L21" i="12"/>
  <c r="P21" i="12"/>
  <c r="K115" i="7"/>
  <c r="J115" i="12" s="1"/>
  <c r="L138" i="5"/>
  <c r="M138" i="5" s="1"/>
  <c r="C13" i="28"/>
  <c r="M101" i="12"/>
  <c r="Q101" i="12"/>
  <c r="C104" i="7"/>
  <c r="F104" i="7"/>
  <c r="I98" i="12"/>
  <c r="J104" i="7"/>
  <c r="L104" i="7"/>
  <c r="K104" i="12" s="1"/>
  <c r="N104" i="7"/>
  <c r="E104" i="7"/>
  <c r="D104" i="7"/>
  <c r="M104" i="7"/>
  <c r="I104" i="7"/>
  <c r="I104" i="12" s="1"/>
  <c r="G104" i="7"/>
  <c r="K104" i="7"/>
  <c r="J104" i="12" s="1"/>
  <c r="O104" i="7"/>
  <c r="I103" i="12"/>
  <c r="I107" i="12"/>
  <c r="K98" i="12"/>
  <c r="R159" i="12"/>
  <c r="S159" i="12"/>
  <c r="E129" i="3"/>
  <c r="G131" i="14"/>
  <c r="E37" i="5"/>
  <c r="F37" i="5" s="1"/>
  <c r="G37" i="5" s="1"/>
  <c r="H37" i="3"/>
  <c r="B142" i="7"/>
  <c r="N142" i="7"/>
  <c r="I142" i="7"/>
  <c r="D142" i="7"/>
  <c r="L142" i="7"/>
  <c r="M142" i="7"/>
  <c r="E142" i="7"/>
  <c r="F142" i="7"/>
  <c r="C142" i="7"/>
  <c r="H142" i="7"/>
  <c r="H142" i="12" s="1"/>
  <c r="G142" i="7"/>
  <c r="B128" i="7"/>
  <c r="M128" i="7"/>
  <c r="D128" i="7"/>
  <c r="I128" i="7"/>
  <c r="I128" i="12" s="1"/>
  <c r="N128" i="7"/>
  <c r="E128" i="7"/>
  <c r="J128" i="7"/>
  <c r="O128" i="7"/>
  <c r="F128" i="7"/>
  <c r="L128" i="7"/>
  <c r="K128" i="12" s="1"/>
  <c r="G128" i="7"/>
  <c r="K44" i="7"/>
  <c r="J44" i="12" s="1"/>
  <c r="O44" i="7"/>
  <c r="M44" i="7"/>
  <c r="G44" i="7"/>
  <c r="B44" i="7"/>
  <c r="F44" i="7"/>
  <c r="E44" i="7"/>
  <c r="J44" i="7"/>
  <c r="C44" i="7"/>
  <c r="N44" i="7"/>
  <c r="G70" i="14"/>
  <c r="P59" i="12"/>
  <c r="M84" i="12"/>
  <c r="L44" i="7"/>
  <c r="N81" i="12"/>
  <c r="K105" i="12"/>
  <c r="N39" i="7"/>
  <c r="J142" i="5"/>
  <c r="H44" i="7"/>
  <c r="H44" i="12" s="1"/>
  <c r="P29" i="12"/>
  <c r="L29" i="12"/>
  <c r="M155" i="12"/>
  <c r="Q155" i="12"/>
  <c r="M110" i="12"/>
  <c r="Q110" i="12"/>
  <c r="H104" i="7"/>
  <c r="H104" i="12" s="1"/>
  <c r="R139" i="12"/>
  <c r="S139" i="12"/>
  <c r="Q99" i="12"/>
  <c r="M99" i="12"/>
  <c r="M43" i="12"/>
  <c r="S81" i="12"/>
  <c r="J101" i="12"/>
  <c r="K107" i="12"/>
  <c r="P113" i="12"/>
  <c r="L113" i="12"/>
  <c r="O142" i="7"/>
  <c r="N98" i="2"/>
  <c r="O98" i="2" s="1"/>
  <c r="N100" i="12"/>
  <c r="S100" i="12"/>
  <c r="P115" i="12"/>
  <c r="L115" i="12"/>
  <c r="S136" i="12"/>
  <c r="N136" i="12"/>
  <c r="R136" i="12"/>
  <c r="D44" i="7"/>
  <c r="H104" i="3"/>
  <c r="P74" i="5"/>
  <c r="Q58" i="12"/>
  <c r="R21" i="12"/>
  <c r="Q129" i="12"/>
  <c r="M129" i="12"/>
  <c r="K142" i="7"/>
  <c r="J142" i="12" s="1"/>
  <c r="F50" i="2"/>
  <c r="N9" i="12"/>
  <c r="S9" i="12"/>
  <c r="Q126" i="12"/>
  <c r="M126" i="12"/>
  <c r="N172" i="12"/>
  <c r="S172" i="12"/>
  <c r="R172" i="12"/>
  <c r="R95" i="12"/>
  <c r="N95" i="12"/>
  <c r="Q167" i="12"/>
  <c r="M167" i="12"/>
  <c r="J167" i="2"/>
  <c r="K167" i="2" s="1"/>
  <c r="F167" i="2"/>
  <c r="M139" i="12"/>
  <c r="Q139" i="12"/>
  <c r="R80" i="12"/>
  <c r="N80" i="12"/>
  <c r="R138" i="12"/>
  <c r="S138" i="12"/>
  <c r="B12" i="28"/>
  <c r="I168" i="7"/>
  <c r="G168" i="7"/>
  <c r="C168" i="7"/>
  <c r="J168" i="7"/>
  <c r="K168" i="7"/>
  <c r="F168" i="7"/>
  <c r="O168" i="7"/>
  <c r="E168" i="7"/>
  <c r="M168" i="7"/>
  <c r="H167" i="12"/>
  <c r="L168" i="7"/>
  <c r="K170" i="12" s="1"/>
  <c r="H168" i="7"/>
  <c r="D168" i="7"/>
  <c r="J128" i="12"/>
  <c r="P161" i="12"/>
  <c r="J107" i="12"/>
  <c r="M127" i="12"/>
  <c r="Q127" i="12"/>
  <c r="R153" i="12"/>
  <c r="S153" i="12"/>
  <c r="N153" i="12"/>
  <c r="M137" i="12"/>
  <c r="Q137" i="12"/>
  <c r="L147" i="12"/>
  <c r="P147" i="12"/>
  <c r="J142" i="7"/>
  <c r="L41" i="12"/>
  <c r="P41" i="12"/>
  <c r="H115" i="7"/>
  <c r="H114" i="12" s="1"/>
  <c r="Q79" i="12"/>
  <c r="M79" i="12"/>
  <c r="P136" i="12"/>
  <c r="L136" i="12"/>
  <c r="D115" i="7"/>
  <c r="G24" i="14"/>
  <c r="G28" i="14"/>
  <c r="G138" i="14"/>
  <c r="L16" i="12"/>
  <c r="S84" i="12"/>
  <c r="R67" i="12"/>
  <c r="Q131" i="12"/>
  <c r="J105" i="12"/>
  <c r="H105" i="12"/>
  <c r="P114" i="5"/>
  <c r="B104" i="7"/>
  <c r="B168" i="7"/>
  <c r="G82" i="2"/>
  <c r="H179" i="3"/>
  <c r="E134" i="3"/>
  <c r="H128" i="7"/>
  <c r="H128" i="12" s="1"/>
  <c r="K39" i="7"/>
  <c r="J42" i="12" s="1"/>
  <c r="B39" i="7"/>
  <c r="J39" i="7"/>
  <c r="I39" i="7"/>
  <c r="F39" i="7"/>
  <c r="E39" i="7"/>
  <c r="C39" i="7"/>
  <c r="M39" i="7"/>
  <c r="G39" i="7"/>
  <c r="D39" i="7"/>
  <c r="H39" i="7"/>
  <c r="H42" i="12" s="1"/>
  <c r="L39" i="7"/>
  <c r="P33" i="12"/>
  <c r="L33" i="12"/>
  <c r="C139" i="7"/>
  <c r="M139" i="7"/>
  <c r="G139" i="7"/>
  <c r="D139" i="7"/>
  <c r="K139" i="7"/>
  <c r="E139" i="7"/>
  <c r="H139" i="7"/>
  <c r="B139" i="7"/>
  <c r="L139" i="7"/>
  <c r="F139" i="7"/>
  <c r="Q67" i="12"/>
  <c r="G10" i="14"/>
  <c r="G62" i="14"/>
  <c r="G160" i="14"/>
  <c r="G170" i="14"/>
  <c r="P81" i="12"/>
  <c r="N84" i="12"/>
  <c r="S109" i="12"/>
  <c r="R151" i="12"/>
  <c r="S151" i="12"/>
  <c r="P151" i="12"/>
  <c r="N119" i="12"/>
  <c r="N21" i="12"/>
  <c r="M42" i="5"/>
  <c r="J103" i="12"/>
  <c r="J139" i="7"/>
  <c r="G92" i="2"/>
  <c r="F92" i="2"/>
  <c r="F115" i="7"/>
  <c r="L115" i="7"/>
  <c r="G115" i="7"/>
  <c r="E115" i="7"/>
  <c r="M115" i="7"/>
  <c r="O115" i="7"/>
  <c r="B115" i="7"/>
  <c r="N115" i="7"/>
  <c r="J115" i="7"/>
  <c r="I115" i="7"/>
  <c r="I115" i="12" s="1"/>
  <c r="C115" i="7"/>
  <c r="M8" i="12"/>
  <c r="S19" i="12"/>
  <c r="J98" i="12"/>
  <c r="Q39" i="12"/>
  <c r="S119" i="12"/>
  <c r="N147" i="12"/>
  <c r="S147" i="12"/>
  <c r="N168" i="7"/>
  <c r="E80" i="5"/>
  <c r="F80" i="5" s="1"/>
  <c r="G80" i="5" s="1"/>
  <c r="O139" i="7"/>
  <c r="S148" i="12"/>
  <c r="N148" i="12"/>
  <c r="I44" i="7"/>
  <c r="I44" i="12" s="1"/>
  <c r="R99" i="12"/>
  <c r="M61" i="5"/>
  <c r="H107" i="12"/>
  <c r="N126" i="7"/>
  <c r="J20" i="5"/>
  <c r="I145" i="12"/>
  <c r="I159" i="12"/>
  <c r="O126" i="7"/>
  <c r="G174" i="7"/>
  <c r="K61" i="3"/>
  <c r="H17" i="3"/>
  <c r="H34" i="3"/>
  <c r="K89" i="3"/>
  <c r="N15" i="2"/>
  <c r="O15" i="2" s="1"/>
  <c r="K177" i="3"/>
  <c r="N81" i="2"/>
  <c r="O81" i="2" s="1"/>
  <c r="G149" i="2"/>
  <c r="J161" i="2"/>
  <c r="K161" i="2" s="1"/>
  <c r="F34" i="2"/>
  <c r="F116" i="2"/>
  <c r="N144" i="2"/>
  <c r="O144" i="2" s="1"/>
  <c r="P78" i="5"/>
  <c r="P23" i="5"/>
  <c r="P39" i="5"/>
  <c r="D56" i="7"/>
  <c r="M56" i="7"/>
  <c r="L137" i="7"/>
  <c r="K137" i="12" s="1"/>
  <c r="E24" i="3"/>
  <c r="E56" i="7"/>
  <c r="H127" i="3"/>
  <c r="B126" i="7"/>
  <c r="L153" i="7"/>
  <c r="K161" i="12" s="1"/>
  <c r="J13" i="5"/>
  <c r="K157" i="12"/>
  <c r="I160" i="12"/>
  <c r="H99" i="12"/>
  <c r="K126" i="7"/>
  <c r="J157" i="12"/>
  <c r="C174" i="7"/>
  <c r="F128" i="5"/>
  <c r="G128" i="5" s="1"/>
  <c r="J138" i="5"/>
  <c r="H146" i="3"/>
  <c r="H178" i="3"/>
  <c r="J143" i="12"/>
  <c r="E75" i="3"/>
  <c r="J71" i="2"/>
  <c r="K71" i="2" s="1"/>
  <c r="G66" i="2"/>
  <c r="N74" i="2"/>
  <c r="O74" i="2" s="1"/>
  <c r="J160" i="2"/>
  <c r="K160" i="2" s="1"/>
  <c r="P118" i="5"/>
  <c r="N56" i="7"/>
  <c r="K137" i="7"/>
  <c r="J136" i="12" s="1"/>
  <c r="K139" i="3"/>
  <c r="H150" i="7"/>
  <c r="F126" i="7"/>
  <c r="G149" i="14"/>
  <c r="M23" i="5"/>
  <c r="O150" i="7"/>
  <c r="H157" i="12"/>
  <c r="J44" i="5"/>
  <c r="H159" i="12"/>
  <c r="G126" i="7"/>
  <c r="K98" i="3"/>
  <c r="H49" i="3"/>
  <c r="K9" i="3"/>
  <c r="E14" i="3"/>
  <c r="K35" i="3"/>
  <c r="H115" i="3"/>
  <c r="K137" i="3"/>
  <c r="G21" i="2"/>
  <c r="F129" i="2"/>
  <c r="F149" i="2"/>
  <c r="N29" i="2"/>
  <c r="O29" i="2" s="1"/>
  <c r="N77" i="2"/>
  <c r="O77" i="2" s="1"/>
  <c r="N101" i="2"/>
  <c r="O101" i="2" s="1"/>
  <c r="J56" i="7"/>
  <c r="G63" i="14"/>
  <c r="J16" i="2"/>
  <c r="K16" i="2" s="1"/>
  <c r="K153" i="7"/>
  <c r="J161" i="12" s="1"/>
  <c r="S99" i="12"/>
  <c r="M31" i="12"/>
  <c r="I101" i="12"/>
  <c r="K150" i="7"/>
  <c r="J151" i="12"/>
  <c r="C126" i="7"/>
  <c r="N174" i="7"/>
  <c r="M92" i="5"/>
  <c r="F101" i="5"/>
  <c r="G101" i="5" s="1"/>
  <c r="F134" i="5"/>
  <c r="G134" i="5" s="1"/>
  <c r="H122" i="3"/>
  <c r="H35" i="3"/>
  <c r="E145" i="3"/>
  <c r="N110" i="2"/>
  <c r="O110" i="2" s="1"/>
  <c r="J77" i="2"/>
  <c r="K77" i="2" s="1"/>
  <c r="G130" i="2"/>
  <c r="F56" i="7"/>
  <c r="N28" i="2"/>
  <c r="O28" i="2" s="1"/>
  <c r="G193" i="2"/>
  <c r="C175" i="7"/>
  <c r="N175" i="7"/>
  <c r="G150" i="7"/>
  <c r="J22" i="5"/>
  <c r="I162" i="12"/>
  <c r="I150" i="12"/>
  <c r="I151" i="12"/>
  <c r="N137" i="7"/>
  <c r="J174" i="7"/>
  <c r="J74" i="5"/>
  <c r="K15" i="3"/>
  <c r="H150" i="3"/>
  <c r="H55" i="3"/>
  <c r="H99" i="3"/>
  <c r="K140" i="3"/>
  <c r="G129" i="2"/>
  <c r="F82" i="2"/>
  <c r="G141" i="14"/>
  <c r="B56" i="7"/>
  <c r="J28" i="2"/>
  <c r="K28" i="2" s="1"/>
  <c r="G67" i="14"/>
  <c r="E153" i="7"/>
  <c r="N140" i="2"/>
  <c r="O140" i="2" s="1"/>
  <c r="K103" i="12"/>
  <c r="C150" i="7"/>
  <c r="J173" i="12"/>
  <c r="J15" i="5"/>
  <c r="J46" i="5"/>
  <c r="I152" i="12"/>
  <c r="J137" i="7"/>
  <c r="F174" i="7"/>
  <c r="J121" i="5"/>
  <c r="F164" i="5"/>
  <c r="G164" i="5" s="1"/>
  <c r="K34" i="3"/>
  <c r="K134" i="3"/>
  <c r="K153" i="3"/>
  <c r="J91" i="2"/>
  <c r="K91" i="2" s="1"/>
  <c r="J58" i="2"/>
  <c r="K58" i="2" s="1"/>
  <c r="F74" i="2"/>
  <c r="E166" i="3"/>
  <c r="N187" i="2"/>
  <c r="O187" i="2" s="1"/>
  <c r="J150" i="7"/>
  <c r="H119" i="3"/>
  <c r="E121" i="3"/>
  <c r="H153" i="7"/>
  <c r="H153" i="12" s="1"/>
  <c r="G13" i="14"/>
  <c r="J16" i="5"/>
  <c r="H145" i="12"/>
  <c r="K145" i="12"/>
  <c r="I148" i="12"/>
  <c r="F137" i="7"/>
  <c r="B174" i="7"/>
  <c r="J70" i="5"/>
  <c r="J98" i="5"/>
  <c r="M165" i="5"/>
  <c r="E122" i="3"/>
  <c r="E78" i="3"/>
  <c r="N156" i="2"/>
  <c r="O156" i="2" s="1"/>
  <c r="N61" i="2"/>
  <c r="O61" i="2" s="1"/>
  <c r="N109" i="2"/>
  <c r="O109" i="2" s="1"/>
  <c r="G34" i="2"/>
  <c r="P70" i="5"/>
  <c r="K72" i="3"/>
  <c r="N56" i="2"/>
  <c r="O56" i="2" s="1"/>
  <c r="G159" i="2"/>
  <c r="G169" i="14"/>
  <c r="E150" i="7"/>
  <c r="I105" i="12"/>
  <c r="J24" i="5"/>
  <c r="I143" i="12"/>
  <c r="I144" i="12"/>
  <c r="B137" i="7"/>
  <c r="L174" i="7"/>
  <c r="K173" i="12" s="1"/>
  <c r="J117" i="5"/>
  <c r="M122" i="5"/>
  <c r="K87" i="3"/>
  <c r="E109" i="3"/>
  <c r="E115" i="3"/>
  <c r="K143" i="12"/>
  <c r="E137" i="3"/>
  <c r="J182" i="2"/>
  <c r="K182" i="2" s="1"/>
  <c r="N78" i="2"/>
  <c r="O78" i="2" s="1"/>
  <c r="N126" i="2"/>
  <c r="O126" i="2" s="1"/>
  <c r="J133" i="2"/>
  <c r="K133" i="2" s="1"/>
  <c r="J42" i="2"/>
  <c r="K42" i="2" s="1"/>
  <c r="F66" i="2"/>
  <c r="J152" i="2"/>
  <c r="K152" i="2" s="1"/>
  <c r="P158" i="5"/>
  <c r="J56" i="2"/>
  <c r="K56" i="2" s="1"/>
  <c r="J52" i="2"/>
  <c r="K52" i="2" s="1"/>
  <c r="N159" i="2"/>
  <c r="O159" i="2" s="1"/>
  <c r="N150" i="7"/>
  <c r="J126" i="7"/>
  <c r="K151" i="12"/>
  <c r="I99" i="12"/>
  <c r="D153" i="7"/>
  <c r="J17" i="5"/>
  <c r="J48" i="5"/>
  <c r="I173" i="12"/>
  <c r="H143" i="12"/>
  <c r="N153" i="7"/>
  <c r="K160" i="12"/>
  <c r="H174" i="7"/>
  <c r="H173" i="12" s="1"/>
  <c r="J94" i="5"/>
  <c r="J146" i="5"/>
  <c r="E10" i="3"/>
  <c r="K47" i="3"/>
  <c r="E77" i="3"/>
  <c r="H126" i="3"/>
  <c r="H75" i="3"/>
  <c r="I154" i="12"/>
  <c r="N149" i="2"/>
  <c r="O149" i="2" s="1"/>
  <c r="J168" i="2"/>
  <c r="K168" i="2" s="1"/>
  <c r="G53" i="14"/>
  <c r="J145" i="12"/>
  <c r="H56" i="3"/>
  <c r="M60" i="12"/>
  <c r="G132" i="2"/>
  <c r="J64" i="2"/>
  <c r="K64" i="2" s="1"/>
  <c r="N12" i="2"/>
  <c r="O12" i="2" s="1"/>
  <c r="J155" i="2"/>
  <c r="K155" i="2" s="1"/>
  <c r="G35" i="14"/>
  <c r="N36" i="2"/>
  <c r="O36" i="2" s="1"/>
  <c r="K128" i="3"/>
  <c r="G80" i="14"/>
  <c r="E167" i="3"/>
  <c r="G39" i="14"/>
  <c r="K101" i="3"/>
  <c r="F40" i="2"/>
  <c r="G99" i="14"/>
  <c r="G33" i="14"/>
  <c r="G51" i="14"/>
  <c r="H151" i="3"/>
  <c r="G68" i="2"/>
  <c r="H12" i="12"/>
  <c r="G52" i="2"/>
  <c r="H101" i="3"/>
  <c r="E40" i="3"/>
  <c r="F13" i="2"/>
  <c r="E125" i="3"/>
  <c r="F36" i="2"/>
  <c r="P113" i="5"/>
  <c r="P127" i="5"/>
  <c r="P145" i="5"/>
  <c r="H134" i="12"/>
  <c r="P11" i="5"/>
  <c r="P24" i="5"/>
  <c r="P35" i="5"/>
  <c r="P147" i="5"/>
  <c r="I161" i="12"/>
  <c r="P122" i="5"/>
  <c r="F173" i="2"/>
  <c r="P47" i="5"/>
  <c r="E186" i="3"/>
  <c r="P141" i="5"/>
  <c r="P109" i="5"/>
  <c r="F68" i="2"/>
  <c r="N32" i="12"/>
  <c r="M22" i="12"/>
  <c r="S47" i="12"/>
  <c r="R158" i="12"/>
  <c r="M164" i="12"/>
  <c r="Q119" i="12"/>
  <c r="R157" i="12"/>
  <c r="N52" i="12"/>
  <c r="K66" i="7"/>
  <c r="J71" i="12" s="1"/>
  <c r="D110" i="7"/>
  <c r="L9" i="7"/>
  <c r="K9" i="12" s="1"/>
  <c r="H147" i="7"/>
  <c r="H155" i="12" s="1"/>
  <c r="F157" i="5"/>
  <c r="G157" i="5" s="1"/>
  <c r="K174" i="3"/>
  <c r="J186" i="7"/>
  <c r="E44" i="5"/>
  <c r="F44" i="5" s="1"/>
  <c r="G44" i="5" s="1"/>
  <c r="K19" i="3"/>
  <c r="E173" i="3"/>
  <c r="N121" i="2"/>
  <c r="O121" i="2" s="1"/>
  <c r="L66" i="7"/>
  <c r="K71" i="12" s="1"/>
  <c r="J147" i="7"/>
  <c r="E147" i="7"/>
  <c r="E12" i="3"/>
  <c r="M147" i="7"/>
  <c r="C186" i="7"/>
  <c r="I186" i="7"/>
  <c r="I186" i="12" s="1"/>
  <c r="L88" i="12"/>
  <c r="N158" i="12"/>
  <c r="M135" i="12"/>
  <c r="G66" i="7"/>
  <c r="I110" i="7"/>
  <c r="I110" i="12" s="1"/>
  <c r="C147" i="7"/>
  <c r="J19" i="5"/>
  <c r="H9" i="7"/>
  <c r="H9" i="12" s="1"/>
  <c r="E66" i="7"/>
  <c r="D147" i="7"/>
  <c r="J106" i="5"/>
  <c r="F186" i="7"/>
  <c r="E105" i="3"/>
  <c r="H163" i="3"/>
  <c r="F66" i="7"/>
  <c r="K147" i="7"/>
  <c r="J155" i="12" s="1"/>
  <c r="E146" i="3"/>
  <c r="N193" i="2"/>
  <c r="O193" i="2" s="1"/>
  <c r="G186" i="7"/>
  <c r="S171" i="12"/>
  <c r="Q29" i="12"/>
  <c r="L141" i="12"/>
  <c r="C66" i="7"/>
  <c r="N110" i="7"/>
  <c r="I147" i="7"/>
  <c r="D9" i="7"/>
  <c r="J66" i="7"/>
  <c r="B186" i="7"/>
  <c r="I66" i="7"/>
  <c r="I71" i="12" s="1"/>
  <c r="O186" i="7"/>
  <c r="Q28" i="12"/>
  <c r="L139" i="12"/>
  <c r="L65" i="12"/>
  <c r="N87" i="12"/>
  <c r="N147" i="7"/>
  <c r="O9" i="7"/>
  <c r="K178" i="3"/>
  <c r="L186" i="7"/>
  <c r="K186" i="12" s="1"/>
  <c r="G26" i="2"/>
  <c r="P110" i="5"/>
  <c r="H16" i="3"/>
  <c r="I65" i="12"/>
  <c r="N66" i="7"/>
  <c r="G119" i="14"/>
  <c r="P24" i="12"/>
  <c r="Q50" i="12"/>
  <c r="R66" i="12"/>
  <c r="N150" i="12"/>
  <c r="S87" i="12"/>
  <c r="L95" i="12"/>
  <c r="I184" i="12"/>
  <c r="K9" i="7"/>
  <c r="J10" i="12" s="1"/>
  <c r="H186" i="7"/>
  <c r="H186" i="12" s="1"/>
  <c r="E62" i="3"/>
  <c r="G13" i="2"/>
  <c r="D66" i="7"/>
  <c r="M9" i="7"/>
  <c r="I7" i="12"/>
  <c r="M165" i="12"/>
  <c r="G9" i="7"/>
  <c r="D186" i="7"/>
  <c r="E100" i="5"/>
  <c r="F100" i="5" s="1"/>
  <c r="G100" i="5" s="1"/>
  <c r="H83" i="3"/>
  <c r="H136" i="3"/>
  <c r="J51" i="2"/>
  <c r="K51" i="2" s="1"/>
  <c r="N168" i="2"/>
  <c r="O168" i="2" s="1"/>
  <c r="B66" i="7"/>
  <c r="E9" i="7"/>
  <c r="G128" i="14"/>
  <c r="N64" i="12"/>
  <c r="S121" i="12"/>
  <c r="N132" i="12"/>
  <c r="N118" i="12"/>
  <c r="H184" i="12"/>
  <c r="K184" i="12"/>
  <c r="Q100" i="12"/>
  <c r="I185" i="12"/>
  <c r="C9" i="7"/>
  <c r="H63" i="3"/>
  <c r="G30" i="2"/>
  <c r="F110" i="7"/>
  <c r="N189" i="2"/>
  <c r="O189" i="2" s="1"/>
  <c r="K186" i="7"/>
  <c r="J185" i="12" s="1"/>
  <c r="S64" i="12"/>
  <c r="P26" i="12"/>
  <c r="Q95" i="12"/>
  <c r="H66" i="7"/>
  <c r="N9" i="7"/>
  <c r="O110" i="7"/>
  <c r="H54" i="3"/>
  <c r="M110" i="7"/>
  <c r="R132" i="12"/>
  <c r="R150" i="12"/>
  <c r="R18" i="12"/>
  <c r="I9" i="7"/>
  <c r="I9" i="12" s="1"/>
  <c r="J9" i="7"/>
  <c r="K110" i="7"/>
  <c r="J110" i="12" s="1"/>
  <c r="E54" i="3"/>
  <c r="K105" i="3"/>
  <c r="J31" i="2"/>
  <c r="K31" i="2" s="1"/>
  <c r="F30" i="2"/>
  <c r="J147" i="2"/>
  <c r="K147" i="2" s="1"/>
  <c r="L110" i="7"/>
  <c r="K110" i="12" s="1"/>
  <c r="G88" i="2"/>
  <c r="N66" i="12"/>
  <c r="R118" i="12"/>
  <c r="N18" i="12"/>
  <c r="L86" i="12"/>
  <c r="J184" i="12"/>
  <c r="Q105" i="12"/>
  <c r="M118" i="12"/>
  <c r="K185" i="12"/>
  <c r="F9" i="7"/>
  <c r="G110" i="7"/>
  <c r="H50" i="3"/>
  <c r="E113" i="3"/>
  <c r="J131" i="2"/>
  <c r="K131" i="2" s="1"/>
  <c r="F26" i="2"/>
  <c r="N124" i="2"/>
  <c r="O124" i="2" s="1"/>
  <c r="J175" i="2"/>
  <c r="K175" i="2" s="1"/>
  <c r="P138" i="12"/>
  <c r="M145" i="12"/>
  <c r="F109" i="5"/>
  <c r="G109" i="5" s="1"/>
  <c r="N125" i="2"/>
  <c r="O125" i="2" s="1"/>
  <c r="F48" i="2"/>
  <c r="N44" i="2"/>
  <c r="O44" i="2" s="1"/>
  <c r="F67" i="5"/>
  <c r="G67" i="5" s="1"/>
  <c r="F84" i="5"/>
  <c r="G84" i="5" s="1"/>
  <c r="F153" i="5"/>
  <c r="G153" i="5" s="1"/>
  <c r="E38" i="3"/>
  <c r="H180" i="3"/>
  <c r="K60" i="3"/>
  <c r="H175" i="3"/>
  <c r="N167" i="2"/>
  <c r="O167" i="2" s="1"/>
  <c r="C160" i="7"/>
  <c r="F149" i="5"/>
  <c r="G149" i="5" s="1"/>
  <c r="K55" i="3"/>
  <c r="E136" i="5"/>
  <c r="F136" i="5" s="1"/>
  <c r="G136" i="5" s="1"/>
  <c r="N52" i="2"/>
  <c r="O52" i="2" s="1"/>
  <c r="N185" i="2"/>
  <c r="O185" i="2" s="1"/>
  <c r="E160" i="7"/>
  <c r="E13" i="3"/>
  <c r="E45" i="3"/>
  <c r="E160" i="5"/>
  <c r="F160" i="5" s="1"/>
  <c r="G160" i="5" s="1"/>
  <c r="E14" i="5"/>
  <c r="F14" i="5" s="1"/>
  <c r="G14" i="5" s="1"/>
  <c r="J12" i="2"/>
  <c r="K12" i="2" s="1"/>
  <c r="F151" i="2"/>
  <c r="K143" i="3"/>
  <c r="J124" i="2"/>
  <c r="K124" i="2" s="1"/>
  <c r="M160" i="7"/>
  <c r="K160" i="7"/>
  <c r="J160" i="12" s="1"/>
  <c r="E63" i="3"/>
  <c r="G111" i="14"/>
  <c r="E113" i="5"/>
  <c r="F113" i="5" s="1"/>
  <c r="G113" i="5" s="1"/>
  <c r="E144" i="5"/>
  <c r="F144" i="5" s="1"/>
  <c r="G144" i="5" s="1"/>
  <c r="E30" i="5"/>
  <c r="F30" i="5" s="1"/>
  <c r="G30" i="5" s="1"/>
  <c r="J112" i="2"/>
  <c r="K112" i="2" s="1"/>
  <c r="K123" i="3"/>
  <c r="E116" i="3"/>
  <c r="E84" i="3"/>
  <c r="N72" i="2"/>
  <c r="O72" i="2" s="1"/>
  <c r="J189" i="2"/>
  <c r="K189" i="2" s="1"/>
  <c r="K11" i="12"/>
  <c r="I46" i="12"/>
  <c r="H138" i="12"/>
  <c r="M68" i="5"/>
  <c r="Q24" i="12"/>
  <c r="J18" i="12"/>
  <c r="H33" i="3"/>
  <c r="E66" i="5"/>
  <c r="F66" i="5" s="1"/>
  <c r="G66" i="5" s="1"/>
  <c r="E80" i="3"/>
  <c r="K176" i="3"/>
  <c r="K69" i="3"/>
  <c r="J23" i="5"/>
  <c r="F162" i="5"/>
  <c r="G162" i="5" s="1"/>
  <c r="E11" i="3"/>
  <c r="F97" i="2"/>
  <c r="N153" i="2"/>
  <c r="O153" i="2" s="1"/>
  <c r="N177" i="2"/>
  <c r="O177" i="2" s="1"/>
  <c r="N145" i="12"/>
  <c r="N113" i="12"/>
  <c r="F92" i="5"/>
  <c r="G92" i="5" s="1"/>
  <c r="J80" i="2"/>
  <c r="K80" i="2" s="1"/>
  <c r="G91" i="14"/>
  <c r="N133" i="12"/>
  <c r="G144" i="14"/>
  <c r="P34" i="12"/>
  <c r="S133" i="12"/>
  <c r="S165" i="12"/>
  <c r="M163" i="12"/>
  <c r="G73" i="2"/>
  <c r="G97" i="2"/>
  <c r="G121" i="2"/>
  <c r="F29" i="2"/>
  <c r="O191" i="5"/>
  <c r="O192" i="5" s="1"/>
  <c r="J183" i="2"/>
  <c r="K183" i="2" s="1"/>
  <c r="N68" i="2"/>
  <c r="O68" i="2" s="1"/>
  <c r="M54" i="5"/>
  <c r="P137" i="12"/>
  <c r="F93" i="5"/>
  <c r="G93" i="5" s="1"/>
  <c r="E61" i="3"/>
  <c r="H107" i="3"/>
  <c r="K124" i="3"/>
  <c r="G167" i="2"/>
  <c r="G60" i="14"/>
  <c r="P76" i="5"/>
  <c r="P100" i="5"/>
  <c r="K92" i="3"/>
  <c r="L142" i="12"/>
  <c r="G134" i="14"/>
  <c r="P42" i="12"/>
  <c r="M140" i="12"/>
  <c r="K103" i="3"/>
  <c r="E62" i="5"/>
  <c r="F62" i="5" s="1"/>
  <c r="E22" i="3"/>
  <c r="E86" i="3"/>
  <c r="E110" i="5"/>
  <c r="F110" i="5" s="1"/>
  <c r="G110" i="5" s="1"/>
  <c r="H148" i="3"/>
  <c r="E248" i="2"/>
  <c r="J14" i="2"/>
  <c r="K14" i="2" s="1"/>
  <c r="N58" i="2"/>
  <c r="O58" i="2" s="1"/>
  <c r="F100" i="2"/>
  <c r="G127" i="14"/>
  <c r="F140" i="5"/>
  <c r="G140" i="5" s="1"/>
  <c r="P18" i="12"/>
  <c r="M120" i="12"/>
  <c r="L82" i="12"/>
  <c r="F103" i="5"/>
  <c r="G103" i="5" s="1"/>
  <c r="F145" i="5"/>
  <c r="G145" i="5" s="1"/>
  <c r="J160" i="5"/>
  <c r="G171" i="14"/>
  <c r="P50" i="12"/>
  <c r="M123" i="12"/>
  <c r="L74" i="12"/>
  <c r="R40" i="12"/>
  <c r="M132" i="5"/>
  <c r="H21" i="3"/>
  <c r="H79" i="3"/>
  <c r="H130" i="3"/>
  <c r="E169" i="3"/>
  <c r="H248" i="2"/>
  <c r="N64" i="2"/>
  <c r="O64" i="2" s="1"/>
  <c r="J36" i="2"/>
  <c r="K36" i="2" s="1"/>
  <c r="N40" i="12"/>
  <c r="F81" i="5"/>
  <c r="G81" i="5" s="1"/>
  <c r="J156" i="5"/>
  <c r="H10" i="3"/>
  <c r="E114" i="5"/>
  <c r="F114" i="5" s="1"/>
  <c r="G114" i="5" s="1"/>
  <c r="N77" i="12"/>
  <c r="R77" i="12"/>
  <c r="R78" i="12"/>
  <c r="F77" i="5"/>
  <c r="G77" i="5" s="1"/>
  <c r="J82" i="5"/>
  <c r="F156" i="5"/>
  <c r="G156" i="5" s="1"/>
  <c r="E93" i="3"/>
  <c r="E97" i="3"/>
  <c r="N70" i="2"/>
  <c r="O70" i="2" s="1"/>
  <c r="J17" i="2"/>
  <c r="K17" i="2" s="1"/>
  <c r="G43" i="14"/>
  <c r="N100" i="2"/>
  <c r="O100" i="2" s="1"/>
  <c r="P122" i="12"/>
  <c r="P132" i="12"/>
  <c r="R70" i="12"/>
  <c r="S78" i="12"/>
  <c r="E46" i="5"/>
  <c r="F46" i="5" s="1"/>
  <c r="G46" i="5" s="1"/>
  <c r="N25" i="2"/>
  <c r="O25" i="2" s="1"/>
  <c r="G29" i="2"/>
  <c r="J114" i="2"/>
  <c r="K114" i="2" s="1"/>
  <c r="G76" i="14"/>
  <c r="N48" i="12"/>
  <c r="Q19" i="12"/>
  <c r="P121" i="12"/>
  <c r="K23" i="3"/>
  <c r="J63" i="2"/>
  <c r="K63" i="2" s="1"/>
  <c r="F185" i="2"/>
  <c r="J187" i="2"/>
  <c r="K187" i="2" s="1"/>
  <c r="F68" i="5"/>
  <c r="G68" i="5" s="1"/>
  <c r="K71" i="3"/>
  <c r="G166" i="14"/>
  <c r="F88" i="5"/>
  <c r="G88" i="5" s="1"/>
  <c r="F64" i="5"/>
  <c r="G64" i="5" s="1"/>
  <c r="F116" i="5"/>
  <c r="G116" i="5" s="1"/>
  <c r="F151" i="5"/>
  <c r="G151" i="5" s="1"/>
  <c r="K39" i="3"/>
  <c r="E82" i="5"/>
  <c r="F82" i="5" s="1"/>
  <c r="G82" i="5" s="1"/>
  <c r="G47" i="14"/>
  <c r="G88" i="14"/>
  <c r="G120" i="14"/>
  <c r="G93" i="14"/>
  <c r="G179" i="2"/>
  <c r="N47" i="2"/>
  <c r="O47" i="2" s="1"/>
  <c r="G139" i="14"/>
  <c r="G135" i="14"/>
  <c r="G156" i="14"/>
  <c r="B150" i="7"/>
  <c r="L150" i="7"/>
  <c r="K149" i="12" s="1"/>
  <c r="B187" i="7"/>
  <c r="F187" i="7"/>
  <c r="O187" i="7"/>
  <c r="G187" i="7"/>
  <c r="K187" i="7"/>
  <c r="J187" i="12" s="1"/>
  <c r="E187" i="7"/>
  <c r="M187" i="7"/>
  <c r="F54" i="7"/>
  <c r="L54" i="7"/>
  <c r="K59" i="12" s="1"/>
  <c r="E54" i="7"/>
  <c r="G36" i="2"/>
  <c r="E110" i="7"/>
  <c r="J110" i="7"/>
  <c r="B110" i="7"/>
  <c r="H110" i="7"/>
  <c r="H110" i="12" s="1"/>
  <c r="B147" i="7"/>
  <c r="F147" i="7"/>
  <c r="G147" i="7"/>
  <c r="O147" i="7"/>
  <c r="F76" i="7"/>
  <c r="G76" i="7"/>
  <c r="N76" i="7"/>
  <c r="C141" i="7"/>
  <c r="O141" i="7"/>
  <c r="G141" i="7"/>
  <c r="L141" i="7"/>
  <c r="D141" i="7"/>
  <c r="N111" i="2"/>
  <c r="O111" i="2" s="1"/>
  <c r="D28" i="7"/>
  <c r="H28" i="7"/>
  <c r="L28" i="7"/>
  <c r="K28" i="12" s="1"/>
  <c r="E28" i="7"/>
  <c r="I28" i="7"/>
  <c r="I28" i="12" s="1"/>
  <c r="M28" i="7"/>
  <c r="B28" i="7"/>
  <c r="F28" i="7"/>
  <c r="J28" i="7"/>
  <c r="N28" i="7"/>
  <c r="G28" i="7"/>
  <c r="K28" i="7"/>
  <c r="O28" i="7"/>
  <c r="C28" i="7"/>
  <c r="B102" i="7"/>
  <c r="J102" i="7"/>
  <c r="E102" i="7"/>
  <c r="H102" i="7"/>
  <c r="H102" i="12" s="1"/>
  <c r="H62" i="7"/>
  <c r="J62" i="7"/>
  <c r="L62" i="7"/>
  <c r="B62" i="7"/>
  <c r="C125" i="7"/>
  <c r="I125" i="7"/>
  <c r="B164" i="7"/>
  <c r="G164" i="7"/>
  <c r="I164" i="7"/>
  <c r="G151" i="14"/>
  <c r="G92" i="14"/>
  <c r="G124" i="14"/>
  <c r="G181" i="14"/>
  <c r="S70" i="12"/>
  <c r="N79" i="2"/>
  <c r="O79" i="2" s="1"/>
  <c r="P154" i="5"/>
  <c r="K100" i="3"/>
  <c r="G171" i="2"/>
  <c r="N183" i="2"/>
  <c r="O183" i="2" s="1"/>
  <c r="G84" i="2"/>
  <c r="D232" i="10"/>
  <c r="S29" i="12"/>
  <c r="S41" i="12"/>
  <c r="P53" i="12"/>
  <c r="N84" i="2"/>
  <c r="O84" i="2" s="1"/>
  <c r="G232" i="10"/>
  <c r="R57" i="12"/>
  <c r="S61" i="12"/>
  <c r="N158" i="2"/>
  <c r="O158" i="2" s="1"/>
  <c r="J108" i="2"/>
  <c r="K108" i="2" s="1"/>
  <c r="E164" i="3"/>
  <c r="H177" i="3"/>
  <c r="G185" i="14"/>
  <c r="G65" i="14"/>
  <c r="G73" i="14"/>
  <c r="K97" i="3"/>
  <c r="G133" i="14"/>
  <c r="H132" i="3"/>
  <c r="K116" i="3"/>
  <c r="G61" i="14"/>
  <c r="G69" i="14"/>
  <c r="G77" i="14"/>
  <c r="G49" i="14"/>
  <c r="H23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32" i="10"/>
  <c r="M232" i="10"/>
  <c r="E23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G114" i="14"/>
  <c r="K119" i="12"/>
  <c r="K113" i="3"/>
  <c r="E120" i="3"/>
  <c r="H157" i="3"/>
  <c r="E128" i="3"/>
  <c r="E148" i="3"/>
  <c r="H161" i="3"/>
  <c r="G64" i="14"/>
  <c r="G117" i="14"/>
  <c r="G164" i="14"/>
  <c r="G45" i="14"/>
  <c r="G158" i="14"/>
  <c r="G145" i="14"/>
  <c r="E54" i="5"/>
  <c r="F54" i="5" s="1"/>
  <c r="G54" i="5" s="1"/>
  <c r="E132" i="3"/>
  <c r="E180" i="3"/>
  <c r="G72" i="14"/>
  <c r="G140" i="14"/>
  <c r="G121" i="14"/>
  <c r="G179" i="14"/>
  <c r="P148" i="5"/>
  <c r="P164" i="5"/>
  <c r="G68" i="14"/>
  <c r="G83" i="14"/>
  <c r="G40" i="14"/>
  <c r="G42" i="14"/>
  <c r="G48" i="14"/>
  <c r="G150" i="14"/>
  <c r="G102" i="14"/>
  <c r="G108" i="14"/>
  <c r="G142" i="14"/>
  <c r="G147" i="14"/>
  <c r="G168" i="14"/>
  <c r="N232" i="10"/>
  <c r="Q38" i="12"/>
  <c r="P54" i="12"/>
  <c r="R65" i="12"/>
  <c r="R97" i="12"/>
  <c r="Q15" i="12"/>
  <c r="R117" i="12"/>
  <c r="Q114" i="12"/>
  <c r="O227" i="6"/>
  <c r="N167" i="12"/>
  <c r="N101" i="12"/>
  <c r="L78" i="12"/>
  <c r="N53" i="12"/>
  <c r="N82" i="12"/>
  <c r="N74" i="12"/>
  <c r="M54" i="12"/>
  <c r="M40" i="12"/>
  <c r="M32" i="12"/>
  <c r="P7" i="12"/>
  <c r="L38" i="12"/>
  <c r="L15" i="12"/>
  <c r="M37" i="12"/>
  <c r="C12" i="28"/>
  <c r="S82" i="12"/>
  <c r="I114" i="12"/>
  <c r="I132" i="12"/>
  <c r="J113" i="12"/>
  <c r="J119" i="12"/>
  <c r="H136" i="12"/>
  <c r="H119" i="12"/>
  <c r="K53" i="12"/>
  <c r="H53" i="12"/>
  <c r="K49" i="12"/>
  <c r="H41" i="12"/>
  <c r="I18" i="12"/>
  <c r="H27" i="12"/>
  <c r="H19" i="12"/>
  <c r="H11" i="12"/>
  <c r="K30" i="12"/>
  <c r="K22" i="12"/>
  <c r="K14" i="12"/>
  <c r="I191" i="5"/>
  <c r="F73" i="5"/>
  <c r="G73" i="5" s="1"/>
  <c r="F89" i="5"/>
  <c r="G89" i="5" s="1"/>
  <c r="F105" i="5"/>
  <c r="G105" i="5" s="1"/>
  <c r="E70" i="5"/>
  <c r="F70" i="5" s="1"/>
  <c r="G70" i="5" s="1"/>
  <c r="E74" i="5"/>
  <c r="F74" i="5" s="1"/>
  <c r="G74" i="5" s="1"/>
  <c r="E86" i="5"/>
  <c r="F86" i="5" s="1"/>
  <c r="G86" i="5" s="1"/>
  <c r="E90" i="5"/>
  <c r="F90" i="5" s="1"/>
  <c r="G90" i="5" s="1"/>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J54" i="5"/>
  <c r="F55" i="5"/>
  <c r="G55" i="5" s="1"/>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28" i="2"/>
  <c r="G150" i="2"/>
  <c r="F150" i="2"/>
  <c r="N166" i="2"/>
  <c r="O166" i="2" s="1"/>
  <c r="J192" i="2"/>
  <c r="K192" i="2" s="1"/>
  <c r="F170" i="2"/>
  <c r="G170" i="2"/>
  <c r="G142" i="2"/>
  <c r="G178" i="14"/>
  <c r="J232" i="10"/>
  <c r="R19" i="12"/>
  <c r="R41" i="12"/>
  <c r="S57" i="12"/>
  <c r="R23" i="12"/>
  <c r="S49" i="12"/>
  <c r="R93" i="12"/>
  <c r="R109" i="12"/>
  <c r="P80" i="12"/>
  <c r="R45" i="12"/>
  <c r="R121" i="12"/>
  <c r="Q136" i="12"/>
  <c r="R147" i="12"/>
  <c r="R155" i="12"/>
  <c r="R163" i="12"/>
  <c r="R171" i="12"/>
  <c r="N159" i="12"/>
  <c r="N163" i="12"/>
  <c r="M130" i="12"/>
  <c r="N73" i="12"/>
  <c r="L62" i="12"/>
  <c r="L46" i="12"/>
  <c r="N7" i="12"/>
  <c r="N37" i="12"/>
  <c r="M65" i="12"/>
  <c r="M49" i="12"/>
  <c r="M33" i="12"/>
  <c r="Q7" i="12"/>
  <c r="S74" i="12"/>
  <c r="E124" i="7"/>
  <c r="I124" i="7"/>
  <c r="M124" i="7"/>
  <c r="F124" i="7"/>
  <c r="K124" i="7"/>
  <c r="J124" i="12" s="1"/>
  <c r="B124" i="7"/>
  <c r="G124" i="7"/>
  <c r="L124" i="7"/>
  <c r="K124" i="12" s="1"/>
  <c r="C124" i="7"/>
  <c r="H124" i="7"/>
  <c r="N124" i="7"/>
  <c r="D124" i="7"/>
  <c r="D18" i="28" s="1"/>
  <c r="J124" i="7"/>
  <c r="O124" i="7"/>
  <c r="K136" i="12"/>
  <c r="J129" i="12"/>
  <c r="I112" i="12"/>
  <c r="K131" i="12"/>
  <c r="K135" i="12"/>
  <c r="I135" i="12"/>
  <c r="I119" i="12"/>
  <c r="H57" i="12"/>
  <c r="J23" i="12"/>
  <c r="J7" i="12"/>
  <c r="H38" i="12"/>
  <c r="J25" i="12"/>
  <c r="J53" i="12"/>
  <c r="J37" i="12"/>
  <c r="H21" i="12"/>
  <c r="J41" i="12"/>
  <c r="H37" i="12"/>
  <c r="I20" i="12"/>
  <c r="I12" i="12"/>
  <c r="I45" i="12"/>
  <c r="I29" i="12"/>
  <c r="I23" i="12"/>
  <c r="I15" i="12"/>
  <c r="P53" i="5"/>
  <c r="N191" i="5"/>
  <c r="F50" i="5"/>
  <c r="G50" i="5" s="1"/>
  <c r="J53" i="5"/>
  <c r="J57" i="5"/>
  <c r="M60" i="5"/>
  <c r="J61"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28" i="2"/>
  <c r="J11" i="2"/>
  <c r="K11" i="2" s="1"/>
  <c r="B3" i="28"/>
  <c r="F192" i="2"/>
  <c r="G192" i="2"/>
  <c r="G59" i="14"/>
  <c r="G86" i="14"/>
  <c r="G118" i="14"/>
  <c r="G152" i="14"/>
  <c r="S73" i="12"/>
  <c r="R89" i="12"/>
  <c r="R105" i="12"/>
  <c r="P72" i="12"/>
  <c r="E32" i="7"/>
  <c r="I32" i="7"/>
  <c r="I31" i="12" s="1"/>
  <c r="M32" i="7"/>
  <c r="D32" i="7"/>
  <c r="J32" i="7"/>
  <c r="O32" i="7"/>
  <c r="F32" i="7"/>
  <c r="K32" i="7"/>
  <c r="J32" i="12" s="1"/>
  <c r="B32" i="7"/>
  <c r="G32" i="7"/>
  <c r="L32" i="7"/>
  <c r="K31" i="12" s="1"/>
  <c r="C32" i="7"/>
  <c r="H32" i="7"/>
  <c r="H32" i="12" s="1"/>
  <c r="N32" i="7"/>
  <c r="P45" i="12"/>
  <c r="N151" i="12"/>
  <c r="L61" i="12"/>
  <c r="M45" i="12"/>
  <c r="H191" i="5"/>
  <c r="H192" i="5" s="1"/>
  <c r="J37" i="5"/>
  <c r="K138" i="12"/>
  <c r="H135" i="12"/>
  <c r="J48" i="12"/>
  <c r="H54" i="12"/>
  <c r="H45" i="12"/>
  <c r="I30" i="12"/>
  <c r="I22" i="12"/>
  <c r="I14" i="12"/>
  <c r="H31" i="12"/>
  <c r="H23" i="12"/>
  <c r="H15" i="12"/>
  <c r="H7" i="12"/>
  <c r="H46" i="12"/>
  <c r="K18" i="12"/>
  <c r="I57" i="12"/>
  <c r="I41" i="12"/>
  <c r="K29" i="12"/>
  <c r="K21" i="12"/>
  <c r="K13" i="12"/>
  <c r="K7" i="3"/>
  <c r="E9" i="5"/>
  <c r="F9" i="5" s="1"/>
  <c r="G9" i="5" s="1"/>
  <c r="E25" i="5"/>
  <c r="F25" i="5" s="1"/>
  <c r="G25" i="5" s="1"/>
  <c r="E41" i="5"/>
  <c r="F41" i="5" s="1"/>
  <c r="G41" i="5" s="1"/>
  <c r="E57" i="5"/>
  <c r="F57" i="5" s="1"/>
  <c r="G57" i="5" s="1"/>
  <c r="H7" i="3"/>
  <c r="E18" i="3"/>
  <c r="E50" i="3"/>
  <c r="E82" i="3"/>
  <c r="E98" i="3"/>
  <c r="J52" i="5"/>
  <c r="D191" i="5"/>
  <c r="D192" i="5" s="1"/>
  <c r="J56"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163" i="14"/>
  <c r="S33" i="12"/>
  <c r="R85" i="12"/>
  <c r="E40" i="7"/>
  <c r="I40" i="7"/>
  <c r="I40" i="12" s="1"/>
  <c r="M40" i="7"/>
  <c r="B40" i="7"/>
  <c r="G40" i="7"/>
  <c r="L40" i="7"/>
  <c r="C40" i="7"/>
  <c r="H40" i="7"/>
  <c r="H40" i="12" s="1"/>
  <c r="N40" i="7"/>
  <c r="D40" i="7"/>
  <c r="J40" i="7"/>
  <c r="O40" i="7"/>
  <c r="F40" i="7"/>
  <c r="K40" i="7"/>
  <c r="J40" i="12" s="1"/>
  <c r="P37" i="12"/>
  <c r="Q64" i="12"/>
  <c r="L37" i="12"/>
  <c r="R7" i="12"/>
  <c r="E140" i="7"/>
  <c r="I140" i="7"/>
  <c r="I140" i="12" s="1"/>
  <c r="M140" i="7"/>
  <c r="F140" i="7"/>
  <c r="K140" i="7"/>
  <c r="J140" i="12" s="1"/>
  <c r="B140" i="7"/>
  <c r="G140" i="7"/>
  <c r="L140" i="7"/>
  <c r="K140" i="12" s="1"/>
  <c r="D140" i="7"/>
  <c r="J140" i="7"/>
  <c r="O140" i="7"/>
  <c r="C140" i="7"/>
  <c r="H140" i="7"/>
  <c r="H140" i="12" s="1"/>
  <c r="N140" i="7"/>
  <c r="L7" i="5"/>
  <c r="M7" i="5" s="1"/>
  <c r="I118" i="12"/>
  <c r="J138" i="12"/>
  <c r="K127" i="12"/>
  <c r="J122" i="12"/>
  <c r="I138" i="12"/>
  <c r="I129" i="12"/>
  <c r="H113" i="12"/>
  <c r="H127" i="12"/>
  <c r="K114" i="12"/>
  <c r="I127" i="12"/>
  <c r="H47" i="12"/>
  <c r="I113" i="12"/>
  <c r="K46" i="12"/>
  <c r="I54" i="12"/>
  <c r="J45" i="12"/>
  <c r="J27" i="12"/>
  <c r="J19" i="12"/>
  <c r="I42" i="12"/>
  <c r="J29" i="12"/>
  <c r="J13" i="12"/>
  <c r="K41" i="12"/>
  <c r="H29" i="12"/>
  <c r="K45" i="12"/>
  <c r="I8" i="12"/>
  <c r="I21" i="12"/>
  <c r="I35" i="12"/>
  <c r="I27" i="12"/>
  <c r="I19" i="12"/>
  <c r="I11" i="12"/>
  <c r="E58" i="5"/>
  <c r="F58" i="5" s="1"/>
  <c r="K191" i="5"/>
  <c r="K192" i="5" s="1"/>
  <c r="E121" i="5"/>
  <c r="F121" i="5" s="1"/>
  <c r="G121" i="5" s="1"/>
  <c r="E125" i="5"/>
  <c r="F125" i="5" s="1"/>
  <c r="G125" i="5" s="1"/>
  <c r="E129" i="5"/>
  <c r="F129" i="5" s="1"/>
  <c r="G129" i="5" s="1"/>
  <c r="M50" i="5"/>
  <c r="J51" i="5"/>
  <c r="J55" i="5"/>
  <c r="F56" i="5"/>
  <c r="G56" i="5" s="1"/>
  <c r="J59" i="5"/>
  <c r="F60" i="5"/>
  <c r="G60" i="5" s="1"/>
  <c r="E107" i="3"/>
  <c r="E6" i="6"/>
  <c r="B6" i="7"/>
  <c r="H124" i="3"/>
  <c r="N18" i="2"/>
  <c r="O18" i="2" s="1"/>
  <c r="G31" i="2"/>
  <c r="F31" i="2"/>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F17" i="2"/>
  <c r="G17" i="2"/>
  <c r="G158" i="2"/>
  <c r="F158" i="2"/>
  <c r="J170" i="2"/>
  <c r="K170" i="2" s="1"/>
  <c r="G41" i="2"/>
  <c r="B16" i="28" l="1"/>
  <c r="C16" i="28"/>
  <c r="B15" i="28"/>
  <c r="I163" i="12"/>
  <c r="D8" i="28"/>
  <c r="J228" i="2"/>
  <c r="K228" i="2" s="1"/>
  <c r="D227" i="6" s="1"/>
  <c r="F229" i="7"/>
  <c r="F230" i="7" s="1"/>
  <c r="C240" i="7" s="1"/>
  <c r="E229" i="7"/>
  <c r="E230" i="7" s="1"/>
  <c r="B240" i="7" s="1"/>
  <c r="N229" i="7"/>
  <c r="N241" i="12"/>
  <c r="N242" i="12" s="1"/>
  <c r="J60" i="8"/>
  <c r="C69" i="8" s="1"/>
  <c r="H229" i="7"/>
  <c r="H230" i="7" s="1"/>
  <c r="B241" i="7" s="1"/>
  <c r="O241" i="12"/>
  <c r="O242" i="12" s="1"/>
  <c r="L241" i="12"/>
  <c r="L242" i="12" s="1"/>
  <c r="L229" i="7"/>
  <c r="C229" i="7"/>
  <c r="C230" i="7" s="1"/>
  <c r="I229" i="7"/>
  <c r="M241" i="12"/>
  <c r="M242" i="12" s="1"/>
  <c r="K229" i="7"/>
  <c r="K230" i="7" s="1"/>
  <c r="B242" i="7" s="1"/>
  <c r="H61" i="8"/>
  <c r="A69" i="8"/>
  <c r="M227" i="6"/>
  <c r="B229" i="7"/>
  <c r="B230" i="7" s="1"/>
  <c r="I177" i="12"/>
  <c r="C17" i="28"/>
  <c r="I125" i="12"/>
  <c r="J149" i="12"/>
  <c r="H149" i="12"/>
  <c r="K152" i="12"/>
  <c r="B18" i="28"/>
  <c r="H141" i="12"/>
  <c r="J169" i="12"/>
  <c r="I141" i="12"/>
  <c r="J162" i="12"/>
  <c r="K187" i="12"/>
  <c r="K130" i="12"/>
  <c r="H175" i="12"/>
  <c r="H49" i="12"/>
  <c r="K100" i="12"/>
  <c r="K90" i="12"/>
  <c r="J170" i="12"/>
  <c r="H171" i="12"/>
  <c r="J141" i="12"/>
  <c r="B17" i="28"/>
  <c r="K142" i="12"/>
  <c r="J86" i="12"/>
  <c r="I166" i="12"/>
  <c r="H129" i="12"/>
  <c r="H85" i="12"/>
  <c r="I131" i="12"/>
  <c r="J49" i="12"/>
  <c r="I55" i="12"/>
  <c r="K55" i="12"/>
  <c r="K38" i="12"/>
  <c r="H170" i="12"/>
  <c r="J111" i="12"/>
  <c r="K111" i="12"/>
  <c r="I117" i="12"/>
  <c r="I51" i="12"/>
  <c r="H51" i="12"/>
  <c r="J88" i="12"/>
  <c r="J31" i="12"/>
  <c r="K141" i="12"/>
  <c r="H187" i="12"/>
  <c r="D16" i="28"/>
  <c r="D15" i="28"/>
  <c r="C15" i="28"/>
  <c r="D17" i="28"/>
  <c r="K125" i="12"/>
  <c r="H131" i="12"/>
  <c r="J38" i="12"/>
  <c r="K171" i="12"/>
  <c r="H111" i="12"/>
  <c r="H180" i="12"/>
  <c r="K88" i="12"/>
  <c r="J91" i="12"/>
  <c r="I158" i="12"/>
  <c r="H103" i="12"/>
  <c r="I39" i="12"/>
  <c r="I149" i="12"/>
  <c r="H125" i="12"/>
  <c r="K175" i="12"/>
  <c r="I126" i="12"/>
  <c r="J55" i="12"/>
  <c r="J100" i="12"/>
  <c r="J33" i="12"/>
  <c r="I86" i="12"/>
  <c r="J182" i="12"/>
  <c r="I170" i="12"/>
  <c r="I183" i="12"/>
  <c r="I111" i="12"/>
  <c r="K121" i="12"/>
  <c r="I176" i="12"/>
  <c r="J9" i="12"/>
  <c r="K167" i="12"/>
  <c r="H115" i="12"/>
  <c r="I181" i="12"/>
  <c r="K115" i="12"/>
  <c r="K123" i="12"/>
  <c r="H109" i="12"/>
  <c r="K139" i="12"/>
  <c r="J139" i="12"/>
  <c r="J152" i="12"/>
  <c r="K155" i="12"/>
  <c r="K101" i="12"/>
  <c r="J171" i="12"/>
  <c r="K117" i="12"/>
  <c r="H101" i="12"/>
  <c r="H146" i="12"/>
  <c r="I123" i="12"/>
  <c r="K109" i="12"/>
  <c r="H139" i="12"/>
  <c r="I146" i="12"/>
  <c r="J146" i="12"/>
  <c r="H152" i="12"/>
  <c r="J164" i="12"/>
  <c r="K164" i="12"/>
  <c r="I139" i="12"/>
  <c r="J109" i="12"/>
  <c r="J114" i="12"/>
  <c r="J125" i="12"/>
  <c r="I121" i="12"/>
  <c r="C18" i="28"/>
  <c r="B4" i="28"/>
  <c r="J175" i="12"/>
  <c r="H185" i="12"/>
  <c r="K180" i="12"/>
  <c r="H178" i="12"/>
  <c r="K178" i="12"/>
  <c r="B237" i="2"/>
  <c r="D237" i="2"/>
  <c r="K54" i="12"/>
  <c r="D7" i="28"/>
  <c r="J66" i="12"/>
  <c r="L191" i="5"/>
  <c r="L192" i="5" s="1"/>
  <c r="M192" i="5" s="1"/>
  <c r="H80" i="12"/>
  <c r="H75" i="12"/>
  <c r="M94" i="5"/>
  <c r="I232" i="10"/>
  <c r="J159" i="12"/>
  <c r="I167" i="12"/>
  <c r="J186" i="12"/>
  <c r="H39" i="12"/>
  <c r="I66" i="12"/>
  <c r="J39" i="12"/>
  <c r="L232" i="10"/>
  <c r="K66" i="12"/>
  <c r="I142" i="12"/>
  <c r="J153" i="12"/>
  <c r="K153" i="12"/>
  <c r="I168" i="12"/>
  <c r="H35" i="12"/>
  <c r="I164" i="12"/>
  <c r="I172" i="12"/>
  <c r="H62" i="12"/>
  <c r="H67" i="12"/>
  <c r="I147" i="12"/>
  <c r="K148" i="12"/>
  <c r="I155" i="12"/>
  <c r="H150" i="12"/>
  <c r="H158" i="12"/>
  <c r="K168" i="12"/>
  <c r="K177" i="12"/>
  <c r="I43" i="12"/>
  <c r="J116" i="12"/>
  <c r="H43" i="12"/>
  <c r="J35" i="12"/>
  <c r="K40" i="12"/>
  <c r="K43" i="12"/>
  <c r="H28" i="12"/>
  <c r="H30" i="12"/>
  <c r="J147" i="12"/>
  <c r="J150" i="12"/>
  <c r="J158" i="12"/>
  <c r="J168" i="12"/>
  <c r="J43" i="12"/>
  <c r="K116" i="12"/>
  <c r="H124" i="12"/>
  <c r="H130" i="12"/>
  <c r="I124" i="12"/>
  <c r="I130" i="12"/>
  <c r="J130" i="12"/>
  <c r="K62" i="12"/>
  <c r="K67" i="12"/>
  <c r="H66" i="12"/>
  <c r="H71" i="12"/>
  <c r="K147" i="12"/>
  <c r="H147" i="12"/>
  <c r="H174" i="12"/>
  <c r="H183" i="12"/>
  <c r="K174" i="12"/>
  <c r="K183" i="12"/>
  <c r="J137" i="12"/>
  <c r="J144" i="12"/>
  <c r="J126" i="12"/>
  <c r="J132" i="12"/>
  <c r="H116" i="12"/>
  <c r="K39" i="12"/>
  <c r="K42" i="12"/>
  <c r="H168" i="12"/>
  <c r="H177" i="12"/>
  <c r="K32" i="12"/>
  <c r="K35" i="12"/>
  <c r="J28" i="12"/>
  <c r="J30" i="12"/>
  <c r="K150" i="12"/>
  <c r="K158" i="12"/>
  <c r="K44" i="12"/>
  <c r="K47" i="12"/>
  <c r="H108" i="12"/>
  <c r="J177" i="12"/>
  <c r="F232" i="10"/>
  <c r="O232" i="10"/>
  <c r="N228" i="2"/>
  <c r="O228" i="2" s="1"/>
  <c r="O229" i="7"/>
  <c r="O230" i="7" s="1"/>
  <c r="I230" i="7"/>
  <c r="C241" i="7" s="1"/>
  <c r="G58" i="5"/>
  <c r="F191" i="5"/>
  <c r="C235" i="6"/>
  <c r="J227" i="6"/>
  <c r="D228" i="11"/>
  <c r="F228" i="11" s="1"/>
  <c r="F227" i="11"/>
  <c r="N192" i="5"/>
  <c r="P192" i="5" s="1"/>
  <c r="P191" i="5"/>
  <c r="C234" i="6"/>
  <c r="G61" i="8"/>
  <c r="H6" i="6"/>
  <c r="K6" i="6"/>
  <c r="I32" i="12"/>
  <c r="M228" i="11"/>
  <c r="O228" i="11" s="1"/>
  <c r="O227" i="11"/>
  <c r="H231" i="3"/>
  <c r="F232" i="3"/>
  <c r="H232" i="3" s="1"/>
  <c r="B234" i="6"/>
  <c r="G234" i="2"/>
  <c r="C236" i="6"/>
  <c r="G60" i="8"/>
  <c r="B69" i="8"/>
  <c r="I61" i="8"/>
  <c r="K231" i="3"/>
  <c r="I232" i="3"/>
  <c r="K232" i="3" s="1"/>
  <c r="J191" i="5"/>
  <c r="I192" i="5"/>
  <c r="J192" i="5" s="1"/>
  <c r="B6" i="8"/>
  <c r="K6" i="7"/>
  <c r="E6" i="7"/>
  <c r="H6" i="7"/>
  <c r="B235" i="6"/>
  <c r="G235" i="2"/>
  <c r="F235" i="2" s="1"/>
  <c r="I227" i="11"/>
  <c r="G228" i="11"/>
  <c r="I228" i="11" s="1"/>
  <c r="L227" i="11"/>
  <c r="J228" i="11"/>
  <c r="L228" i="11" s="1"/>
  <c r="B236" i="6"/>
  <c r="G236" i="2"/>
  <c r="F236" i="2" s="1"/>
  <c r="D229" i="7" l="1"/>
  <c r="D230" i="7" s="1"/>
  <c r="I241" i="12"/>
  <c r="I242" i="12" s="1"/>
  <c r="J241" i="12"/>
  <c r="J242" i="12" s="1"/>
  <c r="H241" i="12"/>
  <c r="H242" i="12" s="1"/>
  <c r="K241" i="12"/>
  <c r="K242" i="12" s="1"/>
  <c r="J61" i="8"/>
  <c r="M191" i="5"/>
  <c r="N230" i="7"/>
  <c r="B243" i="7"/>
  <c r="G229" i="7"/>
  <c r="G230" i="7" s="1"/>
  <c r="B6" i="10"/>
  <c r="C6" i="8"/>
  <c r="E6" i="8"/>
  <c r="H6" i="8" s="1"/>
  <c r="G237" i="2"/>
  <c r="F234" i="2"/>
  <c r="F237" i="2" s="1"/>
  <c r="D240" i="7"/>
  <c r="J229" i="7"/>
  <c r="J230" i="7" s="1"/>
  <c r="G191" i="5"/>
  <c r="F192" i="5"/>
  <c r="G192" i="5" s="1"/>
  <c r="M229" i="7"/>
  <c r="M230" i="7" s="1"/>
  <c r="L230" i="7"/>
  <c r="C242" i="7" s="1"/>
  <c r="D242" i="7" s="1"/>
  <c r="H236" i="2" s="1"/>
  <c r="D234" i="6"/>
  <c r="H234" i="2" s="1"/>
  <c r="C237" i="6"/>
  <c r="D236" i="6"/>
  <c r="B237" i="6"/>
  <c r="D235" i="6"/>
  <c r="H235" i="2" s="1"/>
  <c r="D241" i="7"/>
  <c r="C243" i="7" l="1"/>
  <c r="D243" i="7" s="1"/>
  <c r="D237" i="6"/>
  <c r="H237"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6" background="1" saveData="1">
    <webPr consecutive="1" xl2000="1" url="https://myfno.com/api/stats?&amp;days=1d&amp;units=shares&amp;data=z,d,9,p,o,v,b,r,l,i,h,j,g,a,5,6,7,8,w,n,s,f,c,u,e,k,1,2,3,4,0,m" htmlFormat="all"/>
  </connection>
  <connection id="2" odcFile="C:\Users\Ambujkumar\Downloads\Expry Roll  (20).iqy" name="Expry Roll  (20)" type="4" refreshedVersion="6" background="1" saveData="1">
    <webPr consecutive="1" xl2000="1" url="https://myfno.com/api/stats?&amp;list=NIFTY_&amp;days=1d&amp;data=z,d,p,o,v,b,r,l,i,h,j,a,5,6,7,8,w,n,s,f,c,u,1,2,3,4,0,m" htmlFormat="all"/>
  </connection>
  <connection id="3" odcFile="C:\Users\Ambujkumar\Downloads\fii.iqy" name="fii" type="4" refreshedVersion="6" background="1" saveData="1">
    <webPr consecutive="1" xl2000="1" url="https://myfno.com/api/fii?&amp;days=1d" htmlTables="1" htmlFormat="all"/>
  </connection>
  <connection id="4" odcFile="C:\Users\Ambujkumar\Downloads\stats (2).iqy" name="stats (2)" type="4" refreshedVersion="6"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<sst xmlns="http://schemas.openxmlformats.org/spreadsheetml/2006/main" count="3443" uniqueCount="696">
  <si>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</si>
  <si>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</si>
  <si>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</si>
  <si>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</si>
  <si>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</si>
  <si>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</si>
  <si>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</si>
  <si>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</si>
  <si>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</si>
  <si>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</si>
  <si>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</si>
  <si>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</si>
  <si>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</si>
  <si>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</si>
  <si>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</si>
  <si>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</si>
  <si>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</si>
  <si>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</si>
  <si>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</si>
  <si>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</si>
  <si>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</si>
  <si>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</si>
  <si>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</si>
  <si>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</si>
  <si>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</si>
  <si>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</si>
  <si>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</si>
  <si>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</si>
  <si>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</si>
  <si>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</si>
  <si>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</si>
  <si>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</si>
  <si>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</si>
  <si>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</si>
  <si>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</si>
  <si>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</si>
  <si>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</si>
  <si>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</si>
  <si>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</si>
  <si>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</si>
  <si>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</si>
  <si>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</si>
  <si>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</si>
  <si>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</si>
  <si>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</si>
  <si>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</si>
  <si>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</si>
  <si>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</si>
  <si>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</si>
  <si>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</si>
  <si>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</si>
  <si>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</si>
  <si>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</si>
  <si>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</si>
  <si>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</si>
  <si>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</si>
  <si>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</si>
  <si>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</si>
  <si>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</si>
  <si>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</si>
  <si>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</si>
  <si>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</si>
  <si>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</si>
  <si>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</si>
  <si>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</si>
  <si>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</si>
  <si>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</si>
  <si>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</si>
  <si>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</si>
  <si>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</si>
  <si>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</si>
  <si>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</si>
  <si>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</si>
  <si>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</si>
  <si>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</si>
  <si>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</si>
  <si>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</si>
  <si>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</si>
  <si>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</si>
  <si>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</si>
  <si>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</si>
  <si>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</si>
  <si>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</si>
  <si>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</si>
  <si>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</si>
  <si>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</si>
  <si>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</si>
  <si>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</si>
  <si>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</si>
  <si>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</si>
  <si>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</si>
  <si>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</si>
  <si>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</si>
  <si>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</si>
  <si>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</si>
  <si>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</si>
  <si>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</si>
  <si>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</si>
  <si>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</si>
  <si>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</si>
  <si>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</si>
  <si>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</si>
  <si>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</si>
  <si>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</si>
  <si>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</si>
  <si>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</si>
  <si>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</si>
  <si>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</si>
  <si>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</si>
  <si>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</si>
  <si>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</si>
  <si>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</si>
  <si>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</si>
  <si>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</si>
  <si>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</si>
  <si>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</si>
  <si>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</si>
  <si>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</si>
  <si>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</si>
  <si>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</si>
  <si>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</si>
  <si>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</si>
  <si>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</si>
  <si>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</si>
  <si>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</si>
  <si>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</si>
  <si>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</si>
  <si>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</si>
  <si>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</si>
  <si>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</si>
  <si>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</si>
  <si>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</si>
  <si>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</si>
  <si>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</si>
  <si>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</si>
  <si>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</si>
  <si>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</si>
  <si>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</si>
  <si>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</si>
  <si>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</si>
  <si>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</si>
  <si>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</si>
  <si>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</si>
  <si>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</si>
  <si>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</si>
  <si>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</si>
  <si>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</si>
  <si>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</si>
  <si>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</si>
  <si>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</si>
  <si>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</si>
  <si>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</si>
  <si>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</si>
  <si>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</si>
  <si>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</si>
  <si>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</si>
  <si>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</si>
  <si>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</si>
  <si>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</si>
  <si>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</si>
  <si>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</si>
  <si>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</si>
  <si>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</si>
  <si>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</si>
  <si>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</si>
  <si>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</si>
  <si>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</si>
  <si>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</si>
  <si>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</si>
  <si>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</si>
  <si>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</si>
  <si>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</si>
  <si>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</si>
  <si>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</si>
  <si>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</si>
  <si>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</si>
  <si>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</si>
  <si>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</si>
  <si>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</si>
  <si>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</si>
  <si>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</si>
  <si>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</si>
  <si>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</si>
  <si>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</si>
  <si>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</si>
  <si>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</si>
  <si>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</si>
  <si>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</si>
  <si>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</si>
  <si>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</si>
  <si>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</si>
  <si>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</si>
  <si>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</si>
  <si>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</si>
  <si>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</si>
  <si>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</si>
  <si>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</si>
  <si>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</si>
  <si>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</si>
  <si>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</si>
  <si>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</si>
  <si>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</si>
  <si>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</si>
  <si>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</si>
  <si>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</si>
  <si>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</si>
  <si>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</si>
  <si>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</si>
  <si>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</si>
  <si>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</si>
  <si>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</si>
  <si>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</si>
  <si>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</si>
  <si>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</si>
  <si>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</si>
  <si>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</si>
  <si>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</si>
  <si>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</si>
  <si>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</si>
  <si>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</si>
  <si>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</si>
  <si>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</si>
  <si>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</si>
  <si>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</si>
  <si>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</si>
  <si>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</si>
  <si>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</si>
  <si>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</si>
  <si>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</si>
  <si>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</si>
  <si>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</si>
  <si>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</si>
  <si>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</si>
  <si>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</si>
  <si>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</si>
  <si>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</si>
  <si>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</si>
  <si>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</si>
  <si>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</si>
  <si>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</si>
  <si>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</si>
  <si>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</si>
  <si>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</si>
  <si>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</si>
  <si>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</si>
  <si>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</si>
  <si>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</si>
  <si>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</si>
  <si>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</si>
  <si>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</si>
  <si>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</si>
  <si>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</si>
  <si>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</si>
  <si>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</si>
  <si>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</si>
  <si>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</si>
  <si>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</si>
  <si>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</si>
  <si>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</si>
  <si>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</si>
  <si>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</si>
  <si>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</si>
  <si>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</si>
  <si>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</si>
  <si>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</si>
  <si>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</si>
  <si>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</si>
  <si>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</si>
  <si>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</si>
  <si>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</si>
  <si>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</si>
  <si>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</si>
  <si>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</si>
  <si>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</si>
  <si>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</si>
  <si>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</si>
  <si>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</si>
  <si>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</si>
  <si>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</si>
  <si>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</si>
  <si>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</si>
  <si>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</si>
  <si>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</si>
  <si>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</si>
  <si>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</si>
  <si>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</si>
  <si>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</si>
  <si>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</si>
  <si>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</si>
  <si>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</si>
  <si>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</si>
  <si>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</si>
  <si>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</si>
  <si>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</si>
  <si>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</si>
  <si>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</si>
  <si>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</si>
  <si>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</si>
  <si>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</si>
  <si>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</si>
  <si>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</si>
  <si>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</si>
  <si>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</si>
  <si>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</si>
  <si>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</si>
  <si>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</si>
  <si>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</si>
  <si>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</si>
  <si>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</si>
  <si>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</si>
  <si>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</si>
  <si>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</si>
  <si>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</si>
  <si>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</si>
  <si>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</si>
  <si>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</si>
  <si>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</si>
  <si>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</si>
  <si>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</si>
  <si>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</si>
  <si>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</si>
  <si>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</si>
  <si>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</si>
  <si>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</si>
  <si>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</si>
  <si>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</si>
  <si>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</si>
  <si>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</si>
  <si>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</si>
  <si>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</si>
  <si>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</si>
  <si>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</si>
  <si>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</si>
  <si>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</si>
  <si>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</si>
  <si>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</si>
  <si>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</si>
  <si>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</si>
  <si>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</si>
  <si>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</si>
  <si>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</si>
  <si>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</si>
  <si>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</si>
  <si>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</si>
  <si>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</si>
  <si>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</si>
  <si>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</si>
  <si>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</si>
  <si>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</si>
  <si>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</si>
  <si>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</si>
  <si>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</si>
  <si>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</si>
  <si>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</si>
  <si>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</si>
  <si>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</si>
  <si>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</si>
  <si>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</si>
  <si>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</si>
  <si>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</si>
  <si>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</si>
  <si>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</si>
  <si>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</si>
  <si>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</si>
  <si>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</si>
  <si>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</si>
  <si>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</si>
  <si>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</si>
  <si>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</si>
  <si>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</si>
  <si>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</si>
  <si>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</si>
  <si>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</si>
  <si>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</si>
  <si>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</si>
  <si>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</si>
  <si>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</si>
  <si>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</si>
  <si>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</si>
  <si>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</si>
  <si>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</si>
  <si>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</si>
  <si>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</si>
  <si>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</si>
  <si>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</si>
  <si>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</si>
  <si>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</si>
  <si>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</si>
  <si>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</si>
  <si>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</si>
  <si>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</si>
  <si>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</si>
  <si>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</si>
  <si>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</si>
  <si>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</si>
  <si>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</si>
  <si>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</si>
  <si>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</si>
  <si>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</si>
  <si>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</si>
  <si>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</si>
  <si>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</si>
  <si>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</si>
  <si>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</si>
  <si>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</si>
  <si>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</si>
  <si>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</si>
  <si>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</si>
  <si>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</si>
  <si>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</si>
  <si>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</si>
  <si>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</si>
  <si>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</si>
  <si>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</si>
  <si>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</si>
  <si>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</si>
  <si>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</si>
  <si>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</si>
  <si>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</si>
  <si>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</si>
  <si>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</si>
  <si>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</si>
  <si>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</si>
  <si>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</si>
  <si>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</si>
  <si>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</si>
  <si>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</si>
  <si>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</si>
  <si>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</si>
  <si>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</si>
  <si>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</si>
  <si>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</si>
  <si>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</si>
  <si>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</si>
  <si>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</si>
  <si>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</si>
  <si>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</si>
  <si>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</si>
  <si>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</si>
  <si>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</si>
  <si>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</si>
  <si>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</si>
  <si>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</si>
  <si>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</si>
  <si>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</si>
  <si>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</si>
  <si>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</si>
  <si>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</si>
  <si>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</si>
  <si>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</si>
  <si>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</si>
  <si>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</si>
  <si>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</si>
  <si>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</si>
  <si>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</si>
  <si>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</si>
  <si>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</si>
  <si>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</si>
  <si>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</si>
  <si>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</si>
  <si>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</si>
  <si>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</si>
  <si>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</si>
  <si>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</si>
  <si>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</si>
  <si>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</si>
  <si>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</si>
  <si>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</si>
  <si>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</si>
  <si>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</si>
  <si>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</si>
  <si>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</si>
  <si>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</si>
  <si>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</si>
  <si>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</si>
  <si>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</si>
  <si>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</si>
  <si>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</si>
  <si>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</si>
  <si>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</si>
  <si>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</si>
  <si>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</si>
  <si>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</si>
  <si>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</si>
  <si>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</si>
  <si>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</si>
  <si>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</si>
  <si>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</si>
  <si>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</si>
  <si>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</si>
  <si>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</si>
  <si>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</si>
  <si>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</si>
  <si>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</si>
  <si>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</si>
  <si>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</si>
  <si>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</si>
  <si>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</si>
  <si>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</si>
  <si>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</si>
  <si>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</si>
  <si>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</si>
  <si>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</si>
  <si>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</si>
  <si>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</si>
  <si>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</si>
  <si>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</si>
  <si>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</si>
  <si>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</si>
  <si>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</si>
  <si>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</si>
  <si>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</si>
  <si>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</si>
  <si>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</si>
  <si>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</si>
  <si>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</si>
  <si>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</si>
  <si>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</si>
  <si>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</si>
  <si>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</si>
  <si>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</si>
  <si>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</si>
  <si>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</si>
  <si>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</si>
  <si>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</si>
  <si>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</si>
  <si>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</si>
  <si>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</si>
  <si>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</si>
  <si>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</si>
  <si>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</si>
  <si>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</si>
  <si>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</si>
  <si>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</si>
  <si>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</si>
  <si>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</si>
  <si>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</si>
  <si>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</si>
  <si>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</si>
  <si>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</si>
  <si>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</si>
  <si>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</si>
  <si>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</si>
  <si>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</si>
  <si>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</si>
  <si>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</si>
  <si>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</si>
  <si>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</si>
  <si>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</si>
  <si>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</si>
  <si>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</si>
  <si>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</si>
  <si>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</si>
  <si>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</si>
  <si>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</si>
  <si>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</si>
  <si>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Short_Covering</t>
  </si>
  <si>
    <t>ZYDUSLIFE</t>
  </si>
  <si>
    <t>F&amp;O Market Trading Kit for 2 May 2022</t>
  </si>
  <si>
    <t>MOTHERSON</t>
  </si>
  <si>
    <t>`</t>
  </si>
  <si>
    <t>LTIM</t>
  </si>
  <si>
    <t>SHRIRAMFIN</t>
  </si>
  <si>
    <t>MIDCPNIFTY</t>
  </si>
  <si>
    <t>PVRINOX</t>
  </si>
  <si>
    <t>LTF</t>
  </si>
  <si>
    <t>NIFTYNXT50</t>
  </si>
  <si>
    <t>Short_Buildup</t>
  </si>
  <si>
    <t>Long_Unwinding</t>
  </si>
  <si>
    <t>UNITDSPR</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</si>
  <si>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</si>
  <si>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</si>
  <si>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</si>
  <si>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</si>
  <si>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</si>
  <si>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</si>
  <si>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</si>
  <si>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</si>
  <si>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</si>
  <si>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</si>
  <si>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</si>
  <si>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</si>
  <si>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</si>
  <si>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</si>
  <si>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</si>
  <si>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</si>
  <si>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</si>
  <si>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</si>
  <si>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</si>
  <si>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</si>
  <si>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</si>
  <si>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</si>
  <si>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</si>
  <si>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</si>
  <si>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</si>
  <si>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</si>
  <si>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</si>
  <si>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</si>
  <si>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</si>
  <si>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</si>
  <si>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</si>
  <si>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</si>
  <si>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</si>
  <si>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</si>
  <si>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</si>
  <si>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</si>
  <si>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</si>
  <si>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</si>
  <si>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</si>
  <si>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</si>
  <si>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</si>
  <si>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</si>
  <si>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</si>
  <si>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</si>
  <si>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</si>
  <si>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</si>
  <si>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</si>
  <si>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</si>
  <si>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</si>
  <si>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</si>
  <si>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</si>
  <si>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</si>
  <si>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</si>
  <si>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</si>
  <si>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</si>
  <si>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</si>
  <si>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</si>
  <si>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</si>
  <si>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</si>
  <si>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</si>
  <si>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</si>
  <si>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</si>
  <si>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</si>
  <si>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</si>
  <si>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</si>
  <si>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</si>
  <si>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</si>
  <si>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</si>
  <si>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</si>
  <si>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</si>
  <si>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</si>
  <si>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</si>
  <si>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</si>
  <si>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</si>
  <si>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</si>
  <si>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</si>
  <si>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</si>
  <si>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</si>
  <si>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</si>
  <si>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</si>
  <si>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</si>
  <si>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</si>
  <si>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</si>
  <si>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</si>
  <si>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</si>
  <si>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</si>
  <si>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</si>
  <si>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</si>
  <si>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</si>
  <si>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</si>
  <si>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</si>
  <si>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</si>
  <si>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</si>
  <si>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TATATECH</t>
  </si>
  <si>
    <t>IREDA</t>
  </si>
  <si>
    <t>PATANJALI</t>
  </si>
  <si>
    <t>ETERNAL</t>
  </si>
  <si>
    <t>HINDZINC</t>
  </si>
  <si>
    <t>INOXWIND</t>
  </si>
  <si>
    <t>PNBHOUSING</t>
  </si>
  <si>
    <t>BDL</t>
  </si>
  <si>
    <t>MANKIND</t>
  </si>
  <si>
    <t>MAZDOCK</t>
  </si>
  <si>
    <t>UNOMINDA</t>
  </si>
  <si>
    <t>RVNL</t>
  </si>
  <si>
    <t>KAYNES</t>
  </si>
  <si>
    <t>FORTIS</t>
  </si>
  <si>
    <t>PPLPHARMA</t>
  </si>
  <si>
    <t>BLUESTARCO</t>
  </si>
  <si>
    <t>PGEL</t>
  </si>
  <si>
    <t>AMBER</t>
  </si>
  <si>
    <t>360ONE</t>
  </si>
  <si>
    <t>KFINTECH</t>
  </si>
  <si>
    <t>SUZLON</t>
  </si>
  <si>
    <t>NUVAMA</t>
  </si>
  <si>
    <t>SAMMAANCAP</t>
  </si>
  <si>
    <t>POWERINDIA</t>
  </si>
  <si>
    <t>INDIAVIX</t>
  </si>
  <si>
    <t>TMPV</t>
  </si>
  <si>
    <t>PREMIERENE</t>
  </si>
  <si>
    <t>BAJAJHLDNG</t>
  </si>
  <si>
    <t>WAAREEENER</t>
  </si>
  <si>
    <t>SWIGGY</t>
  </si>
  <si>
    <t>LTM</t>
  </si>
  <si>
    <t>s</t>
  </si>
  <si>
    <t>F&amp;O Market Trading Kit for 06 March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</si>
</sst>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3">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2" fontId="31" fillId="40" borderId="1" xfId="0" applyNumberFormat="1" applyFont="1" applyFill="1" applyBorder="1"/>
    <xf numFmtId="0" fontId="31" fillId="40" borderId="1" xfId="0" applyFont="1" applyFill="1" applyBorder="1"/>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3" fontId="4" fillId="38" borderId="1" xfId="0" applyNumberFormat="1" applyFont="1" applyFill="1" applyBorder="1" applyAlignment="1" applyProtection="1">
      <alignment horizontal="left" vertical="center"/>
    </xf>
    <xf numFmtId="3" fontId="4" fillId="2" borderId="1" xfId="0" applyNumberFormat="1" applyFont="1" applyFill="1" applyBorder="1" applyAlignment="1">
      <alignment horizontal="center" vertical="center"/>
    </xf>
    <xf numFmtId="3" fontId="9" fillId="0" borderId="1" xfId="0" applyNumberFormat="1" applyFont="1" applyBorder="1" applyAlignment="1">
      <alignment horizontal="center" vertical="center"/>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8"/>
  <sheetViews>
    <sheetView tabSelected="1" zoomScale="85" zoomScaleNormal="85" workbookViewId="0">
      <pane ySplit="10" topLeftCell="A230" activePane="bottomLeft" state="frozen"/>
      <selection activeCell="Q163" sqref="Q163"/>
      <selection pane="bottomLeft" activeCell="S252" sqref="S252"/>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45" t="s">
        <v>695</v>
      </c>
      <c r="B6" s="246"/>
      <c r="C6" s="246"/>
      <c r="D6" s="246"/>
      <c r="E6" s="246"/>
      <c r="F6" s="246"/>
      <c r="G6" s="246"/>
      <c r="H6" s="246"/>
      <c r="I6" s="246"/>
      <c r="J6" s="246"/>
      <c r="K6" s="246"/>
      <c r="L6" s="246"/>
      <c r="M6" s="246"/>
      <c r="N6" s="246"/>
      <c r="O6" s="246"/>
      <c r="P6" s="246"/>
      <c r="Q6" s="246"/>
      <c r="R6" s="246"/>
      <c r="S6" s="247"/>
    </row>
    <row r="7" spans="1:19" x14ac:dyDescent="0.25">
      <c r="A7" s="248"/>
      <c r="B7" s="249"/>
      <c r="C7" s="249"/>
      <c r="D7" s="249"/>
      <c r="E7" s="249"/>
      <c r="F7" s="249"/>
      <c r="G7" s="249"/>
      <c r="H7" s="249"/>
      <c r="I7" s="249"/>
      <c r="J7" s="249"/>
      <c r="K7" s="249"/>
      <c r="L7" s="249"/>
      <c r="M7" s="249"/>
      <c r="N7" s="249"/>
      <c r="O7" s="249"/>
      <c r="P7" s="249"/>
      <c r="Q7" s="249"/>
      <c r="R7" s="249"/>
      <c r="S7" s="250"/>
    </row>
    <row r="8" spans="1:19" s="64" customFormat="1" ht="15" customHeight="1" x14ac:dyDescent="0.25">
      <c r="A8" s="251"/>
      <c r="B8" s="2"/>
      <c r="C8" s="253" t="s">
        <v>308</v>
      </c>
      <c r="D8" s="254"/>
      <c r="E8" s="254"/>
      <c r="F8" s="254"/>
      <c r="G8" s="255"/>
      <c r="H8" s="253" t="s">
        <v>309</v>
      </c>
      <c r="I8" s="254"/>
      <c r="J8" s="254"/>
      <c r="K8" s="255"/>
      <c r="L8" s="256" t="s">
        <v>310</v>
      </c>
      <c r="M8" s="257"/>
      <c r="N8" s="257"/>
      <c r="O8" s="258"/>
      <c r="P8" s="253" t="s">
        <v>311</v>
      </c>
      <c r="Q8" s="254"/>
      <c r="R8" s="254"/>
      <c r="S8" s="255"/>
    </row>
    <row r="9" spans="1:19" s="64" customFormat="1" x14ac:dyDescent="0.25">
      <c r="A9" s="252"/>
      <c r="B9" s="2"/>
      <c r="C9" s="2" t="s">
        <v>312</v>
      </c>
      <c r="D9" s="253" t="s">
        <v>313</v>
      </c>
      <c r="E9" s="254"/>
      <c r="F9" s="254"/>
      <c r="G9" s="255"/>
      <c r="H9" s="253" t="s">
        <v>314</v>
      </c>
      <c r="I9" s="254"/>
      <c r="J9" s="254"/>
      <c r="K9" s="255"/>
      <c r="L9" s="253" t="s">
        <v>315</v>
      </c>
      <c r="M9" s="254"/>
      <c r="N9" s="254"/>
      <c r="O9" s="255"/>
      <c r="P9" s="253" t="s">
        <v>316</v>
      </c>
      <c r="Q9" s="255"/>
      <c r="R9" s="253" t="s">
        <v>317</v>
      </c>
      <c r="S9" s="255"/>
    </row>
    <row r="10" spans="1:19" s="67" customFormat="1" ht="27" customHeight="1" x14ac:dyDescent="0.25">
      <c r="A10" s="65" t="s">
        <v>318</v>
      </c>
      <c r="B10" s="65" t="s">
        <v>319</v>
      </c>
      <c r="C10" s="66">
        <f>'Data Vlaue (Cr)'!A2</f>
        <v>46086</v>
      </c>
      <c r="D10" s="66">
        <f>'Data Vlaue (Cr)'!A2</f>
        <v>46086</v>
      </c>
      <c r="E10" s="65" t="s">
        <v>322</v>
      </c>
      <c r="F10" s="65" t="s">
        <v>320</v>
      </c>
      <c r="G10" s="65" t="s">
        <v>321</v>
      </c>
      <c r="H10" s="66">
        <f>D10</f>
        <v>46086</v>
      </c>
      <c r="I10" s="65" t="s">
        <v>322</v>
      </c>
      <c r="J10" s="65" t="s">
        <v>323</v>
      </c>
      <c r="K10" s="65" t="s">
        <v>324</v>
      </c>
      <c r="L10" s="66">
        <f>D10</f>
        <v>46086</v>
      </c>
      <c r="M10" s="65" t="s">
        <v>322</v>
      </c>
      <c r="N10" s="65" t="s">
        <v>323</v>
      </c>
      <c r="O10" s="65" t="s">
        <v>324</v>
      </c>
      <c r="P10" s="66">
        <f>D10</f>
        <v>46086</v>
      </c>
      <c r="Q10" s="65" t="s">
        <v>324</v>
      </c>
      <c r="R10" s="66">
        <f>D10</f>
        <v>46086</v>
      </c>
      <c r="S10" s="65" t="s">
        <v>324</v>
      </c>
    </row>
    <row r="11" spans="1:19" x14ac:dyDescent="0.25">
      <c r="A11" s="96" t="str">
        <f>'Data Vlaue (Cr)'!C2</f>
        <v>360ONE</v>
      </c>
      <c r="B11" s="75">
        <f>VLOOKUP($A11,'Data Vlaue (Cr)'!$C:$FB,2)</f>
        <v>500</v>
      </c>
      <c r="C11" s="75">
        <f>VLOOKUP($A11,'Data Vlaue (Cr)'!$C:$FB,8)</f>
        <v>1081</v>
      </c>
      <c r="D11" s="75">
        <f>VLOOKUP($A11,'Data Vlaue (Cr)'!$C:$FB,4)</f>
        <v>1083</v>
      </c>
      <c r="E11" s="75">
        <f>VLOOKUP($A11,'Data Vlaue (Cr)'!$C:$FB,5)</f>
        <v>1071.2</v>
      </c>
      <c r="F11" s="75">
        <f>D11-C11</f>
        <v>2</v>
      </c>
      <c r="G11" s="75">
        <f>(D11-E11)/D11*100</f>
        <v>1.0895660203139386</v>
      </c>
      <c r="H11" s="75">
        <f>VLOOKUP($A11,'Data Vlaue (Cr)'!$C:$FB,99)</f>
        <v>463</v>
      </c>
      <c r="I11" s="75">
        <f>VLOOKUP($A11,'Data Vlaue (Cr)'!$C:$FB,100)</f>
        <v>462</v>
      </c>
      <c r="J11" s="75">
        <f>H11-I11</f>
        <v>1</v>
      </c>
      <c r="K11" s="75">
        <f>J11/H11*100</f>
        <v>0.21598272138228944</v>
      </c>
      <c r="L11" s="75">
        <f>VLOOKUP($A11,'Data Vlaue (Cr)'!$C:$FB,67)</f>
        <v>118</v>
      </c>
      <c r="M11" s="75">
        <f>VLOOKUP($A11,'Data Vlaue (Cr)'!$C:$FB,68)</f>
        <v>250</v>
      </c>
      <c r="N11" s="75">
        <f>L11-M11</f>
        <v>-132</v>
      </c>
      <c r="O11" s="75">
        <f>N11/L11*100</f>
        <v>-111.86440677966101</v>
      </c>
      <c r="P11" s="75">
        <f>VLOOKUP($A11,'Data Vlaue (Cr)'!$C:$FB,119)</f>
        <v>0.52</v>
      </c>
      <c r="Q11" s="75">
        <f>VLOOKUP($A11,'Data Vlaue (Cr)'!$C:$FB,122)*100</f>
        <v>-11.86</v>
      </c>
      <c r="R11" s="75">
        <f>VLOOKUP($A11,'Data Vlaue (Cr)'!$C:$FB,125)</f>
        <v>0.23</v>
      </c>
      <c r="S11" s="75">
        <f>VLOOKUP($A11,'Data Vlaue (Cr)'!$C:$FB,128)*100</f>
        <v>-66.180000000000007</v>
      </c>
    </row>
    <row r="12" spans="1:19" x14ac:dyDescent="0.25">
      <c r="A12" s="96" t="str">
        <f>'Data Vlaue (Cr)'!C3</f>
        <v>ABB</v>
      </c>
      <c r="B12" s="75">
        <f>VLOOKUP($A12,'Data Vlaue (Cr)'!$C:$FB,2)</f>
        <v>125</v>
      </c>
      <c r="C12" s="75">
        <f>VLOOKUP($A12,'Data Vlaue (Cr)'!$C:$FB,8)</f>
        <v>5929</v>
      </c>
      <c r="D12" s="75">
        <f>VLOOKUP($A12,'Data Vlaue (Cr)'!$C:$FB,4)</f>
        <v>5943</v>
      </c>
      <c r="E12" s="75">
        <f>VLOOKUP($A12,'Data Vlaue (Cr)'!$C:$FB,5)</f>
        <v>5849</v>
      </c>
      <c r="F12" s="75">
        <f t="shared" ref="F12:F75" si="0">D12-C12</f>
        <v>14</v>
      </c>
      <c r="G12" s="75">
        <f t="shared" ref="G12:G74" si="1">(D12-E12)/D12*100</f>
        <v>1.5816927477704863</v>
      </c>
      <c r="H12" s="75">
        <f>VLOOKUP($A12,'Data Vlaue (Cr)'!$C:$FB,99)</f>
        <v>2295</v>
      </c>
      <c r="I12" s="75">
        <f>VLOOKUP($A12,'Data Vlaue (Cr)'!$C:$FB,100)</f>
        <v>2329</v>
      </c>
      <c r="J12" s="75">
        <f t="shared" ref="J12:J75" si="2">H12-I12</f>
        <v>-34</v>
      </c>
      <c r="K12" s="75">
        <f t="shared" ref="K12:K75" si="3">J12/H12*100</f>
        <v>-1.4814814814814816</v>
      </c>
      <c r="L12" s="75">
        <f>VLOOKUP($A12,'Data Vlaue (Cr)'!$C:$FB,67)</f>
        <v>1213</v>
      </c>
      <c r="M12" s="75">
        <f>VLOOKUP($A12,'Data Vlaue (Cr)'!$C:$FB,68)</f>
        <v>1529</v>
      </c>
      <c r="N12" s="75">
        <f t="shared" ref="N12:N75" si="4">L12-M12</f>
        <v>-316</v>
      </c>
      <c r="O12" s="75">
        <f t="shared" ref="O12:O75" si="5">N12/L12*100</f>
        <v>-26.051112943116237</v>
      </c>
      <c r="P12" s="75">
        <f>VLOOKUP($A12,'Data Vlaue (Cr)'!$C:$FB,119)</f>
        <v>0.68</v>
      </c>
      <c r="Q12" s="75">
        <f>VLOOKUP($A12,'Data Vlaue (Cr)'!$C:$FB,122)*100</f>
        <v>-2.86</v>
      </c>
      <c r="R12" s="75">
        <f>VLOOKUP($A12,'Data Vlaue (Cr)'!$C:$FB,125)</f>
        <v>0.66</v>
      </c>
      <c r="S12" s="75">
        <f>VLOOKUP($A12,'Data Vlaue (Cr)'!$C:$FB,128)*100</f>
        <v>-37.74</v>
      </c>
    </row>
    <row r="13" spans="1:19" x14ac:dyDescent="0.25">
      <c r="A13" s="96" t="str">
        <f>'Data Vlaue (Cr)'!C4</f>
        <v>ABCAPITAL</v>
      </c>
      <c r="B13" s="75">
        <f>VLOOKUP($A13,'Data Vlaue (Cr)'!$C:$FB,2)</f>
        <v>3100</v>
      </c>
      <c r="C13" s="75">
        <f>VLOOKUP($A13,'Data Vlaue (Cr)'!$C:$FB,8)</f>
        <v>327.60000000000002</v>
      </c>
      <c r="D13" s="75">
        <f>VLOOKUP($A13,'Data Vlaue (Cr)'!$C:$FB,4)</f>
        <v>328.55</v>
      </c>
      <c r="E13" s="75">
        <f>VLOOKUP($A13,'Data Vlaue (Cr)'!$C:$FB,5)</f>
        <v>322.25</v>
      </c>
      <c r="F13" s="75">
        <f t="shared" si="0"/>
        <v>0.94999999999998863</v>
      </c>
      <c r="G13" s="75">
        <f t="shared" si="1"/>
        <v>1.9175163597625964</v>
      </c>
      <c r="H13" s="75">
        <f>VLOOKUP($A13,'Data Vlaue (Cr)'!$C:$FB,99)</f>
        <v>2500</v>
      </c>
      <c r="I13" s="75">
        <f>VLOOKUP($A13,'Data Vlaue (Cr)'!$C:$FB,100)</f>
        <v>2525</v>
      </c>
      <c r="J13" s="75">
        <f t="shared" si="2"/>
        <v>-25</v>
      </c>
      <c r="K13" s="75">
        <f t="shared" si="3"/>
        <v>-1</v>
      </c>
      <c r="L13" s="75">
        <f>VLOOKUP($A13,'Data Vlaue (Cr)'!$C:$FB,67)</f>
        <v>1057</v>
      </c>
      <c r="M13" s="75">
        <f>VLOOKUP($A13,'Data Vlaue (Cr)'!$C:$FB,68)</f>
        <v>2231</v>
      </c>
      <c r="N13" s="75">
        <f t="shared" si="4"/>
        <v>-1174</v>
      </c>
      <c r="O13" s="75">
        <f t="shared" si="5"/>
        <v>-111.06906338694418</v>
      </c>
      <c r="P13" s="75">
        <f>VLOOKUP($A13,'Data Vlaue (Cr)'!$C:$FB,119)</f>
        <v>0.62</v>
      </c>
      <c r="Q13" s="75">
        <f>VLOOKUP($A13,'Data Vlaue (Cr)'!$C:$FB,122)*100</f>
        <v>1.6400000000000001</v>
      </c>
      <c r="R13" s="75">
        <f>VLOOKUP($A13,'Data Vlaue (Cr)'!$C:$FB,125)</f>
        <v>0.52</v>
      </c>
      <c r="S13" s="75">
        <f>VLOOKUP($A13,'Data Vlaue (Cr)'!$C:$FB,128)*100</f>
        <v>6.12</v>
      </c>
    </row>
    <row r="14" spans="1:19" x14ac:dyDescent="0.25">
      <c r="A14" s="96" t="str">
        <f>'Data Vlaue (Cr)'!C5</f>
        <v>ADANIENSOL</v>
      </c>
      <c r="B14" s="75">
        <f>VLOOKUP($A14,'Data Vlaue (Cr)'!$C:$FB,2)</f>
        <v>675</v>
      </c>
      <c r="C14" s="75">
        <f>VLOOKUP($A14,'Data Vlaue (Cr)'!$C:$FB,8)</f>
        <v>987.9</v>
      </c>
      <c r="D14" s="75">
        <f>VLOOKUP($A14,'Data Vlaue (Cr)'!$C:$FB,4)</f>
        <v>991.9</v>
      </c>
      <c r="E14" s="75">
        <f>VLOOKUP($A14,'Data Vlaue (Cr)'!$C:$FB,5)</f>
        <v>962.3</v>
      </c>
      <c r="F14" s="75">
        <f t="shared" si="0"/>
        <v>4</v>
      </c>
      <c r="G14" s="75">
        <f t="shared" si="1"/>
        <v>2.9841717915112436</v>
      </c>
      <c r="H14" s="75">
        <f>VLOOKUP($A14,'Data Vlaue (Cr)'!$C:$FB,99)</f>
        <v>2519</v>
      </c>
      <c r="I14" s="75">
        <f>VLOOKUP($A14,'Data Vlaue (Cr)'!$C:$FB,100)</f>
        <v>2486</v>
      </c>
      <c r="J14" s="75">
        <f t="shared" si="2"/>
        <v>33</v>
      </c>
      <c r="K14" s="75">
        <f t="shared" si="3"/>
        <v>1.3100436681222707</v>
      </c>
      <c r="L14" s="75">
        <f>VLOOKUP($A14,'Data Vlaue (Cr)'!$C:$FB,67)</f>
        <v>476</v>
      </c>
      <c r="M14" s="75">
        <f>VLOOKUP($A14,'Data Vlaue (Cr)'!$C:$FB,68)</f>
        <v>710</v>
      </c>
      <c r="N14" s="75">
        <f t="shared" si="4"/>
        <v>-234</v>
      </c>
      <c r="O14" s="75">
        <f>N14/L14*100</f>
        <v>-49.159663865546214</v>
      </c>
      <c r="P14" s="75">
        <f>VLOOKUP($A14,'Data Vlaue (Cr)'!$C:$FB,119)</f>
        <v>0.78</v>
      </c>
      <c r="Q14" s="75">
        <f>VLOOKUP($A14,'Data Vlaue (Cr)'!$C:$FB,122)*100</f>
        <v>6.8500000000000005</v>
      </c>
      <c r="R14" s="75">
        <f>VLOOKUP($A14,'Data Vlaue (Cr)'!$C:$FB,125)</f>
        <v>0.66</v>
      </c>
      <c r="S14" s="75">
        <f>VLOOKUP($A14,'Data Vlaue (Cr)'!$C:$FB,128)*100</f>
        <v>-28.26</v>
      </c>
    </row>
    <row r="15" spans="1:19" x14ac:dyDescent="0.25">
      <c r="A15" s="96" t="str">
        <f>'Data Vlaue (Cr)'!C6</f>
        <v>ADANIENT</v>
      </c>
      <c r="B15" s="75">
        <f>VLOOKUP($A15,'Data Vlaue (Cr)'!$C:$FB,2)</f>
        <v>309</v>
      </c>
      <c r="C15" s="75">
        <f>VLOOKUP($A15,'Data Vlaue (Cr)'!$C:$FB,8)</f>
        <v>2089.1999999999998</v>
      </c>
      <c r="D15" s="75">
        <f>VLOOKUP($A15,'Data Vlaue (Cr)'!$C:$FB,4)</f>
        <v>2096.1999999999998</v>
      </c>
      <c r="E15" s="75">
        <f>VLOOKUP($A15,'Data Vlaue (Cr)'!$C:$FB,5)</f>
        <v>2070.5</v>
      </c>
      <c r="F15" s="75">
        <f t="shared" si="0"/>
        <v>7</v>
      </c>
      <c r="G15" s="75">
        <f t="shared" si="1"/>
        <v>1.2260280507585068</v>
      </c>
      <c r="H15" s="75">
        <f>VLOOKUP($A15,'Data Vlaue (Cr)'!$C:$FB,99)</f>
        <v>5974</v>
      </c>
      <c r="I15" s="75">
        <f>VLOOKUP($A15,'Data Vlaue (Cr)'!$C:$FB,100)</f>
        <v>5854</v>
      </c>
      <c r="J15" s="75">
        <f t="shared" si="2"/>
        <v>120</v>
      </c>
      <c r="K15" s="75">
        <f t="shared" si="3"/>
        <v>2.0087043856712423</v>
      </c>
      <c r="L15" s="75">
        <f>VLOOKUP($A15,'Data Vlaue (Cr)'!$C:$FB,67)</f>
        <v>2933</v>
      </c>
      <c r="M15" s="75">
        <f>VLOOKUP($A15,'Data Vlaue (Cr)'!$C:$FB,68)</f>
        <v>2540</v>
      </c>
      <c r="N15" s="75">
        <f t="shared" si="4"/>
        <v>393</v>
      </c>
      <c r="O15" s="75">
        <f t="shared" si="5"/>
        <v>13.399249914763042</v>
      </c>
      <c r="P15" s="75">
        <f>VLOOKUP($A15,'Data Vlaue (Cr)'!$C:$FB,119)</f>
        <v>0.95</v>
      </c>
      <c r="Q15" s="75">
        <f>VLOOKUP($A15,'Data Vlaue (Cr)'!$C:$FB,122)*100</f>
        <v>-3.06</v>
      </c>
      <c r="R15" s="75">
        <f>VLOOKUP($A15,'Data Vlaue (Cr)'!$C:$FB,125)</f>
        <v>0.67</v>
      </c>
      <c r="S15" s="75">
        <f>VLOOKUP($A15,'Data Vlaue (Cr)'!$C:$FB,128)*100</f>
        <v>-30.930000000000003</v>
      </c>
    </row>
    <row r="16" spans="1:19" x14ac:dyDescent="0.25">
      <c r="A16" s="96" t="str">
        <f>'Data Vlaue (Cr)'!C7</f>
        <v>ADANIGREEN</v>
      </c>
      <c r="B16" s="75">
        <f>VLOOKUP($A16,'Data Vlaue (Cr)'!$C:$FB,2)</f>
        <v>600</v>
      </c>
      <c r="C16" s="75">
        <f>VLOOKUP($A16,'Data Vlaue (Cr)'!$C:$FB,8)</f>
        <v>884.55</v>
      </c>
      <c r="D16" s="75">
        <f>VLOOKUP($A16,'Data Vlaue (Cr)'!$C:$FB,4)</f>
        <v>888.4</v>
      </c>
      <c r="E16" s="75">
        <f>VLOOKUP($A16,'Data Vlaue (Cr)'!$C:$FB,5)</f>
        <v>874.95</v>
      </c>
      <c r="F16" s="75">
        <f t="shared" si="0"/>
        <v>3.8500000000000227</v>
      </c>
      <c r="G16" s="75">
        <f t="shared" si="1"/>
        <v>1.5139576767221896</v>
      </c>
      <c r="H16" s="75">
        <f>VLOOKUP($A16,'Data Vlaue (Cr)'!$C:$FB,99)</f>
        <v>3075</v>
      </c>
      <c r="I16" s="75">
        <f>VLOOKUP($A16,'Data Vlaue (Cr)'!$C:$FB,100)</f>
        <v>2901</v>
      </c>
      <c r="J16" s="75">
        <f t="shared" si="2"/>
        <v>174</v>
      </c>
      <c r="K16" s="75">
        <f t="shared" si="3"/>
        <v>5.6585365853658542</v>
      </c>
      <c r="L16" s="75">
        <f>VLOOKUP($A16,'Data Vlaue (Cr)'!$C:$FB,67)</f>
        <v>1352</v>
      </c>
      <c r="M16" s="75">
        <f>VLOOKUP($A16,'Data Vlaue (Cr)'!$C:$FB,68)</f>
        <v>892</v>
      </c>
      <c r="N16" s="75">
        <f t="shared" si="4"/>
        <v>460</v>
      </c>
      <c r="O16" s="75">
        <f t="shared" si="5"/>
        <v>34.023668639053255</v>
      </c>
      <c r="P16" s="75">
        <f>VLOOKUP($A16,'Data Vlaue (Cr)'!$C:$FB,119)</f>
        <v>0.62</v>
      </c>
      <c r="Q16" s="75">
        <f>VLOOKUP($A16,'Data Vlaue (Cr)'!$C:$FB,122)*100</f>
        <v>-16.220000000000002</v>
      </c>
      <c r="R16" s="75">
        <f>VLOOKUP($A16,'Data Vlaue (Cr)'!$C:$FB,125)</f>
        <v>0.39</v>
      </c>
      <c r="S16" s="75">
        <f>VLOOKUP($A16,'Data Vlaue (Cr)'!$C:$FB,128)*100</f>
        <v>-50</v>
      </c>
    </row>
    <row r="17" spans="1:19" x14ac:dyDescent="0.25">
      <c r="A17" s="96" t="str">
        <f>'Data Vlaue (Cr)'!C8</f>
        <v>ADANIPORTS</v>
      </c>
      <c r="B17" s="75">
        <f>VLOOKUP($A17,'Data Vlaue (Cr)'!$C:$FB,2)</f>
        <v>475</v>
      </c>
      <c r="C17" s="75">
        <f>VLOOKUP($A17,'Data Vlaue (Cr)'!$C:$FB,8)</f>
        <v>1499.3</v>
      </c>
      <c r="D17" s="75">
        <f>VLOOKUP($A17,'Data Vlaue (Cr)'!$C:$FB,4)</f>
        <v>1501.8</v>
      </c>
      <c r="E17" s="75">
        <f>VLOOKUP($A17,'Data Vlaue (Cr)'!$C:$FB,5)</f>
        <v>1440.9</v>
      </c>
      <c r="F17" s="75">
        <f t="shared" si="0"/>
        <v>2.5</v>
      </c>
      <c r="G17" s="75">
        <f t="shared" si="1"/>
        <v>4.0551338393927194</v>
      </c>
      <c r="H17" s="75">
        <f>VLOOKUP($A17,'Data Vlaue (Cr)'!$C:$FB,99)</f>
        <v>5169</v>
      </c>
      <c r="I17" s="75">
        <f>VLOOKUP($A17,'Data Vlaue (Cr)'!$C:$FB,100)</f>
        <v>5188</v>
      </c>
      <c r="J17" s="75">
        <f t="shared" si="2"/>
        <v>-19</v>
      </c>
      <c r="K17" s="75">
        <f t="shared" si="3"/>
        <v>-0.36757593344940992</v>
      </c>
      <c r="L17" s="75">
        <f>VLOOKUP($A17,'Data Vlaue (Cr)'!$C:$FB,67)</f>
        <v>3907</v>
      </c>
      <c r="M17" s="75">
        <f>VLOOKUP($A17,'Data Vlaue (Cr)'!$C:$FB,68)</f>
        <v>4392</v>
      </c>
      <c r="N17" s="75">
        <f t="shared" si="4"/>
        <v>-485</v>
      </c>
      <c r="O17" s="75">
        <f t="shared" si="5"/>
        <v>-12.413616585615561</v>
      </c>
      <c r="P17" s="75">
        <f>VLOOKUP($A17,'Data Vlaue (Cr)'!$C:$FB,119)</f>
        <v>0.92</v>
      </c>
      <c r="Q17" s="75">
        <f>VLOOKUP($A17,'Data Vlaue (Cr)'!$C:$FB,122)*100</f>
        <v>-2.13</v>
      </c>
      <c r="R17" s="75">
        <f>VLOOKUP($A17,'Data Vlaue (Cr)'!$C:$FB,125)</f>
        <v>0.83</v>
      </c>
      <c r="S17" s="75">
        <f>VLOOKUP($A17,'Data Vlaue (Cr)'!$C:$FB,128)*100</f>
        <v>-48.13</v>
      </c>
    </row>
    <row r="18" spans="1:19" x14ac:dyDescent="0.25">
      <c r="A18" s="96" t="str">
        <f>'Data Vlaue (Cr)'!C9</f>
        <v>ALKEM</v>
      </c>
      <c r="B18" s="75">
        <f>VLOOKUP($A18,'Data Vlaue (Cr)'!$C:$FB,2)</f>
        <v>125</v>
      </c>
      <c r="C18" s="75">
        <f>VLOOKUP($A18,'Data Vlaue (Cr)'!$C:$FB,8)</f>
        <v>5550</v>
      </c>
      <c r="D18" s="75">
        <f>VLOOKUP($A18,'Data Vlaue (Cr)'!$C:$FB,4)</f>
        <v>5574</v>
      </c>
      <c r="E18" s="75">
        <f>VLOOKUP($A18,'Data Vlaue (Cr)'!$C:$FB,5)</f>
        <v>5488</v>
      </c>
      <c r="F18" s="75">
        <f t="shared" si="0"/>
        <v>24</v>
      </c>
      <c r="G18" s="75">
        <f t="shared" si="1"/>
        <v>1.5428776462145677</v>
      </c>
      <c r="H18" s="75">
        <f>VLOOKUP($A18,'Data Vlaue (Cr)'!$C:$FB,99)</f>
        <v>896</v>
      </c>
      <c r="I18" s="75">
        <f>VLOOKUP($A18,'Data Vlaue (Cr)'!$C:$FB,100)</f>
        <v>874</v>
      </c>
      <c r="J18" s="75">
        <f t="shared" si="2"/>
        <v>22</v>
      </c>
      <c r="K18" s="75">
        <f t="shared" si="3"/>
        <v>2.4553571428571428</v>
      </c>
      <c r="L18" s="75">
        <f>VLOOKUP($A18,'Data Vlaue (Cr)'!$C:$FB,67)</f>
        <v>211</v>
      </c>
      <c r="M18" s="75">
        <f>VLOOKUP($A18,'Data Vlaue (Cr)'!$C:$FB,68)</f>
        <v>231</v>
      </c>
      <c r="N18" s="75">
        <f t="shared" si="4"/>
        <v>-20</v>
      </c>
      <c r="O18" s="75">
        <f t="shared" si="5"/>
        <v>-9.4786729857819907</v>
      </c>
      <c r="P18" s="75">
        <f>VLOOKUP($A18,'Data Vlaue (Cr)'!$C:$FB,119)</f>
        <v>0.64</v>
      </c>
      <c r="Q18" s="75">
        <f>VLOOKUP($A18,'Data Vlaue (Cr)'!$C:$FB,122)*100</f>
        <v>-13.51</v>
      </c>
      <c r="R18" s="75">
        <f>VLOOKUP($A18,'Data Vlaue (Cr)'!$C:$FB,125)</f>
        <v>0.21</v>
      </c>
      <c r="S18" s="75">
        <f>VLOOKUP($A18,'Data Vlaue (Cr)'!$C:$FB,128)*100</f>
        <v>-71.61999999999999</v>
      </c>
    </row>
    <row r="19" spans="1:19" x14ac:dyDescent="0.25">
      <c r="A19" s="96" t="str">
        <f>'Data Vlaue (Cr)'!C10</f>
        <v>AMBER</v>
      </c>
      <c r="B19" s="75">
        <f>VLOOKUP($A19,'Data Vlaue (Cr)'!$C:$FB,2)</f>
        <v>100</v>
      </c>
      <c r="C19" s="75">
        <f>VLOOKUP($A19,'Data Vlaue (Cr)'!$C:$FB,8)</f>
        <v>7825.5</v>
      </c>
      <c r="D19" s="75">
        <f>VLOOKUP($A19,'Data Vlaue (Cr)'!$C:$FB,4)</f>
        <v>7865</v>
      </c>
      <c r="E19" s="75">
        <f>VLOOKUP($A19,'Data Vlaue (Cr)'!$C:$FB,5)</f>
        <v>7691.5</v>
      </c>
      <c r="F19" s="75">
        <f t="shared" si="0"/>
        <v>39.5</v>
      </c>
      <c r="G19" s="75">
        <f t="shared" si="1"/>
        <v>2.2059758423394786</v>
      </c>
      <c r="H19" s="75">
        <f>VLOOKUP($A19,'Data Vlaue (Cr)'!$C:$FB,99)</f>
        <v>1528</v>
      </c>
      <c r="I19" s="75">
        <f>VLOOKUP($A19,'Data Vlaue (Cr)'!$C:$FB,100)</f>
        <v>1436</v>
      </c>
      <c r="J19" s="75">
        <f t="shared" si="2"/>
        <v>92</v>
      </c>
      <c r="K19" s="75">
        <f t="shared" si="3"/>
        <v>6.0209424083769632</v>
      </c>
      <c r="L19" s="75">
        <f>VLOOKUP($A19,'Data Vlaue (Cr)'!$C:$FB,67)</f>
        <v>1493</v>
      </c>
      <c r="M19" s="75">
        <f>VLOOKUP($A19,'Data Vlaue (Cr)'!$C:$FB,68)</f>
        <v>1148</v>
      </c>
      <c r="N19" s="75">
        <f t="shared" si="4"/>
        <v>345</v>
      </c>
      <c r="O19" s="75">
        <f t="shared" si="5"/>
        <v>23.107836570663096</v>
      </c>
      <c r="P19" s="75">
        <f>VLOOKUP($A19,'Data Vlaue (Cr)'!$C:$FB,119)</f>
        <v>0.66</v>
      </c>
      <c r="Q19" s="75">
        <f>VLOOKUP($A19,'Data Vlaue (Cr)'!$C:$FB,122)*100</f>
        <v>15.790000000000001</v>
      </c>
      <c r="R19" s="75">
        <f>VLOOKUP($A19,'Data Vlaue (Cr)'!$C:$FB,125)</f>
        <v>0.41</v>
      </c>
      <c r="S19" s="75">
        <f>VLOOKUP($A19,'Data Vlaue (Cr)'!$C:$FB,128)*100</f>
        <v>-39.71</v>
      </c>
    </row>
    <row r="20" spans="1:19" x14ac:dyDescent="0.25">
      <c r="A20" s="96" t="str">
        <f>'Data Vlaue (Cr)'!C11</f>
        <v>AMBUJACEM</v>
      </c>
      <c r="B20" s="75">
        <f>VLOOKUP($A20,'Data Vlaue (Cr)'!$C:$FB,2)</f>
        <v>1050</v>
      </c>
      <c r="C20" s="75">
        <f>VLOOKUP($A20,'Data Vlaue (Cr)'!$C:$FB,8)</f>
        <v>480</v>
      </c>
      <c r="D20" s="75">
        <f>VLOOKUP($A20,'Data Vlaue (Cr)'!$C:$FB,4)</f>
        <v>482.35</v>
      </c>
      <c r="E20" s="75">
        <f>VLOOKUP($A20,'Data Vlaue (Cr)'!$C:$FB,5)</f>
        <v>478.25</v>
      </c>
      <c r="F20" s="75">
        <f t="shared" si="0"/>
        <v>2.3500000000000227</v>
      </c>
      <c r="G20" s="75">
        <f t="shared" si="1"/>
        <v>0.8500051829584373</v>
      </c>
      <c r="H20" s="75">
        <f>VLOOKUP($A20,'Data Vlaue (Cr)'!$C:$FB,99)</f>
        <v>3667</v>
      </c>
      <c r="I20" s="75">
        <f>VLOOKUP($A20,'Data Vlaue (Cr)'!$C:$FB,100)</f>
        <v>3628</v>
      </c>
      <c r="J20" s="75">
        <f t="shared" si="2"/>
        <v>39</v>
      </c>
      <c r="K20" s="75">
        <f t="shared" si="3"/>
        <v>1.0635396782110718</v>
      </c>
      <c r="L20" s="75">
        <f>VLOOKUP($A20,'Data Vlaue (Cr)'!$C:$FB,67)</f>
        <v>749</v>
      </c>
      <c r="M20" s="75">
        <f>VLOOKUP($A20,'Data Vlaue (Cr)'!$C:$FB,68)</f>
        <v>931</v>
      </c>
      <c r="N20" s="75">
        <f t="shared" si="4"/>
        <v>-182</v>
      </c>
      <c r="O20" s="75">
        <f t="shared" si="5"/>
        <v>-24.299065420560748</v>
      </c>
      <c r="P20" s="75">
        <f>VLOOKUP($A20,'Data Vlaue (Cr)'!$C:$FB,119)</f>
        <v>0.67</v>
      </c>
      <c r="Q20" s="75">
        <f>VLOOKUP($A20,'Data Vlaue (Cr)'!$C:$FB,122)*100</f>
        <v>4.6899999999999995</v>
      </c>
      <c r="R20" s="75">
        <f>VLOOKUP($A20,'Data Vlaue (Cr)'!$C:$FB,125)</f>
        <v>0.41</v>
      </c>
      <c r="S20" s="75">
        <f>VLOOKUP($A20,'Data Vlaue (Cr)'!$C:$FB,128)*100</f>
        <v>-10.870000000000001</v>
      </c>
    </row>
    <row r="21" spans="1:19" x14ac:dyDescent="0.25">
      <c r="A21" s="96" t="str">
        <f>'Data Vlaue (Cr)'!C12</f>
        <v>ANGELONE</v>
      </c>
      <c r="B21" s="75">
        <f>VLOOKUP($A21,'Data Vlaue (Cr)'!$C:$FB,2)</f>
        <v>2500</v>
      </c>
      <c r="C21" s="75">
        <f>VLOOKUP($A21,'Data Vlaue (Cr)'!$C:$FB,8)</f>
        <v>224.68</v>
      </c>
      <c r="D21" s="75">
        <f>VLOOKUP($A21,'Data Vlaue (Cr)'!$C:$FB,4)</f>
        <v>224.63</v>
      </c>
      <c r="E21" s="75">
        <f>VLOOKUP($A21,'Data Vlaue (Cr)'!$C:$FB,5)</f>
        <v>221.96</v>
      </c>
      <c r="F21" s="75">
        <f t="shared" si="0"/>
        <v>-5.0000000000011369E-2</v>
      </c>
      <c r="G21" s="75">
        <f t="shared" si="1"/>
        <v>1.1886212883408216</v>
      </c>
      <c r="H21" s="75">
        <f>VLOOKUP($A21,'Data Vlaue (Cr)'!$C:$FB,99)</f>
        <v>1619</v>
      </c>
      <c r="I21" s="75">
        <f>VLOOKUP($A21,'Data Vlaue (Cr)'!$C:$FB,100)</f>
        <v>1552</v>
      </c>
      <c r="J21" s="75">
        <f t="shared" si="2"/>
        <v>67</v>
      </c>
      <c r="K21" s="75">
        <f t="shared" si="3"/>
        <v>4.1383570105003091</v>
      </c>
      <c r="L21" s="75">
        <f>VLOOKUP($A21,'Data Vlaue (Cr)'!$C:$FB,67)</f>
        <v>613</v>
      </c>
      <c r="M21" s="75">
        <f>VLOOKUP($A21,'Data Vlaue (Cr)'!$C:$FB,68)</f>
        <v>1132</v>
      </c>
      <c r="N21" s="75">
        <f t="shared" si="4"/>
        <v>-519</v>
      </c>
      <c r="O21" s="75">
        <f t="shared" si="5"/>
        <v>-84.665579119086459</v>
      </c>
      <c r="P21" s="75">
        <f>VLOOKUP($A21,'Data Vlaue (Cr)'!$C:$FB,119)</f>
        <v>0.59</v>
      </c>
      <c r="Q21" s="75">
        <f>VLOOKUP($A21,'Data Vlaue (Cr)'!$C:$FB,122)*100</f>
        <v>-1.67</v>
      </c>
      <c r="R21" s="75">
        <f>VLOOKUP($A21,'Data Vlaue (Cr)'!$C:$FB,125)</f>
        <v>0.3</v>
      </c>
      <c r="S21" s="75">
        <f>VLOOKUP($A21,'Data Vlaue (Cr)'!$C:$FB,128)*100</f>
        <v>-41.18</v>
      </c>
    </row>
    <row r="22" spans="1:19" x14ac:dyDescent="0.25">
      <c r="A22" s="96" t="str">
        <f>'Data Vlaue (Cr)'!C13</f>
        <v>APLAPOLLO</v>
      </c>
      <c r="B22" s="75">
        <f>VLOOKUP($A22,'Data Vlaue (Cr)'!$C:$FB,2)</f>
        <v>350</v>
      </c>
      <c r="C22" s="75">
        <f>VLOOKUP($A22,'Data Vlaue (Cr)'!$C:$FB,8)</f>
        <v>2161.3000000000002</v>
      </c>
      <c r="D22" s="75">
        <f>VLOOKUP($A22,'Data Vlaue (Cr)'!$C:$FB,4)</f>
        <v>2170</v>
      </c>
      <c r="E22" s="75">
        <f>VLOOKUP($A22,'Data Vlaue (Cr)'!$C:$FB,5)</f>
        <v>2122.5</v>
      </c>
      <c r="F22" s="75">
        <f t="shared" si="0"/>
        <v>8.6999999999998181</v>
      </c>
      <c r="G22" s="75">
        <f t="shared" si="1"/>
        <v>2.1889400921658986</v>
      </c>
      <c r="H22" s="75">
        <f>VLOOKUP($A22,'Data Vlaue (Cr)'!$C:$FB,99)</f>
        <v>1489</v>
      </c>
      <c r="I22" s="75">
        <f>VLOOKUP($A22,'Data Vlaue (Cr)'!$C:$FB,100)</f>
        <v>1487</v>
      </c>
      <c r="J22" s="75">
        <f t="shared" si="2"/>
        <v>2</v>
      </c>
      <c r="K22" s="75">
        <f t="shared" si="3"/>
        <v>0.13431833445265279</v>
      </c>
      <c r="L22" s="75">
        <f>VLOOKUP($A22,'Data Vlaue (Cr)'!$C:$FB,67)</f>
        <v>396</v>
      </c>
      <c r="M22" s="75">
        <f>VLOOKUP($A22,'Data Vlaue (Cr)'!$C:$FB,68)</f>
        <v>1978</v>
      </c>
      <c r="N22" s="75">
        <f t="shared" si="4"/>
        <v>-1582</v>
      </c>
      <c r="O22" s="75">
        <f t="shared" si="5"/>
        <v>-399.49494949494948</v>
      </c>
      <c r="P22" s="75">
        <f>VLOOKUP($A22,'Data Vlaue (Cr)'!$C:$FB,119)</f>
        <v>0.93</v>
      </c>
      <c r="Q22" s="75">
        <f>VLOOKUP($A22,'Data Vlaue (Cr)'!$C:$FB,122)*100</f>
        <v>5.6800000000000006</v>
      </c>
      <c r="R22" s="75">
        <f>VLOOKUP($A22,'Data Vlaue (Cr)'!$C:$FB,125)</f>
        <v>0.9</v>
      </c>
      <c r="S22" s="75">
        <f>VLOOKUP($A22,'Data Vlaue (Cr)'!$C:$FB,128)*100</f>
        <v>-12.620000000000001</v>
      </c>
    </row>
    <row r="23" spans="1:19" x14ac:dyDescent="0.25">
      <c r="A23" s="96" t="str">
        <f>'Data Vlaue (Cr)'!C14</f>
        <v>APOLLOHOSP</v>
      </c>
      <c r="B23" s="75">
        <f>VLOOKUP($A23,'Data Vlaue (Cr)'!$C:$FB,2)</f>
        <v>125</v>
      </c>
      <c r="C23" s="75">
        <f>VLOOKUP($A23,'Data Vlaue (Cr)'!$C:$FB,8)</f>
        <v>7775</v>
      </c>
      <c r="D23" s="75">
        <f>VLOOKUP($A23,'Data Vlaue (Cr)'!$C:$FB,4)</f>
        <v>7787.5</v>
      </c>
      <c r="E23" s="75">
        <f>VLOOKUP($A23,'Data Vlaue (Cr)'!$C:$FB,5)</f>
        <v>7680</v>
      </c>
      <c r="F23" s="75">
        <f t="shared" si="0"/>
        <v>12.5</v>
      </c>
      <c r="G23" s="75">
        <f t="shared" si="1"/>
        <v>1.3804173354735152</v>
      </c>
      <c r="H23" s="75">
        <f>VLOOKUP($A23,'Data Vlaue (Cr)'!$C:$FB,99)</f>
        <v>3241</v>
      </c>
      <c r="I23" s="75">
        <f>VLOOKUP($A23,'Data Vlaue (Cr)'!$C:$FB,100)</f>
        <v>3172</v>
      </c>
      <c r="J23" s="75">
        <f t="shared" si="2"/>
        <v>69</v>
      </c>
      <c r="K23" s="75">
        <f t="shared" si="3"/>
        <v>2.1289725393397099</v>
      </c>
      <c r="L23" s="75">
        <f>VLOOKUP($A23,'Data Vlaue (Cr)'!$C:$FB,67)</f>
        <v>2453</v>
      </c>
      <c r="M23" s="75">
        <f>VLOOKUP($A23,'Data Vlaue (Cr)'!$C:$FB,68)</f>
        <v>3579</v>
      </c>
      <c r="N23" s="75">
        <f t="shared" si="4"/>
        <v>-1126</v>
      </c>
      <c r="O23" s="75">
        <f t="shared" si="5"/>
        <v>-45.902975947818994</v>
      </c>
      <c r="P23" s="75">
        <f>VLOOKUP($A23,'Data Vlaue (Cr)'!$C:$FB,119)</f>
        <v>0.75</v>
      </c>
      <c r="Q23" s="75">
        <f>VLOOKUP($A23,'Data Vlaue (Cr)'!$C:$FB,122)*100</f>
        <v>10.290000000000001</v>
      </c>
      <c r="R23" s="75">
        <f>VLOOKUP($A23,'Data Vlaue (Cr)'!$C:$FB,125)</f>
        <v>0.56999999999999995</v>
      </c>
      <c r="S23" s="75">
        <f>VLOOKUP($A23,'Data Vlaue (Cr)'!$C:$FB,128)*100</f>
        <v>-22.97</v>
      </c>
    </row>
    <row r="24" spans="1:19" x14ac:dyDescent="0.25">
      <c r="A24" s="96" t="str">
        <f>'Data Vlaue (Cr)'!C15</f>
        <v>ASHOKLEY</v>
      </c>
      <c r="B24" s="75">
        <f>VLOOKUP($A24,'Data Vlaue (Cr)'!$C:$FB,2)</f>
        <v>5000</v>
      </c>
      <c r="C24" s="75">
        <f>VLOOKUP($A24,'Data Vlaue (Cr)'!$C:$FB,8)</f>
        <v>203.04</v>
      </c>
      <c r="D24" s="75">
        <f>VLOOKUP($A24,'Data Vlaue (Cr)'!$C:$FB,4)</f>
        <v>203.21</v>
      </c>
      <c r="E24" s="75">
        <f>VLOOKUP($A24,'Data Vlaue (Cr)'!$C:$FB,5)</f>
        <v>200.11</v>
      </c>
      <c r="F24" s="75">
        <f t="shared" si="0"/>
        <v>0.17000000000001592</v>
      </c>
      <c r="G24" s="75">
        <f t="shared" si="1"/>
        <v>1.5255154766005581</v>
      </c>
      <c r="H24" s="75">
        <f>VLOOKUP($A24,'Data Vlaue (Cr)'!$C:$FB,99)</f>
        <v>4523</v>
      </c>
      <c r="I24" s="75">
        <f>VLOOKUP($A24,'Data Vlaue (Cr)'!$C:$FB,100)</f>
        <v>4514</v>
      </c>
      <c r="J24" s="75">
        <f t="shared" si="2"/>
        <v>9</v>
      </c>
      <c r="K24" s="75">
        <f t="shared" si="3"/>
        <v>0.19898297590095071</v>
      </c>
      <c r="L24" s="75">
        <f>VLOOKUP($A24,'Data Vlaue (Cr)'!$C:$FB,67)</f>
        <v>2501</v>
      </c>
      <c r="M24" s="75">
        <f>VLOOKUP($A24,'Data Vlaue (Cr)'!$C:$FB,68)</f>
        <v>3727</v>
      </c>
      <c r="N24" s="75">
        <f t="shared" si="4"/>
        <v>-1226</v>
      </c>
      <c r="O24" s="75">
        <f t="shared" si="5"/>
        <v>-49.020391843262693</v>
      </c>
      <c r="P24" s="75">
        <f>VLOOKUP($A24,'Data Vlaue (Cr)'!$C:$FB,119)</f>
        <v>0.71</v>
      </c>
      <c r="Q24" s="75">
        <f>VLOOKUP($A24,'Data Vlaue (Cr)'!$C:$FB,122)*100</f>
        <v>5.9700000000000006</v>
      </c>
      <c r="R24" s="75">
        <f>VLOOKUP($A24,'Data Vlaue (Cr)'!$C:$FB,125)</f>
        <v>0.56999999999999995</v>
      </c>
      <c r="S24" s="75">
        <f>VLOOKUP($A24,'Data Vlaue (Cr)'!$C:$FB,128)*100</f>
        <v>-12.31</v>
      </c>
    </row>
    <row r="25" spans="1:19" x14ac:dyDescent="0.25">
      <c r="A25" s="96" t="str">
        <f>'Data Vlaue (Cr)'!C16</f>
        <v>ASIANPAINT</v>
      </c>
      <c r="B25" s="75">
        <f>VLOOKUP($A25,'Data Vlaue (Cr)'!$C:$FB,2)</f>
        <v>250</v>
      </c>
      <c r="C25" s="75">
        <f>VLOOKUP($A25,'Data Vlaue (Cr)'!$C:$FB,8)</f>
        <v>2287.8000000000002</v>
      </c>
      <c r="D25" s="75">
        <f>VLOOKUP($A25,'Data Vlaue (Cr)'!$C:$FB,4)</f>
        <v>2298.8000000000002</v>
      </c>
      <c r="E25" s="75">
        <f>VLOOKUP($A25,'Data Vlaue (Cr)'!$C:$FB,5)</f>
        <v>2293.1</v>
      </c>
      <c r="F25" s="75">
        <f t="shared" si="0"/>
        <v>11</v>
      </c>
      <c r="G25" s="75">
        <f t="shared" si="1"/>
        <v>0.24795545502002228</v>
      </c>
      <c r="H25" s="75">
        <f>VLOOKUP($A25,'Data Vlaue (Cr)'!$C:$FB,99)</f>
        <v>4822</v>
      </c>
      <c r="I25" s="75">
        <f>VLOOKUP($A25,'Data Vlaue (Cr)'!$C:$FB,100)</f>
        <v>4826</v>
      </c>
      <c r="J25" s="75">
        <f t="shared" si="2"/>
        <v>-4</v>
      </c>
      <c r="K25" s="75">
        <f t="shared" si="3"/>
        <v>-8.2953131480713385E-2</v>
      </c>
      <c r="L25" s="75">
        <f>VLOOKUP($A25,'Data Vlaue (Cr)'!$C:$FB,67)</f>
        <v>2479</v>
      </c>
      <c r="M25" s="75">
        <f>VLOOKUP($A25,'Data Vlaue (Cr)'!$C:$FB,68)</f>
        <v>3821</v>
      </c>
      <c r="N25" s="75">
        <f t="shared" si="4"/>
        <v>-1342</v>
      </c>
      <c r="O25" s="75">
        <f t="shared" si="5"/>
        <v>-54.134731746672045</v>
      </c>
      <c r="P25" s="75">
        <f>VLOOKUP($A25,'Data Vlaue (Cr)'!$C:$FB,119)</f>
        <v>0.9</v>
      </c>
      <c r="Q25" s="75">
        <f>VLOOKUP($A25,'Data Vlaue (Cr)'!$C:$FB,122)*100</f>
        <v>-7.22</v>
      </c>
      <c r="R25" s="75">
        <f>VLOOKUP($A25,'Data Vlaue (Cr)'!$C:$FB,125)</f>
        <v>0.88</v>
      </c>
      <c r="S25" s="75">
        <f>VLOOKUP($A25,'Data Vlaue (Cr)'!$C:$FB,128)*100</f>
        <v>-46.01</v>
      </c>
    </row>
    <row r="26" spans="1:19" x14ac:dyDescent="0.25">
      <c r="A26" s="96" t="str">
        <f>'Data Vlaue (Cr)'!C17</f>
        <v>ASTRAL</v>
      </c>
      <c r="B26" s="75">
        <f>VLOOKUP($A26,'Data Vlaue (Cr)'!$C:$FB,2)</f>
        <v>425</v>
      </c>
      <c r="C26" s="75">
        <f>VLOOKUP($A26,'Data Vlaue (Cr)'!$C:$FB,8)</f>
        <v>1663.1</v>
      </c>
      <c r="D26" s="75">
        <f>VLOOKUP($A26,'Data Vlaue (Cr)'!$C:$FB,4)</f>
        <v>1655.6</v>
      </c>
      <c r="E26" s="75">
        <f>VLOOKUP($A26,'Data Vlaue (Cr)'!$C:$FB,5)</f>
        <v>1617.8</v>
      </c>
      <c r="F26" s="75">
        <f t="shared" si="0"/>
        <v>-7.5</v>
      </c>
      <c r="G26" s="75">
        <f t="shared" si="1"/>
        <v>2.2831601836192292</v>
      </c>
      <c r="H26" s="75">
        <f>VLOOKUP($A26,'Data Vlaue (Cr)'!$C:$FB,99)</f>
        <v>1958</v>
      </c>
      <c r="I26" s="75">
        <f>VLOOKUP($A26,'Data Vlaue (Cr)'!$C:$FB,100)</f>
        <v>1893</v>
      </c>
      <c r="J26" s="75">
        <f t="shared" si="2"/>
        <v>65</v>
      </c>
      <c r="K26" s="75">
        <f t="shared" si="3"/>
        <v>3.319713993871297</v>
      </c>
      <c r="L26" s="75">
        <f>VLOOKUP($A26,'Data Vlaue (Cr)'!$C:$FB,67)</f>
        <v>685</v>
      </c>
      <c r="M26" s="75">
        <f>VLOOKUP($A26,'Data Vlaue (Cr)'!$C:$FB,68)</f>
        <v>719</v>
      </c>
      <c r="N26" s="75">
        <f t="shared" si="4"/>
        <v>-34</v>
      </c>
      <c r="O26" s="75">
        <f t="shared" si="5"/>
        <v>-4.9635036496350367</v>
      </c>
      <c r="P26" s="75">
        <f>VLOOKUP($A26,'Data Vlaue (Cr)'!$C:$FB,119)</f>
        <v>0.53</v>
      </c>
      <c r="Q26" s="75">
        <f>VLOOKUP($A26,'Data Vlaue (Cr)'!$C:$FB,122)*100</f>
        <v>-3.64</v>
      </c>
      <c r="R26" s="75">
        <f>VLOOKUP($A26,'Data Vlaue (Cr)'!$C:$FB,125)</f>
        <v>0.38</v>
      </c>
      <c r="S26" s="75">
        <f>VLOOKUP($A26,'Data Vlaue (Cr)'!$C:$FB,128)*100</f>
        <v>-47.22</v>
      </c>
    </row>
    <row r="27" spans="1:19" x14ac:dyDescent="0.25">
      <c r="A27" s="96" t="str">
        <f>'Data Vlaue (Cr)'!C18</f>
        <v>AUBANK</v>
      </c>
      <c r="B27" s="75">
        <f>VLOOKUP($A27,'Data Vlaue (Cr)'!$C:$FB,2)</f>
        <v>1000</v>
      </c>
      <c r="C27" s="75">
        <f>VLOOKUP($A27,'Data Vlaue (Cr)'!$C:$FB,8)</f>
        <v>973.45</v>
      </c>
      <c r="D27" s="75">
        <f>VLOOKUP($A27,'Data Vlaue (Cr)'!$C:$FB,4)</f>
        <v>974.9</v>
      </c>
      <c r="E27" s="75">
        <f>VLOOKUP($A27,'Data Vlaue (Cr)'!$C:$FB,5)</f>
        <v>949.6</v>
      </c>
      <c r="F27" s="75">
        <f t="shared" si="0"/>
        <v>1.4499999999999318</v>
      </c>
      <c r="G27" s="75">
        <f t="shared" si="1"/>
        <v>2.595137962867982</v>
      </c>
      <c r="H27" s="75">
        <f>VLOOKUP($A27,'Data Vlaue (Cr)'!$C:$FB,99)</f>
        <v>3315</v>
      </c>
      <c r="I27" s="75">
        <f>VLOOKUP($A27,'Data Vlaue (Cr)'!$C:$FB,100)</f>
        <v>3296</v>
      </c>
      <c r="J27" s="75">
        <f t="shared" si="2"/>
        <v>19</v>
      </c>
      <c r="K27" s="75">
        <f t="shared" si="3"/>
        <v>0.57315233785822017</v>
      </c>
      <c r="L27" s="75">
        <f>VLOOKUP($A27,'Data Vlaue (Cr)'!$C:$FB,67)</f>
        <v>1926</v>
      </c>
      <c r="M27" s="75">
        <f>VLOOKUP($A27,'Data Vlaue (Cr)'!$C:$FB,68)</f>
        <v>2850</v>
      </c>
      <c r="N27" s="75">
        <f t="shared" si="4"/>
        <v>-924</v>
      </c>
      <c r="O27" s="75">
        <f t="shared" si="5"/>
        <v>-47.975077881619939</v>
      </c>
      <c r="P27" s="75">
        <f>VLOOKUP($A27,'Data Vlaue (Cr)'!$C:$FB,119)</f>
        <v>0.72</v>
      </c>
      <c r="Q27" s="75">
        <f>VLOOKUP($A27,'Data Vlaue (Cr)'!$C:$FB,122)*100</f>
        <v>12.5</v>
      </c>
      <c r="R27" s="75">
        <f>VLOOKUP($A27,'Data Vlaue (Cr)'!$C:$FB,125)</f>
        <v>0.9</v>
      </c>
      <c r="S27" s="75">
        <f>VLOOKUP($A27,'Data Vlaue (Cr)'!$C:$FB,128)*100</f>
        <v>-9.09</v>
      </c>
    </row>
    <row r="28" spans="1:19" x14ac:dyDescent="0.25">
      <c r="A28" s="96" t="str">
        <f>'Data Vlaue (Cr)'!C19</f>
        <v>AUROPHARMA</v>
      </c>
      <c r="B28" s="75">
        <f>VLOOKUP($A28,'Data Vlaue (Cr)'!$C:$FB,2)</f>
        <v>550</v>
      </c>
      <c r="C28" s="75">
        <f>VLOOKUP($A28,'Data Vlaue (Cr)'!$C:$FB,8)</f>
        <v>1225.5</v>
      </c>
      <c r="D28" s="75">
        <f>VLOOKUP($A28,'Data Vlaue (Cr)'!$C:$FB,4)</f>
        <v>1228.3</v>
      </c>
      <c r="E28" s="75">
        <f>VLOOKUP($A28,'Data Vlaue (Cr)'!$C:$FB,5)</f>
        <v>1197.5999999999999</v>
      </c>
      <c r="F28" s="75">
        <f t="shared" si="0"/>
        <v>2.7999999999999545</v>
      </c>
      <c r="G28" s="75">
        <f t="shared" si="1"/>
        <v>2.4993893999837211</v>
      </c>
      <c r="H28" s="75">
        <f>VLOOKUP($A28,'Data Vlaue (Cr)'!$C:$FB,99)</f>
        <v>3509</v>
      </c>
      <c r="I28" s="75">
        <f>VLOOKUP($A28,'Data Vlaue (Cr)'!$C:$FB,100)</f>
        <v>3498</v>
      </c>
      <c r="J28" s="75">
        <f t="shared" si="2"/>
        <v>11</v>
      </c>
      <c r="K28" s="75">
        <f t="shared" si="3"/>
        <v>0.31347962382445138</v>
      </c>
      <c r="L28" s="75">
        <f>VLOOKUP($A28,'Data Vlaue (Cr)'!$C:$FB,67)</f>
        <v>992</v>
      </c>
      <c r="M28" s="75">
        <f>VLOOKUP($A28,'Data Vlaue (Cr)'!$C:$FB,68)</f>
        <v>966</v>
      </c>
      <c r="N28" s="75">
        <f t="shared" si="4"/>
        <v>26</v>
      </c>
      <c r="O28" s="75">
        <f t="shared" si="5"/>
        <v>2.620967741935484</v>
      </c>
      <c r="P28" s="75">
        <f>VLOOKUP($A28,'Data Vlaue (Cr)'!$C:$FB,119)</f>
        <v>0.66</v>
      </c>
      <c r="Q28" s="75">
        <f>VLOOKUP($A28,'Data Vlaue (Cr)'!$C:$FB,122)*100</f>
        <v>4.7600000000000007</v>
      </c>
      <c r="R28" s="75">
        <f>VLOOKUP($A28,'Data Vlaue (Cr)'!$C:$FB,125)</f>
        <v>0.31</v>
      </c>
      <c r="S28" s="75">
        <f>VLOOKUP($A28,'Data Vlaue (Cr)'!$C:$FB,128)*100</f>
        <v>-47.46</v>
      </c>
    </row>
    <row r="29" spans="1:19" x14ac:dyDescent="0.25">
      <c r="A29" s="96" t="str">
        <f>'Data Vlaue (Cr)'!C20</f>
        <v>AXISBANK</v>
      </c>
      <c r="B29" s="75">
        <f>VLOOKUP($A29,'Data Vlaue (Cr)'!$C:$FB,2)</f>
        <v>625</v>
      </c>
      <c r="C29" s="75">
        <f>VLOOKUP($A29,'Data Vlaue (Cr)'!$C:$FB,8)</f>
        <v>1349.1</v>
      </c>
      <c r="D29" s="75">
        <f>VLOOKUP($A29,'Data Vlaue (Cr)'!$C:$FB,4)</f>
        <v>1356.1</v>
      </c>
      <c r="E29" s="75">
        <f>VLOOKUP($A29,'Data Vlaue (Cr)'!$C:$FB,5)</f>
        <v>1353.8</v>
      </c>
      <c r="F29" s="75">
        <f t="shared" si="0"/>
        <v>7</v>
      </c>
      <c r="G29" s="75">
        <f t="shared" si="1"/>
        <v>0.1696040115035731</v>
      </c>
      <c r="H29" s="75">
        <f>VLOOKUP($A29,'Data Vlaue (Cr)'!$C:$FB,99)</f>
        <v>11998</v>
      </c>
      <c r="I29" s="75">
        <f>VLOOKUP($A29,'Data Vlaue (Cr)'!$C:$FB,100)</f>
        <v>11701</v>
      </c>
      <c r="J29" s="75">
        <f t="shared" si="2"/>
        <v>297</v>
      </c>
      <c r="K29" s="75">
        <f t="shared" si="3"/>
        <v>2.4754125687614601</v>
      </c>
      <c r="L29" s="75">
        <f>VLOOKUP($A29,'Data Vlaue (Cr)'!$C:$FB,67)</f>
        <v>5276</v>
      </c>
      <c r="M29" s="75">
        <f>VLOOKUP($A29,'Data Vlaue (Cr)'!$C:$FB,68)</f>
        <v>7523</v>
      </c>
      <c r="N29" s="75">
        <f t="shared" si="4"/>
        <v>-2247</v>
      </c>
      <c r="O29" s="75">
        <f t="shared" si="5"/>
        <v>-42.589082638362399</v>
      </c>
      <c r="P29" s="75">
        <f>VLOOKUP($A29,'Data Vlaue (Cr)'!$C:$FB,119)</f>
        <v>0.57999999999999996</v>
      </c>
      <c r="Q29" s="75">
        <f>VLOOKUP($A29,'Data Vlaue (Cr)'!$C:$FB,122)*100</f>
        <v>-6.45</v>
      </c>
      <c r="R29" s="75">
        <f>VLOOKUP($A29,'Data Vlaue (Cr)'!$C:$FB,125)</f>
        <v>0.77</v>
      </c>
      <c r="S29" s="75">
        <f>VLOOKUP($A29,'Data Vlaue (Cr)'!$C:$FB,128)*100</f>
        <v>5.48</v>
      </c>
    </row>
    <row r="30" spans="1:19" x14ac:dyDescent="0.25">
      <c r="A30" s="96" t="str">
        <f>'Data Vlaue (Cr)'!C21</f>
        <v>BAJAJ-AUTO</v>
      </c>
      <c r="B30" s="75">
        <f>VLOOKUP($A30,'Data Vlaue (Cr)'!$C:$FB,2)</f>
        <v>75</v>
      </c>
      <c r="C30" s="75">
        <f>VLOOKUP($A30,'Data Vlaue (Cr)'!$C:$FB,8)</f>
        <v>9804.5</v>
      </c>
      <c r="D30" s="75">
        <f>VLOOKUP($A30,'Data Vlaue (Cr)'!$C:$FB,4)</f>
        <v>9788.5</v>
      </c>
      <c r="E30" s="75">
        <f>VLOOKUP($A30,'Data Vlaue (Cr)'!$C:$FB,5)</f>
        <v>9645</v>
      </c>
      <c r="F30" s="75">
        <f t="shared" si="0"/>
        <v>-16</v>
      </c>
      <c r="G30" s="75">
        <f t="shared" si="1"/>
        <v>1.4660060274812279</v>
      </c>
      <c r="H30" s="75">
        <f>VLOOKUP($A30,'Data Vlaue (Cr)'!$C:$FB,99)</f>
        <v>4959</v>
      </c>
      <c r="I30" s="75">
        <f>VLOOKUP($A30,'Data Vlaue (Cr)'!$C:$FB,100)</f>
        <v>4972</v>
      </c>
      <c r="J30" s="75">
        <f t="shared" si="2"/>
        <v>-13</v>
      </c>
      <c r="K30" s="75">
        <f t="shared" si="3"/>
        <v>-0.26214962694091554</v>
      </c>
      <c r="L30" s="75">
        <f>VLOOKUP($A30,'Data Vlaue (Cr)'!$C:$FB,67)</f>
        <v>2882</v>
      </c>
      <c r="M30" s="75">
        <f>VLOOKUP($A30,'Data Vlaue (Cr)'!$C:$FB,68)</f>
        <v>3364</v>
      </c>
      <c r="N30" s="75">
        <f t="shared" si="4"/>
        <v>-482</v>
      </c>
      <c r="O30" s="75">
        <f t="shared" si="5"/>
        <v>-16.724496877168633</v>
      </c>
      <c r="P30" s="75">
        <f>VLOOKUP($A30,'Data Vlaue (Cr)'!$C:$FB,119)</f>
        <v>0.52</v>
      </c>
      <c r="Q30" s="75">
        <f>VLOOKUP($A30,'Data Vlaue (Cr)'!$C:$FB,122)*100</f>
        <v>8.33</v>
      </c>
      <c r="R30" s="75">
        <f>VLOOKUP($A30,'Data Vlaue (Cr)'!$C:$FB,125)</f>
        <v>0.68</v>
      </c>
      <c r="S30" s="75">
        <f>VLOOKUP($A30,'Data Vlaue (Cr)'!$C:$FB,128)*100</f>
        <v>-8.1100000000000012</v>
      </c>
    </row>
    <row r="31" spans="1:19" x14ac:dyDescent="0.25">
      <c r="A31" s="96" t="str">
        <f>'Data Vlaue (Cr)'!C22</f>
        <v>BAJAJFINSV</v>
      </c>
      <c r="B31" s="75">
        <f>VLOOKUP($A31,'Data Vlaue (Cr)'!$C:$FB,2)</f>
        <v>250</v>
      </c>
      <c r="C31" s="75">
        <f>VLOOKUP($A31,'Data Vlaue (Cr)'!$C:$FB,8)</f>
        <v>1911.8</v>
      </c>
      <c r="D31" s="75">
        <f>VLOOKUP($A31,'Data Vlaue (Cr)'!$C:$FB,4)</f>
        <v>1917.9</v>
      </c>
      <c r="E31" s="75">
        <f>VLOOKUP($A31,'Data Vlaue (Cr)'!$C:$FB,5)</f>
        <v>1891.8</v>
      </c>
      <c r="F31" s="75">
        <f t="shared" si="0"/>
        <v>6.1000000000001364</v>
      </c>
      <c r="G31" s="75">
        <f t="shared" si="1"/>
        <v>1.3608634443923111</v>
      </c>
      <c r="H31" s="75">
        <f>VLOOKUP($A31,'Data Vlaue (Cr)'!$C:$FB,99)</f>
        <v>4079</v>
      </c>
      <c r="I31" s="75">
        <f>VLOOKUP($A31,'Data Vlaue (Cr)'!$C:$FB,100)</f>
        <v>4039</v>
      </c>
      <c r="J31" s="75">
        <f t="shared" si="2"/>
        <v>40</v>
      </c>
      <c r="K31" s="75">
        <f t="shared" si="3"/>
        <v>0.98063250796763912</v>
      </c>
      <c r="L31" s="75">
        <f>VLOOKUP($A31,'Data Vlaue (Cr)'!$C:$FB,67)</f>
        <v>1525</v>
      </c>
      <c r="M31" s="75">
        <f>VLOOKUP($A31,'Data Vlaue (Cr)'!$C:$FB,68)</f>
        <v>2942</v>
      </c>
      <c r="N31" s="75">
        <f t="shared" si="4"/>
        <v>-1417</v>
      </c>
      <c r="O31" s="75">
        <f t="shared" si="5"/>
        <v>-92.918032786885234</v>
      </c>
      <c r="P31" s="75">
        <f>VLOOKUP($A31,'Data Vlaue (Cr)'!$C:$FB,119)</f>
        <v>0.56999999999999995</v>
      </c>
      <c r="Q31" s="75">
        <f>VLOOKUP($A31,'Data Vlaue (Cr)'!$C:$FB,122)*100</f>
        <v>-8.06</v>
      </c>
      <c r="R31" s="75">
        <f>VLOOKUP($A31,'Data Vlaue (Cr)'!$C:$FB,125)</f>
        <v>0.4</v>
      </c>
      <c r="S31" s="75">
        <f>VLOOKUP($A31,'Data Vlaue (Cr)'!$C:$FB,128)*100</f>
        <v>-29.82</v>
      </c>
    </row>
    <row r="32" spans="1:19" x14ac:dyDescent="0.25">
      <c r="A32" s="96" t="str">
        <f>'Data Vlaue (Cr)'!C23</f>
        <v>BAJAJHLDNG</v>
      </c>
      <c r="B32" s="75">
        <f>VLOOKUP($A32,'Data Vlaue (Cr)'!$C:$FB,2)</f>
        <v>50</v>
      </c>
      <c r="C32" s="75">
        <f>VLOOKUP($A32,'Data Vlaue (Cr)'!$C:$FB,8)</f>
        <v>10663</v>
      </c>
      <c r="D32" s="75">
        <f>VLOOKUP($A32,'Data Vlaue (Cr)'!$C:$FB,4)</f>
        <v>10710</v>
      </c>
      <c r="E32" s="75">
        <f>VLOOKUP($A32,'Data Vlaue (Cr)'!$C:$FB,5)</f>
        <v>10675</v>
      </c>
      <c r="F32" s="75">
        <f t="shared" si="0"/>
        <v>47</v>
      </c>
      <c r="G32" s="75">
        <f t="shared" si="1"/>
        <v>0.32679738562091504</v>
      </c>
      <c r="H32" s="75">
        <f>VLOOKUP($A32,'Data Vlaue (Cr)'!$C:$FB,99)</f>
        <v>389</v>
      </c>
      <c r="I32" s="75">
        <f>VLOOKUP($A32,'Data Vlaue (Cr)'!$C:$FB,100)</f>
        <v>386</v>
      </c>
      <c r="J32" s="75">
        <f t="shared" si="2"/>
        <v>3</v>
      </c>
      <c r="K32" s="75">
        <f t="shared" si="3"/>
        <v>0.77120822622107965</v>
      </c>
      <c r="L32" s="75">
        <f>VLOOKUP($A32,'Data Vlaue (Cr)'!$C:$FB,67)</f>
        <v>56</v>
      </c>
      <c r="M32" s="75">
        <f>VLOOKUP($A32,'Data Vlaue (Cr)'!$C:$FB,68)</f>
        <v>105</v>
      </c>
      <c r="N32" s="75">
        <f t="shared" si="4"/>
        <v>-49</v>
      </c>
      <c r="O32" s="75">
        <f t="shared" si="5"/>
        <v>-87.5</v>
      </c>
      <c r="P32" s="75">
        <f>VLOOKUP($A32,'Data Vlaue (Cr)'!$C:$FB,119)</f>
        <v>0.49</v>
      </c>
      <c r="Q32" s="75">
        <f>VLOOKUP($A32,'Data Vlaue (Cr)'!$C:$FB,122)*100</f>
        <v>0</v>
      </c>
      <c r="R32" s="75">
        <f>VLOOKUP($A32,'Data Vlaue (Cr)'!$C:$FB,125)</f>
        <v>0.48</v>
      </c>
      <c r="S32" s="75">
        <f>VLOOKUP($A32,'Data Vlaue (Cr)'!$C:$FB,128)*100</f>
        <v>-65.959999999999994</v>
      </c>
    </row>
    <row r="33" spans="1:19" x14ac:dyDescent="0.25">
      <c r="A33" s="96" t="str">
        <f>'Data Vlaue (Cr)'!C24</f>
        <v>BAJFINANCE</v>
      </c>
      <c r="B33" s="75">
        <f>VLOOKUP($A33,'Data Vlaue (Cr)'!$C:$FB,2)</f>
        <v>750</v>
      </c>
      <c r="C33" s="75">
        <f>VLOOKUP($A33,'Data Vlaue (Cr)'!$C:$FB,8)</f>
        <v>962.4</v>
      </c>
      <c r="D33" s="75">
        <f>VLOOKUP($A33,'Data Vlaue (Cr)'!$C:$FB,4)</f>
        <v>964.15</v>
      </c>
      <c r="E33" s="75">
        <f>VLOOKUP($A33,'Data Vlaue (Cr)'!$C:$FB,5)</f>
        <v>949.6</v>
      </c>
      <c r="F33" s="75">
        <f t="shared" si="0"/>
        <v>1.75</v>
      </c>
      <c r="G33" s="75">
        <f t="shared" si="1"/>
        <v>1.5091012809210138</v>
      </c>
      <c r="H33" s="75">
        <f>VLOOKUP($A33,'Data Vlaue (Cr)'!$C:$FB,99)</f>
        <v>10100</v>
      </c>
      <c r="I33" s="75">
        <f>VLOOKUP($A33,'Data Vlaue (Cr)'!$C:$FB,100)</f>
        <v>10150</v>
      </c>
      <c r="J33" s="75">
        <f t="shared" si="2"/>
        <v>-50</v>
      </c>
      <c r="K33" s="75">
        <f t="shared" si="3"/>
        <v>-0.49504950495049505</v>
      </c>
      <c r="L33" s="75">
        <f>VLOOKUP($A33,'Data Vlaue (Cr)'!$C:$FB,67)</f>
        <v>3063</v>
      </c>
      <c r="M33" s="75">
        <f>VLOOKUP($A33,'Data Vlaue (Cr)'!$C:$FB,68)</f>
        <v>3762</v>
      </c>
      <c r="N33" s="75">
        <f t="shared" si="4"/>
        <v>-699</v>
      </c>
      <c r="O33" s="75">
        <f t="shared" si="5"/>
        <v>-22.820763956904997</v>
      </c>
      <c r="P33" s="75">
        <f>VLOOKUP($A33,'Data Vlaue (Cr)'!$C:$FB,119)</f>
        <v>0.87</v>
      </c>
      <c r="Q33" s="75">
        <f>VLOOKUP($A33,'Data Vlaue (Cr)'!$C:$FB,122)*100</f>
        <v>-2.25</v>
      </c>
      <c r="R33" s="75">
        <f>VLOOKUP($A33,'Data Vlaue (Cr)'!$C:$FB,125)</f>
        <v>0.72</v>
      </c>
      <c r="S33" s="75">
        <f>VLOOKUP($A33,'Data Vlaue (Cr)'!$C:$FB,128)*100</f>
        <v>-20</v>
      </c>
    </row>
    <row r="34" spans="1:19" x14ac:dyDescent="0.25">
      <c r="A34" s="96" t="str">
        <f>'Data Vlaue (Cr)'!C25</f>
        <v>BANDHANBNK</v>
      </c>
      <c r="B34" s="75">
        <f>VLOOKUP($A34,'Data Vlaue (Cr)'!$C:$FB,2)</f>
        <v>3600</v>
      </c>
      <c r="C34" s="75">
        <f>VLOOKUP($A34,'Data Vlaue (Cr)'!$C:$FB,8)</f>
        <v>185.03</v>
      </c>
      <c r="D34" s="75">
        <f>VLOOKUP($A34,'Data Vlaue (Cr)'!$C:$FB,4)</f>
        <v>185.56</v>
      </c>
      <c r="E34" s="75">
        <f>VLOOKUP($A34,'Data Vlaue (Cr)'!$C:$FB,5)</f>
        <v>178.3</v>
      </c>
      <c r="F34" s="75">
        <f t="shared" si="0"/>
        <v>0.53000000000000114</v>
      </c>
      <c r="G34" s="75">
        <f t="shared" si="1"/>
        <v>3.912481138176326</v>
      </c>
      <c r="H34" s="180">
        <f>VLOOKUP($A34,'Data Vlaue (Cr)'!$C:$FB,99)</f>
        <v>2552</v>
      </c>
      <c r="I34" s="180">
        <f>VLOOKUP($A34,'Data Vlaue (Cr)'!$C:$FB,100)</f>
        <v>2532</v>
      </c>
      <c r="J34" s="180">
        <f t="shared" si="2"/>
        <v>20</v>
      </c>
      <c r="K34" s="180">
        <f t="shared" si="3"/>
        <v>0.7836990595611284</v>
      </c>
      <c r="L34" s="180">
        <f>VLOOKUP($A34,'Data Vlaue (Cr)'!$C:$FB,67)</f>
        <v>1698</v>
      </c>
      <c r="M34" s="180">
        <f>VLOOKUP($A34,'Data Vlaue (Cr)'!$C:$FB,68)</f>
        <v>1420</v>
      </c>
      <c r="N34" s="180">
        <f t="shared" si="4"/>
        <v>278</v>
      </c>
      <c r="O34" s="180">
        <f t="shared" si="5"/>
        <v>16.372202591283862</v>
      </c>
      <c r="P34" s="180">
        <f>VLOOKUP($A34,'Data Vlaue (Cr)'!$C:$FB,119)</f>
        <v>0.66</v>
      </c>
      <c r="Q34" s="180">
        <f>VLOOKUP($A34,'Data Vlaue (Cr)'!$C:$FB,122)*100</f>
        <v>11.86</v>
      </c>
      <c r="R34" s="180">
        <f>VLOOKUP($A34,'Data Vlaue (Cr)'!$C:$FB,125)</f>
        <v>0.43</v>
      </c>
      <c r="S34" s="180">
        <f>VLOOKUP($A34,'Data Vlaue (Cr)'!$C:$FB,128)*100</f>
        <v>-20.369999999999997</v>
      </c>
    </row>
    <row r="35" spans="1:19" x14ac:dyDescent="0.25">
      <c r="A35" s="96" t="str">
        <f>'Data Vlaue (Cr)'!C26</f>
        <v>BANKBARODA</v>
      </c>
      <c r="B35" s="75">
        <f>VLOOKUP($A35,'Data Vlaue (Cr)'!$C:$FB,2)</f>
        <v>2925</v>
      </c>
      <c r="C35" s="75">
        <f>VLOOKUP($A35,'Data Vlaue (Cr)'!$C:$FB,8)</f>
        <v>301.85000000000002</v>
      </c>
      <c r="D35" s="75">
        <f>VLOOKUP($A35,'Data Vlaue (Cr)'!$C:$FB,4)</f>
        <v>303.35000000000002</v>
      </c>
      <c r="E35" s="75">
        <f>VLOOKUP($A35,'Data Vlaue (Cr)'!$C:$FB,5)</f>
        <v>300.75</v>
      </c>
      <c r="F35" s="75">
        <f t="shared" si="0"/>
        <v>1.5</v>
      </c>
      <c r="G35" s="75">
        <f t="shared" si="1"/>
        <v>0.8570957639690201</v>
      </c>
      <c r="H35" s="75">
        <f>VLOOKUP($A35,'Data Vlaue (Cr)'!$C:$FB,99)</f>
        <v>4930</v>
      </c>
      <c r="I35" s="75">
        <f>VLOOKUP($A35,'Data Vlaue (Cr)'!$C:$FB,100)</f>
        <v>4622</v>
      </c>
      <c r="J35" s="75">
        <f t="shared" si="2"/>
        <v>308</v>
      </c>
      <c r="K35" s="75">
        <f t="shared" si="3"/>
        <v>6.2474645030425959</v>
      </c>
      <c r="L35" s="75">
        <f>VLOOKUP($A35,'Data Vlaue (Cr)'!$C:$FB,67)</f>
        <v>3109</v>
      </c>
      <c r="M35" s="75">
        <f>VLOOKUP($A35,'Data Vlaue (Cr)'!$C:$FB,68)</f>
        <v>5004</v>
      </c>
      <c r="N35" s="75">
        <f t="shared" si="4"/>
        <v>-1895</v>
      </c>
      <c r="O35" s="75">
        <f t="shared" si="5"/>
        <v>-60.952074622064977</v>
      </c>
      <c r="P35" s="75">
        <f>VLOOKUP($A35,'Data Vlaue (Cr)'!$C:$FB,119)</f>
        <v>0.83</v>
      </c>
      <c r="Q35" s="75">
        <f>VLOOKUP($A35,'Data Vlaue (Cr)'!$C:$FB,122)*100</f>
        <v>-4.5999999999999996</v>
      </c>
      <c r="R35" s="75">
        <f>VLOOKUP($A35,'Data Vlaue (Cr)'!$C:$FB,125)</f>
        <v>0.79</v>
      </c>
      <c r="S35" s="75">
        <f>VLOOKUP($A35,'Data Vlaue (Cr)'!$C:$FB,128)*100</f>
        <v>-3.66</v>
      </c>
    </row>
    <row r="36" spans="1:19" x14ac:dyDescent="0.25">
      <c r="A36" s="96" t="str">
        <f>'Data Vlaue (Cr)'!C27</f>
        <v>BANKINDIA</v>
      </c>
      <c r="B36" s="75">
        <f>VLOOKUP($A36,'Data Vlaue (Cr)'!$C:$FB,2)</f>
        <v>5200</v>
      </c>
      <c r="C36" s="75">
        <f>VLOOKUP($A36,'Data Vlaue (Cr)'!$C:$FB,8)</f>
        <v>164.18</v>
      </c>
      <c r="D36" s="75">
        <f>VLOOKUP($A36,'Data Vlaue (Cr)'!$C:$FB,4)</f>
        <v>164.96</v>
      </c>
      <c r="E36" s="75">
        <f>VLOOKUP($A36,'Data Vlaue (Cr)'!$C:$FB,5)</f>
        <v>164.14</v>
      </c>
      <c r="F36" s="75">
        <f t="shared" si="0"/>
        <v>0.78000000000000114</v>
      </c>
      <c r="G36" s="75">
        <f t="shared" si="1"/>
        <v>0.49709020368575507</v>
      </c>
      <c r="H36" s="75">
        <f>VLOOKUP($A36,'Data Vlaue (Cr)'!$C:$FB,99)</f>
        <v>1462</v>
      </c>
      <c r="I36" s="75">
        <f>VLOOKUP($A36,'Data Vlaue (Cr)'!$C:$FB,100)</f>
        <v>1405</v>
      </c>
      <c r="J36" s="75">
        <f t="shared" si="2"/>
        <v>57</v>
      </c>
      <c r="K36" s="75">
        <f t="shared" si="3"/>
        <v>3.8987688098495212</v>
      </c>
      <c r="L36" s="75">
        <f>VLOOKUP($A36,'Data Vlaue (Cr)'!$C:$FB,67)</f>
        <v>712</v>
      </c>
      <c r="M36" s="75">
        <f>VLOOKUP($A36,'Data Vlaue (Cr)'!$C:$FB,68)</f>
        <v>1328</v>
      </c>
      <c r="N36" s="75">
        <f t="shared" si="4"/>
        <v>-616</v>
      </c>
      <c r="O36" s="75">
        <f t="shared" si="5"/>
        <v>-86.516853932584269</v>
      </c>
      <c r="P36" s="75">
        <f>VLOOKUP($A36,'Data Vlaue (Cr)'!$C:$FB,119)</f>
        <v>0.84</v>
      </c>
      <c r="Q36" s="75">
        <f>VLOOKUP($A36,'Data Vlaue (Cr)'!$C:$FB,122)*100</f>
        <v>-4.55</v>
      </c>
      <c r="R36" s="75">
        <f>VLOOKUP($A36,'Data Vlaue (Cr)'!$C:$FB,125)</f>
        <v>0.65</v>
      </c>
      <c r="S36" s="75">
        <f>VLOOKUP($A36,'Data Vlaue (Cr)'!$C:$FB,128)*100</f>
        <v>-26.14</v>
      </c>
    </row>
    <row r="37" spans="1:19" x14ac:dyDescent="0.25">
      <c r="A37" s="96" t="str">
        <f>'Data Vlaue (Cr)'!C28</f>
        <v>BANKNIFTY</v>
      </c>
      <c r="B37" s="75">
        <f>VLOOKUP($A37,'Data Vlaue (Cr)'!$C:$FB,2)</f>
        <v>30</v>
      </c>
      <c r="C37" s="75">
        <f>VLOOKUP($A37,'Data Vlaue (Cr)'!$C:$FB,8)</f>
        <v>59055.85</v>
      </c>
      <c r="D37" s="75">
        <f>VLOOKUP($A37,'Data Vlaue (Cr)'!$C:$FB,4)</f>
        <v>59375.199999999997</v>
      </c>
      <c r="E37" s="75">
        <f>VLOOKUP($A37,'Data Vlaue (Cr)'!$C:$FB,5)</f>
        <v>59100.4</v>
      </c>
      <c r="F37" s="75">
        <f t="shared" si="0"/>
        <v>319.34999999999854</v>
      </c>
      <c r="G37" s="75">
        <f t="shared" si="1"/>
        <v>0.46281949366064562</v>
      </c>
      <c r="H37" s="75">
        <f>VLOOKUP($A37,'Data Vlaue (Cr)'!$C:$FB,99)</f>
        <v>175392</v>
      </c>
      <c r="I37" s="75">
        <f>VLOOKUP($A37,'Data Vlaue (Cr)'!$C:$FB,100)</f>
        <v>164656</v>
      </c>
      <c r="J37" s="75">
        <f t="shared" si="2"/>
        <v>10736</v>
      </c>
      <c r="K37" s="75">
        <f t="shared" si="3"/>
        <v>6.1211457763181905</v>
      </c>
      <c r="L37" s="75">
        <f>VLOOKUP($A37,'Data Vlaue (Cr)'!$C:$FB,67)</f>
        <v>487332</v>
      </c>
      <c r="M37" s="75">
        <f>VLOOKUP($A37,'Data Vlaue (Cr)'!$C:$FB,68)</f>
        <v>492880</v>
      </c>
      <c r="N37" s="75">
        <f t="shared" si="4"/>
        <v>-5548</v>
      </c>
      <c r="O37" s="75">
        <f t="shared" si="5"/>
        <v>-1.1384436072328517</v>
      </c>
      <c r="P37" s="75">
        <f>VLOOKUP($A37,'Data Vlaue (Cr)'!$C:$FB,119)</f>
        <v>0.92</v>
      </c>
      <c r="Q37" s="75">
        <f>VLOOKUP($A37,'Data Vlaue (Cr)'!$C:$FB,122)*100</f>
        <v>-1.08</v>
      </c>
      <c r="R37" s="75">
        <f>VLOOKUP($A37,'Data Vlaue (Cr)'!$C:$FB,125)</f>
        <v>0.86</v>
      </c>
      <c r="S37" s="75">
        <f>VLOOKUP($A37,'Data Vlaue (Cr)'!$C:$FB,128)*100</f>
        <v>-23.89</v>
      </c>
    </row>
    <row r="38" spans="1:19" x14ac:dyDescent="0.25">
      <c r="A38" s="96" t="str">
        <f>'Data Vlaue (Cr)'!C29</f>
        <v>BDL</v>
      </c>
      <c r="B38" s="75">
        <f>VLOOKUP($A38,'Data Vlaue (Cr)'!$C:$FB,2)</f>
        <v>350</v>
      </c>
      <c r="C38" s="75">
        <f>VLOOKUP($A38,'Data Vlaue (Cr)'!$C:$FB,8)</f>
        <v>1280.5999999999999</v>
      </c>
      <c r="D38" s="75">
        <f>VLOOKUP($A38,'Data Vlaue (Cr)'!$C:$FB,4)</f>
        <v>1283</v>
      </c>
      <c r="E38" s="75">
        <f>VLOOKUP($A38,'Data Vlaue (Cr)'!$C:$FB,5)</f>
        <v>1254.9000000000001</v>
      </c>
      <c r="F38" s="75">
        <f t="shared" si="0"/>
        <v>2.4000000000000909</v>
      </c>
      <c r="G38" s="75">
        <f t="shared" si="1"/>
        <v>2.1901792673421596</v>
      </c>
      <c r="H38" s="75">
        <f>VLOOKUP($A38,'Data Vlaue (Cr)'!$C:$FB,99)</f>
        <v>1465</v>
      </c>
      <c r="I38" s="75">
        <f>VLOOKUP($A38,'Data Vlaue (Cr)'!$C:$FB,100)</f>
        <v>1549</v>
      </c>
      <c r="J38" s="75">
        <f t="shared" si="2"/>
        <v>-84</v>
      </c>
      <c r="K38" s="75">
        <f t="shared" si="3"/>
        <v>-5.7337883959044369</v>
      </c>
      <c r="L38" s="75">
        <f>VLOOKUP($A38,'Data Vlaue (Cr)'!$C:$FB,67)</f>
        <v>2372</v>
      </c>
      <c r="M38" s="75">
        <f>VLOOKUP($A38,'Data Vlaue (Cr)'!$C:$FB,68)</f>
        <v>1692</v>
      </c>
      <c r="N38" s="75">
        <f t="shared" si="4"/>
        <v>680</v>
      </c>
      <c r="O38" s="75">
        <f t="shared" si="5"/>
        <v>28.667790893760543</v>
      </c>
      <c r="P38" s="75">
        <f>VLOOKUP($A38,'Data Vlaue (Cr)'!$C:$FB,119)</f>
        <v>0.62</v>
      </c>
      <c r="Q38" s="75">
        <f>VLOOKUP($A38,'Data Vlaue (Cr)'!$C:$FB,122)*100</f>
        <v>6.9</v>
      </c>
      <c r="R38" s="75">
        <f>VLOOKUP($A38,'Data Vlaue (Cr)'!$C:$FB,125)</f>
        <v>0.21</v>
      </c>
      <c r="S38" s="75">
        <f>VLOOKUP($A38,'Data Vlaue (Cr)'!$C:$FB,128)*100</f>
        <v>-30</v>
      </c>
    </row>
    <row r="39" spans="1:19" x14ac:dyDescent="0.25">
      <c r="A39" s="96" t="str">
        <f>'Data Vlaue (Cr)'!C30</f>
        <v>BEL</v>
      </c>
      <c r="B39" s="75">
        <f>VLOOKUP($A39,'Data Vlaue (Cr)'!$C:$FB,2)</f>
        <v>1425</v>
      </c>
      <c r="C39" s="75">
        <f>VLOOKUP($A39,'Data Vlaue (Cr)'!$C:$FB,8)</f>
        <v>460</v>
      </c>
      <c r="D39" s="75">
        <f>VLOOKUP($A39,'Data Vlaue (Cr)'!$C:$FB,4)</f>
        <v>459.85</v>
      </c>
      <c r="E39" s="75">
        <f>VLOOKUP($A39,'Data Vlaue (Cr)'!$C:$FB,5)</f>
        <v>445.8</v>
      </c>
      <c r="F39" s="75">
        <f t="shared" si="0"/>
        <v>-0.14999999999997726</v>
      </c>
      <c r="G39" s="75">
        <f t="shared" si="1"/>
        <v>3.0553441339567273</v>
      </c>
      <c r="H39" s="75">
        <f>VLOOKUP($A39,'Data Vlaue (Cr)'!$C:$FB,99)</f>
        <v>8242</v>
      </c>
      <c r="I39" s="75">
        <f>VLOOKUP($A39,'Data Vlaue (Cr)'!$C:$FB,100)</f>
        <v>8563</v>
      </c>
      <c r="J39" s="75">
        <f t="shared" si="2"/>
        <v>-321</v>
      </c>
      <c r="K39" s="75">
        <f t="shared" si="3"/>
        <v>-3.8946857558844945</v>
      </c>
      <c r="L39" s="75">
        <f>VLOOKUP($A39,'Data Vlaue (Cr)'!$C:$FB,67)</f>
        <v>16058</v>
      </c>
      <c r="M39" s="75">
        <f>VLOOKUP($A39,'Data Vlaue (Cr)'!$C:$FB,68)</f>
        <v>9310</v>
      </c>
      <c r="N39" s="75">
        <f t="shared" si="4"/>
        <v>6748</v>
      </c>
      <c r="O39" s="75">
        <f t="shared" si="5"/>
        <v>42.022667829119442</v>
      </c>
      <c r="P39" s="75">
        <f>VLOOKUP($A39,'Data Vlaue (Cr)'!$C:$FB,119)</f>
        <v>0.67</v>
      </c>
      <c r="Q39" s="75">
        <f>VLOOKUP($A39,'Data Vlaue (Cr)'!$C:$FB,122)*100</f>
        <v>26.419999999999998</v>
      </c>
      <c r="R39" s="75">
        <f>VLOOKUP($A39,'Data Vlaue (Cr)'!$C:$FB,125)</f>
        <v>0.47</v>
      </c>
      <c r="S39" s="75">
        <f>VLOOKUP($A39,'Data Vlaue (Cr)'!$C:$FB,128)*100</f>
        <v>2.17</v>
      </c>
    </row>
    <row r="40" spans="1:19" x14ac:dyDescent="0.25">
      <c r="A40" s="96" t="str">
        <f>'Data Vlaue (Cr)'!C31</f>
        <v>BHARATFORG</v>
      </c>
      <c r="B40" s="75">
        <f>VLOOKUP($A40,'Data Vlaue (Cr)'!$C:$FB,2)</f>
        <v>500</v>
      </c>
      <c r="C40" s="75">
        <f>VLOOKUP($A40,'Data Vlaue (Cr)'!$C:$FB,8)</f>
        <v>1898.4</v>
      </c>
      <c r="D40" s="75">
        <f>VLOOKUP($A40,'Data Vlaue (Cr)'!$C:$FB,4)</f>
        <v>1902</v>
      </c>
      <c r="E40" s="75">
        <f>VLOOKUP($A40,'Data Vlaue (Cr)'!$C:$FB,5)</f>
        <v>1845.1</v>
      </c>
      <c r="F40" s="75">
        <f t="shared" si="0"/>
        <v>3.5999999999999091</v>
      </c>
      <c r="G40" s="75">
        <f t="shared" si="1"/>
        <v>2.9915878023133593</v>
      </c>
      <c r="H40" s="75">
        <f>VLOOKUP($A40,'Data Vlaue (Cr)'!$C:$FB,99)</f>
        <v>2483</v>
      </c>
      <c r="I40" s="75">
        <f>VLOOKUP($A40,'Data Vlaue (Cr)'!$C:$FB,100)</f>
        <v>2282</v>
      </c>
      <c r="J40" s="75">
        <f t="shared" si="2"/>
        <v>201</v>
      </c>
      <c r="K40" s="75">
        <f t="shared" si="3"/>
        <v>8.0950463149416034</v>
      </c>
      <c r="L40" s="75">
        <f>VLOOKUP($A40,'Data Vlaue (Cr)'!$C:$FB,67)</f>
        <v>4466</v>
      </c>
      <c r="M40" s="75">
        <f>VLOOKUP($A40,'Data Vlaue (Cr)'!$C:$FB,68)</f>
        <v>2140</v>
      </c>
      <c r="N40" s="75">
        <f t="shared" si="4"/>
        <v>2326</v>
      </c>
      <c r="O40" s="75">
        <f t="shared" si="5"/>
        <v>52.082400358262426</v>
      </c>
      <c r="P40" s="75">
        <f>VLOOKUP($A40,'Data Vlaue (Cr)'!$C:$FB,119)</f>
        <v>0.74</v>
      </c>
      <c r="Q40" s="75">
        <f>VLOOKUP($A40,'Data Vlaue (Cr)'!$C:$FB,122)*100</f>
        <v>-17.78</v>
      </c>
      <c r="R40" s="75">
        <f>VLOOKUP($A40,'Data Vlaue (Cr)'!$C:$FB,125)</f>
        <v>0.32</v>
      </c>
      <c r="S40" s="75">
        <f>VLOOKUP($A40,'Data Vlaue (Cr)'!$C:$FB,128)*100</f>
        <v>-62.350000000000009</v>
      </c>
    </row>
    <row r="41" spans="1:19" x14ac:dyDescent="0.25">
      <c r="A41" s="96" t="str">
        <f>'Data Vlaue (Cr)'!C32</f>
        <v>BHARTIARTL</v>
      </c>
      <c r="B41" s="75">
        <f>VLOOKUP($A41,'Data Vlaue (Cr)'!$C:$FB,2)</f>
        <v>475</v>
      </c>
      <c r="C41" s="75">
        <f>VLOOKUP($A41,'Data Vlaue (Cr)'!$C:$FB,8)</f>
        <v>1907</v>
      </c>
      <c r="D41" s="75">
        <f>VLOOKUP($A41,'Data Vlaue (Cr)'!$C:$FB,4)</f>
        <v>1914.5</v>
      </c>
      <c r="E41" s="75">
        <f>VLOOKUP($A41,'Data Vlaue (Cr)'!$C:$FB,5)</f>
        <v>1912.3</v>
      </c>
      <c r="F41" s="75">
        <f t="shared" si="0"/>
        <v>7.5</v>
      </c>
      <c r="G41" s="75">
        <f t="shared" si="1"/>
        <v>0.11491250979368219</v>
      </c>
      <c r="H41" s="75">
        <f>VLOOKUP($A41,'Data Vlaue (Cr)'!$C:$FB,99)</f>
        <v>15727</v>
      </c>
      <c r="I41" s="75">
        <f>VLOOKUP($A41,'Data Vlaue (Cr)'!$C:$FB,100)</f>
        <v>16111</v>
      </c>
      <c r="J41" s="75">
        <f t="shared" si="2"/>
        <v>-384</v>
      </c>
      <c r="K41" s="75">
        <f t="shared" si="3"/>
        <v>-2.4416608380492146</v>
      </c>
      <c r="L41" s="75">
        <f>VLOOKUP($A41,'Data Vlaue (Cr)'!$C:$FB,67)</f>
        <v>8013</v>
      </c>
      <c r="M41" s="75">
        <f>VLOOKUP($A41,'Data Vlaue (Cr)'!$C:$FB,68)</f>
        <v>16964</v>
      </c>
      <c r="N41" s="75">
        <f t="shared" si="4"/>
        <v>-8951</v>
      </c>
      <c r="O41" s="75">
        <f t="shared" si="5"/>
        <v>-111.70597778609759</v>
      </c>
      <c r="P41" s="75">
        <f>VLOOKUP($A41,'Data Vlaue (Cr)'!$C:$FB,119)</f>
        <v>0.56000000000000005</v>
      </c>
      <c r="Q41" s="75">
        <f>VLOOKUP($A41,'Data Vlaue (Cr)'!$C:$FB,122)*100</f>
        <v>-8.2000000000000011</v>
      </c>
      <c r="R41" s="75">
        <f>VLOOKUP($A41,'Data Vlaue (Cr)'!$C:$FB,125)</f>
        <v>0.64</v>
      </c>
      <c r="S41" s="75">
        <f>VLOOKUP($A41,'Data Vlaue (Cr)'!$C:$FB,128)*100</f>
        <v>33.33</v>
      </c>
    </row>
    <row r="42" spans="1:19" x14ac:dyDescent="0.25">
      <c r="A42" s="96" t="str">
        <f>'Data Vlaue (Cr)'!C33</f>
        <v>BHEL</v>
      </c>
      <c r="B42" s="75">
        <f>VLOOKUP($A42,'Data Vlaue (Cr)'!$C:$FB,2)</f>
        <v>2625</v>
      </c>
      <c r="C42" s="75">
        <f>VLOOKUP($A42,'Data Vlaue (Cr)'!$C:$FB,8)</f>
        <v>257.25</v>
      </c>
      <c r="D42" s="75">
        <f>VLOOKUP($A42,'Data Vlaue (Cr)'!$C:$FB,4)</f>
        <v>257.64999999999998</v>
      </c>
      <c r="E42" s="75">
        <f>VLOOKUP($A42,'Data Vlaue (Cr)'!$C:$FB,5)</f>
        <v>248.9</v>
      </c>
      <c r="F42" s="75">
        <f t="shared" si="0"/>
        <v>0.39999999999997726</v>
      </c>
      <c r="G42" s="75">
        <f t="shared" si="1"/>
        <v>3.3960799534251782</v>
      </c>
      <c r="H42" s="75">
        <f>VLOOKUP($A42,'Data Vlaue (Cr)'!$C:$FB,99)</f>
        <v>4841</v>
      </c>
      <c r="I42" s="75">
        <f>VLOOKUP($A42,'Data Vlaue (Cr)'!$C:$FB,100)</f>
        <v>4701</v>
      </c>
      <c r="J42" s="75">
        <f t="shared" si="2"/>
        <v>140</v>
      </c>
      <c r="K42" s="75">
        <f t="shared" si="3"/>
        <v>2.8919644701507954</v>
      </c>
      <c r="L42" s="75">
        <f>VLOOKUP($A42,'Data Vlaue (Cr)'!$C:$FB,67)</f>
        <v>2392</v>
      </c>
      <c r="M42" s="75">
        <f>VLOOKUP($A42,'Data Vlaue (Cr)'!$C:$FB,68)</f>
        <v>2883</v>
      </c>
      <c r="N42" s="75">
        <f t="shared" si="4"/>
        <v>-491</v>
      </c>
      <c r="O42" s="75">
        <f t="shared" si="5"/>
        <v>-20.526755852842811</v>
      </c>
      <c r="P42" s="75">
        <f>VLOOKUP($A42,'Data Vlaue (Cr)'!$C:$FB,119)</f>
        <v>0.75</v>
      </c>
      <c r="Q42" s="75">
        <f>VLOOKUP($A42,'Data Vlaue (Cr)'!$C:$FB,122)*100</f>
        <v>1.35</v>
      </c>
      <c r="R42" s="75">
        <f>VLOOKUP($A42,'Data Vlaue (Cr)'!$C:$FB,125)</f>
        <v>0.48</v>
      </c>
      <c r="S42" s="75">
        <f>VLOOKUP($A42,'Data Vlaue (Cr)'!$C:$FB,128)*100</f>
        <v>-7.6899999999999995</v>
      </c>
    </row>
    <row r="43" spans="1:19" x14ac:dyDescent="0.25">
      <c r="A43" s="96" t="str">
        <f>'Data Vlaue (Cr)'!C34</f>
        <v>BIOCON</v>
      </c>
      <c r="B43" s="75">
        <f>VLOOKUP($A43,'Data Vlaue (Cr)'!$C:$FB,2)</f>
        <v>2500</v>
      </c>
      <c r="C43" s="75">
        <f>VLOOKUP($A43,'Data Vlaue (Cr)'!$C:$FB,8)</f>
        <v>386.8</v>
      </c>
      <c r="D43" s="75">
        <f>VLOOKUP($A43,'Data Vlaue (Cr)'!$C:$FB,4)</f>
        <v>388.6</v>
      </c>
      <c r="E43" s="75">
        <f>VLOOKUP($A43,'Data Vlaue (Cr)'!$C:$FB,5)</f>
        <v>379.3</v>
      </c>
      <c r="F43" s="75">
        <f t="shared" si="0"/>
        <v>1.8000000000000114</v>
      </c>
      <c r="G43" s="75">
        <f t="shared" si="1"/>
        <v>2.3932063818836875</v>
      </c>
      <c r="H43" s="75">
        <f>VLOOKUP($A43,'Data Vlaue (Cr)'!$C:$FB,99)</f>
        <v>2443</v>
      </c>
      <c r="I43" s="75">
        <f>VLOOKUP($A43,'Data Vlaue (Cr)'!$C:$FB,100)</f>
        <v>2487</v>
      </c>
      <c r="J43" s="75">
        <f t="shared" si="2"/>
        <v>-44</v>
      </c>
      <c r="K43" s="75">
        <f t="shared" si="3"/>
        <v>-1.8010642652476463</v>
      </c>
      <c r="L43" s="75">
        <f>VLOOKUP($A43,'Data Vlaue (Cr)'!$C:$FB,67)</f>
        <v>1033</v>
      </c>
      <c r="M43" s="75">
        <f>VLOOKUP($A43,'Data Vlaue (Cr)'!$C:$FB,68)</f>
        <v>1326</v>
      </c>
      <c r="N43" s="75">
        <f t="shared" si="4"/>
        <v>-293</v>
      </c>
      <c r="O43" s="75">
        <f t="shared" si="5"/>
        <v>-28.363988383349469</v>
      </c>
      <c r="P43" s="75">
        <f>VLOOKUP($A43,'Data Vlaue (Cr)'!$C:$FB,119)</f>
        <v>0.66</v>
      </c>
      <c r="Q43" s="75">
        <f>VLOOKUP($A43,'Data Vlaue (Cr)'!$C:$FB,122)*100</f>
        <v>-1.49</v>
      </c>
      <c r="R43" s="75">
        <f>VLOOKUP($A43,'Data Vlaue (Cr)'!$C:$FB,125)</f>
        <v>0.4</v>
      </c>
      <c r="S43" s="75">
        <f>VLOOKUP($A43,'Data Vlaue (Cr)'!$C:$FB,128)*100</f>
        <v>14.29</v>
      </c>
    </row>
    <row r="44" spans="1:19" x14ac:dyDescent="0.25">
      <c r="A44" s="96" t="str">
        <f>'Data Vlaue (Cr)'!C35</f>
        <v>BLUESTARCO</v>
      </c>
      <c r="B44" s="75">
        <f>VLOOKUP($A44,'Data Vlaue (Cr)'!$C:$FB,2)</f>
        <v>325</v>
      </c>
      <c r="C44" s="75">
        <f>VLOOKUP($A44,'Data Vlaue (Cr)'!$C:$FB,8)</f>
        <v>1946.7</v>
      </c>
      <c r="D44" s="75">
        <f>VLOOKUP($A44,'Data Vlaue (Cr)'!$C:$FB,4)</f>
        <v>1949.7</v>
      </c>
      <c r="E44" s="75">
        <f>VLOOKUP($A44,'Data Vlaue (Cr)'!$C:$FB,5)</f>
        <v>1846.4</v>
      </c>
      <c r="F44" s="75">
        <f t="shared" si="0"/>
        <v>3</v>
      </c>
      <c r="G44" s="75">
        <f t="shared" si="1"/>
        <v>5.2982510129763529</v>
      </c>
      <c r="H44" s="75">
        <f>VLOOKUP($A44,'Data Vlaue (Cr)'!$C:$FB,99)</f>
        <v>829</v>
      </c>
      <c r="I44" s="75">
        <f>VLOOKUP($A44,'Data Vlaue (Cr)'!$C:$FB,100)</f>
        <v>770</v>
      </c>
      <c r="J44" s="75">
        <f t="shared" si="2"/>
        <v>59</v>
      </c>
      <c r="K44" s="75">
        <f t="shared" si="3"/>
        <v>7.1170084439083237</v>
      </c>
      <c r="L44" s="75">
        <f>VLOOKUP($A44,'Data Vlaue (Cr)'!$C:$FB,67)</f>
        <v>1087</v>
      </c>
      <c r="M44" s="75">
        <f>VLOOKUP($A44,'Data Vlaue (Cr)'!$C:$FB,68)</f>
        <v>573</v>
      </c>
      <c r="N44" s="75">
        <f t="shared" si="4"/>
        <v>514</v>
      </c>
      <c r="O44" s="75">
        <f t="shared" si="5"/>
        <v>47.286108555657776</v>
      </c>
      <c r="P44" s="75">
        <f>VLOOKUP($A44,'Data Vlaue (Cr)'!$C:$FB,119)</f>
        <v>0.49</v>
      </c>
      <c r="Q44" s="75">
        <f>VLOOKUP($A44,'Data Vlaue (Cr)'!$C:$FB,122)*100</f>
        <v>8.89</v>
      </c>
      <c r="R44" s="75">
        <f>VLOOKUP($A44,'Data Vlaue (Cr)'!$C:$FB,125)</f>
        <v>0.15</v>
      </c>
      <c r="S44" s="75">
        <f>VLOOKUP($A44,'Data Vlaue (Cr)'!$C:$FB,128)*100</f>
        <v>-73.209999999999994</v>
      </c>
    </row>
    <row r="45" spans="1:19" x14ac:dyDescent="0.25">
      <c r="A45" s="96" t="str">
        <f>'Data Vlaue (Cr)'!C36</f>
        <v>BOSCHLTD</v>
      </c>
      <c r="B45" s="75">
        <f>VLOOKUP($A45,'Data Vlaue (Cr)'!$C:$FB,2)</f>
        <v>25</v>
      </c>
      <c r="C45" s="75">
        <f>VLOOKUP($A45,'Data Vlaue (Cr)'!$C:$FB,8)</f>
        <v>33230</v>
      </c>
      <c r="D45" s="75">
        <f>VLOOKUP($A45,'Data Vlaue (Cr)'!$C:$FB,4)</f>
        <v>33400</v>
      </c>
      <c r="E45" s="75">
        <f>VLOOKUP($A45,'Data Vlaue (Cr)'!$C:$FB,5)</f>
        <v>33555</v>
      </c>
      <c r="F45" s="75">
        <f t="shared" si="0"/>
        <v>170</v>
      </c>
      <c r="G45" s="75">
        <f t="shared" si="1"/>
        <v>-0.4640718562874252</v>
      </c>
      <c r="H45" s="75">
        <f>VLOOKUP($A45,'Data Vlaue (Cr)'!$C:$FB,99)</f>
        <v>1549</v>
      </c>
      <c r="I45" s="75">
        <f>VLOOKUP($A45,'Data Vlaue (Cr)'!$C:$FB,100)</f>
        <v>1488</v>
      </c>
      <c r="J45" s="75">
        <f t="shared" si="2"/>
        <v>61</v>
      </c>
      <c r="K45" s="75">
        <f t="shared" si="3"/>
        <v>3.9380245319561005</v>
      </c>
      <c r="L45" s="75">
        <f>VLOOKUP($A45,'Data Vlaue (Cr)'!$C:$FB,67)</f>
        <v>868</v>
      </c>
      <c r="M45" s="75">
        <f>VLOOKUP($A45,'Data Vlaue (Cr)'!$C:$FB,68)</f>
        <v>1790</v>
      </c>
      <c r="N45" s="75">
        <f t="shared" si="4"/>
        <v>-922</v>
      </c>
      <c r="O45" s="75">
        <f t="shared" si="5"/>
        <v>-106.22119815668202</v>
      </c>
      <c r="P45" s="75">
        <f>VLOOKUP($A45,'Data Vlaue (Cr)'!$C:$FB,119)</f>
        <v>0.48</v>
      </c>
      <c r="Q45" s="75">
        <f>VLOOKUP($A45,'Data Vlaue (Cr)'!$C:$FB,122)*100</f>
        <v>-9.43</v>
      </c>
      <c r="R45" s="75">
        <f>VLOOKUP($A45,'Data Vlaue (Cr)'!$C:$FB,125)</f>
        <v>0.54</v>
      </c>
      <c r="S45" s="75">
        <f>VLOOKUP($A45,'Data Vlaue (Cr)'!$C:$FB,128)*100</f>
        <v>-44.330000000000005</v>
      </c>
    </row>
    <row r="46" spans="1:19" x14ac:dyDescent="0.25">
      <c r="A46" s="96" t="str">
        <f>'Data Vlaue (Cr)'!C37</f>
        <v>BPCL</v>
      </c>
      <c r="B46" s="75">
        <f>VLOOKUP($A46,'Data Vlaue (Cr)'!$C:$FB,2)</f>
        <v>1975</v>
      </c>
      <c r="C46" s="75">
        <f>VLOOKUP($A46,'Data Vlaue (Cr)'!$C:$FB,8)</f>
        <v>360.35</v>
      </c>
      <c r="D46" s="75">
        <f>VLOOKUP($A46,'Data Vlaue (Cr)'!$C:$FB,4)</f>
        <v>361.5</v>
      </c>
      <c r="E46" s="75">
        <f>VLOOKUP($A46,'Data Vlaue (Cr)'!$C:$FB,5)</f>
        <v>356.8</v>
      </c>
      <c r="F46" s="75">
        <f t="shared" si="0"/>
        <v>1.1499999999999773</v>
      </c>
      <c r="G46" s="75">
        <f t="shared" si="1"/>
        <v>1.3001383125864421</v>
      </c>
      <c r="H46" s="75">
        <f>VLOOKUP($A46,'Data Vlaue (Cr)'!$C:$FB,99)</f>
        <v>2546</v>
      </c>
      <c r="I46" s="75">
        <f>VLOOKUP($A46,'Data Vlaue (Cr)'!$C:$FB,100)</f>
        <v>2304</v>
      </c>
      <c r="J46" s="75">
        <f t="shared" si="2"/>
        <v>242</v>
      </c>
      <c r="K46" s="75">
        <f t="shared" si="3"/>
        <v>9.5051060487038477</v>
      </c>
      <c r="L46" s="75">
        <f>VLOOKUP($A46,'Data Vlaue (Cr)'!$C:$FB,67)</f>
        <v>3817</v>
      </c>
      <c r="M46" s="75">
        <f>VLOOKUP($A46,'Data Vlaue (Cr)'!$C:$FB,68)</f>
        <v>3104</v>
      </c>
      <c r="N46" s="75">
        <f t="shared" si="4"/>
        <v>713</v>
      </c>
      <c r="O46" s="75">
        <f t="shared" si="5"/>
        <v>18.679591302069689</v>
      </c>
      <c r="P46" s="75">
        <f>VLOOKUP($A46,'Data Vlaue (Cr)'!$C:$FB,119)</f>
        <v>0.84</v>
      </c>
      <c r="Q46" s="75">
        <f>VLOOKUP($A46,'Data Vlaue (Cr)'!$C:$FB,122)*100</f>
        <v>-2.33</v>
      </c>
      <c r="R46" s="75">
        <f>VLOOKUP($A46,'Data Vlaue (Cr)'!$C:$FB,125)</f>
        <v>1</v>
      </c>
      <c r="S46" s="75">
        <f>VLOOKUP($A46,'Data Vlaue (Cr)'!$C:$FB,128)*100</f>
        <v>-38.269999999999996</v>
      </c>
    </row>
    <row r="47" spans="1:19" x14ac:dyDescent="0.25">
      <c r="A47" s="96" t="str">
        <f>'Data Vlaue (Cr)'!C38</f>
        <v>BRITANNIA</v>
      </c>
      <c r="B47" s="75">
        <f>VLOOKUP($A47,'Data Vlaue (Cr)'!$C:$FB,2)</f>
        <v>125</v>
      </c>
      <c r="C47" s="75">
        <f>VLOOKUP($A47,'Data Vlaue (Cr)'!$C:$FB,8)</f>
        <v>5963</v>
      </c>
      <c r="D47" s="75">
        <f>VLOOKUP($A47,'Data Vlaue (Cr)'!$C:$FB,4)</f>
        <v>5982</v>
      </c>
      <c r="E47" s="75">
        <f>VLOOKUP($A47,'Data Vlaue (Cr)'!$C:$FB,5)</f>
        <v>5902.5</v>
      </c>
      <c r="F47" s="75">
        <f t="shared" si="0"/>
        <v>19</v>
      </c>
      <c r="G47" s="75">
        <f t="shared" si="1"/>
        <v>1.3289869608826479</v>
      </c>
      <c r="H47" s="75">
        <f>VLOOKUP($A47,'Data Vlaue (Cr)'!$C:$FB,99)</f>
        <v>2582</v>
      </c>
      <c r="I47" s="75">
        <f>VLOOKUP($A47,'Data Vlaue (Cr)'!$C:$FB,100)</f>
        <v>2563</v>
      </c>
      <c r="J47" s="75">
        <f t="shared" si="2"/>
        <v>19</v>
      </c>
      <c r="K47" s="75">
        <f t="shared" si="3"/>
        <v>0.73586367157242449</v>
      </c>
      <c r="L47" s="75">
        <f>VLOOKUP($A47,'Data Vlaue (Cr)'!$C:$FB,67)</f>
        <v>711</v>
      </c>
      <c r="M47" s="75">
        <f>VLOOKUP($A47,'Data Vlaue (Cr)'!$C:$FB,68)</f>
        <v>728</v>
      </c>
      <c r="N47" s="75">
        <f t="shared" si="4"/>
        <v>-17</v>
      </c>
      <c r="O47" s="75">
        <f t="shared" si="5"/>
        <v>-2.3909985935302389</v>
      </c>
      <c r="P47" s="75">
        <f>VLOOKUP($A47,'Data Vlaue (Cr)'!$C:$FB,119)</f>
        <v>0.51</v>
      </c>
      <c r="Q47" s="75">
        <f>VLOOKUP($A47,'Data Vlaue (Cr)'!$C:$FB,122)*100</f>
        <v>4.08</v>
      </c>
      <c r="R47" s="75">
        <f>VLOOKUP($A47,'Data Vlaue (Cr)'!$C:$FB,125)</f>
        <v>0.66</v>
      </c>
      <c r="S47" s="75">
        <f>VLOOKUP($A47,'Data Vlaue (Cr)'!$C:$FB,128)*100</f>
        <v>-9.59</v>
      </c>
    </row>
    <row r="48" spans="1:19" x14ac:dyDescent="0.25">
      <c r="A48" s="96" t="str">
        <f>'Data Vlaue (Cr)'!C39</f>
        <v>BSE</v>
      </c>
      <c r="B48" s="75">
        <f>VLOOKUP($A48,'Data Vlaue (Cr)'!$C:$FB,2)</f>
        <v>375</v>
      </c>
      <c r="C48" s="75">
        <f>VLOOKUP($A48,'Data Vlaue (Cr)'!$C:$FB,8)</f>
        <v>2761.4</v>
      </c>
      <c r="D48" s="75">
        <f>VLOOKUP($A48,'Data Vlaue (Cr)'!$C:$FB,4)</f>
        <v>2765</v>
      </c>
      <c r="E48" s="75">
        <f>VLOOKUP($A48,'Data Vlaue (Cr)'!$C:$FB,5)</f>
        <v>2628.9</v>
      </c>
      <c r="F48" s="75">
        <f t="shared" si="0"/>
        <v>3.5999999999999091</v>
      </c>
      <c r="G48" s="75">
        <f t="shared" si="1"/>
        <v>4.9222423146473746</v>
      </c>
      <c r="H48" s="75">
        <f>VLOOKUP($A48,'Data Vlaue (Cr)'!$C:$FB,99)</f>
        <v>5898</v>
      </c>
      <c r="I48" s="75">
        <f>VLOOKUP($A48,'Data Vlaue (Cr)'!$C:$FB,100)</f>
        <v>5978</v>
      </c>
      <c r="J48" s="75">
        <f t="shared" si="2"/>
        <v>-80</v>
      </c>
      <c r="K48" s="75">
        <f t="shared" si="3"/>
        <v>-1.356391997287216</v>
      </c>
      <c r="L48" s="75">
        <f>VLOOKUP($A48,'Data Vlaue (Cr)'!$C:$FB,67)</f>
        <v>11430</v>
      </c>
      <c r="M48" s="75">
        <f>VLOOKUP($A48,'Data Vlaue (Cr)'!$C:$FB,68)</f>
        <v>7786</v>
      </c>
      <c r="N48" s="75">
        <f t="shared" si="4"/>
        <v>3644</v>
      </c>
      <c r="O48" s="75">
        <f t="shared" si="5"/>
        <v>31.881014873140856</v>
      </c>
      <c r="P48" s="75">
        <f>VLOOKUP($A48,'Data Vlaue (Cr)'!$C:$FB,119)</f>
        <v>0.76</v>
      </c>
      <c r="Q48" s="75">
        <f>VLOOKUP($A48,'Data Vlaue (Cr)'!$C:$FB,122)*100</f>
        <v>4.1099999999999994</v>
      </c>
      <c r="R48" s="75">
        <f>VLOOKUP($A48,'Data Vlaue (Cr)'!$C:$FB,125)</f>
        <v>0.51</v>
      </c>
      <c r="S48" s="75">
        <f>VLOOKUP($A48,'Data Vlaue (Cr)'!$C:$FB,128)*100</f>
        <v>-28.17</v>
      </c>
    </row>
    <row r="49" spans="1:19" x14ac:dyDescent="0.25">
      <c r="A49" s="96" t="str">
        <f>'Data Vlaue (Cr)'!C40</f>
        <v>CAMS</v>
      </c>
      <c r="B49" s="75">
        <f>VLOOKUP($A49,'Data Vlaue (Cr)'!$C:$FB,2)</f>
        <v>750</v>
      </c>
      <c r="C49" s="75">
        <f>VLOOKUP($A49,'Data Vlaue (Cr)'!$C:$FB,8)</f>
        <v>652.35</v>
      </c>
      <c r="D49" s="75">
        <f>VLOOKUP($A49,'Data Vlaue (Cr)'!$C:$FB,4)</f>
        <v>654.85</v>
      </c>
      <c r="E49" s="75">
        <f>VLOOKUP($A49,'Data Vlaue (Cr)'!$C:$FB,5)</f>
        <v>633.25</v>
      </c>
      <c r="F49" s="75">
        <f t="shared" si="0"/>
        <v>2.5</v>
      </c>
      <c r="G49" s="75">
        <f t="shared" si="1"/>
        <v>3.298465297396354</v>
      </c>
      <c r="H49" s="75">
        <f>VLOOKUP($A49,'Data Vlaue (Cr)'!$C:$FB,99)</f>
        <v>829</v>
      </c>
      <c r="I49" s="75">
        <f>VLOOKUP($A49,'Data Vlaue (Cr)'!$C:$FB,100)</f>
        <v>818</v>
      </c>
      <c r="J49" s="75">
        <f t="shared" si="2"/>
        <v>11</v>
      </c>
      <c r="K49" s="75">
        <f t="shared" si="3"/>
        <v>1.3268998793727382</v>
      </c>
      <c r="L49" s="75">
        <f>VLOOKUP($A49,'Data Vlaue (Cr)'!$C:$FB,67)</f>
        <v>508</v>
      </c>
      <c r="M49" s="75">
        <f>VLOOKUP($A49,'Data Vlaue (Cr)'!$C:$FB,68)</f>
        <v>566</v>
      </c>
      <c r="N49" s="75">
        <f t="shared" si="4"/>
        <v>-58</v>
      </c>
      <c r="O49" s="75">
        <f t="shared" si="5"/>
        <v>-11.41732283464567</v>
      </c>
      <c r="P49" s="75">
        <f>VLOOKUP($A49,'Data Vlaue (Cr)'!$C:$FB,119)</f>
        <v>0.81</v>
      </c>
      <c r="Q49" s="75">
        <f>VLOOKUP($A49,'Data Vlaue (Cr)'!$C:$FB,122)*100</f>
        <v>2.5299999999999998</v>
      </c>
      <c r="R49" s="75">
        <f>VLOOKUP($A49,'Data Vlaue (Cr)'!$C:$FB,125)</f>
        <v>0.56999999999999995</v>
      </c>
      <c r="S49" s="75">
        <f>VLOOKUP($A49,'Data Vlaue (Cr)'!$C:$FB,128)*100</f>
        <v>-27.85</v>
      </c>
    </row>
    <row r="50" spans="1:19" x14ac:dyDescent="0.25">
      <c r="A50" s="96" t="str">
        <f>'Data Vlaue (Cr)'!C41</f>
        <v>CANBK</v>
      </c>
      <c r="B50" s="75">
        <f>VLOOKUP($A50,'Data Vlaue (Cr)'!$C:$FB,2)</f>
        <v>6750</v>
      </c>
      <c r="C50" s="75">
        <f>VLOOKUP($A50,'Data Vlaue (Cr)'!$C:$FB,8)</f>
        <v>148.51</v>
      </c>
      <c r="D50" s="75">
        <f>VLOOKUP($A50,'Data Vlaue (Cr)'!$C:$FB,4)</f>
        <v>149.19</v>
      </c>
      <c r="E50" s="75">
        <f>VLOOKUP($A50,'Data Vlaue (Cr)'!$C:$FB,5)</f>
        <v>147.57</v>
      </c>
      <c r="F50" s="75">
        <f t="shared" si="0"/>
        <v>0.68000000000000682</v>
      </c>
      <c r="G50" s="75">
        <f t="shared" si="1"/>
        <v>1.085863663784439</v>
      </c>
      <c r="H50" s="75">
        <f>VLOOKUP($A50,'Data Vlaue (Cr)'!$C:$FB,99)</f>
        <v>4886</v>
      </c>
      <c r="I50" s="75">
        <f>VLOOKUP($A50,'Data Vlaue (Cr)'!$C:$FB,100)</f>
        <v>4569</v>
      </c>
      <c r="J50" s="75">
        <f t="shared" si="2"/>
        <v>317</v>
      </c>
      <c r="K50" s="75">
        <f t="shared" si="3"/>
        <v>6.4879246827670896</v>
      </c>
      <c r="L50" s="75">
        <f>VLOOKUP($A50,'Data Vlaue (Cr)'!$C:$FB,67)</f>
        <v>3510</v>
      </c>
      <c r="M50" s="75">
        <f>VLOOKUP($A50,'Data Vlaue (Cr)'!$C:$FB,68)</f>
        <v>4067</v>
      </c>
      <c r="N50" s="75">
        <f t="shared" si="4"/>
        <v>-557</v>
      </c>
      <c r="O50" s="75">
        <f t="shared" si="5"/>
        <v>-15.868945868945868</v>
      </c>
      <c r="P50" s="75">
        <f>VLOOKUP($A50,'Data Vlaue (Cr)'!$C:$FB,119)</f>
        <v>0.76</v>
      </c>
      <c r="Q50" s="75">
        <f>VLOOKUP($A50,'Data Vlaue (Cr)'!$C:$FB,122)*100</f>
        <v>-3.8</v>
      </c>
      <c r="R50" s="75">
        <f>VLOOKUP($A50,'Data Vlaue (Cr)'!$C:$FB,125)</f>
        <v>0.61</v>
      </c>
      <c r="S50" s="75">
        <f>VLOOKUP($A50,'Data Vlaue (Cr)'!$C:$FB,128)*100</f>
        <v>-28.24</v>
      </c>
    </row>
    <row r="51" spans="1:19" x14ac:dyDescent="0.25">
      <c r="A51" s="96" t="str">
        <f>'Data Vlaue (Cr)'!C42</f>
        <v>CDSL</v>
      </c>
      <c r="B51" s="75">
        <f>VLOOKUP($A51,'Data Vlaue (Cr)'!$C:$FB,2)</f>
        <v>475</v>
      </c>
      <c r="C51" s="75">
        <f>VLOOKUP($A51,'Data Vlaue (Cr)'!$C:$FB,8)</f>
        <v>1239.5999999999999</v>
      </c>
      <c r="D51" s="75">
        <f>VLOOKUP($A51,'Data Vlaue (Cr)'!$C:$FB,4)</f>
        <v>1242.2</v>
      </c>
      <c r="E51" s="75">
        <f>VLOOKUP($A51,'Data Vlaue (Cr)'!$C:$FB,5)</f>
        <v>1211.5999999999999</v>
      </c>
      <c r="F51" s="75">
        <f t="shared" si="0"/>
        <v>2.6000000000001364</v>
      </c>
      <c r="G51" s="75">
        <f t="shared" si="1"/>
        <v>2.4633714377717064</v>
      </c>
      <c r="H51" s="75">
        <f>VLOOKUP($A51,'Data Vlaue (Cr)'!$C:$FB,99)</f>
        <v>2813</v>
      </c>
      <c r="I51" s="75">
        <f>VLOOKUP($A51,'Data Vlaue (Cr)'!$C:$FB,100)</f>
        <v>2803</v>
      </c>
      <c r="J51" s="75">
        <f t="shared" si="2"/>
        <v>10</v>
      </c>
      <c r="K51" s="75">
        <f t="shared" si="3"/>
        <v>0.35549235691432635</v>
      </c>
      <c r="L51" s="75">
        <f>VLOOKUP($A51,'Data Vlaue (Cr)'!$C:$FB,67)</f>
        <v>1202</v>
      </c>
      <c r="M51" s="75">
        <f>VLOOKUP($A51,'Data Vlaue (Cr)'!$C:$FB,68)</f>
        <v>1693</v>
      </c>
      <c r="N51" s="75">
        <f t="shared" si="4"/>
        <v>-491</v>
      </c>
      <c r="O51" s="75">
        <f t="shared" si="5"/>
        <v>-40.848585690515812</v>
      </c>
      <c r="P51" s="75">
        <f>VLOOKUP($A51,'Data Vlaue (Cr)'!$C:$FB,119)</f>
        <v>0.77</v>
      </c>
      <c r="Q51" s="75">
        <f>VLOOKUP($A51,'Data Vlaue (Cr)'!$C:$FB,122)*100</f>
        <v>-2.5299999999999998</v>
      </c>
      <c r="R51" s="75">
        <f>VLOOKUP($A51,'Data Vlaue (Cr)'!$C:$FB,125)</f>
        <v>0.41</v>
      </c>
      <c r="S51" s="75">
        <f>VLOOKUP($A51,'Data Vlaue (Cr)'!$C:$FB,128)*100</f>
        <v>-26.790000000000003</v>
      </c>
    </row>
    <row r="52" spans="1:19" x14ac:dyDescent="0.25">
      <c r="A52" s="96" t="str">
        <f>'Data Vlaue (Cr)'!C43</f>
        <v>CGPOWER</v>
      </c>
      <c r="B52" s="75">
        <f>VLOOKUP($A52,'Data Vlaue (Cr)'!$C:$FB,2)</f>
        <v>850</v>
      </c>
      <c r="C52" s="75">
        <f>VLOOKUP($A52,'Data Vlaue (Cr)'!$C:$FB,8)</f>
        <v>701.1</v>
      </c>
      <c r="D52" s="75">
        <f>VLOOKUP($A52,'Data Vlaue (Cr)'!$C:$FB,4)</f>
        <v>702.5</v>
      </c>
      <c r="E52" s="75">
        <f>VLOOKUP($A52,'Data Vlaue (Cr)'!$C:$FB,5)</f>
        <v>686.1</v>
      </c>
      <c r="F52" s="75">
        <f t="shared" si="0"/>
        <v>1.3999999999999773</v>
      </c>
      <c r="G52" s="75">
        <f t="shared" si="1"/>
        <v>2.3345195729537331</v>
      </c>
      <c r="H52" s="75">
        <f>VLOOKUP($A52,'Data Vlaue (Cr)'!$C:$FB,99)</f>
        <v>1438</v>
      </c>
      <c r="I52" s="75">
        <f>VLOOKUP($A52,'Data Vlaue (Cr)'!$C:$FB,100)</f>
        <v>1461</v>
      </c>
      <c r="J52" s="75">
        <f t="shared" si="2"/>
        <v>-23</v>
      </c>
      <c r="K52" s="75">
        <f t="shared" si="3"/>
        <v>-1.5994436717663423</v>
      </c>
      <c r="L52" s="75">
        <f>VLOOKUP($A52,'Data Vlaue (Cr)'!$C:$FB,67)</f>
        <v>442</v>
      </c>
      <c r="M52" s="75">
        <f>VLOOKUP($A52,'Data Vlaue (Cr)'!$C:$FB,68)</f>
        <v>928</v>
      </c>
      <c r="N52" s="75">
        <f t="shared" si="4"/>
        <v>-486</v>
      </c>
      <c r="O52" s="75">
        <f t="shared" si="5"/>
        <v>-109.95475113122173</v>
      </c>
      <c r="P52" s="75">
        <f>VLOOKUP($A52,'Data Vlaue (Cr)'!$C:$FB,119)</f>
        <v>0.62</v>
      </c>
      <c r="Q52" s="75">
        <f>VLOOKUP($A52,'Data Vlaue (Cr)'!$C:$FB,122)*100</f>
        <v>1.6400000000000001</v>
      </c>
      <c r="R52" s="75">
        <f>VLOOKUP($A52,'Data Vlaue (Cr)'!$C:$FB,125)</f>
        <v>0.45</v>
      </c>
      <c r="S52" s="75">
        <f>VLOOKUP($A52,'Data Vlaue (Cr)'!$C:$FB,128)*100</f>
        <v>-34.78</v>
      </c>
    </row>
    <row r="53" spans="1:19" x14ac:dyDescent="0.25">
      <c r="A53" s="96" t="str">
        <f>'Data Vlaue (Cr)'!C44</f>
        <v>CHOLAFIN</v>
      </c>
      <c r="B53" s="75">
        <f>VLOOKUP($A53,'Data Vlaue (Cr)'!$C:$FB,2)</f>
        <v>625</v>
      </c>
      <c r="C53" s="75">
        <f>VLOOKUP($A53,'Data Vlaue (Cr)'!$C:$FB,8)</f>
        <v>1669</v>
      </c>
      <c r="D53" s="75">
        <f>VLOOKUP($A53,'Data Vlaue (Cr)'!$C:$FB,4)</f>
        <v>1679.2</v>
      </c>
      <c r="E53" s="75">
        <f>VLOOKUP($A53,'Data Vlaue (Cr)'!$C:$FB,5)</f>
        <v>1661.6</v>
      </c>
      <c r="F53" s="75">
        <f t="shared" si="0"/>
        <v>10.200000000000045</v>
      </c>
      <c r="G53" s="75">
        <f t="shared" si="1"/>
        <v>1.0481181515007227</v>
      </c>
      <c r="H53" s="75">
        <f>VLOOKUP($A53,'Data Vlaue (Cr)'!$C:$FB,99)</f>
        <v>3655</v>
      </c>
      <c r="I53" s="75">
        <f>VLOOKUP($A53,'Data Vlaue (Cr)'!$C:$FB,100)</f>
        <v>3682</v>
      </c>
      <c r="J53" s="75">
        <f t="shared" si="2"/>
        <v>-27</v>
      </c>
      <c r="K53" s="75">
        <f t="shared" si="3"/>
        <v>-0.73871409028727775</v>
      </c>
      <c r="L53" s="75">
        <f>VLOOKUP($A53,'Data Vlaue (Cr)'!$C:$FB,67)</f>
        <v>1309</v>
      </c>
      <c r="M53" s="75">
        <f>VLOOKUP($A53,'Data Vlaue (Cr)'!$C:$FB,68)</f>
        <v>1527</v>
      </c>
      <c r="N53" s="75">
        <f t="shared" si="4"/>
        <v>-218</v>
      </c>
      <c r="O53" s="75">
        <f t="shared" si="5"/>
        <v>-16.653934300993125</v>
      </c>
      <c r="P53" s="75">
        <f>VLOOKUP($A53,'Data Vlaue (Cr)'!$C:$FB,119)</f>
        <v>1</v>
      </c>
      <c r="Q53" s="75">
        <f>VLOOKUP($A53,'Data Vlaue (Cr)'!$C:$FB,122)*100</f>
        <v>-9.09</v>
      </c>
      <c r="R53" s="75">
        <f>VLOOKUP($A53,'Data Vlaue (Cr)'!$C:$FB,125)</f>
        <v>0.83</v>
      </c>
      <c r="S53" s="75">
        <f>VLOOKUP($A53,'Data Vlaue (Cr)'!$C:$FB,128)*100</f>
        <v>-25.89</v>
      </c>
    </row>
    <row r="54" spans="1:19" x14ac:dyDescent="0.25">
      <c r="A54" s="96" t="str">
        <f>'Data Vlaue (Cr)'!C45</f>
        <v>CIPLA</v>
      </c>
      <c r="B54" s="75">
        <f>VLOOKUP($A54,'Data Vlaue (Cr)'!$C:$FB,2)</f>
        <v>375</v>
      </c>
      <c r="C54" s="75">
        <f>VLOOKUP($A54,'Data Vlaue (Cr)'!$C:$FB,8)</f>
        <v>1326.4</v>
      </c>
      <c r="D54" s="75">
        <f>VLOOKUP($A54,'Data Vlaue (Cr)'!$C:$FB,4)</f>
        <v>1332.3</v>
      </c>
      <c r="E54" s="75">
        <f>VLOOKUP($A54,'Data Vlaue (Cr)'!$C:$FB,5)</f>
        <v>1319.7</v>
      </c>
      <c r="F54" s="75">
        <f t="shared" si="0"/>
        <v>5.8999999999998636</v>
      </c>
      <c r="G54" s="75">
        <f t="shared" si="1"/>
        <v>0.9457329430308421</v>
      </c>
      <c r="H54" s="75">
        <f>VLOOKUP($A54,'Data Vlaue (Cr)'!$C:$FB,99)</f>
        <v>2819</v>
      </c>
      <c r="I54" s="75">
        <f>VLOOKUP($A54,'Data Vlaue (Cr)'!$C:$FB,100)</f>
        <v>2857</v>
      </c>
      <c r="J54" s="75">
        <f t="shared" si="2"/>
        <v>-38</v>
      </c>
      <c r="K54" s="75">
        <f t="shared" si="3"/>
        <v>-1.3479957431713374</v>
      </c>
      <c r="L54" s="75">
        <f>VLOOKUP($A54,'Data Vlaue (Cr)'!$C:$FB,67)</f>
        <v>742</v>
      </c>
      <c r="M54" s="75">
        <f>VLOOKUP($A54,'Data Vlaue (Cr)'!$C:$FB,68)</f>
        <v>1428</v>
      </c>
      <c r="N54" s="75">
        <f t="shared" si="4"/>
        <v>-686</v>
      </c>
      <c r="O54" s="75">
        <f t="shared" si="5"/>
        <v>-92.452830188679243</v>
      </c>
      <c r="P54" s="75">
        <f>VLOOKUP($A54,'Data Vlaue (Cr)'!$C:$FB,119)</f>
        <v>0.62</v>
      </c>
      <c r="Q54" s="75">
        <f>VLOOKUP($A54,'Data Vlaue (Cr)'!$C:$FB,122)*100</f>
        <v>5.08</v>
      </c>
      <c r="R54" s="75">
        <f>VLOOKUP($A54,'Data Vlaue (Cr)'!$C:$FB,125)</f>
        <v>0.47</v>
      </c>
      <c r="S54" s="75">
        <f>VLOOKUP($A54,'Data Vlaue (Cr)'!$C:$FB,128)*100</f>
        <v>0</v>
      </c>
    </row>
    <row r="55" spans="1:19" x14ac:dyDescent="0.25">
      <c r="A55" s="96" t="str">
        <f>'Data Vlaue (Cr)'!C46</f>
        <v>COALINDIA</v>
      </c>
      <c r="B55" s="75">
        <f>VLOOKUP($A55,'Data Vlaue (Cr)'!$C:$FB,2)</f>
        <v>1350</v>
      </c>
      <c r="C55" s="75">
        <f>VLOOKUP($A55,'Data Vlaue (Cr)'!$C:$FB,8)</f>
        <v>449.4</v>
      </c>
      <c r="D55" s="75">
        <f>VLOOKUP($A55,'Data Vlaue (Cr)'!$C:$FB,4)</f>
        <v>450.5</v>
      </c>
      <c r="E55" s="75">
        <f>VLOOKUP($A55,'Data Vlaue (Cr)'!$C:$FB,5)</f>
        <v>436.85</v>
      </c>
      <c r="F55" s="75">
        <f t="shared" si="0"/>
        <v>1.1000000000000227</v>
      </c>
      <c r="G55" s="75">
        <f t="shared" si="1"/>
        <v>3.0299667036625921</v>
      </c>
      <c r="H55" s="75">
        <f>VLOOKUP($A55,'Data Vlaue (Cr)'!$C:$FB,99)</f>
        <v>4339</v>
      </c>
      <c r="I55" s="75">
        <f>VLOOKUP($A55,'Data Vlaue (Cr)'!$C:$FB,100)</f>
        <v>3934</v>
      </c>
      <c r="J55" s="75">
        <f t="shared" si="2"/>
        <v>405</v>
      </c>
      <c r="K55" s="75">
        <f t="shared" si="3"/>
        <v>9.3339479142659592</v>
      </c>
      <c r="L55" s="75">
        <f>VLOOKUP($A55,'Data Vlaue (Cr)'!$C:$FB,67)</f>
        <v>12997</v>
      </c>
      <c r="M55" s="75">
        <f>VLOOKUP($A55,'Data Vlaue (Cr)'!$C:$FB,68)</f>
        <v>7236</v>
      </c>
      <c r="N55" s="75">
        <f t="shared" si="4"/>
        <v>5761</v>
      </c>
      <c r="O55" s="75">
        <f t="shared" si="5"/>
        <v>44.325613603139189</v>
      </c>
      <c r="P55" s="75">
        <f>VLOOKUP($A55,'Data Vlaue (Cr)'!$C:$FB,119)</f>
        <v>0.74</v>
      </c>
      <c r="Q55" s="75">
        <f>VLOOKUP($A55,'Data Vlaue (Cr)'!$C:$FB,122)*100</f>
        <v>19.350000000000001</v>
      </c>
      <c r="R55" s="75">
        <f>VLOOKUP($A55,'Data Vlaue (Cr)'!$C:$FB,125)</f>
        <v>0.43</v>
      </c>
      <c r="S55" s="75">
        <f>VLOOKUP($A55,'Data Vlaue (Cr)'!$C:$FB,128)*100</f>
        <v>10.26</v>
      </c>
    </row>
    <row r="56" spans="1:19" x14ac:dyDescent="0.25">
      <c r="A56" s="96" t="str">
        <f>'Data Vlaue (Cr)'!C47</f>
        <v>COFORGE</v>
      </c>
      <c r="B56" s="75">
        <f>VLOOKUP($A56,'Data Vlaue (Cr)'!$C:$FB,2)</f>
        <v>375</v>
      </c>
      <c r="C56" s="75">
        <f>VLOOKUP($A56,'Data Vlaue (Cr)'!$C:$FB,8)</f>
        <v>1152.7</v>
      </c>
      <c r="D56" s="75">
        <f>VLOOKUP($A56,'Data Vlaue (Cr)'!$C:$FB,4)</f>
        <v>1158.2</v>
      </c>
      <c r="E56" s="75">
        <f>VLOOKUP($A56,'Data Vlaue (Cr)'!$C:$FB,5)</f>
        <v>1172.4000000000001</v>
      </c>
      <c r="F56" s="75">
        <f t="shared" si="0"/>
        <v>5.5</v>
      </c>
      <c r="G56" s="75">
        <f t="shared" si="1"/>
        <v>-1.2260404075289282</v>
      </c>
      <c r="H56" s="75">
        <f>VLOOKUP($A56,'Data Vlaue (Cr)'!$C:$FB,99)</f>
        <v>5000</v>
      </c>
      <c r="I56" s="75">
        <f>VLOOKUP($A56,'Data Vlaue (Cr)'!$C:$FB,100)</f>
        <v>4781</v>
      </c>
      <c r="J56" s="75">
        <f t="shared" si="2"/>
        <v>219</v>
      </c>
      <c r="K56" s="75">
        <f t="shared" si="3"/>
        <v>4.38</v>
      </c>
      <c r="L56" s="75">
        <f>VLOOKUP($A56,'Data Vlaue (Cr)'!$C:$FB,67)</f>
        <v>2173</v>
      </c>
      <c r="M56" s="75">
        <f>VLOOKUP($A56,'Data Vlaue (Cr)'!$C:$FB,68)</f>
        <v>1928</v>
      </c>
      <c r="N56" s="75">
        <f t="shared" si="4"/>
        <v>245</v>
      </c>
      <c r="O56" s="75">
        <f t="shared" si="5"/>
        <v>11.274735388863323</v>
      </c>
      <c r="P56" s="75">
        <f>VLOOKUP($A56,'Data Vlaue (Cr)'!$C:$FB,119)</f>
        <v>0.43</v>
      </c>
      <c r="Q56" s="75">
        <f>VLOOKUP($A56,'Data Vlaue (Cr)'!$C:$FB,122)*100</f>
        <v>-2.27</v>
      </c>
      <c r="R56" s="75">
        <f>VLOOKUP($A56,'Data Vlaue (Cr)'!$C:$FB,125)</f>
        <v>0.47</v>
      </c>
      <c r="S56" s="75">
        <f>VLOOKUP($A56,'Data Vlaue (Cr)'!$C:$FB,128)*100</f>
        <v>11.899999999999999</v>
      </c>
    </row>
    <row r="57" spans="1:19" x14ac:dyDescent="0.25">
      <c r="A57" s="96" t="str">
        <f>'Data Vlaue (Cr)'!C48</f>
        <v>COLPAL</v>
      </c>
      <c r="B57" s="75">
        <f>VLOOKUP($A57,'Data Vlaue (Cr)'!$C:$FB,2)</f>
        <v>225</v>
      </c>
      <c r="C57" s="75">
        <f>VLOOKUP($A57,'Data Vlaue (Cr)'!$C:$FB,8)</f>
        <v>2200.6</v>
      </c>
      <c r="D57" s="75">
        <f>VLOOKUP($A57,'Data Vlaue (Cr)'!$C:$FB,4)</f>
        <v>2209.1</v>
      </c>
      <c r="E57" s="75">
        <f>VLOOKUP($A57,'Data Vlaue (Cr)'!$C:$FB,5)</f>
        <v>2187.9</v>
      </c>
      <c r="F57" s="75">
        <f t="shared" si="0"/>
        <v>8.5</v>
      </c>
      <c r="G57" s="75">
        <f t="shared" si="1"/>
        <v>0.959666832646771</v>
      </c>
      <c r="H57" s="75">
        <f>VLOOKUP($A57,'Data Vlaue (Cr)'!$C:$FB,99)</f>
        <v>1879</v>
      </c>
      <c r="I57" s="75">
        <f>VLOOKUP($A57,'Data Vlaue (Cr)'!$C:$FB,100)</f>
        <v>1861</v>
      </c>
      <c r="J57" s="75">
        <f t="shared" si="2"/>
        <v>18</v>
      </c>
      <c r="K57" s="75">
        <f t="shared" si="3"/>
        <v>0.95795635976583282</v>
      </c>
      <c r="L57" s="75">
        <f>VLOOKUP($A57,'Data Vlaue (Cr)'!$C:$FB,67)</f>
        <v>472</v>
      </c>
      <c r="M57" s="75">
        <f>VLOOKUP($A57,'Data Vlaue (Cr)'!$C:$FB,68)</f>
        <v>469</v>
      </c>
      <c r="N57" s="75">
        <f t="shared" si="4"/>
        <v>3</v>
      </c>
      <c r="O57" s="75">
        <f t="shared" si="5"/>
        <v>0.63559322033898313</v>
      </c>
      <c r="P57" s="75">
        <f>VLOOKUP($A57,'Data Vlaue (Cr)'!$C:$FB,119)</f>
        <v>0.68</v>
      </c>
      <c r="Q57" s="75">
        <f>VLOOKUP($A57,'Data Vlaue (Cr)'!$C:$FB,122)*100</f>
        <v>11.48</v>
      </c>
      <c r="R57" s="75">
        <f>VLOOKUP($A57,'Data Vlaue (Cr)'!$C:$FB,125)</f>
        <v>0.37</v>
      </c>
      <c r="S57" s="75">
        <f>VLOOKUP($A57,'Data Vlaue (Cr)'!$C:$FB,128)*100</f>
        <v>-13.950000000000001</v>
      </c>
    </row>
    <row r="58" spans="1:19" x14ac:dyDescent="0.25">
      <c r="A58" s="96" t="str">
        <f>'Data Vlaue (Cr)'!C49</f>
        <v>CONCOR</v>
      </c>
      <c r="B58" s="75">
        <f>VLOOKUP($A58,'Data Vlaue (Cr)'!$C:$FB,2)</f>
        <v>1250</v>
      </c>
      <c r="C58" s="75">
        <f>VLOOKUP($A58,'Data Vlaue (Cr)'!$C:$FB,8)</f>
        <v>479.95</v>
      </c>
      <c r="D58" s="75">
        <f>VLOOKUP($A58,'Data Vlaue (Cr)'!$C:$FB,4)</f>
        <v>481.15</v>
      </c>
      <c r="E58" s="75">
        <f>VLOOKUP($A58,'Data Vlaue (Cr)'!$C:$FB,5)</f>
        <v>463.25</v>
      </c>
      <c r="F58" s="75">
        <f t="shared" si="0"/>
        <v>1.1999999999999886</v>
      </c>
      <c r="G58" s="75">
        <f t="shared" si="1"/>
        <v>3.7202535591811241</v>
      </c>
      <c r="H58" s="75">
        <f>VLOOKUP($A58,'Data Vlaue (Cr)'!$C:$FB,99)</f>
        <v>2281</v>
      </c>
      <c r="I58" s="75">
        <f>VLOOKUP($A58,'Data Vlaue (Cr)'!$C:$FB,100)</f>
        <v>2297</v>
      </c>
      <c r="J58" s="75">
        <f t="shared" si="2"/>
        <v>-16</v>
      </c>
      <c r="K58" s="75">
        <f t="shared" si="3"/>
        <v>-0.70144673388864531</v>
      </c>
      <c r="L58" s="75">
        <f>VLOOKUP($A58,'Data Vlaue (Cr)'!$C:$FB,67)</f>
        <v>872</v>
      </c>
      <c r="M58" s="75">
        <f>VLOOKUP($A58,'Data Vlaue (Cr)'!$C:$FB,68)</f>
        <v>1032</v>
      </c>
      <c r="N58" s="75">
        <f t="shared" si="4"/>
        <v>-160</v>
      </c>
      <c r="O58" s="75">
        <f t="shared" si="5"/>
        <v>-18.348623853211009</v>
      </c>
      <c r="P58" s="75">
        <f>VLOOKUP($A58,'Data Vlaue (Cr)'!$C:$FB,119)</f>
        <v>0.76</v>
      </c>
      <c r="Q58" s="75">
        <f>VLOOKUP($A58,'Data Vlaue (Cr)'!$C:$FB,122)*100</f>
        <v>11.76</v>
      </c>
      <c r="R58" s="75">
        <f>VLOOKUP($A58,'Data Vlaue (Cr)'!$C:$FB,125)</f>
        <v>0.52</v>
      </c>
      <c r="S58" s="75">
        <f>VLOOKUP($A58,'Data Vlaue (Cr)'!$C:$FB,128)*100</f>
        <v>-20</v>
      </c>
    </row>
    <row r="59" spans="1:19" x14ac:dyDescent="0.25">
      <c r="A59" s="96" t="str">
        <f>'Data Vlaue (Cr)'!C50</f>
        <v>CROMPTON</v>
      </c>
      <c r="B59" s="75">
        <f>VLOOKUP($A59,'Data Vlaue (Cr)'!$C:$FB,2)</f>
        <v>1800</v>
      </c>
      <c r="C59" s="75">
        <f>VLOOKUP($A59,'Data Vlaue (Cr)'!$C:$FB,8)</f>
        <v>250.1</v>
      </c>
      <c r="D59" s="75">
        <f>VLOOKUP($A59,'Data Vlaue (Cr)'!$C:$FB,4)</f>
        <v>250.75</v>
      </c>
      <c r="E59" s="75">
        <f>VLOOKUP($A59,'Data Vlaue (Cr)'!$C:$FB,5)</f>
        <v>246.55</v>
      </c>
      <c r="F59" s="75">
        <f t="shared" si="0"/>
        <v>0.65000000000000568</v>
      </c>
      <c r="G59" s="75">
        <f t="shared" si="1"/>
        <v>1.6749750747756684</v>
      </c>
      <c r="H59" s="75">
        <f>VLOOKUP($A59,'Data Vlaue (Cr)'!$C:$FB,99)</f>
        <v>1546</v>
      </c>
      <c r="I59" s="75">
        <f>VLOOKUP($A59,'Data Vlaue (Cr)'!$C:$FB,100)</f>
        <v>1524</v>
      </c>
      <c r="J59" s="75">
        <f t="shared" si="2"/>
        <v>22</v>
      </c>
      <c r="K59" s="75">
        <f t="shared" si="3"/>
        <v>1.4230271668822769</v>
      </c>
      <c r="L59" s="75">
        <f>VLOOKUP($A59,'Data Vlaue (Cr)'!$C:$FB,67)</f>
        <v>381</v>
      </c>
      <c r="M59" s="75">
        <f>VLOOKUP($A59,'Data Vlaue (Cr)'!$C:$FB,68)</f>
        <v>354</v>
      </c>
      <c r="N59" s="75">
        <f t="shared" si="4"/>
        <v>27</v>
      </c>
      <c r="O59" s="75">
        <f t="shared" si="5"/>
        <v>7.0866141732283463</v>
      </c>
      <c r="P59" s="75">
        <f>VLOOKUP($A59,'Data Vlaue (Cr)'!$C:$FB,119)</f>
        <v>0.51</v>
      </c>
      <c r="Q59" s="75">
        <f>VLOOKUP($A59,'Data Vlaue (Cr)'!$C:$FB,122)*100</f>
        <v>2</v>
      </c>
      <c r="R59" s="75">
        <f>VLOOKUP($A59,'Data Vlaue (Cr)'!$C:$FB,125)</f>
        <v>0.36</v>
      </c>
      <c r="S59" s="75">
        <f>VLOOKUP($A59,'Data Vlaue (Cr)'!$C:$FB,128)*100</f>
        <v>-21.740000000000002</v>
      </c>
    </row>
    <row r="60" spans="1:19" x14ac:dyDescent="0.25">
      <c r="A60" s="96" t="str">
        <f>'Data Vlaue (Cr)'!C51</f>
        <v>CUMMINSIND</v>
      </c>
      <c r="B60" s="75">
        <f>VLOOKUP($A60,'Data Vlaue (Cr)'!$C:$FB,2)</f>
        <v>200</v>
      </c>
      <c r="C60" s="75">
        <f>VLOOKUP($A60,'Data Vlaue (Cr)'!$C:$FB,8)</f>
        <v>4791.3999999999996</v>
      </c>
      <c r="D60" s="75">
        <f>VLOOKUP($A60,'Data Vlaue (Cr)'!$C:$FB,4)</f>
        <v>4800.3999999999996</v>
      </c>
      <c r="E60" s="75">
        <f>VLOOKUP($A60,'Data Vlaue (Cr)'!$C:$FB,5)</f>
        <v>4607.7</v>
      </c>
      <c r="F60" s="75">
        <f t="shared" si="0"/>
        <v>9</v>
      </c>
      <c r="G60" s="75">
        <f t="shared" si="1"/>
        <v>4.0142488125989466</v>
      </c>
      <c r="H60" s="75">
        <f>VLOOKUP($A60,'Data Vlaue (Cr)'!$C:$FB,99)</f>
        <v>2249</v>
      </c>
      <c r="I60" s="75">
        <f>VLOOKUP($A60,'Data Vlaue (Cr)'!$C:$FB,100)</f>
        <v>2230</v>
      </c>
      <c r="J60" s="75">
        <f t="shared" si="2"/>
        <v>19</v>
      </c>
      <c r="K60" s="75">
        <f t="shared" si="3"/>
        <v>0.84481991996442873</v>
      </c>
      <c r="L60" s="75">
        <f>VLOOKUP($A60,'Data Vlaue (Cr)'!$C:$FB,67)</f>
        <v>1777</v>
      </c>
      <c r="M60" s="75">
        <f>VLOOKUP($A60,'Data Vlaue (Cr)'!$C:$FB,68)</f>
        <v>2044</v>
      </c>
      <c r="N60" s="75">
        <f t="shared" si="4"/>
        <v>-267</v>
      </c>
      <c r="O60" s="75">
        <f t="shared" si="5"/>
        <v>-15.025323579065841</v>
      </c>
      <c r="P60" s="75">
        <f>VLOOKUP($A60,'Data Vlaue (Cr)'!$C:$FB,119)</f>
        <v>0.71</v>
      </c>
      <c r="Q60" s="75">
        <f>VLOOKUP($A60,'Data Vlaue (Cr)'!$C:$FB,122)*100</f>
        <v>-12.35</v>
      </c>
      <c r="R60" s="75">
        <f>VLOOKUP($A60,'Data Vlaue (Cr)'!$C:$FB,125)</f>
        <v>0.39</v>
      </c>
      <c r="S60" s="75">
        <f>VLOOKUP($A60,'Data Vlaue (Cr)'!$C:$FB,128)*100</f>
        <v>-69.289999999999992</v>
      </c>
    </row>
    <row r="61" spans="1:19" x14ac:dyDescent="0.25">
      <c r="A61" s="96" t="str">
        <f>'Data Vlaue (Cr)'!C52</f>
        <v>DABUR</v>
      </c>
      <c r="B61" s="75">
        <f>VLOOKUP($A61,'Data Vlaue (Cr)'!$C:$FB,2)</f>
        <v>1250</v>
      </c>
      <c r="C61" s="75">
        <f>VLOOKUP($A61,'Data Vlaue (Cr)'!$C:$FB,8)</f>
        <v>487.9</v>
      </c>
      <c r="D61" s="75">
        <f>VLOOKUP($A61,'Data Vlaue (Cr)'!$C:$FB,4)</f>
        <v>489.7</v>
      </c>
      <c r="E61" s="75">
        <f>VLOOKUP($A61,'Data Vlaue (Cr)'!$C:$FB,5)</f>
        <v>489.7</v>
      </c>
      <c r="F61" s="75">
        <f t="shared" si="0"/>
        <v>1.8000000000000114</v>
      </c>
      <c r="G61" s="75">
        <f t="shared" si="1"/>
        <v>0</v>
      </c>
      <c r="H61" s="75">
        <f>VLOOKUP($A61,'Data Vlaue (Cr)'!$C:$FB,99)</f>
        <v>1882</v>
      </c>
      <c r="I61" s="75">
        <f>VLOOKUP($A61,'Data Vlaue (Cr)'!$C:$FB,100)</f>
        <v>1809</v>
      </c>
      <c r="J61" s="75">
        <f t="shared" si="2"/>
        <v>73</v>
      </c>
      <c r="K61" s="75">
        <f t="shared" si="3"/>
        <v>3.8788522848034002</v>
      </c>
      <c r="L61" s="75">
        <f>VLOOKUP($A61,'Data Vlaue (Cr)'!$C:$FB,67)</f>
        <v>753</v>
      </c>
      <c r="M61" s="75">
        <f>VLOOKUP($A61,'Data Vlaue (Cr)'!$C:$FB,68)</f>
        <v>818</v>
      </c>
      <c r="N61" s="75">
        <f t="shared" si="4"/>
        <v>-65</v>
      </c>
      <c r="O61" s="75">
        <f t="shared" si="5"/>
        <v>-8.6321381142098286</v>
      </c>
      <c r="P61" s="75">
        <f>VLOOKUP($A61,'Data Vlaue (Cr)'!$C:$FB,119)</f>
        <v>0.49</v>
      </c>
      <c r="Q61" s="75">
        <f>VLOOKUP($A61,'Data Vlaue (Cr)'!$C:$FB,122)*100</f>
        <v>-9.26</v>
      </c>
      <c r="R61" s="75">
        <f>VLOOKUP($A61,'Data Vlaue (Cr)'!$C:$FB,125)</f>
        <v>0.56999999999999995</v>
      </c>
      <c r="S61" s="75">
        <f>VLOOKUP($A61,'Data Vlaue (Cr)'!$C:$FB,128)*100</f>
        <v>-13.639999999999999</v>
      </c>
    </row>
    <row r="62" spans="1:19" x14ac:dyDescent="0.25">
      <c r="A62" s="96" t="str">
        <f>'Data Vlaue (Cr)'!C53</f>
        <v>DALBHARAT</v>
      </c>
      <c r="B62" s="75">
        <f>VLOOKUP($A62,'Data Vlaue (Cr)'!$C:$FB,2)</f>
        <v>325</v>
      </c>
      <c r="C62" s="75">
        <f>VLOOKUP($A62,'Data Vlaue (Cr)'!$C:$FB,8)</f>
        <v>1928.7</v>
      </c>
      <c r="D62" s="75">
        <f>VLOOKUP($A62,'Data Vlaue (Cr)'!$C:$FB,4)</f>
        <v>1932.6</v>
      </c>
      <c r="E62" s="75">
        <f>VLOOKUP($A62,'Data Vlaue (Cr)'!$C:$FB,5)</f>
        <v>1901.3</v>
      </c>
      <c r="F62" s="75">
        <f t="shared" si="0"/>
        <v>3.8999999999998636</v>
      </c>
      <c r="G62" s="75">
        <f t="shared" si="1"/>
        <v>1.6195798406292019</v>
      </c>
      <c r="H62" s="75">
        <f>VLOOKUP($A62,'Data Vlaue (Cr)'!$C:$FB,99)</f>
        <v>770</v>
      </c>
      <c r="I62" s="75">
        <f>VLOOKUP($A62,'Data Vlaue (Cr)'!$C:$FB,100)</f>
        <v>760</v>
      </c>
      <c r="J62" s="75">
        <f t="shared" si="2"/>
        <v>10</v>
      </c>
      <c r="K62" s="75">
        <f t="shared" si="3"/>
        <v>1.2987012987012987</v>
      </c>
      <c r="L62" s="75">
        <f>VLOOKUP($A62,'Data Vlaue (Cr)'!$C:$FB,67)</f>
        <v>245</v>
      </c>
      <c r="M62" s="75">
        <f>VLOOKUP($A62,'Data Vlaue (Cr)'!$C:$FB,68)</f>
        <v>332</v>
      </c>
      <c r="N62" s="75">
        <f t="shared" si="4"/>
        <v>-87</v>
      </c>
      <c r="O62" s="75">
        <f t="shared" si="5"/>
        <v>-35.510204081632651</v>
      </c>
      <c r="P62" s="75">
        <f>VLOOKUP($A62,'Data Vlaue (Cr)'!$C:$FB,119)</f>
        <v>0.99</v>
      </c>
      <c r="Q62" s="75">
        <f>VLOOKUP($A62,'Data Vlaue (Cr)'!$C:$FB,122)*100</f>
        <v>-9.17</v>
      </c>
      <c r="R62" s="75">
        <f>VLOOKUP($A62,'Data Vlaue (Cr)'!$C:$FB,125)</f>
        <v>1.42</v>
      </c>
      <c r="S62" s="75">
        <f>VLOOKUP($A62,'Data Vlaue (Cr)'!$C:$FB,128)*100</f>
        <v>-15.479999999999999</v>
      </c>
    </row>
    <row r="63" spans="1:19" x14ac:dyDescent="0.25">
      <c r="A63" s="96" t="str">
        <f>'Data Vlaue (Cr)'!C54</f>
        <v>DELHIVERY</v>
      </c>
      <c r="B63" s="75">
        <f>VLOOKUP($A63,'Data Vlaue (Cr)'!$C:$FB,2)</f>
        <v>2075</v>
      </c>
      <c r="C63" s="75">
        <f>VLOOKUP($A63,'Data Vlaue (Cr)'!$C:$FB,8)</f>
        <v>428.1</v>
      </c>
      <c r="D63" s="75">
        <f>VLOOKUP($A63,'Data Vlaue (Cr)'!$C:$FB,4)</f>
        <v>428.95</v>
      </c>
      <c r="E63" s="75">
        <f>VLOOKUP($A63,'Data Vlaue (Cr)'!$C:$FB,5)</f>
        <v>418.85</v>
      </c>
      <c r="F63" s="75">
        <f t="shared" si="0"/>
        <v>0.84999999999996589</v>
      </c>
      <c r="G63" s="75">
        <f t="shared" si="1"/>
        <v>2.3545867816761783</v>
      </c>
      <c r="H63" s="75">
        <f>VLOOKUP($A63,'Data Vlaue (Cr)'!$C:$FB,99)</f>
        <v>1396</v>
      </c>
      <c r="I63" s="75">
        <f>VLOOKUP($A63,'Data Vlaue (Cr)'!$C:$FB,100)</f>
        <v>1328</v>
      </c>
      <c r="J63" s="75">
        <f t="shared" si="2"/>
        <v>68</v>
      </c>
      <c r="K63" s="75">
        <f t="shared" si="3"/>
        <v>4.8710601719197708</v>
      </c>
      <c r="L63" s="75">
        <f>VLOOKUP($A63,'Data Vlaue (Cr)'!$C:$FB,67)</f>
        <v>584</v>
      </c>
      <c r="M63" s="75">
        <f>VLOOKUP($A63,'Data Vlaue (Cr)'!$C:$FB,68)</f>
        <v>506</v>
      </c>
      <c r="N63" s="75">
        <f t="shared" si="4"/>
        <v>78</v>
      </c>
      <c r="O63" s="75">
        <f t="shared" si="5"/>
        <v>13.356164383561644</v>
      </c>
      <c r="P63" s="75">
        <f>VLOOKUP($A63,'Data Vlaue (Cr)'!$C:$FB,119)</f>
        <v>0.44</v>
      </c>
      <c r="Q63" s="75">
        <f>VLOOKUP($A63,'Data Vlaue (Cr)'!$C:$FB,122)*100</f>
        <v>-6.38</v>
      </c>
      <c r="R63" s="75">
        <f>VLOOKUP($A63,'Data Vlaue (Cr)'!$C:$FB,125)</f>
        <v>0.24</v>
      </c>
      <c r="S63" s="75">
        <f>VLOOKUP($A63,'Data Vlaue (Cr)'!$C:$FB,128)*100</f>
        <v>-61.29</v>
      </c>
    </row>
    <row r="64" spans="1:19" x14ac:dyDescent="0.25">
      <c r="A64" s="96" t="str">
        <f>'Data Vlaue (Cr)'!C55</f>
        <v>DIVISLAB</v>
      </c>
      <c r="B64" s="75">
        <f>VLOOKUP($A64,'Data Vlaue (Cr)'!$C:$FB,2)</f>
        <v>100</v>
      </c>
      <c r="C64" s="75">
        <f>VLOOKUP($A64,'Data Vlaue (Cr)'!$C:$FB,8)</f>
        <v>6364.5</v>
      </c>
      <c r="D64" s="75">
        <f>VLOOKUP($A64,'Data Vlaue (Cr)'!$C:$FB,4)</f>
        <v>6392.5</v>
      </c>
      <c r="E64" s="75">
        <f>VLOOKUP($A64,'Data Vlaue (Cr)'!$C:$FB,5)</f>
        <v>6329</v>
      </c>
      <c r="F64" s="75">
        <f t="shared" si="0"/>
        <v>28</v>
      </c>
      <c r="G64" s="75">
        <f t="shared" si="1"/>
        <v>0.99335158388736788</v>
      </c>
      <c r="H64" s="75">
        <f>VLOOKUP($A64,'Data Vlaue (Cr)'!$C:$FB,99)</f>
        <v>2449</v>
      </c>
      <c r="I64" s="75">
        <f>VLOOKUP($A64,'Data Vlaue (Cr)'!$C:$FB,100)</f>
        <v>2424</v>
      </c>
      <c r="J64" s="75">
        <f t="shared" si="2"/>
        <v>25</v>
      </c>
      <c r="K64" s="75">
        <f t="shared" si="3"/>
        <v>1.0208248264597795</v>
      </c>
      <c r="L64" s="75">
        <f>VLOOKUP($A64,'Data Vlaue (Cr)'!$C:$FB,67)</f>
        <v>738</v>
      </c>
      <c r="M64" s="75">
        <f>VLOOKUP($A64,'Data Vlaue (Cr)'!$C:$FB,68)</f>
        <v>991</v>
      </c>
      <c r="N64" s="75">
        <f t="shared" si="4"/>
        <v>-253</v>
      </c>
      <c r="O64" s="75">
        <f t="shared" si="5"/>
        <v>-34.281842818428181</v>
      </c>
      <c r="P64" s="75">
        <f>VLOOKUP($A64,'Data Vlaue (Cr)'!$C:$FB,119)</f>
        <v>0.56999999999999995</v>
      </c>
      <c r="Q64" s="75">
        <f>VLOOKUP($A64,'Data Vlaue (Cr)'!$C:$FB,122)*100</f>
        <v>-1.72</v>
      </c>
      <c r="R64" s="75">
        <f>VLOOKUP($A64,'Data Vlaue (Cr)'!$C:$FB,125)</f>
        <v>0.27</v>
      </c>
      <c r="S64" s="75">
        <f>VLOOKUP($A64,'Data Vlaue (Cr)'!$C:$FB,128)*100</f>
        <v>-61.970000000000006</v>
      </c>
    </row>
    <row r="65" spans="1:19" x14ac:dyDescent="0.25">
      <c r="A65" s="96" t="str">
        <f>'Data Vlaue (Cr)'!C56</f>
        <v>DIXON</v>
      </c>
      <c r="B65" s="75">
        <f>VLOOKUP($A65,'Data Vlaue (Cr)'!$C:$FB,2)</f>
        <v>50</v>
      </c>
      <c r="C65" s="75">
        <f>VLOOKUP($A65,'Data Vlaue (Cr)'!$C:$FB,8)</f>
        <v>10224</v>
      </c>
      <c r="D65" s="75">
        <f>VLOOKUP($A65,'Data Vlaue (Cr)'!$C:$FB,4)</f>
        <v>10236</v>
      </c>
      <c r="E65" s="75">
        <f>VLOOKUP($A65,'Data Vlaue (Cr)'!$C:$FB,5)</f>
        <v>10175</v>
      </c>
      <c r="F65" s="75">
        <f t="shared" si="0"/>
        <v>12</v>
      </c>
      <c r="G65" s="75">
        <f t="shared" si="1"/>
        <v>0.59593591246580691</v>
      </c>
      <c r="H65" s="75">
        <f>VLOOKUP($A65,'Data Vlaue (Cr)'!$C:$FB,99)</f>
        <v>5740</v>
      </c>
      <c r="I65" s="75">
        <f>VLOOKUP($A65,'Data Vlaue (Cr)'!$C:$FB,100)</f>
        <v>5781</v>
      </c>
      <c r="J65" s="75">
        <f t="shared" si="2"/>
        <v>-41</v>
      </c>
      <c r="K65" s="75">
        <f t="shared" si="3"/>
        <v>-0.7142857142857143</v>
      </c>
      <c r="L65" s="75">
        <f>VLOOKUP($A65,'Data Vlaue (Cr)'!$C:$FB,67)</f>
        <v>4056</v>
      </c>
      <c r="M65" s="75">
        <f>VLOOKUP($A65,'Data Vlaue (Cr)'!$C:$FB,68)</f>
        <v>5424</v>
      </c>
      <c r="N65" s="75">
        <f t="shared" si="4"/>
        <v>-1368</v>
      </c>
      <c r="O65" s="75">
        <f t="shared" si="5"/>
        <v>-33.727810650887577</v>
      </c>
      <c r="P65" s="75">
        <f>VLOOKUP($A65,'Data Vlaue (Cr)'!$C:$FB,119)</f>
        <v>0.61</v>
      </c>
      <c r="Q65" s="75">
        <f>VLOOKUP($A65,'Data Vlaue (Cr)'!$C:$FB,122)*100</f>
        <v>0</v>
      </c>
      <c r="R65" s="75">
        <f>VLOOKUP($A65,'Data Vlaue (Cr)'!$C:$FB,125)</f>
        <v>0.48</v>
      </c>
      <c r="S65" s="75">
        <f>VLOOKUP($A65,'Data Vlaue (Cr)'!$C:$FB,128)*100</f>
        <v>-18.64</v>
      </c>
    </row>
    <row r="66" spans="1:19" x14ac:dyDescent="0.25">
      <c r="A66" s="96" t="str">
        <f>'Data Vlaue (Cr)'!C57</f>
        <v>DLF</v>
      </c>
      <c r="B66" s="75">
        <f>VLOOKUP($A66,'Data Vlaue (Cr)'!$C:$FB,2)</f>
        <v>825</v>
      </c>
      <c r="C66" s="75">
        <f>VLOOKUP($A66,'Data Vlaue (Cr)'!$C:$FB,8)</f>
        <v>585.15</v>
      </c>
      <c r="D66" s="75">
        <f>VLOOKUP($A66,'Data Vlaue (Cr)'!$C:$FB,4)</f>
        <v>587.29999999999995</v>
      </c>
      <c r="E66" s="75">
        <f>VLOOKUP($A66,'Data Vlaue (Cr)'!$C:$FB,5)</f>
        <v>571.54999999999995</v>
      </c>
      <c r="F66" s="75">
        <f t="shared" si="0"/>
        <v>2.1499999999999773</v>
      </c>
      <c r="G66" s="75">
        <f t="shared" si="1"/>
        <v>2.6817640047675808</v>
      </c>
      <c r="H66" s="75">
        <f>VLOOKUP($A66,'Data Vlaue (Cr)'!$C:$FB,99)</f>
        <v>4466</v>
      </c>
      <c r="I66" s="75">
        <f>VLOOKUP($A66,'Data Vlaue (Cr)'!$C:$FB,100)</f>
        <v>4506</v>
      </c>
      <c r="J66" s="75">
        <f t="shared" si="2"/>
        <v>-40</v>
      </c>
      <c r="K66" s="75">
        <f t="shared" si="3"/>
        <v>-0.89565606806986109</v>
      </c>
      <c r="L66" s="75">
        <f>VLOOKUP($A66,'Data Vlaue (Cr)'!$C:$FB,67)</f>
        <v>1552</v>
      </c>
      <c r="M66" s="75">
        <f>VLOOKUP($A66,'Data Vlaue (Cr)'!$C:$FB,68)</f>
        <v>2721</v>
      </c>
      <c r="N66" s="75">
        <f t="shared" si="4"/>
        <v>-1169</v>
      </c>
      <c r="O66" s="75">
        <f t="shared" si="5"/>
        <v>-75.322164948453604</v>
      </c>
      <c r="P66" s="75">
        <f>VLOOKUP($A66,'Data Vlaue (Cr)'!$C:$FB,119)</f>
        <v>0.84</v>
      </c>
      <c r="Q66" s="75">
        <f>VLOOKUP($A66,'Data Vlaue (Cr)'!$C:$FB,122)*100</f>
        <v>2.44</v>
      </c>
      <c r="R66" s="75">
        <f>VLOOKUP($A66,'Data Vlaue (Cr)'!$C:$FB,125)</f>
        <v>0.52</v>
      </c>
      <c r="S66" s="75">
        <f>VLOOKUP($A66,'Data Vlaue (Cr)'!$C:$FB,128)*100</f>
        <v>-38.1</v>
      </c>
    </row>
    <row r="67" spans="1:19" x14ac:dyDescent="0.25">
      <c r="A67" s="96" t="str">
        <f>'Data Vlaue (Cr)'!C58</f>
        <v>DMART</v>
      </c>
      <c r="B67" s="75">
        <f>VLOOKUP($A67,'Data Vlaue (Cr)'!$C:$FB,2)</f>
        <v>150</v>
      </c>
      <c r="C67" s="75">
        <f>VLOOKUP($A67,'Data Vlaue (Cr)'!$C:$FB,8)</f>
        <v>3835.4</v>
      </c>
      <c r="D67" s="75">
        <f>VLOOKUP($A67,'Data Vlaue (Cr)'!$C:$FB,4)</f>
        <v>3844.7</v>
      </c>
      <c r="E67" s="75">
        <f>VLOOKUP($A67,'Data Vlaue (Cr)'!$C:$FB,5)</f>
        <v>3744.8</v>
      </c>
      <c r="F67" s="75">
        <f t="shared" si="0"/>
        <v>9.2999999999997272</v>
      </c>
      <c r="G67" s="75">
        <f t="shared" si="1"/>
        <v>2.5983821884672311</v>
      </c>
      <c r="H67" s="75">
        <f>VLOOKUP($A67,'Data Vlaue (Cr)'!$C:$FB,99)</f>
        <v>2802</v>
      </c>
      <c r="I67" s="75">
        <f>VLOOKUP($A67,'Data Vlaue (Cr)'!$C:$FB,100)</f>
        <v>2772</v>
      </c>
      <c r="J67" s="75">
        <f t="shared" si="2"/>
        <v>30</v>
      </c>
      <c r="K67" s="75">
        <f t="shared" si="3"/>
        <v>1.070663811563169</v>
      </c>
      <c r="L67" s="75">
        <f>VLOOKUP($A67,'Data Vlaue (Cr)'!$C:$FB,67)</f>
        <v>1017</v>
      </c>
      <c r="M67" s="75">
        <f>VLOOKUP($A67,'Data Vlaue (Cr)'!$C:$FB,68)</f>
        <v>712</v>
      </c>
      <c r="N67" s="75">
        <f t="shared" si="4"/>
        <v>305</v>
      </c>
      <c r="O67" s="75">
        <f t="shared" si="5"/>
        <v>29.990167158308751</v>
      </c>
      <c r="P67" s="75">
        <f>VLOOKUP($A67,'Data Vlaue (Cr)'!$C:$FB,119)</f>
        <v>0.78</v>
      </c>
      <c r="Q67" s="75">
        <f>VLOOKUP($A67,'Data Vlaue (Cr)'!$C:$FB,122)*100</f>
        <v>-6.02</v>
      </c>
      <c r="R67" s="75">
        <f>VLOOKUP($A67,'Data Vlaue (Cr)'!$C:$FB,125)</f>
        <v>0.4</v>
      </c>
      <c r="S67" s="75">
        <f>VLOOKUP($A67,'Data Vlaue (Cr)'!$C:$FB,128)*100</f>
        <v>-56.989999999999995</v>
      </c>
    </row>
    <row r="68" spans="1:19" x14ac:dyDescent="0.25">
      <c r="A68" s="96" t="str">
        <f>'Data Vlaue (Cr)'!C59</f>
        <v>DRREDDY</v>
      </c>
      <c r="B68" s="75">
        <f>VLOOKUP($A68,'Data Vlaue (Cr)'!$C:$FB,2)</f>
        <v>625</v>
      </c>
      <c r="C68" s="75">
        <f>VLOOKUP($A68,'Data Vlaue (Cr)'!$C:$FB,8)</f>
        <v>1313.5</v>
      </c>
      <c r="D68" s="75">
        <f>VLOOKUP($A68,'Data Vlaue (Cr)'!$C:$FB,4)</f>
        <v>1318</v>
      </c>
      <c r="E68" s="75">
        <f>VLOOKUP($A68,'Data Vlaue (Cr)'!$C:$FB,5)</f>
        <v>1293.8</v>
      </c>
      <c r="F68" s="75">
        <f t="shared" si="0"/>
        <v>4.5</v>
      </c>
      <c r="G68" s="75">
        <f t="shared" si="1"/>
        <v>1.8361153262519001</v>
      </c>
      <c r="H68" s="75">
        <f>VLOOKUP($A68,'Data Vlaue (Cr)'!$C:$FB,99)</f>
        <v>3089</v>
      </c>
      <c r="I68" s="75">
        <f>VLOOKUP($A68,'Data Vlaue (Cr)'!$C:$FB,100)</f>
        <v>3060</v>
      </c>
      <c r="J68" s="75">
        <f t="shared" si="2"/>
        <v>29</v>
      </c>
      <c r="K68" s="75">
        <f t="shared" si="3"/>
        <v>0.93881515053415354</v>
      </c>
      <c r="L68" s="75">
        <f>VLOOKUP($A68,'Data Vlaue (Cr)'!$C:$FB,67)</f>
        <v>1625</v>
      </c>
      <c r="M68" s="75">
        <f>VLOOKUP($A68,'Data Vlaue (Cr)'!$C:$FB,68)</f>
        <v>1580</v>
      </c>
      <c r="N68" s="75">
        <f t="shared" si="4"/>
        <v>45</v>
      </c>
      <c r="O68" s="75">
        <f t="shared" si="5"/>
        <v>2.7692307692307692</v>
      </c>
      <c r="P68" s="75">
        <f>VLOOKUP($A68,'Data Vlaue (Cr)'!$C:$FB,119)</f>
        <v>0.66</v>
      </c>
      <c r="Q68" s="75">
        <f>VLOOKUP($A68,'Data Vlaue (Cr)'!$C:$FB,122)*100</f>
        <v>-1.49</v>
      </c>
      <c r="R68" s="75">
        <f>VLOOKUP($A68,'Data Vlaue (Cr)'!$C:$FB,125)</f>
        <v>0.36</v>
      </c>
      <c r="S68" s="75">
        <f>VLOOKUP($A68,'Data Vlaue (Cr)'!$C:$FB,128)*100</f>
        <v>-34.549999999999997</v>
      </c>
    </row>
    <row r="69" spans="1:19" x14ac:dyDescent="0.25">
      <c r="A69" s="96" t="str">
        <f>'Data Vlaue (Cr)'!C60</f>
        <v>EICHERMOT</v>
      </c>
      <c r="B69" s="75">
        <f>VLOOKUP($A69,'Data Vlaue (Cr)'!$C:$FB,2)</f>
        <v>100</v>
      </c>
      <c r="C69" s="75">
        <f>VLOOKUP($A69,'Data Vlaue (Cr)'!$C:$FB,8)</f>
        <v>7755</v>
      </c>
      <c r="D69" s="75">
        <f>VLOOKUP($A69,'Data Vlaue (Cr)'!$C:$FB,4)</f>
        <v>7768</v>
      </c>
      <c r="E69" s="75">
        <f>VLOOKUP($A69,'Data Vlaue (Cr)'!$C:$FB,5)</f>
        <v>7654</v>
      </c>
      <c r="F69" s="75">
        <f t="shared" si="0"/>
        <v>13</v>
      </c>
      <c r="G69" s="75">
        <f t="shared" si="1"/>
        <v>1.4675592173017509</v>
      </c>
      <c r="H69" s="75">
        <f>VLOOKUP($A69,'Data Vlaue (Cr)'!$C:$FB,99)</f>
        <v>4593</v>
      </c>
      <c r="I69" s="75">
        <f>VLOOKUP($A69,'Data Vlaue (Cr)'!$C:$FB,100)</f>
        <v>4554</v>
      </c>
      <c r="J69" s="75">
        <f t="shared" si="2"/>
        <v>39</v>
      </c>
      <c r="K69" s="75">
        <f t="shared" si="3"/>
        <v>0.84911822338340959</v>
      </c>
      <c r="L69" s="75">
        <f>VLOOKUP($A69,'Data Vlaue (Cr)'!$C:$FB,67)</f>
        <v>2338</v>
      </c>
      <c r="M69" s="75">
        <f>VLOOKUP($A69,'Data Vlaue (Cr)'!$C:$FB,68)</f>
        <v>2743</v>
      </c>
      <c r="N69" s="75">
        <f t="shared" si="4"/>
        <v>-405</v>
      </c>
      <c r="O69" s="75">
        <f t="shared" si="5"/>
        <v>-17.322497861420018</v>
      </c>
      <c r="P69" s="75">
        <f>VLOOKUP($A69,'Data Vlaue (Cr)'!$C:$FB,119)</f>
        <v>0.61</v>
      </c>
      <c r="Q69" s="75">
        <f>VLOOKUP($A69,'Data Vlaue (Cr)'!$C:$FB,122)*100</f>
        <v>-3.17</v>
      </c>
      <c r="R69" s="75">
        <f>VLOOKUP($A69,'Data Vlaue (Cr)'!$C:$FB,125)</f>
        <v>0.47</v>
      </c>
      <c r="S69" s="75">
        <f>VLOOKUP($A69,'Data Vlaue (Cr)'!$C:$FB,128)*100</f>
        <v>-51.04</v>
      </c>
    </row>
    <row r="70" spans="1:19" x14ac:dyDescent="0.25">
      <c r="A70" s="96" t="str">
        <f>'Data Vlaue (Cr)'!C61</f>
        <v>ETERNAL</v>
      </c>
      <c r="B70" s="75">
        <f>VLOOKUP($A70,'Data Vlaue (Cr)'!$C:$FB,2)</f>
        <v>2425</v>
      </c>
      <c r="C70" s="75">
        <f>VLOOKUP($A70,'Data Vlaue (Cr)'!$C:$FB,8)</f>
        <v>240.14</v>
      </c>
      <c r="D70" s="75">
        <f>VLOOKUP($A70,'Data Vlaue (Cr)'!$C:$FB,4)</f>
        <v>240.67</v>
      </c>
      <c r="E70" s="75">
        <f>VLOOKUP($A70,'Data Vlaue (Cr)'!$C:$FB,5)</f>
        <v>241.18</v>
      </c>
      <c r="F70" s="75">
        <f t="shared" si="0"/>
        <v>0.53000000000000114</v>
      </c>
      <c r="G70" s="75">
        <f t="shared" si="1"/>
        <v>-0.21190842232102852</v>
      </c>
      <c r="H70" s="75">
        <f>VLOOKUP($A70,'Data Vlaue (Cr)'!$C:$FB,99)</f>
        <v>11016</v>
      </c>
      <c r="I70" s="75">
        <f>VLOOKUP($A70,'Data Vlaue (Cr)'!$C:$FB,100)</f>
        <v>10752</v>
      </c>
      <c r="J70" s="75">
        <f t="shared" si="2"/>
        <v>264</v>
      </c>
      <c r="K70" s="75">
        <f t="shared" si="3"/>
        <v>2.3965141612200433</v>
      </c>
      <c r="L70" s="75">
        <f>VLOOKUP($A70,'Data Vlaue (Cr)'!$C:$FB,67)</f>
        <v>4743</v>
      </c>
      <c r="M70" s="75">
        <f>VLOOKUP($A70,'Data Vlaue (Cr)'!$C:$FB,68)</f>
        <v>3675</v>
      </c>
      <c r="N70" s="75">
        <f t="shared" si="4"/>
        <v>1068</v>
      </c>
      <c r="O70" s="75">
        <f t="shared" si="5"/>
        <v>22.51739405439595</v>
      </c>
      <c r="P70" s="75">
        <f>VLOOKUP($A70,'Data Vlaue (Cr)'!$C:$FB,119)</f>
        <v>0.49</v>
      </c>
      <c r="Q70" s="75">
        <f>VLOOKUP($A70,'Data Vlaue (Cr)'!$C:$FB,122)*100</f>
        <v>0</v>
      </c>
      <c r="R70" s="75">
        <f>VLOOKUP($A70,'Data Vlaue (Cr)'!$C:$FB,125)</f>
        <v>0.47</v>
      </c>
      <c r="S70" s="75">
        <f>VLOOKUP($A70,'Data Vlaue (Cr)'!$C:$FB,128)*100</f>
        <v>-2.08</v>
      </c>
    </row>
    <row r="71" spans="1:19" x14ac:dyDescent="0.25">
      <c r="A71" s="96" t="str">
        <f>'Data Vlaue (Cr)'!C62</f>
        <v>EXIDEIND</v>
      </c>
      <c r="B71" s="75">
        <f>VLOOKUP($A71,'Data Vlaue (Cr)'!$C:$FB,2)</f>
        <v>1800</v>
      </c>
      <c r="C71" s="75">
        <f>VLOOKUP($A71,'Data Vlaue (Cr)'!$C:$FB,8)</f>
        <v>319.64999999999998</v>
      </c>
      <c r="D71" s="75">
        <f>VLOOKUP($A71,'Data Vlaue (Cr)'!$C:$FB,4)</f>
        <v>320.95</v>
      </c>
      <c r="E71" s="75">
        <f>VLOOKUP($A71,'Data Vlaue (Cr)'!$C:$FB,5)</f>
        <v>315.14999999999998</v>
      </c>
      <c r="F71" s="75">
        <f t="shared" si="0"/>
        <v>1.3000000000000114</v>
      </c>
      <c r="G71" s="75">
        <f t="shared" si="1"/>
        <v>1.8071350677675686</v>
      </c>
      <c r="H71" s="75">
        <f>VLOOKUP($A71,'Data Vlaue (Cr)'!$C:$FB,99)</f>
        <v>1554</v>
      </c>
      <c r="I71" s="75">
        <f>VLOOKUP($A71,'Data Vlaue (Cr)'!$C:$FB,100)</f>
        <v>1540</v>
      </c>
      <c r="J71" s="75">
        <f t="shared" si="2"/>
        <v>14</v>
      </c>
      <c r="K71" s="75">
        <f t="shared" si="3"/>
        <v>0.90090090090090091</v>
      </c>
      <c r="L71" s="75">
        <f>VLOOKUP($A71,'Data Vlaue (Cr)'!$C:$FB,67)</f>
        <v>410</v>
      </c>
      <c r="M71" s="75">
        <f>VLOOKUP($A71,'Data Vlaue (Cr)'!$C:$FB,68)</f>
        <v>391</v>
      </c>
      <c r="N71" s="75">
        <f t="shared" si="4"/>
        <v>19</v>
      </c>
      <c r="O71" s="75">
        <f t="shared" si="5"/>
        <v>4.6341463414634143</v>
      </c>
      <c r="P71" s="75">
        <f>VLOOKUP($A71,'Data Vlaue (Cr)'!$C:$FB,119)</f>
        <v>0.94</v>
      </c>
      <c r="Q71" s="75">
        <f>VLOOKUP($A71,'Data Vlaue (Cr)'!$C:$FB,122)*100</f>
        <v>3.3000000000000003</v>
      </c>
      <c r="R71" s="75">
        <f>VLOOKUP($A71,'Data Vlaue (Cr)'!$C:$FB,125)</f>
        <v>0.55000000000000004</v>
      </c>
      <c r="S71" s="75">
        <f>VLOOKUP($A71,'Data Vlaue (Cr)'!$C:$FB,128)*100</f>
        <v>41.03</v>
      </c>
    </row>
    <row r="72" spans="1:19" x14ac:dyDescent="0.25">
      <c r="A72" s="96" t="str">
        <f>'Data Vlaue (Cr)'!C63</f>
        <v>FEDERALBNK</v>
      </c>
      <c r="B72" s="75">
        <f>VLOOKUP($A72,'Data Vlaue (Cr)'!$C:$FB,2)</f>
        <v>5000</v>
      </c>
      <c r="C72" s="75">
        <f>VLOOKUP($A72,'Data Vlaue (Cr)'!$C:$FB,8)</f>
        <v>289.7</v>
      </c>
      <c r="D72" s="75">
        <f>VLOOKUP($A72,'Data Vlaue (Cr)'!$C:$FB,4)</f>
        <v>290.85000000000002</v>
      </c>
      <c r="E72" s="75">
        <f>VLOOKUP($A72,'Data Vlaue (Cr)'!$C:$FB,5)</f>
        <v>287.8</v>
      </c>
      <c r="F72" s="75">
        <f t="shared" si="0"/>
        <v>1.1500000000000341</v>
      </c>
      <c r="G72" s="75">
        <f t="shared" si="1"/>
        <v>1.0486505071342653</v>
      </c>
      <c r="H72" s="75">
        <f>VLOOKUP($A72,'Data Vlaue (Cr)'!$C:$FB,99)</f>
        <v>3642</v>
      </c>
      <c r="I72" s="75">
        <f>VLOOKUP($A72,'Data Vlaue (Cr)'!$C:$FB,100)</f>
        <v>3385</v>
      </c>
      <c r="J72" s="75">
        <f t="shared" si="2"/>
        <v>257</v>
      </c>
      <c r="K72" s="75">
        <f t="shared" si="3"/>
        <v>7.0565623283909948</v>
      </c>
      <c r="L72" s="75">
        <f>VLOOKUP($A72,'Data Vlaue (Cr)'!$C:$FB,67)</f>
        <v>2893</v>
      </c>
      <c r="M72" s="75">
        <f>VLOOKUP($A72,'Data Vlaue (Cr)'!$C:$FB,68)</f>
        <v>3895</v>
      </c>
      <c r="N72" s="75">
        <f t="shared" si="4"/>
        <v>-1002</v>
      </c>
      <c r="O72" s="75">
        <f t="shared" si="5"/>
        <v>-34.635326650535774</v>
      </c>
      <c r="P72" s="75">
        <f>VLOOKUP($A72,'Data Vlaue (Cr)'!$C:$FB,119)</f>
        <v>0.7</v>
      </c>
      <c r="Q72" s="75">
        <f>VLOOKUP($A72,'Data Vlaue (Cr)'!$C:$FB,122)*100</f>
        <v>-2.78</v>
      </c>
      <c r="R72" s="75">
        <f>VLOOKUP($A72,'Data Vlaue (Cr)'!$C:$FB,125)</f>
        <v>0.7</v>
      </c>
      <c r="S72" s="75">
        <f>VLOOKUP($A72,'Data Vlaue (Cr)'!$C:$FB,128)*100</f>
        <v>-27.08</v>
      </c>
    </row>
    <row r="73" spans="1:19" x14ac:dyDescent="0.25">
      <c r="A73" s="96" t="str">
        <f>'Data Vlaue (Cr)'!C64</f>
        <v>FINNIFTY</v>
      </c>
      <c r="B73" s="75">
        <f>VLOOKUP($A73,'Data Vlaue (Cr)'!$C:$FB,2)</f>
        <v>60</v>
      </c>
      <c r="C73" s="75">
        <f>VLOOKUP($A73,'Data Vlaue (Cr)'!$C:$FB,8)</f>
        <v>27235.8</v>
      </c>
      <c r="D73" s="75">
        <f>VLOOKUP($A73,'Data Vlaue (Cr)'!$C:$FB,4)</f>
        <v>27361.1</v>
      </c>
      <c r="E73" s="75">
        <f>VLOOKUP($A73,'Data Vlaue (Cr)'!$C:$FB,5)</f>
        <v>27137.3</v>
      </c>
      <c r="F73" s="75">
        <f t="shared" si="0"/>
        <v>125.29999999999927</v>
      </c>
      <c r="G73" s="75">
        <f t="shared" si="1"/>
        <v>0.81794957074093988</v>
      </c>
      <c r="H73" s="75">
        <f>VLOOKUP($A73,'Data Vlaue (Cr)'!$C:$FB,99)</f>
        <v>3819</v>
      </c>
      <c r="I73" s="75">
        <f>VLOOKUP($A73,'Data Vlaue (Cr)'!$C:$FB,100)</f>
        <v>3680</v>
      </c>
      <c r="J73" s="75">
        <f t="shared" si="2"/>
        <v>139</v>
      </c>
      <c r="K73" s="75">
        <f t="shared" si="3"/>
        <v>3.6396962555642833</v>
      </c>
      <c r="L73" s="75">
        <f>VLOOKUP($A73,'Data Vlaue (Cr)'!$C:$FB,67)</f>
        <v>7157</v>
      </c>
      <c r="M73" s="75">
        <f>VLOOKUP($A73,'Data Vlaue (Cr)'!$C:$FB,68)</f>
        <v>7123</v>
      </c>
      <c r="N73" s="75">
        <f t="shared" si="4"/>
        <v>34</v>
      </c>
      <c r="O73" s="75">
        <f t="shared" si="5"/>
        <v>0.47505938242280288</v>
      </c>
      <c r="P73" s="75">
        <f>VLOOKUP($A73,'Data Vlaue (Cr)'!$C:$FB,119)</f>
        <v>0.85</v>
      </c>
      <c r="Q73" s="75">
        <f>VLOOKUP($A73,'Data Vlaue (Cr)'!$C:$FB,122)*100</f>
        <v>1.1900000000000002</v>
      </c>
      <c r="R73" s="75">
        <f>VLOOKUP($A73,'Data Vlaue (Cr)'!$C:$FB,125)</f>
        <v>1.08</v>
      </c>
      <c r="S73" s="75">
        <f>VLOOKUP($A73,'Data Vlaue (Cr)'!$C:$FB,128)*100</f>
        <v>-16.28</v>
      </c>
    </row>
    <row r="74" spans="1:19" x14ac:dyDescent="0.25">
      <c r="A74" s="96" t="str">
        <f>'Data Vlaue (Cr)'!C65</f>
        <v>FORTIS</v>
      </c>
      <c r="B74" s="75">
        <f>VLOOKUP($A74,'Data Vlaue (Cr)'!$C:$FB,2)</f>
        <v>775</v>
      </c>
      <c r="C74" s="75">
        <f>VLOOKUP($A74,'Data Vlaue (Cr)'!$C:$FB,8)</f>
        <v>920.95</v>
      </c>
      <c r="D74" s="75">
        <f>VLOOKUP($A74,'Data Vlaue (Cr)'!$C:$FB,4)</f>
        <v>922.7</v>
      </c>
      <c r="E74" s="75">
        <f>VLOOKUP($A74,'Data Vlaue (Cr)'!$C:$FB,5)</f>
        <v>914.95</v>
      </c>
      <c r="F74" s="75">
        <f t="shared" si="0"/>
        <v>1.75</v>
      </c>
      <c r="G74" s="75">
        <f t="shared" si="1"/>
        <v>0.83992630324048989</v>
      </c>
      <c r="H74" s="75">
        <f>VLOOKUP($A74,'Data Vlaue (Cr)'!$C:$FB,99)</f>
        <v>1536</v>
      </c>
      <c r="I74" s="75">
        <f>VLOOKUP($A74,'Data Vlaue (Cr)'!$C:$FB,100)</f>
        <v>1497</v>
      </c>
      <c r="J74" s="75">
        <f t="shared" si="2"/>
        <v>39</v>
      </c>
      <c r="K74" s="75">
        <f t="shared" si="3"/>
        <v>2.5390625</v>
      </c>
      <c r="L74" s="75">
        <f>VLOOKUP($A74,'Data Vlaue (Cr)'!$C:$FB,67)</f>
        <v>477</v>
      </c>
      <c r="M74" s="75">
        <f>VLOOKUP($A74,'Data Vlaue (Cr)'!$C:$FB,68)</f>
        <v>650</v>
      </c>
      <c r="N74" s="75">
        <f t="shared" si="4"/>
        <v>-173</v>
      </c>
      <c r="O74" s="75">
        <f t="shared" si="5"/>
        <v>-36.268343815513624</v>
      </c>
      <c r="P74" s="75">
        <f>VLOOKUP($A74,'Data Vlaue (Cr)'!$C:$FB,119)</f>
        <v>0.46</v>
      </c>
      <c r="Q74" s="75">
        <f>VLOOKUP($A74,'Data Vlaue (Cr)'!$C:$FB,122)*100</f>
        <v>-11.540000000000001</v>
      </c>
      <c r="R74" s="75">
        <f>VLOOKUP($A74,'Data Vlaue (Cr)'!$C:$FB,125)</f>
        <v>0.5</v>
      </c>
      <c r="S74" s="75">
        <f>VLOOKUP($A74,'Data Vlaue (Cr)'!$C:$FB,128)*100</f>
        <v>8.6999999999999993</v>
      </c>
    </row>
    <row r="75" spans="1:19" x14ac:dyDescent="0.25">
      <c r="A75" s="96" t="str">
        <f>'Data Vlaue (Cr)'!C66</f>
        <v>GAIL</v>
      </c>
      <c r="B75" s="75">
        <f>VLOOKUP($A75,'Data Vlaue (Cr)'!$C:$FB,2)</f>
        <v>3150</v>
      </c>
      <c r="C75" s="75">
        <f>VLOOKUP($A75,'Data Vlaue (Cr)'!$C:$FB,8)</f>
        <v>156.72999999999999</v>
      </c>
      <c r="D75" s="75">
        <f>VLOOKUP($A75,'Data Vlaue (Cr)'!$C:$FB,4)</f>
        <v>156.94</v>
      </c>
      <c r="E75" s="75">
        <f>VLOOKUP($A75,'Data Vlaue (Cr)'!$C:$FB,5)</f>
        <v>154.97999999999999</v>
      </c>
      <c r="F75" s="75">
        <f t="shared" si="0"/>
        <v>0.21000000000000796</v>
      </c>
      <c r="G75" s="75">
        <f>(D75-E75)/D75*100</f>
        <v>1.248884924174849</v>
      </c>
      <c r="H75" s="75">
        <f>VLOOKUP($A75,'Data Vlaue (Cr)'!$C:$FB,99)</f>
        <v>2663</v>
      </c>
      <c r="I75" s="75">
        <f>VLOOKUP($A75,'Data Vlaue (Cr)'!$C:$FB,100)</f>
        <v>2606</v>
      </c>
      <c r="J75" s="75">
        <f t="shared" si="2"/>
        <v>57</v>
      </c>
      <c r="K75" s="75">
        <f t="shared" si="3"/>
        <v>2.1404431092752536</v>
      </c>
      <c r="L75" s="75">
        <f>VLOOKUP($A75,'Data Vlaue (Cr)'!$C:$FB,67)</f>
        <v>1748</v>
      </c>
      <c r="M75" s="75">
        <f>VLOOKUP($A75,'Data Vlaue (Cr)'!$C:$FB,68)</f>
        <v>3517</v>
      </c>
      <c r="N75" s="75">
        <f t="shared" si="4"/>
        <v>-1769</v>
      </c>
      <c r="O75" s="75">
        <f t="shared" si="5"/>
        <v>-101.20137299771169</v>
      </c>
      <c r="P75" s="75">
        <f>VLOOKUP($A75,'Data Vlaue (Cr)'!$C:$FB,119)</f>
        <v>1.22</v>
      </c>
      <c r="Q75" s="75">
        <f>VLOOKUP($A75,'Data Vlaue (Cr)'!$C:$FB,122)*100</f>
        <v>-8.27</v>
      </c>
      <c r="R75" s="75">
        <f>VLOOKUP($A75,'Data Vlaue (Cr)'!$C:$FB,125)</f>
        <v>0.93</v>
      </c>
      <c r="S75" s="75">
        <f>VLOOKUP($A75,'Data Vlaue (Cr)'!$C:$FB,128)*100</f>
        <v>-36.299999999999997</v>
      </c>
    </row>
    <row r="76" spans="1:19" x14ac:dyDescent="0.25">
      <c r="A76" s="96" t="str">
        <f>'Data Vlaue (Cr)'!C67</f>
        <v>GLENMARK</v>
      </c>
      <c r="B76" s="75">
        <f>VLOOKUP($A76,'Data Vlaue (Cr)'!$C:$FB,2)</f>
        <v>375</v>
      </c>
      <c r="C76" s="75">
        <f>VLOOKUP($A76,'Data Vlaue (Cr)'!$C:$FB,8)</f>
        <v>2108.9</v>
      </c>
      <c r="D76" s="75">
        <f>VLOOKUP($A76,'Data Vlaue (Cr)'!$C:$FB,4)</f>
        <v>2111.9</v>
      </c>
      <c r="E76" s="75">
        <f>VLOOKUP($A76,'Data Vlaue (Cr)'!$C:$FB,5)</f>
        <v>2048.8000000000002</v>
      </c>
      <c r="F76" s="75">
        <f t="shared" ref="F76:F139" si="6">D76-C76</f>
        <v>3</v>
      </c>
      <c r="G76" s="75">
        <f t="shared" ref="G76:G139" si="7">(D76-E76)/D76*100</f>
        <v>2.9878308632037456</v>
      </c>
      <c r="H76" s="75">
        <f>VLOOKUP($A76,'Data Vlaue (Cr)'!$C:$FB,99)</f>
        <v>2928</v>
      </c>
      <c r="I76" s="75">
        <f>VLOOKUP($A76,'Data Vlaue (Cr)'!$C:$FB,100)</f>
        <v>2946</v>
      </c>
      <c r="J76" s="75">
        <f t="shared" ref="J76:J139" si="8">H76-I76</f>
        <v>-18</v>
      </c>
      <c r="K76" s="75">
        <f t="shared" ref="K76:K139" si="9">J76/H76*100</f>
        <v>-0.61475409836065575</v>
      </c>
      <c r="L76" s="75">
        <f>VLOOKUP($A76,'Data Vlaue (Cr)'!$C:$FB,67)</f>
        <v>855</v>
      </c>
      <c r="M76" s="75">
        <f>VLOOKUP($A76,'Data Vlaue (Cr)'!$C:$FB,68)</f>
        <v>985</v>
      </c>
      <c r="N76" s="75">
        <f t="shared" ref="N76:N139" si="10">L76-M76</f>
        <v>-130</v>
      </c>
      <c r="O76" s="75">
        <f t="shared" ref="O76:O139" si="11">N76/L76*100</f>
        <v>-15.204678362573098</v>
      </c>
      <c r="P76" s="75">
        <f>VLOOKUP($A76,'Data Vlaue (Cr)'!$C:$FB,119)</f>
        <v>0.47</v>
      </c>
      <c r="Q76" s="75">
        <f>VLOOKUP($A76,'Data Vlaue (Cr)'!$C:$FB,122)*100</f>
        <v>0</v>
      </c>
      <c r="R76" s="75">
        <f>VLOOKUP($A76,'Data Vlaue (Cr)'!$C:$FB,125)</f>
        <v>0.32</v>
      </c>
      <c r="S76" s="75">
        <f>VLOOKUP($A76,'Data Vlaue (Cr)'!$C:$FB,128)*100</f>
        <v>-36</v>
      </c>
    </row>
    <row r="77" spans="1:19" x14ac:dyDescent="0.25">
      <c r="A77" s="96" t="str">
        <f>'Data Vlaue (Cr)'!C68</f>
        <v>GMRAIRPORT</v>
      </c>
      <c r="B77" s="75">
        <f>VLOOKUP($A77,'Data Vlaue (Cr)'!$C:$FB,2)</f>
        <v>6975</v>
      </c>
      <c r="C77" s="75">
        <f>VLOOKUP($A77,'Data Vlaue (Cr)'!$C:$FB,8)</f>
        <v>97.98</v>
      </c>
      <c r="D77" s="75">
        <f>VLOOKUP($A77,'Data Vlaue (Cr)'!$C:$FB,4)</f>
        <v>98.33</v>
      </c>
      <c r="E77" s="75">
        <f>VLOOKUP($A77,'Data Vlaue (Cr)'!$C:$FB,5)</f>
        <v>95.38</v>
      </c>
      <c r="F77" s="75">
        <f t="shared" si="6"/>
        <v>0.34999999999999432</v>
      </c>
      <c r="G77" s="75">
        <f t="shared" si="7"/>
        <v>3.0001016983626592</v>
      </c>
      <c r="H77" s="75">
        <f>VLOOKUP($A77,'Data Vlaue (Cr)'!$C:$FB,99)</f>
        <v>2309</v>
      </c>
      <c r="I77" s="75">
        <f>VLOOKUP($A77,'Data Vlaue (Cr)'!$C:$FB,100)</f>
        <v>2317</v>
      </c>
      <c r="J77" s="75">
        <f t="shared" si="8"/>
        <v>-8</v>
      </c>
      <c r="K77" s="75">
        <f t="shared" si="9"/>
        <v>-0.34647033347769596</v>
      </c>
      <c r="L77" s="75">
        <f>VLOOKUP($A77,'Data Vlaue (Cr)'!$C:$FB,67)</f>
        <v>678</v>
      </c>
      <c r="M77" s="75">
        <f>VLOOKUP($A77,'Data Vlaue (Cr)'!$C:$FB,68)</f>
        <v>1019</v>
      </c>
      <c r="N77" s="75">
        <f t="shared" si="10"/>
        <v>-341</v>
      </c>
      <c r="O77" s="75">
        <f t="shared" si="11"/>
        <v>-50.294985250737469</v>
      </c>
      <c r="P77" s="75">
        <f>VLOOKUP($A77,'Data Vlaue (Cr)'!$C:$FB,119)</f>
        <v>0.71</v>
      </c>
      <c r="Q77" s="75">
        <f>VLOOKUP($A77,'Data Vlaue (Cr)'!$C:$FB,122)*100</f>
        <v>2.9000000000000004</v>
      </c>
      <c r="R77" s="75">
        <f>VLOOKUP($A77,'Data Vlaue (Cr)'!$C:$FB,125)</f>
        <v>0.69</v>
      </c>
      <c r="S77" s="75">
        <f>VLOOKUP($A77,'Data Vlaue (Cr)'!$C:$FB,128)*100</f>
        <v>-40</v>
      </c>
    </row>
    <row r="78" spans="1:19" x14ac:dyDescent="0.25">
      <c r="A78" s="96" t="str">
        <f>'Data Vlaue (Cr)'!C69</f>
        <v>GODREJCP</v>
      </c>
      <c r="B78" s="75">
        <f>VLOOKUP($A78,'Data Vlaue (Cr)'!$C:$FB,2)</f>
        <v>500</v>
      </c>
      <c r="C78" s="75">
        <f>VLOOKUP($A78,'Data Vlaue (Cr)'!$C:$FB,8)</f>
        <v>1132.4000000000001</v>
      </c>
      <c r="D78" s="75">
        <f>VLOOKUP($A78,'Data Vlaue (Cr)'!$C:$FB,4)</f>
        <v>1138.4000000000001</v>
      </c>
      <c r="E78" s="75">
        <f>VLOOKUP($A78,'Data Vlaue (Cr)'!$C:$FB,5)</f>
        <v>1142.8</v>
      </c>
      <c r="F78" s="75">
        <f t="shared" si="6"/>
        <v>6</v>
      </c>
      <c r="G78" s="75">
        <f t="shared" si="7"/>
        <v>-0.38650737877721919</v>
      </c>
      <c r="H78" s="75">
        <f>VLOOKUP($A78,'Data Vlaue (Cr)'!$C:$FB,99)</f>
        <v>1226</v>
      </c>
      <c r="I78" s="75">
        <f>VLOOKUP($A78,'Data Vlaue (Cr)'!$C:$FB,100)</f>
        <v>1182</v>
      </c>
      <c r="J78" s="75">
        <f t="shared" si="8"/>
        <v>44</v>
      </c>
      <c r="K78" s="75">
        <f t="shared" si="9"/>
        <v>3.588907014681892</v>
      </c>
      <c r="L78" s="75">
        <f>VLOOKUP($A78,'Data Vlaue (Cr)'!$C:$FB,67)</f>
        <v>326</v>
      </c>
      <c r="M78" s="75">
        <f>VLOOKUP($A78,'Data Vlaue (Cr)'!$C:$FB,68)</f>
        <v>697</v>
      </c>
      <c r="N78" s="75">
        <f t="shared" si="10"/>
        <v>-371</v>
      </c>
      <c r="O78" s="75">
        <f t="shared" si="11"/>
        <v>-113.80368098159511</v>
      </c>
      <c r="P78" s="75">
        <f>VLOOKUP($A78,'Data Vlaue (Cr)'!$C:$FB,119)</f>
        <v>0.85</v>
      </c>
      <c r="Q78" s="75">
        <f>VLOOKUP($A78,'Data Vlaue (Cr)'!$C:$FB,122)*100</f>
        <v>8.9700000000000006</v>
      </c>
      <c r="R78" s="75">
        <f>VLOOKUP($A78,'Data Vlaue (Cr)'!$C:$FB,125)</f>
        <v>0.72</v>
      </c>
      <c r="S78" s="75">
        <f>VLOOKUP($A78,'Data Vlaue (Cr)'!$C:$FB,128)*100</f>
        <v>-7.6899999999999995</v>
      </c>
    </row>
    <row r="79" spans="1:19" x14ac:dyDescent="0.25">
      <c r="A79" s="96" t="str">
        <f>'Data Vlaue (Cr)'!C70</f>
        <v>GODREJPROP</v>
      </c>
      <c r="B79" s="75">
        <f>VLOOKUP($A79,'Data Vlaue (Cr)'!$C:$FB,2)</f>
        <v>275</v>
      </c>
      <c r="C79" s="75">
        <f>VLOOKUP($A79,'Data Vlaue (Cr)'!$C:$FB,8)</f>
        <v>1743.8</v>
      </c>
      <c r="D79" s="75">
        <f>VLOOKUP($A79,'Data Vlaue (Cr)'!$C:$FB,4)</f>
        <v>1745.5</v>
      </c>
      <c r="E79" s="75">
        <f>VLOOKUP($A79,'Data Vlaue (Cr)'!$C:$FB,5)</f>
        <v>1695.9</v>
      </c>
      <c r="F79" s="75">
        <f t="shared" si="6"/>
        <v>1.7000000000000455</v>
      </c>
      <c r="G79" s="75">
        <f t="shared" si="7"/>
        <v>2.8415926668576286</v>
      </c>
      <c r="H79" s="75">
        <f>VLOOKUP($A79,'Data Vlaue (Cr)'!$C:$FB,99)</f>
        <v>2108</v>
      </c>
      <c r="I79" s="75">
        <f>VLOOKUP($A79,'Data Vlaue (Cr)'!$C:$FB,100)</f>
        <v>2080</v>
      </c>
      <c r="J79" s="75">
        <f t="shared" si="8"/>
        <v>28</v>
      </c>
      <c r="K79" s="75">
        <f t="shared" si="9"/>
        <v>1.3282732447817838</v>
      </c>
      <c r="L79" s="75">
        <f>VLOOKUP($A79,'Data Vlaue (Cr)'!$C:$FB,67)</f>
        <v>1098</v>
      </c>
      <c r="M79" s="75">
        <f>VLOOKUP($A79,'Data Vlaue (Cr)'!$C:$FB,68)</f>
        <v>1410</v>
      </c>
      <c r="N79" s="75">
        <f t="shared" si="10"/>
        <v>-312</v>
      </c>
      <c r="O79" s="75">
        <f t="shared" si="11"/>
        <v>-28.415300546448087</v>
      </c>
      <c r="P79" s="75">
        <f>VLOOKUP($A79,'Data Vlaue (Cr)'!$C:$FB,119)</f>
        <v>0.86</v>
      </c>
      <c r="Q79" s="75">
        <f>VLOOKUP($A79,'Data Vlaue (Cr)'!$C:$FB,122)*100</f>
        <v>7.5</v>
      </c>
      <c r="R79" s="75">
        <f>VLOOKUP($A79,'Data Vlaue (Cr)'!$C:$FB,125)</f>
        <v>0.6</v>
      </c>
      <c r="S79" s="75">
        <f>VLOOKUP($A79,'Data Vlaue (Cr)'!$C:$FB,128)*100</f>
        <v>-27.71</v>
      </c>
    </row>
    <row r="80" spans="1:19" x14ac:dyDescent="0.25">
      <c r="A80" s="96" t="str">
        <f>'Data Vlaue (Cr)'!C71</f>
        <v>GRASIM</v>
      </c>
      <c r="B80" s="75">
        <f>VLOOKUP($A80,'Data Vlaue (Cr)'!$C:$FB,2)</f>
        <v>250</v>
      </c>
      <c r="C80" s="75">
        <f>VLOOKUP($A80,'Data Vlaue (Cr)'!$C:$FB,8)</f>
        <v>2724.1</v>
      </c>
      <c r="D80" s="75">
        <f>VLOOKUP($A80,'Data Vlaue (Cr)'!$C:$FB,4)</f>
        <v>2730</v>
      </c>
      <c r="E80" s="75">
        <f>VLOOKUP($A80,'Data Vlaue (Cr)'!$C:$FB,5)</f>
        <v>2688.3</v>
      </c>
      <c r="F80" s="75">
        <f t="shared" si="6"/>
        <v>5.9000000000000909</v>
      </c>
      <c r="G80" s="75">
        <f t="shared" si="7"/>
        <v>1.5274725274725207</v>
      </c>
      <c r="H80" s="75">
        <f>VLOOKUP($A80,'Data Vlaue (Cr)'!$C:$FB,99)</f>
        <v>5245</v>
      </c>
      <c r="I80" s="75">
        <f>VLOOKUP($A80,'Data Vlaue (Cr)'!$C:$FB,100)</f>
        <v>5221</v>
      </c>
      <c r="J80" s="75">
        <f t="shared" si="8"/>
        <v>24</v>
      </c>
      <c r="K80" s="75">
        <f t="shared" si="9"/>
        <v>0.45757864632983797</v>
      </c>
      <c r="L80" s="75">
        <f>VLOOKUP($A80,'Data Vlaue (Cr)'!$C:$FB,67)</f>
        <v>1481</v>
      </c>
      <c r="M80" s="75">
        <f>VLOOKUP($A80,'Data Vlaue (Cr)'!$C:$FB,68)</f>
        <v>1896</v>
      </c>
      <c r="N80" s="75">
        <f t="shared" si="10"/>
        <v>-415</v>
      </c>
      <c r="O80" s="75">
        <f t="shared" si="11"/>
        <v>-28.02160702228224</v>
      </c>
      <c r="P80" s="75">
        <f>VLOOKUP($A80,'Data Vlaue (Cr)'!$C:$FB,119)</f>
        <v>0.54</v>
      </c>
      <c r="Q80" s="75">
        <f>VLOOKUP($A80,'Data Vlaue (Cr)'!$C:$FB,122)*100</f>
        <v>3.85</v>
      </c>
      <c r="R80" s="75">
        <f>VLOOKUP($A80,'Data Vlaue (Cr)'!$C:$FB,125)</f>
        <v>0.42</v>
      </c>
      <c r="S80" s="75">
        <f>VLOOKUP($A80,'Data Vlaue (Cr)'!$C:$FB,128)*100</f>
        <v>-42.47</v>
      </c>
    </row>
    <row r="81" spans="1:19" x14ac:dyDescent="0.25">
      <c r="A81" s="96" t="str">
        <f>'Data Vlaue (Cr)'!C72</f>
        <v>HAL</v>
      </c>
      <c r="B81" s="75">
        <f>VLOOKUP($A81,'Data Vlaue (Cr)'!$C:$FB,2)</f>
        <v>150</v>
      </c>
      <c r="C81" s="75">
        <f>VLOOKUP($A81,'Data Vlaue (Cr)'!$C:$FB,8)</f>
        <v>3891.8</v>
      </c>
      <c r="D81" s="75">
        <f>VLOOKUP($A81,'Data Vlaue (Cr)'!$C:$FB,4)</f>
        <v>3910.3</v>
      </c>
      <c r="E81" s="75">
        <f>VLOOKUP($A81,'Data Vlaue (Cr)'!$C:$FB,5)</f>
        <v>3889.9</v>
      </c>
      <c r="F81" s="75">
        <f t="shared" si="6"/>
        <v>18.5</v>
      </c>
      <c r="G81" s="75">
        <f t="shared" si="7"/>
        <v>0.52169910237066441</v>
      </c>
      <c r="H81" s="75">
        <f>VLOOKUP($A81,'Data Vlaue (Cr)'!$C:$FB,99)</f>
        <v>7838</v>
      </c>
      <c r="I81" s="75">
        <f>VLOOKUP($A81,'Data Vlaue (Cr)'!$C:$FB,100)</f>
        <v>7634</v>
      </c>
      <c r="J81" s="75">
        <f t="shared" si="8"/>
        <v>204</v>
      </c>
      <c r="K81" s="75">
        <f t="shared" si="9"/>
        <v>2.6027047716254148</v>
      </c>
      <c r="L81" s="75">
        <f>VLOOKUP($A81,'Data Vlaue (Cr)'!$C:$FB,67)</f>
        <v>6243</v>
      </c>
      <c r="M81" s="75">
        <f>VLOOKUP($A81,'Data Vlaue (Cr)'!$C:$FB,68)</f>
        <v>4684</v>
      </c>
      <c r="N81" s="75">
        <f t="shared" si="10"/>
        <v>1559</v>
      </c>
      <c r="O81" s="75">
        <f t="shared" si="11"/>
        <v>24.971968604837418</v>
      </c>
      <c r="P81" s="75">
        <f>VLOOKUP($A81,'Data Vlaue (Cr)'!$C:$FB,119)</f>
        <v>0.64</v>
      </c>
      <c r="Q81" s="75">
        <f>VLOOKUP($A81,'Data Vlaue (Cr)'!$C:$FB,122)*100</f>
        <v>-3.0300000000000002</v>
      </c>
      <c r="R81" s="75">
        <f>VLOOKUP($A81,'Data Vlaue (Cr)'!$C:$FB,125)</f>
        <v>0.35</v>
      </c>
      <c r="S81" s="75">
        <f>VLOOKUP($A81,'Data Vlaue (Cr)'!$C:$FB,128)*100</f>
        <v>-12.5</v>
      </c>
    </row>
    <row r="82" spans="1:19" x14ac:dyDescent="0.25">
      <c r="A82" s="96" t="str">
        <f>'Data Vlaue (Cr)'!C73</f>
        <v>HAVELLS</v>
      </c>
      <c r="B82" s="75">
        <f>VLOOKUP($A82,'Data Vlaue (Cr)'!$C:$FB,2)</f>
        <v>500</v>
      </c>
      <c r="C82" s="75">
        <f>VLOOKUP($A82,'Data Vlaue (Cr)'!$C:$FB,8)</f>
        <v>1352.5</v>
      </c>
      <c r="D82" s="75">
        <f>VLOOKUP($A82,'Data Vlaue (Cr)'!$C:$FB,4)</f>
        <v>1355.4</v>
      </c>
      <c r="E82" s="75">
        <f>VLOOKUP($A82,'Data Vlaue (Cr)'!$C:$FB,5)</f>
        <v>1324.2</v>
      </c>
      <c r="F82" s="75">
        <f t="shared" si="6"/>
        <v>2.9000000000000909</v>
      </c>
      <c r="G82" s="75">
        <f t="shared" si="7"/>
        <v>2.3019034971226238</v>
      </c>
      <c r="H82" s="75">
        <f>VLOOKUP($A82,'Data Vlaue (Cr)'!$C:$FB,99)</f>
        <v>1991</v>
      </c>
      <c r="I82" s="75">
        <f>VLOOKUP($A82,'Data Vlaue (Cr)'!$C:$FB,100)</f>
        <v>1979</v>
      </c>
      <c r="J82" s="75">
        <f t="shared" si="8"/>
        <v>12</v>
      </c>
      <c r="K82" s="75">
        <f t="shared" si="9"/>
        <v>0.60271220492214972</v>
      </c>
      <c r="L82" s="75">
        <f>VLOOKUP($A82,'Data Vlaue (Cr)'!$C:$FB,67)</f>
        <v>531</v>
      </c>
      <c r="M82" s="75">
        <f>VLOOKUP($A82,'Data Vlaue (Cr)'!$C:$FB,68)</f>
        <v>776</v>
      </c>
      <c r="N82" s="75">
        <f t="shared" si="10"/>
        <v>-245</v>
      </c>
      <c r="O82" s="75">
        <f t="shared" si="11"/>
        <v>-46.13935969868173</v>
      </c>
      <c r="P82" s="75">
        <f>VLOOKUP($A82,'Data Vlaue (Cr)'!$C:$FB,119)</f>
        <v>0.79</v>
      </c>
      <c r="Q82" s="75">
        <f>VLOOKUP($A82,'Data Vlaue (Cr)'!$C:$FB,122)*100</f>
        <v>-7.06</v>
      </c>
      <c r="R82" s="75">
        <f>VLOOKUP($A82,'Data Vlaue (Cr)'!$C:$FB,125)</f>
        <v>0.32</v>
      </c>
      <c r="S82" s="75">
        <f>VLOOKUP($A82,'Data Vlaue (Cr)'!$C:$FB,128)*100</f>
        <v>-64.84</v>
      </c>
    </row>
    <row r="83" spans="1:19" x14ac:dyDescent="0.25">
      <c r="A83" s="96" t="str">
        <f>'Data Vlaue (Cr)'!C74</f>
        <v>HCLTECH</v>
      </c>
      <c r="B83" s="75">
        <f>VLOOKUP($A83,'Data Vlaue (Cr)'!$C:$FB,2)</f>
        <v>350</v>
      </c>
      <c r="C83" s="75">
        <f>VLOOKUP($A83,'Data Vlaue (Cr)'!$C:$FB,8)</f>
        <v>1354.1</v>
      </c>
      <c r="D83" s="75">
        <f>VLOOKUP($A83,'Data Vlaue (Cr)'!$C:$FB,4)</f>
        <v>1355.9</v>
      </c>
      <c r="E83" s="75">
        <f>VLOOKUP($A83,'Data Vlaue (Cr)'!$C:$FB,5)</f>
        <v>1366.8</v>
      </c>
      <c r="F83" s="75">
        <f t="shared" si="6"/>
        <v>1.8000000000001819</v>
      </c>
      <c r="G83" s="75">
        <f t="shared" si="7"/>
        <v>-0.80389409248468635</v>
      </c>
      <c r="H83" s="75">
        <f>VLOOKUP($A83,'Data Vlaue (Cr)'!$C:$FB,99)</f>
        <v>4933</v>
      </c>
      <c r="I83" s="75">
        <f>VLOOKUP($A83,'Data Vlaue (Cr)'!$C:$FB,100)</f>
        <v>4836</v>
      </c>
      <c r="J83" s="75">
        <f t="shared" si="8"/>
        <v>97</v>
      </c>
      <c r="K83" s="75">
        <f t="shared" si="9"/>
        <v>1.9663490776403811</v>
      </c>
      <c r="L83" s="75">
        <f>VLOOKUP($A83,'Data Vlaue (Cr)'!$C:$FB,67)</f>
        <v>1871</v>
      </c>
      <c r="M83" s="75">
        <f>VLOOKUP($A83,'Data Vlaue (Cr)'!$C:$FB,68)</f>
        <v>1382</v>
      </c>
      <c r="N83" s="75">
        <f t="shared" si="10"/>
        <v>489</v>
      </c>
      <c r="O83" s="75">
        <f t="shared" si="11"/>
        <v>26.135756280064136</v>
      </c>
      <c r="P83" s="75">
        <f>VLOOKUP($A83,'Data Vlaue (Cr)'!$C:$FB,119)</f>
        <v>0.6</v>
      </c>
      <c r="Q83" s="75">
        <f>VLOOKUP($A83,'Data Vlaue (Cr)'!$C:$FB,122)*100</f>
        <v>0</v>
      </c>
      <c r="R83" s="75">
        <f>VLOOKUP($A83,'Data Vlaue (Cr)'!$C:$FB,125)</f>
        <v>0.77</v>
      </c>
      <c r="S83" s="75">
        <f>VLOOKUP($A83,'Data Vlaue (Cr)'!$C:$FB,128)*100</f>
        <v>32.76</v>
      </c>
    </row>
    <row r="84" spans="1:19" x14ac:dyDescent="0.25">
      <c r="A84" s="96" t="str">
        <f>'Data Vlaue (Cr)'!C75</f>
        <v>HDFCAMC</v>
      </c>
      <c r="B84" s="75">
        <f>VLOOKUP($A84,'Data Vlaue (Cr)'!$C:$FB,2)</f>
        <v>300</v>
      </c>
      <c r="C84" s="75">
        <f>VLOOKUP($A84,'Data Vlaue (Cr)'!$C:$FB,8)</f>
        <v>2559</v>
      </c>
      <c r="D84" s="75">
        <f>VLOOKUP($A84,'Data Vlaue (Cr)'!$C:$FB,4)</f>
        <v>2570.1</v>
      </c>
      <c r="E84" s="75">
        <f>VLOOKUP($A84,'Data Vlaue (Cr)'!$C:$FB,5)</f>
        <v>2560.1</v>
      </c>
      <c r="F84" s="75">
        <f t="shared" si="6"/>
        <v>11.099999999999909</v>
      </c>
      <c r="G84" s="75">
        <f t="shared" si="7"/>
        <v>0.38908991868020704</v>
      </c>
      <c r="H84" s="75">
        <f>VLOOKUP($A84,'Data Vlaue (Cr)'!$C:$FB,99)</f>
        <v>1797</v>
      </c>
      <c r="I84" s="75">
        <f>VLOOKUP($A84,'Data Vlaue (Cr)'!$C:$FB,100)</f>
        <v>1728</v>
      </c>
      <c r="J84" s="75">
        <f t="shared" si="8"/>
        <v>69</v>
      </c>
      <c r="K84" s="75">
        <f t="shared" si="9"/>
        <v>3.8397328881469113</v>
      </c>
      <c r="L84" s="75">
        <f>VLOOKUP($A84,'Data Vlaue (Cr)'!$C:$FB,67)</f>
        <v>581</v>
      </c>
      <c r="M84" s="75">
        <f>VLOOKUP($A84,'Data Vlaue (Cr)'!$C:$FB,68)</f>
        <v>771</v>
      </c>
      <c r="N84" s="75">
        <f t="shared" si="10"/>
        <v>-190</v>
      </c>
      <c r="O84" s="75">
        <f t="shared" si="11"/>
        <v>-32.702237521514633</v>
      </c>
      <c r="P84" s="75">
        <f>VLOOKUP($A84,'Data Vlaue (Cr)'!$C:$FB,119)</f>
        <v>0.71</v>
      </c>
      <c r="Q84" s="75">
        <f>VLOOKUP($A84,'Data Vlaue (Cr)'!$C:$FB,122)*100</f>
        <v>14.52</v>
      </c>
      <c r="R84" s="75">
        <f>VLOOKUP($A84,'Data Vlaue (Cr)'!$C:$FB,125)</f>
        <v>0.56000000000000005</v>
      </c>
      <c r="S84" s="75">
        <f>VLOOKUP($A84,'Data Vlaue (Cr)'!$C:$FB,128)*100</f>
        <v>-16.420000000000002</v>
      </c>
    </row>
    <row r="85" spans="1:19" x14ac:dyDescent="0.25">
      <c r="A85" s="96" t="str">
        <f>'Data Vlaue (Cr)'!C76</f>
        <v>HDFCBANK</v>
      </c>
      <c r="B85" s="75">
        <f>VLOOKUP($A85,'Data Vlaue (Cr)'!$C:$FB,2)</f>
        <v>550</v>
      </c>
      <c r="C85" s="75">
        <f>VLOOKUP($A85,'Data Vlaue (Cr)'!$C:$FB,8)</f>
        <v>877.75</v>
      </c>
      <c r="D85" s="75">
        <f>VLOOKUP($A85,'Data Vlaue (Cr)'!$C:$FB,4)</f>
        <v>882.2</v>
      </c>
      <c r="E85" s="75">
        <f>VLOOKUP($A85,'Data Vlaue (Cr)'!$C:$FB,5)</f>
        <v>874.05</v>
      </c>
      <c r="F85" s="75">
        <f t="shared" si="6"/>
        <v>4.4500000000000455</v>
      </c>
      <c r="G85" s="75">
        <f t="shared" si="7"/>
        <v>0.92382679664476197</v>
      </c>
      <c r="H85" s="75">
        <f>VLOOKUP($A85,'Data Vlaue (Cr)'!$C:$FB,99)</f>
        <v>36598</v>
      </c>
      <c r="I85" s="75">
        <f>VLOOKUP($A85,'Data Vlaue (Cr)'!$C:$FB,100)</f>
        <v>36133</v>
      </c>
      <c r="J85" s="75">
        <f t="shared" si="8"/>
        <v>465</v>
      </c>
      <c r="K85" s="75">
        <f t="shared" si="9"/>
        <v>1.2705612328542544</v>
      </c>
      <c r="L85" s="75">
        <f>VLOOKUP($A85,'Data Vlaue (Cr)'!$C:$FB,67)</f>
        <v>13095</v>
      </c>
      <c r="M85" s="75">
        <f>VLOOKUP($A85,'Data Vlaue (Cr)'!$C:$FB,68)</f>
        <v>17624</v>
      </c>
      <c r="N85" s="75">
        <f t="shared" si="10"/>
        <v>-4529</v>
      </c>
      <c r="O85" s="75">
        <f t="shared" si="11"/>
        <v>-34.585719740358918</v>
      </c>
      <c r="P85" s="75">
        <f>VLOOKUP($A85,'Data Vlaue (Cr)'!$C:$FB,119)</f>
        <v>0.59</v>
      </c>
      <c r="Q85" s="75">
        <f>VLOOKUP($A85,'Data Vlaue (Cr)'!$C:$FB,122)*100</f>
        <v>-1.67</v>
      </c>
      <c r="R85" s="75">
        <f>VLOOKUP($A85,'Data Vlaue (Cr)'!$C:$FB,125)</f>
        <v>0.65</v>
      </c>
      <c r="S85" s="75">
        <f>VLOOKUP($A85,'Data Vlaue (Cr)'!$C:$FB,128)*100</f>
        <v>-26.97</v>
      </c>
    </row>
    <row r="86" spans="1:19" x14ac:dyDescent="0.25">
      <c r="A86" s="96" t="str">
        <f>'Data Vlaue (Cr)'!C77</f>
        <v>HDFCLIFE</v>
      </c>
      <c r="B86" s="75">
        <f>VLOOKUP($A86,'Data Vlaue (Cr)'!$C:$FB,2)</f>
        <v>1100</v>
      </c>
      <c r="C86" s="75">
        <f>VLOOKUP($A86,'Data Vlaue (Cr)'!$C:$FB,8)</f>
        <v>684.3</v>
      </c>
      <c r="D86" s="75">
        <f>VLOOKUP($A86,'Data Vlaue (Cr)'!$C:$FB,4)</f>
        <v>686.35</v>
      </c>
      <c r="E86" s="75">
        <f>VLOOKUP($A86,'Data Vlaue (Cr)'!$C:$FB,5)</f>
        <v>687.65</v>
      </c>
      <c r="F86" s="75">
        <f t="shared" si="6"/>
        <v>2.0500000000000682</v>
      </c>
      <c r="G86" s="75">
        <f t="shared" si="7"/>
        <v>-0.18940773657754126</v>
      </c>
      <c r="H86" s="75">
        <f>VLOOKUP($A86,'Data Vlaue (Cr)'!$C:$FB,99)</f>
        <v>3684</v>
      </c>
      <c r="I86" s="75">
        <f>VLOOKUP($A86,'Data Vlaue (Cr)'!$C:$FB,100)</f>
        <v>3477</v>
      </c>
      <c r="J86" s="75">
        <f t="shared" si="8"/>
        <v>207</v>
      </c>
      <c r="K86" s="75">
        <f t="shared" si="9"/>
        <v>5.6188925081433219</v>
      </c>
      <c r="L86" s="75">
        <f>VLOOKUP($A86,'Data Vlaue (Cr)'!$C:$FB,67)</f>
        <v>2135</v>
      </c>
      <c r="M86" s="75">
        <f>VLOOKUP($A86,'Data Vlaue (Cr)'!$C:$FB,68)</f>
        <v>1882</v>
      </c>
      <c r="N86" s="75">
        <f t="shared" si="10"/>
        <v>253</v>
      </c>
      <c r="O86" s="75">
        <f t="shared" si="11"/>
        <v>11.850117096018735</v>
      </c>
      <c r="P86" s="75">
        <f>VLOOKUP($A86,'Data Vlaue (Cr)'!$C:$FB,119)</f>
        <v>0.42</v>
      </c>
      <c r="Q86" s="75">
        <f>VLOOKUP($A86,'Data Vlaue (Cr)'!$C:$FB,122)*100</f>
        <v>0</v>
      </c>
      <c r="R86" s="75">
        <f>VLOOKUP($A86,'Data Vlaue (Cr)'!$C:$FB,125)</f>
        <v>0.68</v>
      </c>
      <c r="S86" s="75">
        <f>VLOOKUP($A86,'Data Vlaue (Cr)'!$C:$FB,128)*100</f>
        <v>23.64</v>
      </c>
    </row>
    <row r="87" spans="1:19" x14ac:dyDescent="0.25">
      <c r="A87" s="96" t="str">
        <f>'Data Vlaue (Cr)'!C78</f>
        <v>HEROMOTOCO</v>
      </c>
      <c r="B87" s="75">
        <f>VLOOKUP($A87,'Data Vlaue (Cr)'!$C:$FB,2)</f>
        <v>150</v>
      </c>
      <c r="C87" s="75">
        <f>VLOOKUP($A87,'Data Vlaue (Cr)'!$C:$FB,8)</f>
        <v>5588.5</v>
      </c>
      <c r="D87" s="75">
        <f>VLOOKUP($A87,'Data Vlaue (Cr)'!$C:$FB,4)</f>
        <v>5600.5</v>
      </c>
      <c r="E87" s="75">
        <f>VLOOKUP($A87,'Data Vlaue (Cr)'!$C:$FB,5)</f>
        <v>5511.5</v>
      </c>
      <c r="F87" s="75">
        <f t="shared" si="6"/>
        <v>12</v>
      </c>
      <c r="G87" s="75">
        <f t="shared" si="7"/>
        <v>1.5891438264440676</v>
      </c>
      <c r="H87" s="75">
        <f>VLOOKUP($A87,'Data Vlaue (Cr)'!$C:$FB,99)</f>
        <v>3393</v>
      </c>
      <c r="I87" s="75">
        <f>VLOOKUP($A87,'Data Vlaue (Cr)'!$C:$FB,100)</f>
        <v>3399</v>
      </c>
      <c r="J87" s="75">
        <f t="shared" si="8"/>
        <v>-6</v>
      </c>
      <c r="K87" s="75">
        <f t="shared" si="9"/>
        <v>-0.17683465959328026</v>
      </c>
      <c r="L87" s="75">
        <f>VLOOKUP($A87,'Data Vlaue (Cr)'!$C:$FB,67)</f>
        <v>2379</v>
      </c>
      <c r="M87" s="75">
        <f>VLOOKUP($A87,'Data Vlaue (Cr)'!$C:$FB,68)</f>
        <v>2316</v>
      </c>
      <c r="N87" s="75">
        <f t="shared" si="10"/>
        <v>63</v>
      </c>
      <c r="O87" s="75">
        <f t="shared" si="11"/>
        <v>2.6481715006305171</v>
      </c>
      <c r="P87" s="75">
        <f>VLOOKUP($A87,'Data Vlaue (Cr)'!$C:$FB,119)</f>
        <v>0.66</v>
      </c>
      <c r="Q87" s="75">
        <f>VLOOKUP($A87,'Data Vlaue (Cr)'!$C:$FB,122)*100</f>
        <v>-4.3499999999999996</v>
      </c>
      <c r="R87" s="75">
        <f>VLOOKUP($A87,'Data Vlaue (Cr)'!$C:$FB,125)</f>
        <v>0.5</v>
      </c>
      <c r="S87" s="75">
        <f>VLOOKUP($A87,'Data Vlaue (Cr)'!$C:$FB,128)*100</f>
        <v>-39.019999999999996</v>
      </c>
    </row>
    <row r="88" spans="1:19" x14ac:dyDescent="0.25">
      <c r="A88" s="96" t="str">
        <f>'Data Vlaue (Cr)'!C79</f>
        <v>HINDALCO</v>
      </c>
      <c r="B88" s="75">
        <f>VLOOKUP($A88,'Data Vlaue (Cr)'!$C:$FB,2)</f>
        <v>700</v>
      </c>
      <c r="C88" s="75">
        <f>VLOOKUP($A88,'Data Vlaue (Cr)'!$C:$FB,8)</f>
        <v>954.95</v>
      </c>
      <c r="D88" s="75">
        <f>VLOOKUP($A88,'Data Vlaue (Cr)'!$C:$FB,4)</f>
        <v>956.75</v>
      </c>
      <c r="E88" s="75">
        <f>VLOOKUP($A88,'Data Vlaue (Cr)'!$C:$FB,5)</f>
        <v>925.95</v>
      </c>
      <c r="F88" s="75">
        <f t="shared" si="6"/>
        <v>1.7999999999999545</v>
      </c>
      <c r="G88" s="75">
        <f t="shared" si="7"/>
        <v>3.2192317742356891</v>
      </c>
      <c r="H88" s="75">
        <f>VLOOKUP($A88,'Data Vlaue (Cr)'!$C:$FB,99)</f>
        <v>6028</v>
      </c>
      <c r="I88" s="75">
        <f>VLOOKUP($A88,'Data Vlaue (Cr)'!$C:$FB,100)</f>
        <v>5729</v>
      </c>
      <c r="J88" s="75">
        <f t="shared" si="8"/>
        <v>299</v>
      </c>
      <c r="K88" s="75">
        <f t="shared" si="9"/>
        <v>4.9601857996018577</v>
      </c>
      <c r="L88" s="75">
        <f>VLOOKUP($A88,'Data Vlaue (Cr)'!$C:$FB,67)</f>
        <v>14453</v>
      </c>
      <c r="M88" s="75">
        <f>VLOOKUP($A88,'Data Vlaue (Cr)'!$C:$FB,68)</f>
        <v>4674</v>
      </c>
      <c r="N88" s="75">
        <f t="shared" si="10"/>
        <v>9779</v>
      </c>
      <c r="O88" s="75">
        <f t="shared" si="11"/>
        <v>67.660693281671627</v>
      </c>
      <c r="P88" s="75">
        <f>VLOOKUP($A88,'Data Vlaue (Cr)'!$C:$FB,119)</f>
        <v>0.85</v>
      </c>
      <c r="Q88" s="75">
        <f>VLOOKUP($A88,'Data Vlaue (Cr)'!$C:$FB,122)*100</f>
        <v>1.1900000000000002</v>
      </c>
      <c r="R88" s="75">
        <f>VLOOKUP($A88,'Data Vlaue (Cr)'!$C:$FB,125)</f>
        <v>0.47</v>
      </c>
      <c r="S88" s="75">
        <f>VLOOKUP($A88,'Data Vlaue (Cr)'!$C:$FB,128)*100</f>
        <v>-52.04</v>
      </c>
    </row>
    <row r="89" spans="1:19" x14ac:dyDescent="0.25">
      <c r="A89" s="96" t="str">
        <f>'Data Vlaue (Cr)'!C80</f>
        <v>HINDPETRO</v>
      </c>
      <c r="B89" s="75">
        <f>VLOOKUP($A89,'Data Vlaue (Cr)'!$C:$FB,2)</f>
        <v>2025</v>
      </c>
      <c r="C89" s="75">
        <f>VLOOKUP($A89,'Data Vlaue (Cr)'!$C:$FB,8)</f>
        <v>418.4</v>
      </c>
      <c r="D89" s="75">
        <f>VLOOKUP($A89,'Data Vlaue (Cr)'!$C:$FB,4)</f>
        <v>417.9</v>
      </c>
      <c r="E89" s="75">
        <f>VLOOKUP($A89,'Data Vlaue (Cr)'!$C:$FB,5)</f>
        <v>402.9</v>
      </c>
      <c r="F89" s="75">
        <f t="shared" si="6"/>
        <v>-0.5</v>
      </c>
      <c r="G89" s="75">
        <f t="shared" si="7"/>
        <v>3.5893754486719311</v>
      </c>
      <c r="H89" s="75">
        <f>VLOOKUP($A89,'Data Vlaue (Cr)'!$C:$FB,99)</f>
        <v>2963</v>
      </c>
      <c r="I89" s="75">
        <f>VLOOKUP($A89,'Data Vlaue (Cr)'!$C:$FB,100)</f>
        <v>2919</v>
      </c>
      <c r="J89" s="75">
        <f t="shared" si="8"/>
        <v>44</v>
      </c>
      <c r="K89" s="75">
        <f t="shared" si="9"/>
        <v>1.4849814377320283</v>
      </c>
      <c r="L89" s="75">
        <f>VLOOKUP($A89,'Data Vlaue (Cr)'!$C:$FB,67)</f>
        <v>4124</v>
      </c>
      <c r="M89" s="75">
        <f>VLOOKUP($A89,'Data Vlaue (Cr)'!$C:$FB,68)</f>
        <v>2755</v>
      </c>
      <c r="N89" s="75">
        <f t="shared" si="10"/>
        <v>1369</v>
      </c>
      <c r="O89" s="75">
        <f t="shared" si="11"/>
        <v>33.195926285160041</v>
      </c>
      <c r="P89" s="75">
        <f>VLOOKUP($A89,'Data Vlaue (Cr)'!$C:$FB,119)</f>
        <v>0.98</v>
      </c>
      <c r="Q89" s="75">
        <f>VLOOKUP($A89,'Data Vlaue (Cr)'!$C:$FB,122)*100</f>
        <v>-12.5</v>
      </c>
      <c r="R89" s="75">
        <f>VLOOKUP($A89,'Data Vlaue (Cr)'!$C:$FB,125)</f>
        <v>1.02</v>
      </c>
      <c r="S89" s="75">
        <f>VLOOKUP($A89,'Data Vlaue (Cr)'!$C:$FB,128)*100</f>
        <v>-23.880000000000003</v>
      </c>
    </row>
    <row r="90" spans="1:19" x14ac:dyDescent="0.25">
      <c r="A90" s="96" t="str">
        <f>'Data Vlaue (Cr)'!C81</f>
        <v>HINDUNILVR</v>
      </c>
      <c r="B90" s="75">
        <f>VLOOKUP($A90,'Data Vlaue (Cr)'!$C:$FB,2)</f>
        <v>300</v>
      </c>
      <c r="C90" s="75">
        <f>VLOOKUP($A90,'Data Vlaue (Cr)'!$C:$FB,8)</f>
        <v>2255</v>
      </c>
      <c r="D90" s="75">
        <f>VLOOKUP($A90,'Data Vlaue (Cr)'!$C:$FB,4)</f>
        <v>2266.6</v>
      </c>
      <c r="E90" s="75">
        <f>VLOOKUP($A90,'Data Vlaue (Cr)'!$C:$FB,5)</f>
        <v>2269.6999999999998</v>
      </c>
      <c r="F90" s="75">
        <f t="shared" si="6"/>
        <v>11.599999999999909</v>
      </c>
      <c r="G90" s="75">
        <f t="shared" si="7"/>
        <v>-0.13676872849201047</v>
      </c>
      <c r="H90" s="75">
        <f>VLOOKUP($A90,'Data Vlaue (Cr)'!$C:$FB,99)</f>
        <v>5343</v>
      </c>
      <c r="I90" s="75">
        <f>VLOOKUP($A90,'Data Vlaue (Cr)'!$C:$FB,100)</f>
        <v>5238</v>
      </c>
      <c r="J90" s="75">
        <f t="shared" si="8"/>
        <v>105</v>
      </c>
      <c r="K90" s="75">
        <f t="shared" si="9"/>
        <v>1.9651880965749577</v>
      </c>
      <c r="L90" s="75">
        <f>VLOOKUP($A90,'Data Vlaue (Cr)'!$C:$FB,67)</f>
        <v>3239</v>
      </c>
      <c r="M90" s="75">
        <f>VLOOKUP($A90,'Data Vlaue (Cr)'!$C:$FB,68)</f>
        <v>3227</v>
      </c>
      <c r="N90" s="75">
        <f t="shared" si="10"/>
        <v>12</v>
      </c>
      <c r="O90" s="75">
        <f t="shared" si="11"/>
        <v>0.37048471750540291</v>
      </c>
      <c r="P90" s="75">
        <f>VLOOKUP($A90,'Data Vlaue (Cr)'!$C:$FB,119)</f>
        <v>0.55000000000000004</v>
      </c>
      <c r="Q90" s="75">
        <f>VLOOKUP($A90,'Data Vlaue (Cr)'!$C:$FB,122)*100</f>
        <v>5.7700000000000005</v>
      </c>
      <c r="R90" s="75">
        <f>VLOOKUP($A90,'Data Vlaue (Cr)'!$C:$FB,125)</f>
        <v>0.54</v>
      </c>
      <c r="S90" s="75">
        <f>VLOOKUP($A90,'Data Vlaue (Cr)'!$C:$FB,128)*100</f>
        <v>-26.029999999999998</v>
      </c>
    </row>
    <row r="91" spans="1:19" x14ac:dyDescent="0.25">
      <c r="A91" s="96" t="str">
        <f>'Data Vlaue (Cr)'!C82</f>
        <v>HINDZINC</v>
      </c>
      <c r="B91" s="75">
        <f>VLOOKUP($A91,'Data Vlaue (Cr)'!$C:$FB,2)</f>
        <v>1225</v>
      </c>
      <c r="C91" s="75">
        <f>VLOOKUP($A91,'Data Vlaue (Cr)'!$C:$FB,8)</f>
        <v>595.65</v>
      </c>
      <c r="D91" s="75">
        <f>VLOOKUP($A91,'Data Vlaue (Cr)'!$C:$FB,4)</f>
        <v>596.6</v>
      </c>
      <c r="E91" s="75">
        <f>VLOOKUP($A91,'Data Vlaue (Cr)'!$C:$FB,5)</f>
        <v>592.95000000000005</v>
      </c>
      <c r="F91" s="75">
        <f t="shared" si="6"/>
        <v>0.95000000000004547</v>
      </c>
      <c r="G91" s="75">
        <f t="shared" si="7"/>
        <v>0.61180020113978839</v>
      </c>
      <c r="H91" s="75">
        <f>VLOOKUP($A91,'Data Vlaue (Cr)'!$C:$FB,99)</f>
        <v>4668</v>
      </c>
      <c r="I91" s="75">
        <f>VLOOKUP($A91,'Data Vlaue (Cr)'!$C:$FB,100)</f>
        <v>4556</v>
      </c>
      <c r="J91" s="75">
        <f t="shared" si="8"/>
        <v>112</v>
      </c>
      <c r="K91" s="75">
        <f t="shared" si="9"/>
        <v>2.3993144815766922</v>
      </c>
      <c r="L91" s="75">
        <f>VLOOKUP($A91,'Data Vlaue (Cr)'!$C:$FB,67)</f>
        <v>3204</v>
      </c>
      <c r="M91" s="75">
        <f>VLOOKUP($A91,'Data Vlaue (Cr)'!$C:$FB,68)</f>
        <v>3903</v>
      </c>
      <c r="N91" s="75">
        <f t="shared" si="10"/>
        <v>-699</v>
      </c>
      <c r="O91" s="75">
        <f t="shared" si="11"/>
        <v>-21.816479400749063</v>
      </c>
      <c r="P91" s="75">
        <f>VLOOKUP($A91,'Data Vlaue (Cr)'!$C:$FB,119)</f>
        <v>0.56000000000000005</v>
      </c>
      <c r="Q91" s="75">
        <f>VLOOKUP($A91,'Data Vlaue (Cr)'!$C:$FB,122)*100</f>
        <v>-9.68</v>
      </c>
      <c r="R91" s="75">
        <f>VLOOKUP($A91,'Data Vlaue (Cr)'!$C:$FB,125)</f>
        <v>0.42</v>
      </c>
      <c r="S91" s="75">
        <f>VLOOKUP($A91,'Data Vlaue (Cr)'!$C:$FB,128)*100</f>
        <v>-44</v>
      </c>
    </row>
    <row r="92" spans="1:19" x14ac:dyDescent="0.25">
      <c r="A92" s="96" t="str">
        <f>'Data Vlaue (Cr)'!C83</f>
        <v>HUDCO</v>
      </c>
      <c r="B92" s="75">
        <f>VLOOKUP($A92,'Data Vlaue (Cr)'!$C:$FB,2)</f>
        <v>2775</v>
      </c>
      <c r="C92" s="75">
        <f>VLOOKUP($A92,'Data Vlaue (Cr)'!$C:$FB,8)</f>
        <v>178.27</v>
      </c>
      <c r="D92" s="75">
        <f>VLOOKUP($A92,'Data Vlaue (Cr)'!$C:$FB,4)</f>
        <v>179.01</v>
      </c>
      <c r="E92" s="75">
        <f>VLOOKUP($A92,'Data Vlaue (Cr)'!$C:$FB,5)</f>
        <v>176.54</v>
      </c>
      <c r="F92" s="75">
        <f t="shared" si="6"/>
        <v>0.73999999999998067</v>
      </c>
      <c r="G92" s="75">
        <f t="shared" si="7"/>
        <v>1.3798111837327518</v>
      </c>
      <c r="H92" s="75">
        <f>VLOOKUP($A92,'Data Vlaue (Cr)'!$C:$FB,99)</f>
        <v>1304</v>
      </c>
      <c r="I92" s="75">
        <f>VLOOKUP($A92,'Data Vlaue (Cr)'!$C:$FB,100)</f>
        <v>1290</v>
      </c>
      <c r="J92" s="75">
        <f t="shared" si="8"/>
        <v>14</v>
      </c>
      <c r="K92" s="75">
        <f t="shared" si="9"/>
        <v>1.0736196319018405</v>
      </c>
      <c r="L92" s="75">
        <f>VLOOKUP($A92,'Data Vlaue (Cr)'!$C:$FB,67)</f>
        <v>377</v>
      </c>
      <c r="M92" s="75">
        <f>VLOOKUP($A92,'Data Vlaue (Cr)'!$C:$FB,68)</f>
        <v>413</v>
      </c>
      <c r="N92" s="75">
        <f t="shared" si="10"/>
        <v>-36</v>
      </c>
      <c r="O92" s="75">
        <f t="shared" si="11"/>
        <v>-9.549071618037134</v>
      </c>
      <c r="P92" s="75">
        <f>VLOOKUP($A92,'Data Vlaue (Cr)'!$C:$FB,119)</f>
        <v>0.72</v>
      </c>
      <c r="Q92" s="75">
        <f>VLOOKUP($A92,'Data Vlaue (Cr)'!$C:$FB,122)*100</f>
        <v>-1.37</v>
      </c>
      <c r="R92" s="75">
        <f>VLOOKUP($A92,'Data Vlaue (Cr)'!$C:$FB,125)</f>
        <v>0.42</v>
      </c>
      <c r="S92" s="75">
        <f>VLOOKUP($A92,'Data Vlaue (Cr)'!$C:$FB,128)*100</f>
        <v>-27.589999999999996</v>
      </c>
    </row>
    <row r="93" spans="1:19" x14ac:dyDescent="0.25">
      <c r="A93" s="96" t="str">
        <f>'Data Vlaue (Cr)'!C84</f>
        <v>ICICIBANK</v>
      </c>
      <c r="B93" s="75">
        <f>VLOOKUP($A93,'Data Vlaue (Cr)'!$C:$FB,2)</f>
        <v>700</v>
      </c>
      <c r="C93" s="75">
        <f>VLOOKUP($A93,'Data Vlaue (Cr)'!$C:$FB,8)</f>
        <v>1357.6</v>
      </c>
      <c r="D93" s="75">
        <f>VLOOKUP($A93,'Data Vlaue (Cr)'!$C:$FB,4)</f>
        <v>1361.3</v>
      </c>
      <c r="E93" s="75">
        <f>VLOOKUP($A93,'Data Vlaue (Cr)'!$C:$FB,5)</f>
        <v>1369.5</v>
      </c>
      <c r="F93" s="75">
        <f t="shared" si="6"/>
        <v>3.7000000000000455</v>
      </c>
      <c r="G93" s="75">
        <f t="shared" si="7"/>
        <v>-0.60236538602806478</v>
      </c>
      <c r="H93" s="75">
        <f>VLOOKUP($A93,'Data Vlaue (Cr)'!$C:$FB,99)</f>
        <v>21127</v>
      </c>
      <c r="I93" s="75">
        <f>VLOOKUP($A93,'Data Vlaue (Cr)'!$C:$FB,100)</f>
        <v>20537</v>
      </c>
      <c r="J93" s="75">
        <f t="shared" si="8"/>
        <v>590</v>
      </c>
      <c r="K93" s="75">
        <f t="shared" si="9"/>
        <v>2.7926350168031426</v>
      </c>
      <c r="L93" s="75">
        <f>VLOOKUP($A93,'Data Vlaue (Cr)'!$C:$FB,67)</f>
        <v>9401</v>
      </c>
      <c r="M93" s="75">
        <f>VLOOKUP($A93,'Data Vlaue (Cr)'!$C:$FB,68)</f>
        <v>11973</v>
      </c>
      <c r="N93" s="75">
        <f t="shared" si="10"/>
        <v>-2572</v>
      </c>
      <c r="O93" s="75">
        <f t="shared" si="11"/>
        <v>-27.358791617912985</v>
      </c>
      <c r="P93" s="75">
        <f>VLOOKUP($A93,'Data Vlaue (Cr)'!$C:$FB,119)</f>
        <v>0.63</v>
      </c>
      <c r="Q93" s="75">
        <f>VLOOKUP($A93,'Data Vlaue (Cr)'!$C:$FB,122)*100</f>
        <v>-11.27</v>
      </c>
      <c r="R93" s="75">
        <f>VLOOKUP($A93,'Data Vlaue (Cr)'!$C:$FB,125)</f>
        <v>0.52</v>
      </c>
      <c r="S93" s="75">
        <f>VLOOKUP($A93,'Data Vlaue (Cr)'!$C:$FB,128)*100</f>
        <v>-24.64</v>
      </c>
    </row>
    <row r="94" spans="1:19" x14ac:dyDescent="0.25">
      <c r="A94" s="96" t="str">
        <f>'Data Vlaue (Cr)'!C85</f>
        <v>ICICIGI</v>
      </c>
      <c r="B94" s="75">
        <f>VLOOKUP($A94,'Data Vlaue (Cr)'!$C:$FB,2)</f>
        <v>325</v>
      </c>
      <c r="C94" s="75">
        <f>VLOOKUP($A94,'Data Vlaue (Cr)'!$C:$FB,8)</f>
        <v>1875.2</v>
      </c>
      <c r="D94" s="75">
        <f>VLOOKUP($A94,'Data Vlaue (Cr)'!$C:$FB,4)</f>
        <v>1879.9</v>
      </c>
      <c r="E94" s="75">
        <f>VLOOKUP($A94,'Data Vlaue (Cr)'!$C:$FB,5)</f>
        <v>1860.8</v>
      </c>
      <c r="F94" s="75">
        <f t="shared" si="6"/>
        <v>4.7000000000000455</v>
      </c>
      <c r="G94" s="75">
        <f t="shared" si="7"/>
        <v>1.016011489972878</v>
      </c>
      <c r="H94" s="75">
        <f>VLOOKUP($A94,'Data Vlaue (Cr)'!$C:$FB,99)</f>
        <v>1151</v>
      </c>
      <c r="I94" s="75">
        <f>VLOOKUP($A94,'Data Vlaue (Cr)'!$C:$FB,100)</f>
        <v>1150</v>
      </c>
      <c r="J94" s="75">
        <f t="shared" si="8"/>
        <v>1</v>
      </c>
      <c r="K94" s="75">
        <f t="shared" si="9"/>
        <v>8.6880973066898348E-2</v>
      </c>
      <c r="L94" s="75">
        <f>VLOOKUP($A94,'Data Vlaue (Cr)'!$C:$FB,67)</f>
        <v>254</v>
      </c>
      <c r="M94" s="75">
        <f>VLOOKUP($A94,'Data Vlaue (Cr)'!$C:$FB,68)</f>
        <v>487</v>
      </c>
      <c r="N94" s="75">
        <f t="shared" si="10"/>
        <v>-233</v>
      </c>
      <c r="O94" s="75">
        <f t="shared" si="11"/>
        <v>-91.732283464566933</v>
      </c>
      <c r="P94" s="75">
        <f>VLOOKUP($A94,'Data Vlaue (Cr)'!$C:$FB,119)</f>
        <v>0.75</v>
      </c>
      <c r="Q94" s="75">
        <f>VLOOKUP($A94,'Data Vlaue (Cr)'!$C:$FB,122)*100</f>
        <v>-12.790000000000001</v>
      </c>
      <c r="R94" s="75">
        <f>VLOOKUP($A94,'Data Vlaue (Cr)'!$C:$FB,125)</f>
        <v>0.6</v>
      </c>
      <c r="S94" s="75">
        <f>VLOOKUP($A94,'Data Vlaue (Cr)'!$C:$FB,128)*100</f>
        <v>-28.57</v>
      </c>
    </row>
    <row r="95" spans="1:19" x14ac:dyDescent="0.25">
      <c r="A95" s="96" t="str">
        <f>'Data Vlaue (Cr)'!C86</f>
        <v>ICICIPRULI</v>
      </c>
      <c r="B95" s="75">
        <f>VLOOKUP($A95,'Data Vlaue (Cr)'!$C:$FB,2)</f>
        <v>925</v>
      </c>
      <c r="C95" s="75">
        <f>VLOOKUP($A95,'Data Vlaue (Cr)'!$C:$FB,8)</f>
        <v>627.45000000000005</v>
      </c>
      <c r="D95" s="75">
        <f>VLOOKUP($A95,'Data Vlaue (Cr)'!$C:$FB,4)</f>
        <v>629.85</v>
      </c>
      <c r="E95" s="75">
        <f>VLOOKUP($A95,'Data Vlaue (Cr)'!$C:$FB,5)</f>
        <v>628</v>
      </c>
      <c r="F95" s="75">
        <f t="shared" si="6"/>
        <v>2.3999999999999773</v>
      </c>
      <c r="G95" s="75">
        <f t="shared" si="7"/>
        <v>0.29372072715726327</v>
      </c>
      <c r="H95" s="75">
        <f>VLOOKUP($A95,'Data Vlaue (Cr)'!$C:$FB,99)</f>
        <v>1498</v>
      </c>
      <c r="I95" s="75">
        <f>VLOOKUP($A95,'Data Vlaue (Cr)'!$C:$FB,100)</f>
        <v>1477</v>
      </c>
      <c r="J95" s="75">
        <f t="shared" si="8"/>
        <v>21</v>
      </c>
      <c r="K95" s="75">
        <f t="shared" si="9"/>
        <v>1.4018691588785046</v>
      </c>
      <c r="L95" s="75">
        <f>VLOOKUP($A95,'Data Vlaue (Cr)'!$C:$FB,67)</f>
        <v>327</v>
      </c>
      <c r="M95" s="75">
        <f>VLOOKUP($A95,'Data Vlaue (Cr)'!$C:$FB,68)</f>
        <v>368</v>
      </c>
      <c r="N95" s="75">
        <f t="shared" si="10"/>
        <v>-41</v>
      </c>
      <c r="O95" s="75">
        <f t="shared" si="11"/>
        <v>-12.538226299694188</v>
      </c>
      <c r="P95" s="75">
        <f>VLOOKUP($A95,'Data Vlaue (Cr)'!$C:$FB,119)</f>
        <v>0.68</v>
      </c>
      <c r="Q95" s="75">
        <f>VLOOKUP($A95,'Data Vlaue (Cr)'!$C:$FB,122)*100</f>
        <v>1.49</v>
      </c>
      <c r="R95" s="75">
        <f>VLOOKUP($A95,'Data Vlaue (Cr)'!$C:$FB,125)</f>
        <v>0.95</v>
      </c>
      <c r="S95" s="75">
        <f>VLOOKUP($A95,'Data Vlaue (Cr)'!$C:$FB,128)*100</f>
        <v>31.94</v>
      </c>
    </row>
    <row r="96" spans="1:19" x14ac:dyDescent="0.25">
      <c r="A96" s="96" t="str">
        <f>'Data Vlaue (Cr)'!C87</f>
        <v>IDEA</v>
      </c>
      <c r="B96" s="75">
        <f>VLOOKUP($A96,'Data Vlaue (Cr)'!$C:$FB,2)</f>
        <v>71475</v>
      </c>
      <c r="C96" s="75">
        <f>VLOOKUP($A96,'Data Vlaue (Cr)'!$C:$FB,8)</f>
        <v>10.220000000000001</v>
      </c>
      <c r="D96" s="75">
        <f>VLOOKUP($A96,'Data Vlaue (Cr)'!$C:$FB,4)</f>
        <v>10.28</v>
      </c>
      <c r="E96" s="75">
        <f>VLOOKUP($A96,'Data Vlaue (Cr)'!$C:$FB,5)</f>
        <v>10.039999999999999</v>
      </c>
      <c r="F96" s="75">
        <f t="shared" si="6"/>
        <v>5.9999999999998721E-2</v>
      </c>
      <c r="G96" s="75">
        <f t="shared" si="7"/>
        <v>2.3346303501945544</v>
      </c>
      <c r="H96" s="75">
        <f>VLOOKUP($A96,'Data Vlaue (Cr)'!$C:$FB,99)</f>
        <v>10077</v>
      </c>
      <c r="I96" s="75">
        <f>VLOOKUP($A96,'Data Vlaue (Cr)'!$C:$FB,100)</f>
        <v>9730</v>
      </c>
      <c r="J96" s="75">
        <f t="shared" si="8"/>
        <v>347</v>
      </c>
      <c r="K96" s="75">
        <f t="shared" si="9"/>
        <v>3.4434851642353874</v>
      </c>
      <c r="L96" s="75">
        <f>VLOOKUP($A96,'Data Vlaue (Cr)'!$C:$FB,67)</f>
        <v>3884</v>
      </c>
      <c r="M96" s="75">
        <f>VLOOKUP($A96,'Data Vlaue (Cr)'!$C:$FB,68)</f>
        <v>2027</v>
      </c>
      <c r="N96" s="75">
        <f t="shared" si="10"/>
        <v>1857</v>
      </c>
      <c r="O96" s="75">
        <f t="shared" si="11"/>
        <v>47.811534500514938</v>
      </c>
      <c r="P96" s="75">
        <f>VLOOKUP($A96,'Data Vlaue (Cr)'!$C:$FB,119)</f>
        <v>0.52</v>
      </c>
      <c r="Q96" s="75">
        <f>VLOOKUP($A96,'Data Vlaue (Cr)'!$C:$FB,122)*100</f>
        <v>-10.34</v>
      </c>
      <c r="R96" s="75">
        <f>VLOOKUP($A96,'Data Vlaue (Cr)'!$C:$FB,125)</f>
        <v>0.33</v>
      </c>
      <c r="S96" s="75">
        <f>VLOOKUP($A96,'Data Vlaue (Cr)'!$C:$FB,128)*100</f>
        <v>-45.9</v>
      </c>
    </row>
    <row r="97" spans="1:19" x14ac:dyDescent="0.25">
      <c r="A97" s="96" t="str">
        <f>'Data Vlaue (Cr)'!C88</f>
        <v>IDFCFIRSTB</v>
      </c>
      <c r="B97" s="75">
        <f>VLOOKUP($A97,'Data Vlaue (Cr)'!$C:$FB,2)</f>
        <v>9275</v>
      </c>
      <c r="C97" s="75">
        <f>VLOOKUP($A97,'Data Vlaue (Cr)'!$C:$FB,8)</f>
        <v>70.400000000000006</v>
      </c>
      <c r="D97" s="75">
        <f>VLOOKUP($A97,'Data Vlaue (Cr)'!$C:$FB,4)</f>
        <v>70.75</v>
      </c>
      <c r="E97" s="75">
        <f>VLOOKUP($A97,'Data Vlaue (Cr)'!$C:$FB,5)</f>
        <v>70.260000000000005</v>
      </c>
      <c r="F97" s="75">
        <f t="shared" si="6"/>
        <v>0.34999999999999432</v>
      </c>
      <c r="G97" s="75">
        <f t="shared" si="7"/>
        <v>0.69257950530034607</v>
      </c>
      <c r="H97" s="75">
        <f>VLOOKUP($A97,'Data Vlaue (Cr)'!$C:$FB,99)</f>
        <v>7079</v>
      </c>
      <c r="I97" s="75">
        <f>VLOOKUP($A97,'Data Vlaue (Cr)'!$C:$FB,100)</f>
        <v>6936</v>
      </c>
      <c r="J97" s="75">
        <f t="shared" si="8"/>
        <v>143</v>
      </c>
      <c r="K97" s="75">
        <f t="shared" si="9"/>
        <v>2.0200593304139001</v>
      </c>
      <c r="L97" s="75">
        <f>VLOOKUP($A97,'Data Vlaue (Cr)'!$C:$FB,67)</f>
        <v>2335</v>
      </c>
      <c r="M97" s="75">
        <f>VLOOKUP($A97,'Data Vlaue (Cr)'!$C:$FB,68)</f>
        <v>2667</v>
      </c>
      <c r="N97" s="75">
        <f t="shared" si="10"/>
        <v>-332</v>
      </c>
      <c r="O97" s="75">
        <f t="shared" si="11"/>
        <v>-14.218415417558885</v>
      </c>
      <c r="P97" s="75">
        <f>VLOOKUP($A97,'Data Vlaue (Cr)'!$C:$FB,119)</f>
        <v>0.68</v>
      </c>
      <c r="Q97" s="75">
        <f>VLOOKUP($A97,'Data Vlaue (Cr)'!$C:$FB,122)*100</f>
        <v>1.49</v>
      </c>
      <c r="R97" s="75">
        <f>VLOOKUP($A97,'Data Vlaue (Cr)'!$C:$FB,125)</f>
        <v>0.55000000000000004</v>
      </c>
      <c r="S97" s="75">
        <f>VLOOKUP($A97,'Data Vlaue (Cr)'!$C:$FB,128)*100</f>
        <v>-29.49</v>
      </c>
    </row>
    <row r="98" spans="1:19" x14ac:dyDescent="0.25">
      <c r="A98" s="96" t="str">
        <f>'Data Vlaue (Cr)'!C89</f>
        <v>IEX</v>
      </c>
      <c r="B98" s="75">
        <f>VLOOKUP($A98,'Data Vlaue (Cr)'!$C:$FB,2)</f>
        <v>3750</v>
      </c>
      <c r="C98" s="75">
        <f>VLOOKUP($A98,'Data Vlaue (Cr)'!$C:$FB,8)</f>
        <v>121.63</v>
      </c>
      <c r="D98" s="75">
        <f>VLOOKUP($A98,'Data Vlaue (Cr)'!$C:$FB,4)</f>
        <v>121.97</v>
      </c>
      <c r="E98" s="75">
        <f>VLOOKUP($A98,'Data Vlaue (Cr)'!$C:$FB,5)</f>
        <v>118.97</v>
      </c>
      <c r="F98" s="75">
        <f t="shared" si="6"/>
        <v>0.34000000000000341</v>
      </c>
      <c r="G98" s="75">
        <f t="shared" si="7"/>
        <v>2.4596212183323769</v>
      </c>
      <c r="H98" s="75">
        <f>VLOOKUP($A98,'Data Vlaue (Cr)'!$C:$FB,99)</f>
        <v>1627</v>
      </c>
      <c r="I98" s="75">
        <f>VLOOKUP($A98,'Data Vlaue (Cr)'!$C:$FB,100)</f>
        <v>1620</v>
      </c>
      <c r="J98" s="75">
        <f t="shared" si="8"/>
        <v>7</v>
      </c>
      <c r="K98" s="75">
        <f t="shared" si="9"/>
        <v>0.43023970497848807</v>
      </c>
      <c r="L98" s="75">
        <f>VLOOKUP($A98,'Data Vlaue (Cr)'!$C:$FB,67)</f>
        <v>453</v>
      </c>
      <c r="M98" s="75">
        <f>VLOOKUP($A98,'Data Vlaue (Cr)'!$C:$FB,68)</f>
        <v>529</v>
      </c>
      <c r="N98" s="75">
        <f t="shared" si="10"/>
        <v>-76</v>
      </c>
      <c r="O98" s="75">
        <f t="shared" si="11"/>
        <v>-16.777041942604857</v>
      </c>
      <c r="P98" s="75">
        <f>VLOOKUP($A98,'Data Vlaue (Cr)'!$C:$FB,119)</f>
        <v>0.78</v>
      </c>
      <c r="Q98" s="75">
        <f>VLOOKUP($A98,'Data Vlaue (Cr)'!$C:$FB,122)*100</f>
        <v>1.3</v>
      </c>
      <c r="R98" s="75">
        <f>VLOOKUP($A98,'Data Vlaue (Cr)'!$C:$FB,125)</f>
        <v>0.5</v>
      </c>
      <c r="S98" s="75">
        <f>VLOOKUP($A98,'Data Vlaue (Cr)'!$C:$FB,128)*100</f>
        <v>-21.88</v>
      </c>
    </row>
    <row r="99" spans="1:19" x14ac:dyDescent="0.25">
      <c r="A99" s="96" t="str">
        <f>'Data Vlaue (Cr)'!C90</f>
        <v>INDHOTEL</v>
      </c>
      <c r="B99" s="75">
        <f>VLOOKUP($A99,'Data Vlaue (Cr)'!$C:$FB,2)</f>
        <v>1000</v>
      </c>
      <c r="C99" s="75">
        <f>VLOOKUP($A99,'Data Vlaue (Cr)'!$C:$FB,8)</f>
        <v>629.70000000000005</v>
      </c>
      <c r="D99" s="75">
        <f>VLOOKUP($A99,'Data Vlaue (Cr)'!$C:$FB,4)</f>
        <v>632.70000000000005</v>
      </c>
      <c r="E99" s="75">
        <f>VLOOKUP($A99,'Data Vlaue (Cr)'!$C:$FB,5)</f>
        <v>636.65</v>
      </c>
      <c r="F99" s="75">
        <f t="shared" si="6"/>
        <v>3</v>
      </c>
      <c r="G99" s="75">
        <f t="shared" si="7"/>
        <v>-0.62430851904535034</v>
      </c>
      <c r="H99" s="75">
        <f>VLOOKUP($A99,'Data Vlaue (Cr)'!$C:$FB,99)</f>
        <v>2268</v>
      </c>
      <c r="I99" s="75">
        <f>VLOOKUP($A99,'Data Vlaue (Cr)'!$C:$FB,100)</f>
        <v>2141</v>
      </c>
      <c r="J99" s="75">
        <f t="shared" si="8"/>
        <v>127</v>
      </c>
      <c r="K99" s="75">
        <f t="shared" si="9"/>
        <v>5.5996472663139327</v>
      </c>
      <c r="L99" s="75">
        <f>VLOOKUP($A99,'Data Vlaue (Cr)'!$C:$FB,67)</f>
        <v>1546</v>
      </c>
      <c r="M99" s="75">
        <f>VLOOKUP($A99,'Data Vlaue (Cr)'!$C:$FB,68)</f>
        <v>920</v>
      </c>
      <c r="N99" s="75">
        <f t="shared" si="10"/>
        <v>626</v>
      </c>
      <c r="O99" s="75">
        <f t="shared" si="11"/>
        <v>40.49159120310479</v>
      </c>
      <c r="P99" s="75">
        <f>VLOOKUP($A99,'Data Vlaue (Cr)'!$C:$FB,119)</f>
        <v>0.76</v>
      </c>
      <c r="Q99" s="75">
        <f>VLOOKUP($A99,'Data Vlaue (Cr)'!$C:$FB,122)*100</f>
        <v>-10.59</v>
      </c>
      <c r="R99" s="75">
        <f>VLOOKUP($A99,'Data Vlaue (Cr)'!$C:$FB,125)</f>
        <v>0.78</v>
      </c>
      <c r="S99" s="75">
        <f>VLOOKUP($A99,'Data Vlaue (Cr)'!$C:$FB,128)*100</f>
        <v>-13.33</v>
      </c>
    </row>
    <row r="100" spans="1:19" x14ac:dyDescent="0.25">
      <c r="A100" s="96" t="str">
        <f>'Data Vlaue (Cr)'!C91</f>
        <v>INDIANB</v>
      </c>
      <c r="B100" s="75">
        <f>VLOOKUP($A100,'Data Vlaue (Cr)'!$C:$FB,2)</f>
        <v>1000</v>
      </c>
      <c r="C100" s="75">
        <f>VLOOKUP($A100,'Data Vlaue (Cr)'!$C:$FB,8)</f>
        <v>951.75</v>
      </c>
      <c r="D100" s="75">
        <f>VLOOKUP($A100,'Data Vlaue (Cr)'!$C:$FB,4)</f>
        <v>950.65</v>
      </c>
      <c r="E100" s="75">
        <f>VLOOKUP($A100,'Data Vlaue (Cr)'!$C:$FB,5)</f>
        <v>942.35</v>
      </c>
      <c r="F100" s="75">
        <f t="shared" si="6"/>
        <v>-1.1000000000000227</v>
      </c>
      <c r="G100" s="75">
        <f t="shared" si="7"/>
        <v>0.8730868353231952</v>
      </c>
      <c r="H100" s="75">
        <f>VLOOKUP($A100,'Data Vlaue (Cr)'!$C:$FB,99)</f>
        <v>1372</v>
      </c>
      <c r="I100" s="75">
        <f>VLOOKUP($A100,'Data Vlaue (Cr)'!$C:$FB,100)</f>
        <v>1382</v>
      </c>
      <c r="J100" s="75">
        <f t="shared" si="8"/>
        <v>-10</v>
      </c>
      <c r="K100" s="75">
        <f t="shared" si="9"/>
        <v>-0.7288629737609329</v>
      </c>
      <c r="L100" s="75">
        <f>VLOOKUP($A100,'Data Vlaue (Cr)'!$C:$FB,67)</f>
        <v>967</v>
      </c>
      <c r="M100" s="75">
        <f>VLOOKUP($A100,'Data Vlaue (Cr)'!$C:$FB,68)</f>
        <v>2106</v>
      </c>
      <c r="N100" s="75">
        <f t="shared" si="10"/>
        <v>-1139</v>
      </c>
      <c r="O100" s="75">
        <f t="shared" si="11"/>
        <v>-117.78697001034126</v>
      </c>
      <c r="P100" s="75">
        <f>VLOOKUP($A100,'Data Vlaue (Cr)'!$C:$FB,119)</f>
        <v>0.66</v>
      </c>
      <c r="Q100" s="75">
        <f>VLOOKUP($A100,'Data Vlaue (Cr)'!$C:$FB,122)*100</f>
        <v>-1.49</v>
      </c>
      <c r="R100" s="75">
        <f>VLOOKUP($A100,'Data Vlaue (Cr)'!$C:$FB,125)</f>
        <v>0.57999999999999996</v>
      </c>
      <c r="S100" s="75">
        <f>VLOOKUP($A100,'Data Vlaue (Cr)'!$C:$FB,128)*100</f>
        <v>-29.270000000000003</v>
      </c>
    </row>
    <row r="101" spans="1:19" x14ac:dyDescent="0.25">
      <c r="A101" s="96" t="str">
        <f>'Data Vlaue (Cr)'!C92</f>
        <v>INDIAVIX</v>
      </c>
      <c r="B101" s="75">
        <f>VLOOKUP($A101,'Data Vlaue (Cr)'!$C:$FB,2)</f>
        <v>1</v>
      </c>
      <c r="C101" s="75">
        <f>VLOOKUP($A101,'Data Vlaue (Cr)'!$C:$FB,8)</f>
        <v>17.86</v>
      </c>
      <c r="D101" s="75">
        <f>VLOOKUP($A101,'Data Vlaue (Cr)'!$C:$FB,4)</f>
        <v>17.86</v>
      </c>
      <c r="E101" s="75">
        <f>VLOOKUP($A101,'Data Vlaue (Cr)'!$C:$FB,5)</f>
        <v>21.14</v>
      </c>
      <c r="F101" s="75">
        <f t="shared" si="6"/>
        <v>0</v>
      </c>
      <c r="G101" s="75">
        <f t="shared" si="7"/>
        <v>-18.365061590145583</v>
      </c>
      <c r="H101" s="75">
        <f>VLOOKUP($A101,'Data Vlaue (Cr)'!$C:$FB,99)</f>
        <v>0</v>
      </c>
      <c r="I101" s="75">
        <f>VLOOKUP($A101,'Data Vlaue (Cr)'!$C:$FB,100)</f>
        <v>0</v>
      </c>
      <c r="J101" s="75">
        <f t="shared" si="8"/>
        <v>0</v>
      </c>
      <c r="K101" s="75" t="e">
        <f t="shared" si="9"/>
        <v>#DIV/0!</v>
      </c>
      <c r="L101" s="75">
        <f>VLOOKUP($A101,'Data Vlaue (Cr)'!$C:$FB,67)</f>
        <v>0</v>
      </c>
      <c r="M101" s="75">
        <f>VLOOKUP($A101,'Data Vlaue (Cr)'!$C:$FB,68)</f>
        <v>0</v>
      </c>
      <c r="N101" s="75">
        <f t="shared" si="10"/>
        <v>0</v>
      </c>
      <c r="O101" s="75" t="e">
        <f t="shared" si="11"/>
        <v>#DIV/0!</v>
      </c>
      <c r="P101" s="75">
        <f>VLOOKUP($A101,'Data Vlaue (Cr)'!$C:$FB,119)</f>
        <v>0</v>
      </c>
      <c r="Q101" s="75">
        <f>VLOOKUP($A101,'Data Vlaue (Cr)'!$C:$FB,122)*100</f>
        <v>0</v>
      </c>
      <c r="R101" s="75">
        <f>VLOOKUP($A101,'Data Vlaue (Cr)'!$C:$FB,125)</f>
        <v>0</v>
      </c>
      <c r="S101" s="75">
        <f>VLOOKUP($A101,'Data Vlaue (Cr)'!$C:$FB,128)*100</f>
        <v>0</v>
      </c>
    </row>
    <row r="102" spans="1:19" x14ac:dyDescent="0.25">
      <c r="A102" s="96" t="str">
        <f>'Data Vlaue (Cr)'!C93</f>
        <v>INDIGO</v>
      </c>
      <c r="B102" s="75">
        <f>VLOOKUP($A102,'Data Vlaue (Cr)'!$C:$FB,2)</f>
        <v>150</v>
      </c>
      <c r="C102" s="75">
        <f>VLOOKUP($A102,'Data Vlaue (Cr)'!$C:$FB,8)</f>
        <v>4512.8</v>
      </c>
      <c r="D102" s="75">
        <f>VLOOKUP($A102,'Data Vlaue (Cr)'!$C:$FB,4)</f>
        <v>4520.1000000000004</v>
      </c>
      <c r="E102" s="75">
        <f>VLOOKUP($A102,'Data Vlaue (Cr)'!$C:$FB,5)</f>
        <v>4412.3</v>
      </c>
      <c r="F102" s="75">
        <f t="shared" si="6"/>
        <v>7.3000000000001819</v>
      </c>
      <c r="G102" s="75">
        <f t="shared" si="7"/>
        <v>2.3849029888719313</v>
      </c>
      <c r="H102" s="75">
        <f>VLOOKUP($A102,'Data Vlaue (Cr)'!$C:$FB,99)</f>
        <v>8267</v>
      </c>
      <c r="I102" s="75">
        <f>VLOOKUP($A102,'Data Vlaue (Cr)'!$C:$FB,100)</f>
        <v>7840</v>
      </c>
      <c r="J102" s="75">
        <f t="shared" si="8"/>
        <v>427</v>
      </c>
      <c r="K102" s="75">
        <f t="shared" si="9"/>
        <v>5.1651143099068584</v>
      </c>
      <c r="L102" s="75">
        <f>VLOOKUP($A102,'Data Vlaue (Cr)'!$C:$FB,67)</f>
        <v>10461</v>
      </c>
      <c r="M102" s="75">
        <f>VLOOKUP($A102,'Data Vlaue (Cr)'!$C:$FB,68)</f>
        <v>11439</v>
      </c>
      <c r="N102" s="75">
        <f t="shared" si="10"/>
        <v>-978</v>
      </c>
      <c r="O102" s="75">
        <f t="shared" si="11"/>
        <v>-9.3490106108402635</v>
      </c>
      <c r="P102" s="75">
        <f>VLOOKUP($A102,'Data Vlaue (Cr)'!$C:$FB,119)</f>
        <v>0.73</v>
      </c>
      <c r="Q102" s="75">
        <f>VLOOKUP($A102,'Data Vlaue (Cr)'!$C:$FB,122)*100</f>
        <v>-3.95</v>
      </c>
      <c r="R102" s="75">
        <f>VLOOKUP($A102,'Data Vlaue (Cr)'!$C:$FB,125)</f>
        <v>0.97</v>
      </c>
      <c r="S102" s="75">
        <f>VLOOKUP($A102,'Data Vlaue (Cr)'!$C:$FB,128)*100</f>
        <v>-23.62</v>
      </c>
    </row>
    <row r="103" spans="1:19" x14ac:dyDescent="0.25">
      <c r="A103" s="96" t="str">
        <f>'Data Vlaue (Cr)'!C94</f>
        <v>INDUSINDBK</v>
      </c>
      <c r="B103" s="75">
        <f>VLOOKUP($A103,'Data Vlaue (Cr)'!$C:$FB,2)</f>
        <v>700</v>
      </c>
      <c r="C103" s="75">
        <f>VLOOKUP($A103,'Data Vlaue (Cr)'!$C:$FB,8)</f>
        <v>937.2</v>
      </c>
      <c r="D103" s="75">
        <f>VLOOKUP($A103,'Data Vlaue (Cr)'!$C:$FB,4)</f>
        <v>940.45</v>
      </c>
      <c r="E103" s="75">
        <f>VLOOKUP($A103,'Data Vlaue (Cr)'!$C:$FB,5)</f>
        <v>929.95</v>
      </c>
      <c r="F103" s="75">
        <f t="shared" si="6"/>
        <v>3.25</v>
      </c>
      <c r="G103" s="75">
        <f t="shared" si="7"/>
        <v>1.1164867882396723</v>
      </c>
      <c r="H103" s="75">
        <f>VLOOKUP($A103,'Data Vlaue (Cr)'!$C:$FB,99)</f>
        <v>4353</v>
      </c>
      <c r="I103" s="75">
        <f>VLOOKUP($A103,'Data Vlaue (Cr)'!$C:$FB,100)</f>
        <v>4333</v>
      </c>
      <c r="J103" s="75">
        <f t="shared" si="8"/>
        <v>20</v>
      </c>
      <c r="K103" s="75">
        <f t="shared" si="9"/>
        <v>0.45945325063174819</v>
      </c>
      <c r="L103" s="75">
        <f>VLOOKUP($A103,'Data Vlaue (Cr)'!$C:$FB,67)</f>
        <v>1753</v>
      </c>
      <c r="M103" s="75">
        <f>VLOOKUP($A103,'Data Vlaue (Cr)'!$C:$FB,68)</f>
        <v>2066</v>
      </c>
      <c r="N103" s="75">
        <f t="shared" si="10"/>
        <v>-313</v>
      </c>
      <c r="O103" s="75">
        <f t="shared" si="11"/>
        <v>-17.855105533371361</v>
      </c>
      <c r="P103" s="75">
        <f>VLOOKUP($A103,'Data Vlaue (Cr)'!$C:$FB,119)</f>
        <v>0.69</v>
      </c>
      <c r="Q103" s="75">
        <f>VLOOKUP($A103,'Data Vlaue (Cr)'!$C:$FB,122)*100</f>
        <v>-1.43</v>
      </c>
      <c r="R103" s="75">
        <f>VLOOKUP($A103,'Data Vlaue (Cr)'!$C:$FB,125)</f>
        <v>0.77</v>
      </c>
      <c r="S103" s="75">
        <f>VLOOKUP($A103,'Data Vlaue (Cr)'!$C:$FB,128)*100</f>
        <v>-7.23</v>
      </c>
    </row>
    <row r="104" spans="1:19" x14ac:dyDescent="0.25">
      <c r="A104" s="96" t="str">
        <f>'Data Vlaue (Cr)'!C95</f>
        <v>INDUSTOWER</v>
      </c>
      <c r="B104" s="75">
        <f>VLOOKUP($A104,'Data Vlaue (Cr)'!$C:$FB,2)</f>
        <v>1700</v>
      </c>
      <c r="C104" s="75">
        <f>VLOOKUP($A104,'Data Vlaue (Cr)'!$C:$FB,8)</f>
        <v>451.4</v>
      </c>
      <c r="D104" s="75">
        <f>VLOOKUP($A104,'Data Vlaue (Cr)'!$C:$FB,4)</f>
        <v>453.6</v>
      </c>
      <c r="E104" s="75">
        <f>VLOOKUP($A104,'Data Vlaue (Cr)'!$C:$FB,5)</f>
        <v>443.4</v>
      </c>
      <c r="F104" s="75">
        <f t="shared" si="6"/>
        <v>2.2000000000000455</v>
      </c>
      <c r="G104" s="75">
        <f t="shared" si="7"/>
        <v>2.2486772486772586</v>
      </c>
      <c r="H104" s="75">
        <f>VLOOKUP($A104,'Data Vlaue (Cr)'!$C:$FB,99)</f>
        <v>4025</v>
      </c>
      <c r="I104" s="75">
        <f>VLOOKUP($A104,'Data Vlaue (Cr)'!$C:$FB,100)</f>
        <v>4002</v>
      </c>
      <c r="J104" s="75">
        <f t="shared" si="8"/>
        <v>23</v>
      </c>
      <c r="K104" s="75">
        <f t="shared" si="9"/>
        <v>0.5714285714285714</v>
      </c>
      <c r="L104" s="75">
        <f>VLOOKUP($A104,'Data Vlaue (Cr)'!$C:$FB,67)</f>
        <v>1133</v>
      </c>
      <c r="M104" s="75">
        <f>VLOOKUP($A104,'Data Vlaue (Cr)'!$C:$FB,68)</f>
        <v>1128</v>
      </c>
      <c r="N104" s="75">
        <f t="shared" si="10"/>
        <v>5</v>
      </c>
      <c r="O104" s="75">
        <f t="shared" si="11"/>
        <v>0.44130626654898497</v>
      </c>
      <c r="P104" s="75">
        <f>VLOOKUP($A104,'Data Vlaue (Cr)'!$C:$FB,119)</f>
        <v>0.54</v>
      </c>
      <c r="Q104" s="75">
        <f>VLOOKUP($A104,'Data Vlaue (Cr)'!$C:$FB,122)*100</f>
        <v>10.199999999999999</v>
      </c>
      <c r="R104" s="75">
        <f>VLOOKUP($A104,'Data Vlaue (Cr)'!$C:$FB,125)</f>
        <v>0.39</v>
      </c>
      <c r="S104" s="75">
        <f>VLOOKUP($A104,'Data Vlaue (Cr)'!$C:$FB,128)*100</f>
        <v>-18.75</v>
      </c>
    </row>
    <row r="105" spans="1:19" x14ac:dyDescent="0.25">
      <c r="A105" s="96" t="str">
        <f>'Data Vlaue (Cr)'!C96</f>
        <v>INFY</v>
      </c>
      <c r="B105" s="75">
        <f>VLOOKUP($A105,'Data Vlaue (Cr)'!$C:$FB,2)</f>
        <v>400</v>
      </c>
      <c r="C105" s="75">
        <f>VLOOKUP($A105,'Data Vlaue (Cr)'!$C:$FB,8)</f>
        <v>1305.8</v>
      </c>
      <c r="D105" s="75">
        <f>VLOOKUP($A105,'Data Vlaue (Cr)'!$C:$FB,4)</f>
        <v>1309.3</v>
      </c>
      <c r="E105" s="75">
        <f>VLOOKUP($A105,'Data Vlaue (Cr)'!$C:$FB,5)</f>
        <v>1311.7</v>
      </c>
      <c r="F105" s="75">
        <f t="shared" si="6"/>
        <v>3.5</v>
      </c>
      <c r="G105" s="75">
        <f t="shared" si="7"/>
        <v>-0.18330405560223717</v>
      </c>
      <c r="H105" s="75">
        <f>VLOOKUP($A105,'Data Vlaue (Cr)'!$C:$FB,99)</f>
        <v>18161</v>
      </c>
      <c r="I105" s="75">
        <f>VLOOKUP($A105,'Data Vlaue (Cr)'!$C:$FB,100)</f>
        <v>18229</v>
      </c>
      <c r="J105" s="75">
        <f t="shared" si="8"/>
        <v>-68</v>
      </c>
      <c r="K105" s="75">
        <f t="shared" si="9"/>
        <v>-0.37442872088541385</v>
      </c>
      <c r="L105" s="75">
        <f>VLOOKUP($A105,'Data Vlaue (Cr)'!$C:$FB,67)</f>
        <v>6863</v>
      </c>
      <c r="M105" s="75">
        <f>VLOOKUP($A105,'Data Vlaue (Cr)'!$C:$FB,68)</f>
        <v>11243</v>
      </c>
      <c r="N105" s="75">
        <f t="shared" si="10"/>
        <v>-4380</v>
      </c>
      <c r="O105" s="75">
        <f t="shared" si="11"/>
        <v>-63.820486667638058</v>
      </c>
      <c r="P105" s="75">
        <f>VLOOKUP($A105,'Data Vlaue (Cr)'!$C:$FB,119)</f>
        <v>0.55000000000000004</v>
      </c>
      <c r="Q105" s="75">
        <f>VLOOKUP($A105,'Data Vlaue (Cr)'!$C:$FB,122)*100</f>
        <v>-3.51</v>
      </c>
      <c r="R105" s="75">
        <f>VLOOKUP($A105,'Data Vlaue (Cr)'!$C:$FB,125)</f>
        <v>0.69</v>
      </c>
      <c r="S105" s="75">
        <f>VLOOKUP($A105,'Data Vlaue (Cr)'!$C:$FB,128)*100</f>
        <v>18.970000000000002</v>
      </c>
    </row>
    <row r="106" spans="1:19" x14ac:dyDescent="0.25">
      <c r="A106" s="96" t="str">
        <f>'Data Vlaue (Cr)'!C97</f>
        <v>INOXWIND</v>
      </c>
      <c r="B106" s="75">
        <f>VLOOKUP($A106,'Data Vlaue (Cr)'!$C:$FB,2)</f>
        <v>3575</v>
      </c>
      <c r="C106" s="75">
        <f>VLOOKUP($A106,'Data Vlaue (Cr)'!$C:$FB,8)</f>
        <v>86.32</v>
      </c>
      <c r="D106" s="75">
        <f>VLOOKUP($A106,'Data Vlaue (Cr)'!$C:$FB,4)</f>
        <v>86.57</v>
      </c>
      <c r="E106" s="75">
        <f>VLOOKUP($A106,'Data Vlaue (Cr)'!$C:$FB,5)</f>
        <v>86.22</v>
      </c>
      <c r="F106" s="75">
        <f t="shared" si="6"/>
        <v>0.25</v>
      </c>
      <c r="G106" s="75">
        <f t="shared" si="7"/>
        <v>0.4042971006122148</v>
      </c>
      <c r="H106" s="75">
        <f>VLOOKUP($A106,'Data Vlaue (Cr)'!$C:$FB,99)</f>
        <v>1378</v>
      </c>
      <c r="I106" s="75">
        <f>VLOOKUP($A106,'Data Vlaue (Cr)'!$C:$FB,100)</f>
        <v>1351</v>
      </c>
      <c r="J106" s="75">
        <f t="shared" si="8"/>
        <v>27</v>
      </c>
      <c r="K106" s="75">
        <f t="shared" si="9"/>
        <v>1.9593613933236573</v>
      </c>
      <c r="L106" s="75">
        <f>VLOOKUP($A106,'Data Vlaue (Cr)'!$C:$FB,67)</f>
        <v>668</v>
      </c>
      <c r="M106" s="75">
        <f>VLOOKUP($A106,'Data Vlaue (Cr)'!$C:$FB,68)</f>
        <v>429</v>
      </c>
      <c r="N106" s="75">
        <f t="shared" si="10"/>
        <v>239</v>
      </c>
      <c r="O106" s="75">
        <f t="shared" si="11"/>
        <v>35.778443113772454</v>
      </c>
      <c r="P106" s="75">
        <f>VLOOKUP($A106,'Data Vlaue (Cr)'!$C:$FB,119)</f>
        <v>0.74</v>
      </c>
      <c r="Q106" s="75">
        <f>VLOOKUP($A106,'Data Vlaue (Cr)'!$C:$FB,122)*100</f>
        <v>4.2299999999999995</v>
      </c>
      <c r="R106" s="75">
        <f>VLOOKUP($A106,'Data Vlaue (Cr)'!$C:$FB,125)</f>
        <v>0.55000000000000004</v>
      </c>
      <c r="S106" s="75">
        <f>VLOOKUP($A106,'Data Vlaue (Cr)'!$C:$FB,128)*100</f>
        <v>14.580000000000002</v>
      </c>
    </row>
    <row r="107" spans="1:19" x14ac:dyDescent="0.25">
      <c r="A107" s="96" t="str">
        <f>'Data Vlaue (Cr)'!C98</f>
        <v>IOC</v>
      </c>
      <c r="B107" s="75">
        <f>VLOOKUP($A107,'Data Vlaue (Cr)'!$C:$FB,2)</f>
        <v>4875</v>
      </c>
      <c r="C107" s="75">
        <f>VLOOKUP($A107,'Data Vlaue (Cr)'!$C:$FB,8)</f>
        <v>171.54</v>
      </c>
      <c r="D107" s="75">
        <f>VLOOKUP($A107,'Data Vlaue (Cr)'!$C:$FB,4)</f>
        <v>170.99</v>
      </c>
      <c r="E107" s="75">
        <f>VLOOKUP($A107,'Data Vlaue (Cr)'!$C:$FB,5)</f>
        <v>169.77</v>
      </c>
      <c r="F107" s="75">
        <f t="shared" si="6"/>
        <v>-0.54999999999998295</v>
      </c>
      <c r="G107" s="75">
        <f t="shared" si="7"/>
        <v>0.71349201707702137</v>
      </c>
      <c r="H107" s="75">
        <f>VLOOKUP($A107,'Data Vlaue (Cr)'!$C:$FB,99)</f>
        <v>3241</v>
      </c>
      <c r="I107" s="75">
        <f>VLOOKUP($A107,'Data Vlaue (Cr)'!$C:$FB,100)</f>
        <v>2961</v>
      </c>
      <c r="J107" s="75">
        <f t="shared" si="8"/>
        <v>280</v>
      </c>
      <c r="K107" s="75">
        <f t="shared" si="9"/>
        <v>8.639308855291576</v>
      </c>
      <c r="L107" s="75">
        <f>VLOOKUP($A107,'Data Vlaue (Cr)'!$C:$FB,67)</f>
        <v>4431</v>
      </c>
      <c r="M107" s="75">
        <f>VLOOKUP($A107,'Data Vlaue (Cr)'!$C:$FB,68)</f>
        <v>3372</v>
      </c>
      <c r="N107" s="75">
        <f t="shared" si="10"/>
        <v>1059</v>
      </c>
      <c r="O107" s="75">
        <f t="shared" si="11"/>
        <v>23.899796885578876</v>
      </c>
      <c r="P107" s="75">
        <f>VLOOKUP($A107,'Data Vlaue (Cr)'!$C:$FB,119)</f>
        <v>0.84</v>
      </c>
      <c r="Q107" s="75">
        <f>VLOOKUP($A107,'Data Vlaue (Cr)'!$C:$FB,122)*100</f>
        <v>-13.4</v>
      </c>
      <c r="R107" s="75">
        <f>VLOOKUP($A107,'Data Vlaue (Cr)'!$C:$FB,125)</f>
        <v>0.97</v>
      </c>
      <c r="S107" s="75">
        <f>VLOOKUP($A107,'Data Vlaue (Cr)'!$C:$FB,128)*100</f>
        <v>-48.4</v>
      </c>
    </row>
    <row r="108" spans="1:19" x14ac:dyDescent="0.25">
      <c r="A108" s="96" t="str">
        <f>'Data Vlaue (Cr)'!C99</f>
        <v>IREDA</v>
      </c>
      <c r="B108" s="75">
        <f>VLOOKUP($A108,'Data Vlaue (Cr)'!$C:$FB,2)</f>
        <v>3450</v>
      </c>
      <c r="C108" s="75">
        <f>VLOOKUP($A108,'Data Vlaue (Cr)'!$C:$FB,8)</f>
        <v>115.65</v>
      </c>
      <c r="D108" s="75">
        <f>VLOOKUP($A108,'Data Vlaue (Cr)'!$C:$FB,4)</f>
        <v>115.85</v>
      </c>
      <c r="E108" s="75">
        <f>VLOOKUP($A108,'Data Vlaue (Cr)'!$C:$FB,5)</f>
        <v>113.61</v>
      </c>
      <c r="F108" s="75">
        <f t="shared" si="6"/>
        <v>0.19999999999998863</v>
      </c>
      <c r="G108" s="75">
        <f t="shared" si="7"/>
        <v>1.9335347432024128</v>
      </c>
      <c r="H108" s="75">
        <f>VLOOKUP($A108,'Data Vlaue (Cr)'!$C:$FB,99)</f>
        <v>1320</v>
      </c>
      <c r="I108" s="75">
        <f>VLOOKUP($A108,'Data Vlaue (Cr)'!$C:$FB,100)</f>
        <v>1310</v>
      </c>
      <c r="J108" s="75">
        <f t="shared" si="8"/>
        <v>10</v>
      </c>
      <c r="K108" s="75">
        <f t="shared" si="9"/>
        <v>0.75757575757575757</v>
      </c>
      <c r="L108" s="75">
        <f>VLOOKUP($A108,'Data Vlaue (Cr)'!$C:$FB,67)</f>
        <v>370</v>
      </c>
      <c r="M108" s="75">
        <f>VLOOKUP($A108,'Data Vlaue (Cr)'!$C:$FB,68)</f>
        <v>457</v>
      </c>
      <c r="N108" s="75">
        <f t="shared" si="10"/>
        <v>-87</v>
      </c>
      <c r="O108" s="75">
        <f t="shared" si="11"/>
        <v>-23.513513513513516</v>
      </c>
      <c r="P108" s="75">
        <f>VLOOKUP($A108,'Data Vlaue (Cr)'!$C:$FB,119)</f>
        <v>0.68</v>
      </c>
      <c r="Q108" s="75">
        <f>VLOOKUP($A108,'Data Vlaue (Cr)'!$C:$FB,122)*100</f>
        <v>-2.86</v>
      </c>
      <c r="R108" s="75">
        <f>VLOOKUP($A108,'Data Vlaue (Cr)'!$C:$FB,125)</f>
        <v>0.34</v>
      </c>
      <c r="S108" s="75">
        <f>VLOOKUP($A108,'Data Vlaue (Cr)'!$C:$FB,128)*100</f>
        <v>-26.090000000000003</v>
      </c>
    </row>
    <row r="109" spans="1:19" x14ac:dyDescent="0.25">
      <c r="A109" s="96" t="str">
        <f>'Data Vlaue (Cr)'!C100</f>
        <v>IRFC</v>
      </c>
      <c r="B109" s="75">
        <f>VLOOKUP($A109,'Data Vlaue (Cr)'!$C:$FB,2)</f>
        <v>4250</v>
      </c>
      <c r="C109" s="75">
        <f>VLOOKUP($A109,'Data Vlaue (Cr)'!$C:$FB,8)</f>
        <v>98.85</v>
      </c>
      <c r="D109" s="75">
        <f>VLOOKUP($A109,'Data Vlaue (Cr)'!$C:$FB,4)</f>
        <v>98.04</v>
      </c>
      <c r="E109" s="75">
        <f>VLOOKUP($A109,'Data Vlaue (Cr)'!$C:$FB,5)</f>
        <v>96.83</v>
      </c>
      <c r="F109" s="75">
        <f t="shared" si="6"/>
        <v>-0.80999999999998806</v>
      </c>
      <c r="G109" s="75">
        <f t="shared" si="7"/>
        <v>1.2341901264789961</v>
      </c>
      <c r="H109" s="75">
        <f>VLOOKUP($A109,'Data Vlaue (Cr)'!$C:$FB,99)</f>
        <v>1917</v>
      </c>
      <c r="I109" s="75">
        <f>VLOOKUP($A109,'Data Vlaue (Cr)'!$C:$FB,100)</f>
        <v>1892</v>
      </c>
      <c r="J109" s="75">
        <f t="shared" si="8"/>
        <v>25</v>
      </c>
      <c r="K109" s="75">
        <f t="shared" si="9"/>
        <v>1.3041210224308815</v>
      </c>
      <c r="L109" s="75">
        <f>VLOOKUP($A109,'Data Vlaue (Cr)'!$C:$FB,67)</f>
        <v>797</v>
      </c>
      <c r="M109" s="75">
        <f>VLOOKUP($A109,'Data Vlaue (Cr)'!$C:$FB,68)</f>
        <v>1076</v>
      </c>
      <c r="N109" s="75">
        <f t="shared" si="10"/>
        <v>-279</v>
      </c>
      <c r="O109" s="75">
        <f t="shared" si="11"/>
        <v>-35.006273525721454</v>
      </c>
      <c r="P109" s="75">
        <f>VLOOKUP($A109,'Data Vlaue (Cr)'!$C:$FB,119)</f>
        <v>0.56000000000000005</v>
      </c>
      <c r="Q109" s="75">
        <f>VLOOKUP($A109,'Data Vlaue (Cr)'!$C:$FB,122)*100</f>
        <v>0</v>
      </c>
      <c r="R109" s="75">
        <f>VLOOKUP($A109,'Data Vlaue (Cr)'!$C:$FB,125)</f>
        <v>0.28999999999999998</v>
      </c>
      <c r="S109" s="75">
        <f>VLOOKUP($A109,'Data Vlaue (Cr)'!$C:$FB,128)*100</f>
        <v>-34.089999999999996</v>
      </c>
    </row>
    <row r="110" spans="1:19" x14ac:dyDescent="0.25">
      <c r="A110" s="96" t="str">
        <f>'Data Vlaue (Cr)'!C101</f>
        <v>ITC</v>
      </c>
      <c r="B110" s="75">
        <f>VLOOKUP($A110,'Data Vlaue (Cr)'!$C:$FB,2)</f>
        <v>1600</v>
      </c>
      <c r="C110" s="75">
        <f>VLOOKUP($A110,'Data Vlaue (Cr)'!$C:$FB,8)</f>
        <v>311.5</v>
      </c>
      <c r="D110" s="75">
        <f>VLOOKUP($A110,'Data Vlaue (Cr)'!$C:$FB,4)</f>
        <v>312.89999999999998</v>
      </c>
      <c r="E110" s="75">
        <f>VLOOKUP($A110,'Data Vlaue (Cr)'!$C:$FB,5)</f>
        <v>312.60000000000002</v>
      </c>
      <c r="F110" s="75">
        <f t="shared" si="6"/>
        <v>1.3999999999999773</v>
      </c>
      <c r="G110" s="75">
        <f t="shared" si="7"/>
        <v>9.5877277085316251E-2</v>
      </c>
      <c r="H110" s="75">
        <f>VLOOKUP($A110,'Data Vlaue (Cr)'!$C:$FB,99)</f>
        <v>10293</v>
      </c>
      <c r="I110" s="75">
        <f>VLOOKUP($A110,'Data Vlaue (Cr)'!$C:$FB,100)</f>
        <v>10176</v>
      </c>
      <c r="J110" s="75">
        <f t="shared" si="8"/>
        <v>117</v>
      </c>
      <c r="K110" s="75">
        <f t="shared" si="9"/>
        <v>1.1366948411541824</v>
      </c>
      <c r="L110" s="75">
        <f>VLOOKUP($A110,'Data Vlaue (Cr)'!$C:$FB,67)</f>
        <v>4462</v>
      </c>
      <c r="M110" s="75">
        <f>VLOOKUP($A110,'Data Vlaue (Cr)'!$C:$FB,68)</f>
        <v>4556</v>
      </c>
      <c r="N110" s="75">
        <f t="shared" si="10"/>
        <v>-94</v>
      </c>
      <c r="O110" s="75">
        <f t="shared" si="11"/>
        <v>-2.1066786194531599</v>
      </c>
      <c r="P110" s="75">
        <f>VLOOKUP($A110,'Data Vlaue (Cr)'!$C:$FB,119)</f>
        <v>0.45</v>
      </c>
      <c r="Q110" s="75">
        <f>VLOOKUP($A110,'Data Vlaue (Cr)'!$C:$FB,122)*100</f>
        <v>0</v>
      </c>
      <c r="R110" s="75">
        <f>VLOOKUP($A110,'Data Vlaue (Cr)'!$C:$FB,125)</f>
        <v>0.28999999999999998</v>
      </c>
      <c r="S110" s="75">
        <f>VLOOKUP($A110,'Data Vlaue (Cr)'!$C:$FB,128)*100</f>
        <v>-32.56</v>
      </c>
    </row>
    <row r="111" spans="1:19" x14ac:dyDescent="0.25">
      <c r="A111" s="96" t="str">
        <f>'Data Vlaue (Cr)'!C102</f>
        <v>JINDALSTEL</v>
      </c>
      <c r="B111" s="75">
        <f>VLOOKUP($A111,'Data Vlaue (Cr)'!$C:$FB,2)</f>
        <v>625</v>
      </c>
      <c r="C111" s="75">
        <f>VLOOKUP($A111,'Data Vlaue (Cr)'!$C:$FB,8)</f>
        <v>1184</v>
      </c>
      <c r="D111" s="75">
        <f>VLOOKUP($A111,'Data Vlaue (Cr)'!$C:$FB,4)</f>
        <v>1189</v>
      </c>
      <c r="E111" s="75">
        <f>VLOOKUP($A111,'Data Vlaue (Cr)'!$C:$FB,5)</f>
        <v>1173.0999999999999</v>
      </c>
      <c r="F111" s="75">
        <f t="shared" si="6"/>
        <v>5</v>
      </c>
      <c r="G111" s="75">
        <f t="shared" si="7"/>
        <v>1.3372582001682163</v>
      </c>
      <c r="H111" s="75">
        <f>VLOOKUP($A111,'Data Vlaue (Cr)'!$C:$FB,99)</f>
        <v>1927</v>
      </c>
      <c r="I111" s="75">
        <f>VLOOKUP($A111,'Data Vlaue (Cr)'!$C:$FB,100)</f>
        <v>1911</v>
      </c>
      <c r="J111" s="75">
        <f t="shared" si="8"/>
        <v>16</v>
      </c>
      <c r="K111" s="75">
        <f t="shared" si="9"/>
        <v>0.83030617540217955</v>
      </c>
      <c r="L111" s="75">
        <f>VLOOKUP($A111,'Data Vlaue (Cr)'!$C:$FB,67)</f>
        <v>1158</v>
      </c>
      <c r="M111" s="75">
        <f>VLOOKUP($A111,'Data Vlaue (Cr)'!$C:$FB,68)</f>
        <v>2229</v>
      </c>
      <c r="N111" s="75">
        <f t="shared" si="10"/>
        <v>-1071</v>
      </c>
      <c r="O111" s="75">
        <f t="shared" si="11"/>
        <v>-92.487046632124347</v>
      </c>
      <c r="P111" s="75">
        <f>VLOOKUP($A111,'Data Vlaue (Cr)'!$C:$FB,119)</f>
        <v>1.05</v>
      </c>
      <c r="Q111" s="75">
        <f>VLOOKUP($A111,'Data Vlaue (Cr)'!$C:$FB,122)*100</f>
        <v>-9.48</v>
      </c>
      <c r="R111" s="75">
        <f>VLOOKUP($A111,'Data Vlaue (Cr)'!$C:$FB,125)</f>
        <v>0.39</v>
      </c>
      <c r="S111" s="75">
        <f>VLOOKUP($A111,'Data Vlaue (Cr)'!$C:$FB,128)*100</f>
        <v>-68.289999999999992</v>
      </c>
    </row>
    <row r="112" spans="1:19" x14ac:dyDescent="0.25">
      <c r="A112" s="96" t="str">
        <f>'Data Vlaue (Cr)'!C103</f>
        <v>JIOFIN</v>
      </c>
      <c r="B112" s="75">
        <f>VLOOKUP($A112,'Data Vlaue (Cr)'!$C:$FB,2)</f>
        <v>2350</v>
      </c>
      <c r="C112" s="75">
        <f>VLOOKUP($A112,'Data Vlaue (Cr)'!$C:$FB,8)</f>
        <v>243.1</v>
      </c>
      <c r="D112" s="75">
        <f>VLOOKUP($A112,'Data Vlaue (Cr)'!$C:$FB,4)</f>
        <v>244.1</v>
      </c>
      <c r="E112" s="75">
        <f>VLOOKUP($A112,'Data Vlaue (Cr)'!$C:$FB,5)</f>
        <v>242</v>
      </c>
      <c r="F112" s="75">
        <f t="shared" si="6"/>
        <v>1</v>
      </c>
      <c r="G112" s="75">
        <f t="shared" si="7"/>
        <v>0.86030315444489724</v>
      </c>
      <c r="H112" s="75">
        <f>VLOOKUP($A112,'Data Vlaue (Cr)'!$C:$FB,99)</f>
        <v>6212</v>
      </c>
      <c r="I112" s="75">
        <f>VLOOKUP($A112,'Data Vlaue (Cr)'!$C:$FB,100)</f>
        <v>6106</v>
      </c>
      <c r="J112" s="75">
        <f t="shared" si="8"/>
        <v>106</v>
      </c>
      <c r="K112" s="75">
        <f t="shared" si="9"/>
        <v>1.7063747585318738</v>
      </c>
      <c r="L112" s="75">
        <f>VLOOKUP($A112,'Data Vlaue (Cr)'!$C:$FB,67)</f>
        <v>2157</v>
      </c>
      <c r="M112" s="75">
        <f>VLOOKUP($A112,'Data Vlaue (Cr)'!$C:$FB,68)</f>
        <v>2122</v>
      </c>
      <c r="N112" s="75">
        <f t="shared" si="10"/>
        <v>35</v>
      </c>
      <c r="O112" s="75">
        <f t="shared" si="11"/>
        <v>1.6226240148354196</v>
      </c>
      <c r="P112" s="75">
        <f>VLOOKUP($A112,'Data Vlaue (Cr)'!$C:$FB,119)</f>
        <v>0.8</v>
      </c>
      <c r="Q112" s="75">
        <f>VLOOKUP($A112,'Data Vlaue (Cr)'!$C:$FB,122)*100</f>
        <v>-3.61</v>
      </c>
      <c r="R112" s="75">
        <f>VLOOKUP($A112,'Data Vlaue (Cr)'!$C:$FB,125)</f>
        <v>0.48</v>
      </c>
      <c r="S112" s="75">
        <f>VLOOKUP($A112,'Data Vlaue (Cr)'!$C:$FB,128)*100</f>
        <v>-25</v>
      </c>
    </row>
    <row r="113" spans="1:19" x14ac:dyDescent="0.25">
      <c r="A113" s="96" t="str">
        <f>'Data Vlaue (Cr)'!C104</f>
        <v>JSWENERGY</v>
      </c>
      <c r="B113" s="75">
        <f>VLOOKUP($A113,'Data Vlaue (Cr)'!$C:$FB,2)</f>
        <v>1000</v>
      </c>
      <c r="C113" s="75">
        <f>VLOOKUP($A113,'Data Vlaue (Cr)'!$C:$FB,8)</f>
        <v>479.5</v>
      </c>
      <c r="D113" s="75">
        <f>VLOOKUP($A113,'Data Vlaue (Cr)'!$C:$FB,4)</f>
        <v>480.35</v>
      </c>
      <c r="E113" s="75">
        <f>VLOOKUP($A113,'Data Vlaue (Cr)'!$C:$FB,5)</f>
        <v>469.05</v>
      </c>
      <c r="F113" s="75">
        <f t="shared" si="6"/>
        <v>0.85000000000002274</v>
      </c>
      <c r="G113" s="75">
        <f t="shared" si="7"/>
        <v>2.35245133756636</v>
      </c>
      <c r="H113" s="75">
        <f>VLOOKUP($A113,'Data Vlaue (Cr)'!$C:$FB,99)</f>
        <v>1882</v>
      </c>
      <c r="I113" s="75">
        <f>VLOOKUP($A113,'Data Vlaue (Cr)'!$C:$FB,100)</f>
        <v>1890</v>
      </c>
      <c r="J113" s="75">
        <f t="shared" si="8"/>
        <v>-8</v>
      </c>
      <c r="K113" s="75">
        <f t="shared" si="9"/>
        <v>-0.42507970244420828</v>
      </c>
      <c r="L113" s="75">
        <f>VLOOKUP($A113,'Data Vlaue (Cr)'!$C:$FB,67)</f>
        <v>331</v>
      </c>
      <c r="M113" s="75">
        <f>VLOOKUP($A113,'Data Vlaue (Cr)'!$C:$FB,68)</f>
        <v>441</v>
      </c>
      <c r="N113" s="75">
        <f t="shared" si="10"/>
        <v>-110</v>
      </c>
      <c r="O113" s="75">
        <f t="shared" si="11"/>
        <v>-33.23262839879154</v>
      </c>
      <c r="P113" s="75">
        <f>VLOOKUP($A113,'Data Vlaue (Cr)'!$C:$FB,119)</f>
        <v>0.9</v>
      </c>
      <c r="Q113" s="75">
        <f>VLOOKUP($A113,'Data Vlaue (Cr)'!$C:$FB,122)*100</f>
        <v>-1.0999999999999999</v>
      </c>
      <c r="R113" s="75">
        <f>VLOOKUP($A113,'Data Vlaue (Cr)'!$C:$FB,125)</f>
        <v>0.33</v>
      </c>
      <c r="S113" s="75">
        <f>VLOOKUP($A113,'Data Vlaue (Cr)'!$C:$FB,128)*100</f>
        <v>-45</v>
      </c>
    </row>
    <row r="114" spans="1:19" x14ac:dyDescent="0.25">
      <c r="A114" s="96" t="str">
        <f>'Data Vlaue (Cr)'!C105</f>
        <v>JSWSTEEL</v>
      </c>
      <c r="B114" s="75">
        <f>VLOOKUP($A114,'Data Vlaue (Cr)'!$C:$FB,2)</f>
        <v>675</v>
      </c>
      <c r="C114" s="75">
        <f>VLOOKUP($A114,'Data Vlaue (Cr)'!$C:$FB,8)</f>
        <v>1248.0999999999999</v>
      </c>
      <c r="D114" s="75">
        <f>VLOOKUP($A114,'Data Vlaue (Cr)'!$C:$FB,4)</f>
        <v>1251.2</v>
      </c>
      <c r="E114" s="75">
        <f>VLOOKUP($A114,'Data Vlaue (Cr)'!$C:$FB,5)</f>
        <v>1216.9000000000001</v>
      </c>
      <c r="F114" s="75">
        <f t="shared" si="6"/>
        <v>3.1000000000001364</v>
      </c>
      <c r="G114" s="75">
        <f t="shared" si="7"/>
        <v>2.7413682864450091</v>
      </c>
      <c r="H114" s="75">
        <f>VLOOKUP($A114,'Data Vlaue (Cr)'!$C:$FB,99)</f>
        <v>7857</v>
      </c>
      <c r="I114" s="75">
        <f>VLOOKUP($A114,'Data Vlaue (Cr)'!$C:$FB,100)</f>
        <v>7758</v>
      </c>
      <c r="J114" s="75">
        <f t="shared" si="8"/>
        <v>99</v>
      </c>
      <c r="K114" s="75">
        <f t="shared" si="9"/>
        <v>1.2600229095074456</v>
      </c>
      <c r="L114" s="75">
        <f>VLOOKUP($A114,'Data Vlaue (Cr)'!$C:$FB,67)</f>
        <v>2626</v>
      </c>
      <c r="M114" s="75">
        <f>VLOOKUP($A114,'Data Vlaue (Cr)'!$C:$FB,68)</f>
        <v>3083</v>
      </c>
      <c r="N114" s="75">
        <f t="shared" si="10"/>
        <v>-457</v>
      </c>
      <c r="O114" s="75">
        <f t="shared" si="11"/>
        <v>-17.402894135567404</v>
      </c>
      <c r="P114" s="75">
        <f>VLOOKUP($A114,'Data Vlaue (Cr)'!$C:$FB,119)</f>
        <v>0.6</v>
      </c>
      <c r="Q114" s="75">
        <f>VLOOKUP($A114,'Data Vlaue (Cr)'!$C:$FB,122)*100</f>
        <v>1.69</v>
      </c>
      <c r="R114" s="75">
        <f>VLOOKUP($A114,'Data Vlaue (Cr)'!$C:$FB,125)</f>
        <v>0.55000000000000004</v>
      </c>
      <c r="S114" s="75">
        <f>VLOOKUP($A114,'Data Vlaue (Cr)'!$C:$FB,128)*100</f>
        <v>-47.620000000000005</v>
      </c>
    </row>
    <row r="115" spans="1:19" x14ac:dyDescent="0.25">
      <c r="A115" s="96" t="str">
        <f>'Data Vlaue (Cr)'!C106</f>
        <v>JUBLFOOD</v>
      </c>
      <c r="B115" s="75">
        <f>VLOOKUP($A115,'Data Vlaue (Cr)'!$C:$FB,2)</f>
        <v>1250</v>
      </c>
      <c r="C115" s="75">
        <f>VLOOKUP($A115,'Data Vlaue (Cr)'!$C:$FB,8)</f>
        <v>500.5</v>
      </c>
      <c r="D115" s="75">
        <f>VLOOKUP($A115,'Data Vlaue (Cr)'!$C:$FB,4)</f>
        <v>501.55</v>
      </c>
      <c r="E115" s="75">
        <f>VLOOKUP($A115,'Data Vlaue (Cr)'!$C:$FB,5)</f>
        <v>500.3</v>
      </c>
      <c r="F115" s="75">
        <f t="shared" si="6"/>
        <v>1.0500000000000114</v>
      </c>
      <c r="G115" s="75">
        <f t="shared" si="7"/>
        <v>0.24922739507526667</v>
      </c>
      <c r="H115" s="75">
        <f>VLOOKUP($A115,'Data Vlaue (Cr)'!$C:$FB,99)</f>
        <v>1993</v>
      </c>
      <c r="I115" s="75">
        <f>VLOOKUP($A115,'Data Vlaue (Cr)'!$C:$FB,100)</f>
        <v>1993</v>
      </c>
      <c r="J115" s="75">
        <f t="shared" si="8"/>
        <v>0</v>
      </c>
      <c r="K115" s="75">
        <f t="shared" si="9"/>
        <v>0</v>
      </c>
      <c r="L115" s="75">
        <f>VLOOKUP($A115,'Data Vlaue (Cr)'!$C:$FB,67)</f>
        <v>476</v>
      </c>
      <c r="M115" s="75">
        <f>VLOOKUP($A115,'Data Vlaue (Cr)'!$C:$FB,68)</f>
        <v>777</v>
      </c>
      <c r="N115" s="75">
        <f t="shared" si="10"/>
        <v>-301</v>
      </c>
      <c r="O115" s="75">
        <f t="shared" si="11"/>
        <v>-63.235294117647058</v>
      </c>
      <c r="P115" s="75">
        <f>VLOOKUP($A115,'Data Vlaue (Cr)'!$C:$FB,119)</f>
        <v>0.64</v>
      </c>
      <c r="Q115" s="75">
        <f>VLOOKUP($A115,'Data Vlaue (Cr)'!$C:$FB,122)*100</f>
        <v>-5.88</v>
      </c>
      <c r="R115" s="75">
        <f>VLOOKUP($A115,'Data Vlaue (Cr)'!$C:$FB,125)</f>
        <v>0.28000000000000003</v>
      </c>
      <c r="S115" s="75">
        <f>VLOOKUP($A115,'Data Vlaue (Cr)'!$C:$FB,128)*100</f>
        <v>-34.880000000000003</v>
      </c>
    </row>
    <row r="116" spans="1:19" x14ac:dyDescent="0.25">
      <c r="A116" s="96" t="str">
        <f>'Data Vlaue (Cr)'!C107</f>
        <v>KALYANKJIL</v>
      </c>
      <c r="B116" s="75">
        <f>VLOOKUP($A116,'Data Vlaue (Cr)'!$C:$FB,2)</f>
        <v>1175</v>
      </c>
      <c r="C116" s="75">
        <f>VLOOKUP($A116,'Data Vlaue (Cr)'!$C:$FB,8)</f>
        <v>399.8</v>
      </c>
      <c r="D116" s="75">
        <f>VLOOKUP($A116,'Data Vlaue (Cr)'!$C:$FB,4)</f>
        <v>400.8</v>
      </c>
      <c r="E116" s="75">
        <f>VLOOKUP($A116,'Data Vlaue (Cr)'!$C:$FB,5)</f>
        <v>394.95</v>
      </c>
      <c r="F116" s="75">
        <f t="shared" si="6"/>
        <v>1</v>
      </c>
      <c r="G116" s="75">
        <f t="shared" si="7"/>
        <v>1.4595808383233588</v>
      </c>
      <c r="H116" s="75">
        <f>VLOOKUP($A116,'Data Vlaue (Cr)'!$C:$FB,99)</f>
        <v>1517</v>
      </c>
      <c r="I116" s="75">
        <f>VLOOKUP($A116,'Data Vlaue (Cr)'!$C:$FB,100)</f>
        <v>1500</v>
      </c>
      <c r="J116" s="75">
        <f t="shared" si="8"/>
        <v>17</v>
      </c>
      <c r="K116" s="75">
        <f t="shared" si="9"/>
        <v>1.1206328279499012</v>
      </c>
      <c r="L116" s="75">
        <f>VLOOKUP($A116,'Data Vlaue (Cr)'!$C:$FB,67)</f>
        <v>570</v>
      </c>
      <c r="M116" s="75">
        <f>VLOOKUP($A116,'Data Vlaue (Cr)'!$C:$FB,68)</f>
        <v>770</v>
      </c>
      <c r="N116" s="75">
        <f t="shared" si="10"/>
        <v>-200</v>
      </c>
      <c r="O116" s="75">
        <f t="shared" si="11"/>
        <v>-35.087719298245609</v>
      </c>
      <c r="P116" s="75">
        <f>VLOOKUP($A116,'Data Vlaue (Cr)'!$C:$FB,119)</f>
        <v>0.7</v>
      </c>
      <c r="Q116" s="75">
        <f>VLOOKUP($A116,'Data Vlaue (Cr)'!$C:$FB,122)*100</f>
        <v>-4.1099999999999994</v>
      </c>
      <c r="R116" s="75">
        <f>VLOOKUP($A116,'Data Vlaue (Cr)'!$C:$FB,125)</f>
        <v>0.48</v>
      </c>
      <c r="S116" s="75">
        <f>VLOOKUP($A116,'Data Vlaue (Cr)'!$C:$FB,128)*100</f>
        <v>-53.400000000000006</v>
      </c>
    </row>
    <row r="117" spans="1:19" x14ac:dyDescent="0.25">
      <c r="A117" s="96" t="str">
        <f>'Data Vlaue (Cr)'!C108</f>
        <v>KAYNES</v>
      </c>
      <c r="B117" s="75">
        <f>VLOOKUP($A117,'Data Vlaue (Cr)'!$C:$FB,2)</f>
        <v>100</v>
      </c>
      <c r="C117" s="75">
        <f>VLOOKUP($A117,'Data Vlaue (Cr)'!$C:$FB,8)</f>
        <v>3814.5</v>
      </c>
      <c r="D117" s="75">
        <f>VLOOKUP($A117,'Data Vlaue (Cr)'!$C:$FB,4)</f>
        <v>3826.7</v>
      </c>
      <c r="E117" s="75">
        <f>VLOOKUP($A117,'Data Vlaue (Cr)'!$C:$FB,5)</f>
        <v>3716.9</v>
      </c>
      <c r="F117" s="75">
        <f t="shared" si="6"/>
        <v>12.199999999999818</v>
      </c>
      <c r="G117" s="75">
        <f t="shared" si="7"/>
        <v>2.86931298507852</v>
      </c>
      <c r="H117" s="75">
        <f>VLOOKUP($A117,'Data Vlaue (Cr)'!$C:$FB,99)</f>
        <v>2477</v>
      </c>
      <c r="I117" s="75">
        <f>VLOOKUP($A117,'Data Vlaue (Cr)'!$C:$FB,100)</f>
        <v>2296</v>
      </c>
      <c r="J117" s="75">
        <f t="shared" si="8"/>
        <v>181</v>
      </c>
      <c r="K117" s="75">
        <f t="shared" si="9"/>
        <v>7.3072264836495755</v>
      </c>
      <c r="L117" s="75">
        <f>VLOOKUP($A117,'Data Vlaue (Cr)'!$C:$FB,67)</f>
        <v>2138</v>
      </c>
      <c r="M117" s="75">
        <f>VLOOKUP($A117,'Data Vlaue (Cr)'!$C:$FB,68)</f>
        <v>1453</v>
      </c>
      <c r="N117" s="75">
        <f t="shared" si="10"/>
        <v>685</v>
      </c>
      <c r="O117" s="75">
        <f t="shared" si="11"/>
        <v>32.039289055191766</v>
      </c>
      <c r="P117" s="75">
        <f>VLOOKUP($A117,'Data Vlaue (Cr)'!$C:$FB,119)</f>
        <v>0.88</v>
      </c>
      <c r="Q117" s="75">
        <f>VLOOKUP($A117,'Data Vlaue (Cr)'!$C:$FB,122)*100</f>
        <v>4.7600000000000007</v>
      </c>
      <c r="R117" s="75">
        <f>VLOOKUP($A117,'Data Vlaue (Cr)'!$C:$FB,125)</f>
        <v>0.59</v>
      </c>
      <c r="S117" s="75">
        <f>VLOOKUP($A117,'Data Vlaue (Cr)'!$C:$FB,128)*100</f>
        <v>3.51</v>
      </c>
    </row>
    <row r="118" spans="1:19" x14ac:dyDescent="0.25">
      <c r="A118" s="96" t="str">
        <f>'Data Vlaue (Cr)'!C109</f>
        <v>KEI</v>
      </c>
      <c r="B118" s="75">
        <f>VLOOKUP($A118,'Data Vlaue (Cr)'!$C:$FB,2)</f>
        <v>175</v>
      </c>
      <c r="C118" s="75">
        <f>VLOOKUP($A118,'Data Vlaue (Cr)'!$C:$FB,8)</f>
        <v>4920.5</v>
      </c>
      <c r="D118" s="75">
        <f>VLOOKUP($A118,'Data Vlaue (Cr)'!$C:$FB,4)</f>
        <v>4939</v>
      </c>
      <c r="E118" s="75">
        <f>VLOOKUP($A118,'Data Vlaue (Cr)'!$C:$FB,5)</f>
        <v>4978.5</v>
      </c>
      <c r="F118" s="75">
        <f t="shared" si="6"/>
        <v>18.5</v>
      </c>
      <c r="G118" s="75">
        <f t="shared" si="7"/>
        <v>-0.79975703583721403</v>
      </c>
      <c r="H118" s="75">
        <f>VLOOKUP($A118,'Data Vlaue (Cr)'!$C:$FB,99)</f>
        <v>1315</v>
      </c>
      <c r="I118" s="75">
        <f>VLOOKUP($A118,'Data Vlaue (Cr)'!$C:$FB,100)</f>
        <v>1369</v>
      </c>
      <c r="J118" s="75">
        <f t="shared" si="8"/>
        <v>-54</v>
      </c>
      <c r="K118" s="75">
        <f t="shared" si="9"/>
        <v>-4.1064638783269967</v>
      </c>
      <c r="L118" s="75">
        <f>VLOOKUP($A118,'Data Vlaue (Cr)'!$C:$FB,67)</f>
        <v>1118</v>
      </c>
      <c r="M118" s="75">
        <f>VLOOKUP($A118,'Data Vlaue (Cr)'!$C:$FB,68)</f>
        <v>1485</v>
      </c>
      <c r="N118" s="75">
        <f t="shared" si="10"/>
        <v>-367</v>
      </c>
      <c r="O118" s="75">
        <f t="shared" si="11"/>
        <v>-32.826475849731665</v>
      </c>
      <c r="P118" s="75">
        <f>VLOOKUP($A118,'Data Vlaue (Cr)'!$C:$FB,119)</f>
        <v>0.79</v>
      </c>
      <c r="Q118" s="75">
        <f>VLOOKUP($A118,'Data Vlaue (Cr)'!$C:$FB,122)*100</f>
        <v>0</v>
      </c>
      <c r="R118" s="75">
        <f>VLOOKUP($A118,'Data Vlaue (Cr)'!$C:$FB,125)</f>
        <v>0.85</v>
      </c>
      <c r="S118" s="75">
        <f>VLOOKUP($A118,'Data Vlaue (Cr)'!$C:$FB,128)*100</f>
        <v>6.25</v>
      </c>
    </row>
    <row r="119" spans="1:19" x14ac:dyDescent="0.25">
      <c r="A119" s="96" t="str">
        <f>'Data Vlaue (Cr)'!C110</f>
        <v>KFINTECH</v>
      </c>
      <c r="B119" s="75">
        <f>VLOOKUP($A119,'Data Vlaue (Cr)'!$C:$FB,2)</f>
        <v>500</v>
      </c>
      <c r="C119" s="75">
        <f>VLOOKUP($A119,'Data Vlaue (Cr)'!$C:$FB,8)</f>
        <v>927.9</v>
      </c>
      <c r="D119" s="75">
        <f>VLOOKUP($A119,'Data Vlaue (Cr)'!$C:$FB,4)</f>
        <v>926.45</v>
      </c>
      <c r="E119" s="75">
        <f>VLOOKUP($A119,'Data Vlaue (Cr)'!$C:$FB,5)</f>
        <v>911</v>
      </c>
      <c r="F119" s="75">
        <f t="shared" si="6"/>
        <v>-1.4499999999999318</v>
      </c>
      <c r="G119" s="75">
        <f t="shared" si="7"/>
        <v>1.6676561066436446</v>
      </c>
      <c r="H119" s="75">
        <f>VLOOKUP($A119,'Data Vlaue (Cr)'!$C:$FB,99)</f>
        <v>503</v>
      </c>
      <c r="I119" s="75">
        <f>VLOOKUP($A119,'Data Vlaue (Cr)'!$C:$FB,100)</f>
        <v>486</v>
      </c>
      <c r="J119" s="75">
        <f t="shared" si="8"/>
        <v>17</v>
      </c>
      <c r="K119" s="75">
        <f t="shared" si="9"/>
        <v>3.3797216699801194</v>
      </c>
      <c r="L119" s="75">
        <f>VLOOKUP($A119,'Data Vlaue (Cr)'!$C:$FB,67)</f>
        <v>278</v>
      </c>
      <c r="M119" s="75">
        <f>VLOOKUP($A119,'Data Vlaue (Cr)'!$C:$FB,68)</f>
        <v>175</v>
      </c>
      <c r="N119" s="75">
        <f t="shared" si="10"/>
        <v>103</v>
      </c>
      <c r="O119" s="75">
        <f t="shared" si="11"/>
        <v>37.050359712230211</v>
      </c>
      <c r="P119" s="75">
        <f>VLOOKUP($A119,'Data Vlaue (Cr)'!$C:$FB,119)</f>
        <v>0.64</v>
      </c>
      <c r="Q119" s="75">
        <f>VLOOKUP($A119,'Data Vlaue (Cr)'!$C:$FB,122)*100</f>
        <v>-3.0300000000000002</v>
      </c>
      <c r="R119" s="75">
        <f>VLOOKUP($A119,'Data Vlaue (Cr)'!$C:$FB,125)</f>
        <v>0.51</v>
      </c>
      <c r="S119" s="75">
        <f>VLOOKUP($A119,'Data Vlaue (Cr)'!$C:$FB,128)*100</f>
        <v>-20.309999999999999</v>
      </c>
    </row>
    <row r="120" spans="1:19" x14ac:dyDescent="0.25">
      <c r="A120" s="96" t="str">
        <f>'Data Vlaue (Cr)'!C111</f>
        <v>KOTAKBANK</v>
      </c>
      <c r="B120" s="75">
        <f>VLOOKUP($A120,'Data Vlaue (Cr)'!$C:$FB,2)</f>
        <v>2000</v>
      </c>
      <c r="C120" s="75">
        <f>VLOOKUP($A120,'Data Vlaue (Cr)'!$C:$FB,8)</f>
        <v>407.3</v>
      </c>
      <c r="D120" s="75">
        <f>VLOOKUP($A120,'Data Vlaue (Cr)'!$C:$FB,4)</f>
        <v>409.15</v>
      </c>
      <c r="E120" s="75">
        <f>VLOOKUP($A120,'Data Vlaue (Cr)'!$C:$FB,5)</f>
        <v>405.3</v>
      </c>
      <c r="F120" s="75">
        <f t="shared" si="6"/>
        <v>1.8499999999999659</v>
      </c>
      <c r="G120" s="75">
        <f t="shared" si="7"/>
        <v>0.94097519247219019</v>
      </c>
      <c r="H120" s="75">
        <f>VLOOKUP($A120,'Data Vlaue (Cr)'!$C:$FB,99)</f>
        <v>10351</v>
      </c>
      <c r="I120" s="75">
        <f>VLOOKUP($A120,'Data Vlaue (Cr)'!$C:$FB,100)</f>
        <v>10184</v>
      </c>
      <c r="J120" s="75">
        <f t="shared" si="8"/>
        <v>167</v>
      </c>
      <c r="K120" s="75">
        <f t="shared" si="9"/>
        <v>1.613370688822336</v>
      </c>
      <c r="L120" s="75">
        <f>VLOOKUP($A120,'Data Vlaue (Cr)'!$C:$FB,67)</f>
        <v>2426</v>
      </c>
      <c r="M120" s="75">
        <f>VLOOKUP($A120,'Data Vlaue (Cr)'!$C:$FB,68)</f>
        <v>3275</v>
      </c>
      <c r="N120" s="75">
        <f t="shared" si="10"/>
        <v>-849</v>
      </c>
      <c r="O120" s="75">
        <f t="shared" si="11"/>
        <v>-34.995877988458368</v>
      </c>
      <c r="P120" s="75">
        <f>VLOOKUP($A120,'Data Vlaue (Cr)'!$C:$FB,119)</f>
        <v>0.65</v>
      </c>
      <c r="Q120" s="75">
        <f>VLOOKUP($A120,'Data Vlaue (Cr)'!$C:$FB,122)*100</f>
        <v>-7.1400000000000006</v>
      </c>
      <c r="R120" s="75">
        <f>VLOOKUP($A120,'Data Vlaue (Cr)'!$C:$FB,125)</f>
        <v>0.64</v>
      </c>
      <c r="S120" s="75">
        <f>VLOOKUP($A120,'Data Vlaue (Cr)'!$C:$FB,128)*100</f>
        <v>4.92</v>
      </c>
    </row>
    <row r="121" spans="1:19" x14ac:dyDescent="0.25">
      <c r="A121" s="96" t="str">
        <f>'Data Vlaue (Cr)'!C112</f>
        <v>KPITTECH</v>
      </c>
      <c r="B121" s="75">
        <f>VLOOKUP($A121,'Data Vlaue (Cr)'!$C:$FB,2)</f>
        <v>425</v>
      </c>
      <c r="C121" s="75">
        <f>VLOOKUP($A121,'Data Vlaue (Cr)'!$C:$FB,8)</f>
        <v>717.5</v>
      </c>
      <c r="D121" s="75">
        <f>VLOOKUP($A121,'Data Vlaue (Cr)'!$C:$FB,4)</f>
        <v>721.2</v>
      </c>
      <c r="E121" s="75">
        <f>VLOOKUP($A121,'Data Vlaue (Cr)'!$C:$FB,5)</f>
        <v>739.4</v>
      </c>
      <c r="F121" s="75">
        <f t="shared" si="6"/>
        <v>3.7000000000000455</v>
      </c>
      <c r="G121" s="75">
        <f t="shared" si="7"/>
        <v>-2.5235718247365408</v>
      </c>
      <c r="H121" s="75">
        <f>VLOOKUP($A121,'Data Vlaue (Cr)'!$C:$FB,99)</f>
        <v>980</v>
      </c>
      <c r="I121" s="75">
        <f>VLOOKUP($A121,'Data Vlaue (Cr)'!$C:$FB,100)</f>
        <v>887</v>
      </c>
      <c r="J121" s="75">
        <f t="shared" si="8"/>
        <v>93</v>
      </c>
      <c r="K121" s="75">
        <f t="shared" si="9"/>
        <v>9.4897959183673475</v>
      </c>
      <c r="L121" s="75">
        <f>VLOOKUP($A121,'Data Vlaue (Cr)'!$C:$FB,67)</f>
        <v>505</v>
      </c>
      <c r="M121" s="75">
        <f>VLOOKUP($A121,'Data Vlaue (Cr)'!$C:$FB,68)</f>
        <v>459</v>
      </c>
      <c r="N121" s="75">
        <f t="shared" si="10"/>
        <v>46</v>
      </c>
      <c r="O121" s="75">
        <f t="shared" si="11"/>
        <v>9.1089108910891081</v>
      </c>
      <c r="P121" s="75">
        <f>VLOOKUP($A121,'Data Vlaue (Cr)'!$C:$FB,119)</f>
        <v>0.6</v>
      </c>
      <c r="Q121" s="75">
        <f>VLOOKUP($A121,'Data Vlaue (Cr)'!$C:$FB,122)*100</f>
        <v>-13.04</v>
      </c>
      <c r="R121" s="75">
        <f>VLOOKUP($A121,'Data Vlaue (Cr)'!$C:$FB,125)</f>
        <v>0.4</v>
      </c>
      <c r="S121" s="75">
        <f>VLOOKUP($A121,'Data Vlaue (Cr)'!$C:$FB,128)*100</f>
        <v>-31.03</v>
      </c>
    </row>
    <row r="122" spans="1:19" x14ac:dyDescent="0.25">
      <c r="A122" s="96" t="str">
        <f>'Data Vlaue (Cr)'!C113</f>
        <v>LAURUSLABS</v>
      </c>
      <c r="B122" s="75">
        <f>VLOOKUP($A122,'Data Vlaue (Cr)'!$C:$FB,2)</f>
        <v>850</v>
      </c>
      <c r="C122" s="75">
        <f>VLOOKUP($A122,'Data Vlaue (Cr)'!$C:$FB,8)</f>
        <v>1045.9000000000001</v>
      </c>
      <c r="D122" s="75">
        <f>VLOOKUP($A122,'Data Vlaue (Cr)'!$C:$FB,4)</f>
        <v>1050.2</v>
      </c>
      <c r="E122" s="75">
        <f>VLOOKUP($A122,'Data Vlaue (Cr)'!$C:$FB,5)</f>
        <v>1035.7</v>
      </c>
      <c r="F122" s="75">
        <f t="shared" si="6"/>
        <v>4.2999999999999545</v>
      </c>
      <c r="G122" s="75">
        <f t="shared" si="7"/>
        <v>1.3806893924966672</v>
      </c>
      <c r="H122" s="75">
        <f>VLOOKUP($A122,'Data Vlaue (Cr)'!$C:$FB,99)</f>
        <v>3185</v>
      </c>
      <c r="I122" s="75">
        <f>VLOOKUP($A122,'Data Vlaue (Cr)'!$C:$FB,100)</f>
        <v>3106</v>
      </c>
      <c r="J122" s="75">
        <f t="shared" si="8"/>
        <v>79</v>
      </c>
      <c r="K122" s="75">
        <f t="shared" si="9"/>
        <v>2.4803767660910516</v>
      </c>
      <c r="L122" s="75">
        <f>VLOOKUP($A122,'Data Vlaue (Cr)'!$C:$FB,67)</f>
        <v>1283</v>
      </c>
      <c r="M122" s="75">
        <f>VLOOKUP($A122,'Data Vlaue (Cr)'!$C:$FB,68)</f>
        <v>1463</v>
      </c>
      <c r="N122" s="75">
        <f t="shared" si="10"/>
        <v>-180</v>
      </c>
      <c r="O122" s="75">
        <f t="shared" si="11"/>
        <v>-14.02961808261886</v>
      </c>
      <c r="P122" s="75">
        <f>VLOOKUP($A122,'Data Vlaue (Cr)'!$C:$FB,119)</f>
        <v>0.56999999999999995</v>
      </c>
      <c r="Q122" s="75">
        <f>VLOOKUP($A122,'Data Vlaue (Cr)'!$C:$FB,122)*100</f>
        <v>-1.72</v>
      </c>
      <c r="R122" s="75">
        <f>VLOOKUP($A122,'Data Vlaue (Cr)'!$C:$FB,125)</f>
        <v>0.28000000000000003</v>
      </c>
      <c r="S122" s="75">
        <f>VLOOKUP($A122,'Data Vlaue (Cr)'!$C:$FB,128)*100</f>
        <v>-48.15</v>
      </c>
    </row>
    <row r="123" spans="1:19" x14ac:dyDescent="0.25">
      <c r="A123" s="96" t="str">
        <f>'Data Vlaue (Cr)'!C114</f>
        <v>LICHSGFIN</v>
      </c>
      <c r="B123" s="75">
        <f>VLOOKUP($A123,'Data Vlaue (Cr)'!$C:$FB,2)</f>
        <v>1000</v>
      </c>
      <c r="C123" s="75">
        <f>VLOOKUP($A123,'Data Vlaue (Cr)'!$C:$FB,8)</f>
        <v>521.4</v>
      </c>
      <c r="D123" s="75">
        <f>VLOOKUP($A123,'Data Vlaue (Cr)'!$C:$FB,4)</f>
        <v>523.65</v>
      </c>
      <c r="E123" s="75">
        <f>VLOOKUP($A123,'Data Vlaue (Cr)'!$C:$FB,5)</f>
        <v>518.85</v>
      </c>
      <c r="F123" s="75">
        <f t="shared" si="6"/>
        <v>2.25</v>
      </c>
      <c r="G123" s="75">
        <f t="shared" si="7"/>
        <v>0.91664279576051844</v>
      </c>
      <c r="H123" s="75">
        <f>VLOOKUP($A123,'Data Vlaue (Cr)'!$C:$FB,99)</f>
        <v>2314</v>
      </c>
      <c r="I123" s="75">
        <f>VLOOKUP($A123,'Data Vlaue (Cr)'!$C:$FB,100)</f>
        <v>2290</v>
      </c>
      <c r="J123" s="75">
        <f t="shared" si="8"/>
        <v>24</v>
      </c>
      <c r="K123" s="75">
        <f t="shared" si="9"/>
        <v>1.0371650821089022</v>
      </c>
      <c r="L123" s="75">
        <f>VLOOKUP($A123,'Data Vlaue (Cr)'!$C:$FB,67)</f>
        <v>812</v>
      </c>
      <c r="M123" s="75">
        <f>VLOOKUP($A123,'Data Vlaue (Cr)'!$C:$FB,68)</f>
        <v>686</v>
      </c>
      <c r="N123" s="75">
        <f t="shared" si="10"/>
        <v>126</v>
      </c>
      <c r="O123" s="75">
        <f t="shared" si="11"/>
        <v>15.517241379310345</v>
      </c>
      <c r="P123" s="75">
        <f>VLOOKUP($A123,'Data Vlaue (Cr)'!$C:$FB,119)</f>
        <v>0.91</v>
      </c>
      <c r="Q123" s="75">
        <f>VLOOKUP($A123,'Data Vlaue (Cr)'!$C:$FB,122)*100</f>
        <v>1.1100000000000001</v>
      </c>
      <c r="R123" s="75">
        <f>VLOOKUP($A123,'Data Vlaue (Cr)'!$C:$FB,125)</f>
        <v>0.63</v>
      </c>
      <c r="S123" s="75">
        <f>VLOOKUP($A123,'Data Vlaue (Cr)'!$C:$FB,128)*100</f>
        <v>3.2800000000000002</v>
      </c>
    </row>
    <row r="124" spans="1:19" x14ac:dyDescent="0.25">
      <c r="A124" s="96" t="str">
        <f>'Data Vlaue (Cr)'!C115</f>
        <v>LICI</v>
      </c>
      <c r="B124" s="75">
        <f>VLOOKUP($A124,'Data Vlaue (Cr)'!$C:$FB,2)</f>
        <v>700</v>
      </c>
      <c r="C124" s="75">
        <f>VLOOKUP($A124,'Data Vlaue (Cr)'!$C:$FB,8)</f>
        <v>832.95</v>
      </c>
      <c r="D124" s="75">
        <f>VLOOKUP($A124,'Data Vlaue (Cr)'!$C:$FB,4)</f>
        <v>832.2</v>
      </c>
      <c r="E124" s="75">
        <f>VLOOKUP($A124,'Data Vlaue (Cr)'!$C:$FB,5)</f>
        <v>827</v>
      </c>
      <c r="F124" s="75">
        <f t="shared" si="6"/>
        <v>-0.75</v>
      </c>
      <c r="G124" s="75">
        <f t="shared" si="7"/>
        <v>0.62484979572218757</v>
      </c>
      <c r="H124" s="75">
        <f>VLOOKUP($A124,'Data Vlaue (Cr)'!$C:$FB,99)</f>
        <v>1483</v>
      </c>
      <c r="I124" s="75">
        <f>VLOOKUP($A124,'Data Vlaue (Cr)'!$C:$FB,100)</f>
        <v>1458</v>
      </c>
      <c r="J124" s="75">
        <f t="shared" si="8"/>
        <v>25</v>
      </c>
      <c r="K124" s="75">
        <f t="shared" si="9"/>
        <v>1.6857720836142953</v>
      </c>
      <c r="L124" s="75">
        <f>VLOOKUP($A124,'Data Vlaue (Cr)'!$C:$FB,67)</f>
        <v>382</v>
      </c>
      <c r="M124" s="75">
        <f>VLOOKUP($A124,'Data Vlaue (Cr)'!$C:$FB,68)</f>
        <v>536</v>
      </c>
      <c r="N124" s="75">
        <f t="shared" si="10"/>
        <v>-154</v>
      </c>
      <c r="O124" s="75">
        <f t="shared" si="11"/>
        <v>-40.31413612565445</v>
      </c>
      <c r="P124" s="75">
        <f>VLOOKUP($A124,'Data Vlaue (Cr)'!$C:$FB,119)</f>
        <v>0.47</v>
      </c>
      <c r="Q124" s="75">
        <f>VLOOKUP($A124,'Data Vlaue (Cr)'!$C:$FB,122)*100</f>
        <v>-6</v>
      </c>
      <c r="R124" s="75">
        <f>VLOOKUP($A124,'Data Vlaue (Cr)'!$C:$FB,125)</f>
        <v>0.42</v>
      </c>
      <c r="S124" s="75">
        <f>VLOOKUP($A124,'Data Vlaue (Cr)'!$C:$FB,128)*100</f>
        <v>-33.33</v>
      </c>
    </row>
    <row r="125" spans="1:19" x14ac:dyDescent="0.25">
      <c r="A125" s="96" t="str">
        <f>'Data Vlaue (Cr)'!C116</f>
        <v>LODHA</v>
      </c>
      <c r="B125" s="75">
        <f>VLOOKUP($A125,'Data Vlaue (Cr)'!$C:$FB,2)</f>
        <v>450</v>
      </c>
      <c r="C125" s="75">
        <f>VLOOKUP($A125,'Data Vlaue (Cr)'!$C:$FB,8)</f>
        <v>916.25</v>
      </c>
      <c r="D125" s="75">
        <f>VLOOKUP($A125,'Data Vlaue (Cr)'!$C:$FB,4)</f>
        <v>920.85</v>
      </c>
      <c r="E125" s="75">
        <f>VLOOKUP($A125,'Data Vlaue (Cr)'!$C:$FB,5)</f>
        <v>917.6</v>
      </c>
      <c r="F125" s="75">
        <f t="shared" si="6"/>
        <v>4.6000000000000227</v>
      </c>
      <c r="G125" s="75">
        <f t="shared" si="7"/>
        <v>0.35293478851061522</v>
      </c>
      <c r="H125" s="75">
        <f>VLOOKUP($A125,'Data Vlaue (Cr)'!$C:$FB,99)</f>
        <v>1282</v>
      </c>
      <c r="I125" s="75">
        <f>VLOOKUP($A125,'Data Vlaue (Cr)'!$C:$FB,100)</f>
        <v>1174</v>
      </c>
      <c r="J125" s="75">
        <f t="shared" si="8"/>
        <v>108</v>
      </c>
      <c r="K125" s="75">
        <f t="shared" si="9"/>
        <v>8.4243369734789386</v>
      </c>
      <c r="L125" s="75">
        <f>VLOOKUP($A125,'Data Vlaue (Cr)'!$C:$FB,67)</f>
        <v>493</v>
      </c>
      <c r="M125" s="75">
        <f>VLOOKUP($A125,'Data Vlaue (Cr)'!$C:$FB,68)</f>
        <v>984</v>
      </c>
      <c r="N125" s="75">
        <f t="shared" si="10"/>
        <v>-491</v>
      </c>
      <c r="O125" s="75">
        <f t="shared" si="11"/>
        <v>-99.59432048681542</v>
      </c>
      <c r="P125" s="75">
        <f>VLOOKUP($A125,'Data Vlaue (Cr)'!$C:$FB,119)</f>
        <v>1.19</v>
      </c>
      <c r="Q125" s="75">
        <f>VLOOKUP($A125,'Data Vlaue (Cr)'!$C:$FB,122)*100</f>
        <v>8.18</v>
      </c>
      <c r="R125" s="75">
        <f>VLOOKUP($A125,'Data Vlaue (Cr)'!$C:$FB,125)</f>
        <v>1.2</v>
      </c>
      <c r="S125" s="75">
        <f>VLOOKUP($A125,'Data Vlaue (Cr)'!$C:$FB,128)*100</f>
        <v>-16.669999999999998</v>
      </c>
    </row>
    <row r="126" spans="1:19" x14ac:dyDescent="0.25">
      <c r="A126" s="96" t="str">
        <f>'Data Vlaue (Cr)'!C117</f>
        <v>LT</v>
      </c>
      <c r="B126" s="75">
        <f>VLOOKUP($A126,'Data Vlaue (Cr)'!$C:$FB,2)</f>
        <v>175</v>
      </c>
      <c r="C126" s="75">
        <f>VLOOKUP($A126,'Data Vlaue (Cr)'!$C:$FB,8)</f>
        <v>4038.7</v>
      </c>
      <c r="D126" s="75">
        <f>VLOOKUP($A126,'Data Vlaue (Cr)'!$C:$FB,4)</f>
        <v>4039.9</v>
      </c>
      <c r="E126" s="75">
        <f>VLOOKUP($A126,'Data Vlaue (Cr)'!$C:$FB,5)</f>
        <v>3888.8</v>
      </c>
      <c r="F126" s="75">
        <f t="shared" si="6"/>
        <v>1.2000000000002728</v>
      </c>
      <c r="G126" s="75">
        <f t="shared" si="7"/>
        <v>3.7401915889007133</v>
      </c>
      <c r="H126" s="75">
        <f>VLOOKUP($A126,'Data Vlaue (Cr)'!$C:$FB,99)</f>
        <v>12132</v>
      </c>
      <c r="I126" s="75">
        <f>VLOOKUP($A126,'Data Vlaue (Cr)'!$C:$FB,100)</f>
        <v>11585</v>
      </c>
      <c r="J126" s="75">
        <f t="shared" si="8"/>
        <v>547</v>
      </c>
      <c r="K126" s="75">
        <f t="shared" si="9"/>
        <v>4.5087372238707548</v>
      </c>
      <c r="L126" s="75">
        <f>VLOOKUP($A126,'Data Vlaue (Cr)'!$C:$FB,67)</f>
        <v>17438</v>
      </c>
      <c r="M126" s="75">
        <f>VLOOKUP($A126,'Data Vlaue (Cr)'!$C:$FB,68)</f>
        <v>19698</v>
      </c>
      <c r="N126" s="75">
        <f t="shared" si="10"/>
        <v>-2260</v>
      </c>
      <c r="O126" s="75">
        <f t="shared" si="11"/>
        <v>-12.960201858011239</v>
      </c>
      <c r="P126" s="75">
        <f>VLOOKUP($A126,'Data Vlaue (Cr)'!$C:$FB,119)</f>
        <v>0.61</v>
      </c>
      <c r="Q126" s="75">
        <f>VLOOKUP($A126,'Data Vlaue (Cr)'!$C:$FB,122)*100</f>
        <v>15.09</v>
      </c>
      <c r="R126" s="75">
        <f>VLOOKUP($A126,'Data Vlaue (Cr)'!$C:$FB,125)</f>
        <v>0.61</v>
      </c>
      <c r="S126" s="75">
        <f>VLOOKUP($A126,'Data Vlaue (Cr)'!$C:$FB,128)*100</f>
        <v>-14.08</v>
      </c>
    </row>
    <row r="127" spans="1:19" x14ac:dyDescent="0.25">
      <c r="A127" s="96" t="str">
        <f>'Data Vlaue (Cr)'!C118</f>
        <v>LTF</v>
      </c>
      <c r="B127" s="75">
        <f>VLOOKUP($A127,'Data Vlaue (Cr)'!$C:$FB,2)</f>
        <v>2250</v>
      </c>
      <c r="C127" s="75">
        <f>VLOOKUP($A127,'Data Vlaue (Cr)'!$C:$FB,8)</f>
        <v>275.5</v>
      </c>
      <c r="D127" s="75">
        <f>VLOOKUP($A127,'Data Vlaue (Cr)'!$C:$FB,4)</f>
        <v>275.14999999999998</v>
      </c>
      <c r="E127" s="75">
        <f>VLOOKUP($A127,'Data Vlaue (Cr)'!$C:$FB,5)</f>
        <v>268.89999999999998</v>
      </c>
      <c r="F127" s="75">
        <f t="shared" si="6"/>
        <v>-0.35000000000002274</v>
      </c>
      <c r="G127" s="75">
        <f t="shared" si="7"/>
        <v>2.2714882791204798</v>
      </c>
      <c r="H127" s="75">
        <f>VLOOKUP($A127,'Data Vlaue (Cr)'!$C:$FB,99)</f>
        <v>3247</v>
      </c>
      <c r="I127" s="75">
        <f>VLOOKUP($A127,'Data Vlaue (Cr)'!$C:$FB,100)</f>
        <v>3293</v>
      </c>
      <c r="J127" s="75">
        <f t="shared" si="8"/>
        <v>-46</v>
      </c>
      <c r="K127" s="75">
        <f t="shared" si="9"/>
        <v>-1.4166923313828148</v>
      </c>
      <c r="L127" s="75">
        <f>VLOOKUP($A127,'Data Vlaue (Cr)'!$C:$FB,67)</f>
        <v>1427</v>
      </c>
      <c r="M127" s="75">
        <f>VLOOKUP($A127,'Data Vlaue (Cr)'!$C:$FB,68)</f>
        <v>1872</v>
      </c>
      <c r="N127" s="75">
        <f t="shared" si="10"/>
        <v>-445</v>
      </c>
      <c r="O127" s="75">
        <f t="shared" si="11"/>
        <v>-31.184302733006309</v>
      </c>
      <c r="P127" s="75">
        <f>VLOOKUP($A127,'Data Vlaue (Cr)'!$C:$FB,119)</f>
        <v>0.54</v>
      </c>
      <c r="Q127" s="75">
        <f>VLOOKUP($A127,'Data Vlaue (Cr)'!$C:$FB,122)*100</f>
        <v>-1.82</v>
      </c>
      <c r="R127" s="75">
        <f>VLOOKUP($A127,'Data Vlaue (Cr)'!$C:$FB,125)</f>
        <v>0.28999999999999998</v>
      </c>
      <c r="S127" s="75">
        <f>VLOOKUP($A127,'Data Vlaue (Cr)'!$C:$FB,128)*100</f>
        <v>-34.089999999999996</v>
      </c>
    </row>
    <row r="128" spans="1:19" x14ac:dyDescent="0.25">
      <c r="A128" s="96" t="str">
        <f>'Data Vlaue (Cr)'!C119</f>
        <v>LTM</v>
      </c>
      <c r="B128" s="75">
        <f>VLOOKUP($A128,'Data Vlaue (Cr)'!$C:$FB,2)</f>
        <v>150</v>
      </c>
      <c r="C128" s="75">
        <f>VLOOKUP($A128,'Data Vlaue (Cr)'!$C:$FB,8)</f>
        <v>4306.3999999999996</v>
      </c>
      <c r="D128" s="75">
        <f>VLOOKUP($A128,'Data Vlaue (Cr)'!$C:$FB,4)</f>
        <v>4316.8</v>
      </c>
      <c r="E128" s="75">
        <f>VLOOKUP($A128,'Data Vlaue (Cr)'!$C:$FB,5)</f>
        <v>4352.6000000000004</v>
      </c>
      <c r="F128" s="75">
        <f t="shared" si="6"/>
        <v>10.400000000000546</v>
      </c>
      <c r="G128" s="75">
        <f t="shared" si="7"/>
        <v>-0.82931801334322142</v>
      </c>
      <c r="H128" s="75">
        <f>VLOOKUP($A128,'Data Vlaue (Cr)'!$C:$FB,99)</f>
        <v>2305</v>
      </c>
      <c r="I128" s="75">
        <f>VLOOKUP($A128,'Data Vlaue (Cr)'!$C:$FB,100)</f>
        <v>2180</v>
      </c>
      <c r="J128" s="75">
        <f t="shared" si="8"/>
        <v>125</v>
      </c>
      <c r="K128" s="75">
        <f t="shared" si="9"/>
        <v>5.4229934924078096</v>
      </c>
      <c r="L128" s="75">
        <f>VLOOKUP($A128,'Data Vlaue (Cr)'!$C:$FB,67)</f>
        <v>1069</v>
      </c>
      <c r="M128" s="75">
        <f>VLOOKUP($A128,'Data Vlaue (Cr)'!$C:$FB,68)</f>
        <v>757</v>
      </c>
      <c r="N128" s="75">
        <f t="shared" si="10"/>
        <v>312</v>
      </c>
      <c r="O128" s="75">
        <f t="shared" si="11"/>
        <v>29.186155285313376</v>
      </c>
      <c r="P128" s="75">
        <f>VLOOKUP($A128,'Data Vlaue (Cr)'!$C:$FB,119)</f>
        <v>0.62</v>
      </c>
      <c r="Q128" s="75">
        <f>VLOOKUP($A128,'Data Vlaue (Cr)'!$C:$FB,122)*100</f>
        <v>-3.1300000000000003</v>
      </c>
      <c r="R128" s="75">
        <f>VLOOKUP($A128,'Data Vlaue (Cr)'!$C:$FB,125)</f>
        <v>0.89</v>
      </c>
      <c r="S128" s="75">
        <f>VLOOKUP($A128,'Data Vlaue (Cr)'!$C:$FB,128)*100</f>
        <v>30.880000000000003</v>
      </c>
    </row>
    <row r="129" spans="1:19" x14ac:dyDescent="0.25">
      <c r="A129" s="96" t="str">
        <f>'Data Vlaue (Cr)'!C120</f>
        <v>LUPIN</v>
      </c>
      <c r="B129" s="75">
        <f>VLOOKUP($A129,'Data Vlaue (Cr)'!$C:$FB,2)</f>
        <v>425</v>
      </c>
      <c r="C129" s="75">
        <f>VLOOKUP($A129,'Data Vlaue (Cr)'!$C:$FB,8)</f>
        <v>2332.9</v>
      </c>
      <c r="D129" s="75">
        <f>VLOOKUP($A129,'Data Vlaue (Cr)'!$C:$FB,4)</f>
        <v>2343.5</v>
      </c>
      <c r="E129" s="75">
        <f>VLOOKUP($A129,'Data Vlaue (Cr)'!$C:$FB,5)</f>
        <v>2308</v>
      </c>
      <c r="F129" s="75">
        <f t="shared" si="6"/>
        <v>10.599999999999909</v>
      </c>
      <c r="G129" s="75">
        <f t="shared" si="7"/>
        <v>1.5148282483464903</v>
      </c>
      <c r="H129" s="75">
        <f>VLOOKUP($A129,'Data Vlaue (Cr)'!$C:$FB,99)</f>
        <v>2671</v>
      </c>
      <c r="I129" s="75">
        <f>VLOOKUP($A129,'Data Vlaue (Cr)'!$C:$FB,100)</f>
        <v>2598</v>
      </c>
      <c r="J129" s="75">
        <f t="shared" si="8"/>
        <v>73</v>
      </c>
      <c r="K129" s="75">
        <f t="shared" si="9"/>
        <v>2.7330587794833399</v>
      </c>
      <c r="L129" s="75">
        <f>VLOOKUP($A129,'Data Vlaue (Cr)'!$C:$FB,67)</f>
        <v>2896</v>
      </c>
      <c r="M129" s="75">
        <f>VLOOKUP($A129,'Data Vlaue (Cr)'!$C:$FB,68)</f>
        <v>1639</v>
      </c>
      <c r="N129" s="75">
        <f t="shared" si="10"/>
        <v>1257</v>
      </c>
      <c r="O129" s="75">
        <f t="shared" si="11"/>
        <v>43.40469613259669</v>
      </c>
      <c r="P129" s="75">
        <f>VLOOKUP($A129,'Data Vlaue (Cr)'!$C:$FB,119)</f>
        <v>0.7</v>
      </c>
      <c r="Q129" s="75">
        <f>VLOOKUP($A129,'Data Vlaue (Cr)'!$C:$FB,122)*100</f>
        <v>-5.41</v>
      </c>
      <c r="R129" s="75">
        <f>VLOOKUP($A129,'Data Vlaue (Cr)'!$C:$FB,125)</f>
        <v>0.41</v>
      </c>
      <c r="S129" s="75">
        <f>VLOOKUP($A129,'Data Vlaue (Cr)'!$C:$FB,128)*100</f>
        <v>-52.87</v>
      </c>
    </row>
    <row r="130" spans="1:19" x14ac:dyDescent="0.25">
      <c r="A130" s="96" t="str">
        <f>'Data Vlaue (Cr)'!C121</f>
        <v>M&amp;M</v>
      </c>
      <c r="B130" s="75">
        <f>VLOOKUP($A130,'Data Vlaue (Cr)'!$C:$FB,2)</f>
        <v>200</v>
      </c>
      <c r="C130" s="75">
        <f>VLOOKUP($A130,'Data Vlaue (Cr)'!$C:$FB,8)</f>
        <v>3348</v>
      </c>
      <c r="D130" s="75">
        <f>VLOOKUP($A130,'Data Vlaue (Cr)'!$C:$FB,4)</f>
        <v>3352.8</v>
      </c>
      <c r="E130" s="75">
        <f>VLOOKUP($A130,'Data Vlaue (Cr)'!$C:$FB,5)</f>
        <v>3278.2</v>
      </c>
      <c r="F130" s="75">
        <f t="shared" si="6"/>
        <v>4.8000000000001819</v>
      </c>
      <c r="G130" s="75">
        <f t="shared" si="7"/>
        <v>2.2250059651634562</v>
      </c>
      <c r="H130" s="75">
        <f>VLOOKUP($A130,'Data Vlaue (Cr)'!$C:$FB,99)</f>
        <v>8701</v>
      </c>
      <c r="I130" s="75">
        <f>VLOOKUP($A130,'Data Vlaue (Cr)'!$C:$FB,100)</f>
        <v>8890</v>
      </c>
      <c r="J130" s="75">
        <f t="shared" si="8"/>
        <v>-189</v>
      </c>
      <c r="K130" s="75">
        <f t="shared" si="9"/>
        <v>-2.1721641190667738</v>
      </c>
      <c r="L130" s="75">
        <f>VLOOKUP($A130,'Data Vlaue (Cr)'!$C:$FB,67)</f>
        <v>3996</v>
      </c>
      <c r="M130" s="75">
        <f>VLOOKUP($A130,'Data Vlaue (Cr)'!$C:$FB,68)</f>
        <v>4241</v>
      </c>
      <c r="N130" s="75">
        <f t="shared" si="10"/>
        <v>-245</v>
      </c>
      <c r="O130" s="75">
        <f t="shared" si="11"/>
        <v>-6.1311311311311307</v>
      </c>
      <c r="P130" s="75">
        <f>VLOOKUP($A130,'Data Vlaue (Cr)'!$C:$FB,119)</f>
        <v>0.64</v>
      </c>
      <c r="Q130" s="75">
        <f>VLOOKUP($A130,'Data Vlaue (Cr)'!$C:$FB,122)*100</f>
        <v>0</v>
      </c>
      <c r="R130" s="75">
        <f>VLOOKUP($A130,'Data Vlaue (Cr)'!$C:$FB,125)</f>
        <v>0.65</v>
      </c>
      <c r="S130" s="75">
        <f>VLOOKUP($A130,'Data Vlaue (Cr)'!$C:$FB,128)*100</f>
        <v>-19.75</v>
      </c>
    </row>
    <row r="131" spans="1:19" x14ac:dyDescent="0.25">
      <c r="A131" s="96" t="str">
        <f>'Data Vlaue (Cr)'!C122</f>
        <v>MANAPPURAM</v>
      </c>
      <c r="B131" s="75">
        <f>VLOOKUP($A131,'Data Vlaue (Cr)'!$C:$FB,2)</f>
        <v>3000</v>
      </c>
      <c r="C131" s="75">
        <f>VLOOKUP($A131,'Data Vlaue (Cr)'!$C:$FB,8)</f>
        <v>267.3</v>
      </c>
      <c r="D131" s="75">
        <f>VLOOKUP($A131,'Data Vlaue (Cr)'!$C:$FB,4)</f>
        <v>268.60000000000002</v>
      </c>
      <c r="E131" s="75">
        <f>VLOOKUP($A131,'Data Vlaue (Cr)'!$C:$FB,5)</f>
        <v>270.55</v>
      </c>
      <c r="F131" s="75">
        <f t="shared" si="6"/>
        <v>1.3000000000000114</v>
      </c>
      <c r="G131" s="75">
        <f t="shared" si="7"/>
        <v>-0.72598659717050951</v>
      </c>
      <c r="H131" s="75">
        <f>VLOOKUP($A131,'Data Vlaue (Cr)'!$C:$FB,99)</f>
        <v>2236</v>
      </c>
      <c r="I131" s="75">
        <f>VLOOKUP($A131,'Data Vlaue (Cr)'!$C:$FB,100)</f>
        <v>2134</v>
      </c>
      <c r="J131" s="75">
        <f t="shared" si="8"/>
        <v>102</v>
      </c>
      <c r="K131" s="75">
        <f t="shared" si="9"/>
        <v>4.5617173524150267</v>
      </c>
      <c r="L131" s="75">
        <f>VLOOKUP($A131,'Data Vlaue (Cr)'!$C:$FB,67)</f>
        <v>606</v>
      </c>
      <c r="M131" s="75">
        <f>VLOOKUP($A131,'Data Vlaue (Cr)'!$C:$FB,68)</f>
        <v>1133</v>
      </c>
      <c r="N131" s="75">
        <f t="shared" si="10"/>
        <v>-527</v>
      </c>
      <c r="O131" s="75">
        <f t="shared" si="11"/>
        <v>-86.963696369636963</v>
      </c>
      <c r="P131" s="75">
        <f>VLOOKUP($A131,'Data Vlaue (Cr)'!$C:$FB,119)</f>
        <v>0.77</v>
      </c>
      <c r="Q131" s="75">
        <f>VLOOKUP($A131,'Data Vlaue (Cr)'!$C:$FB,122)*100</f>
        <v>0</v>
      </c>
      <c r="R131" s="75">
        <f>VLOOKUP($A131,'Data Vlaue (Cr)'!$C:$FB,125)</f>
        <v>0.42</v>
      </c>
      <c r="S131" s="75">
        <f>VLOOKUP($A131,'Data Vlaue (Cr)'!$C:$FB,128)*100</f>
        <v>-38.24</v>
      </c>
    </row>
    <row r="132" spans="1:19" x14ac:dyDescent="0.25">
      <c r="A132" s="96" t="str">
        <f>'Data Vlaue (Cr)'!C123</f>
        <v>MANKIND</v>
      </c>
      <c r="B132" s="75">
        <f>VLOOKUP($A132,'Data Vlaue (Cr)'!$C:$FB,2)</f>
        <v>225</v>
      </c>
      <c r="C132" s="75">
        <f>VLOOKUP($A132,'Data Vlaue (Cr)'!$C:$FB,8)</f>
        <v>2226.4</v>
      </c>
      <c r="D132" s="75">
        <f>VLOOKUP($A132,'Data Vlaue (Cr)'!$C:$FB,4)</f>
        <v>2234</v>
      </c>
      <c r="E132" s="75">
        <f>VLOOKUP($A132,'Data Vlaue (Cr)'!$C:$FB,5)</f>
        <v>2209</v>
      </c>
      <c r="F132" s="75">
        <f t="shared" si="6"/>
        <v>7.5999999999999091</v>
      </c>
      <c r="G132" s="75">
        <f t="shared" si="7"/>
        <v>1.1190689346463742</v>
      </c>
      <c r="H132" s="75">
        <f>VLOOKUP($A132,'Data Vlaue (Cr)'!$C:$FB,99)</f>
        <v>919</v>
      </c>
      <c r="I132" s="75">
        <f>VLOOKUP($A132,'Data Vlaue (Cr)'!$C:$FB,100)</f>
        <v>912</v>
      </c>
      <c r="J132" s="75">
        <f t="shared" si="8"/>
        <v>7</v>
      </c>
      <c r="K132" s="75">
        <f t="shared" si="9"/>
        <v>0.76169749727965186</v>
      </c>
      <c r="L132" s="75">
        <f>VLOOKUP($A132,'Data Vlaue (Cr)'!$C:$FB,67)</f>
        <v>322</v>
      </c>
      <c r="M132" s="75">
        <f>VLOOKUP($A132,'Data Vlaue (Cr)'!$C:$FB,68)</f>
        <v>262</v>
      </c>
      <c r="N132" s="75">
        <f t="shared" si="10"/>
        <v>60</v>
      </c>
      <c r="O132" s="75">
        <f t="shared" si="11"/>
        <v>18.633540372670808</v>
      </c>
      <c r="P132" s="75">
        <f>VLOOKUP($A132,'Data Vlaue (Cr)'!$C:$FB,119)</f>
        <v>0.59</v>
      </c>
      <c r="Q132" s="75">
        <f>VLOOKUP($A132,'Data Vlaue (Cr)'!$C:$FB,122)*100</f>
        <v>-9.2299999999999986</v>
      </c>
      <c r="R132" s="75">
        <f>VLOOKUP($A132,'Data Vlaue (Cr)'!$C:$FB,125)</f>
        <v>0.17</v>
      </c>
      <c r="S132" s="75">
        <f>VLOOKUP($A132,'Data Vlaue (Cr)'!$C:$FB,128)*100</f>
        <v>-71.67</v>
      </c>
    </row>
    <row r="133" spans="1:19" x14ac:dyDescent="0.25">
      <c r="A133" s="96" t="str">
        <f>'Data Vlaue (Cr)'!C124</f>
        <v>MARICO</v>
      </c>
      <c r="B133" s="75">
        <f>VLOOKUP($A133,'Data Vlaue (Cr)'!$C:$FB,2)</f>
        <v>1200</v>
      </c>
      <c r="C133" s="75">
        <f>VLOOKUP($A133,'Data Vlaue (Cr)'!$C:$FB,8)</f>
        <v>778.85</v>
      </c>
      <c r="D133" s="75">
        <f>VLOOKUP($A133,'Data Vlaue (Cr)'!$C:$FB,4)</f>
        <v>780.35</v>
      </c>
      <c r="E133" s="75">
        <f>VLOOKUP($A133,'Data Vlaue (Cr)'!$C:$FB,5)</f>
        <v>775.3</v>
      </c>
      <c r="F133" s="75">
        <f t="shared" si="6"/>
        <v>1.5</v>
      </c>
      <c r="G133" s="75">
        <f t="shared" si="7"/>
        <v>0.64714551162940581</v>
      </c>
      <c r="H133" s="75">
        <f>VLOOKUP($A133,'Data Vlaue (Cr)'!$C:$FB,99)</f>
        <v>2620</v>
      </c>
      <c r="I133" s="75">
        <f>VLOOKUP($A133,'Data Vlaue (Cr)'!$C:$FB,100)</f>
        <v>2620</v>
      </c>
      <c r="J133" s="75">
        <f t="shared" si="8"/>
        <v>0</v>
      </c>
      <c r="K133" s="75">
        <f t="shared" si="9"/>
        <v>0</v>
      </c>
      <c r="L133" s="75">
        <f>VLOOKUP($A133,'Data Vlaue (Cr)'!$C:$FB,67)</f>
        <v>397</v>
      </c>
      <c r="M133" s="75">
        <f>VLOOKUP($A133,'Data Vlaue (Cr)'!$C:$FB,68)</f>
        <v>661</v>
      </c>
      <c r="N133" s="75">
        <f t="shared" si="10"/>
        <v>-264</v>
      </c>
      <c r="O133" s="75">
        <f t="shared" si="11"/>
        <v>-66.498740554156171</v>
      </c>
      <c r="P133" s="75">
        <f>VLOOKUP($A133,'Data Vlaue (Cr)'!$C:$FB,119)</f>
        <v>0.46</v>
      </c>
      <c r="Q133" s="75">
        <f>VLOOKUP($A133,'Data Vlaue (Cr)'!$C:$FB,122)*100</f>
        <v>0</v>
      </c>
      <c r="R133" s="75">
        <f>VLOOKUP($A133,'Data Vlaue (Cr)'!$C:$FB,125)</f>
        <v>0.41</v>
      </c>
      <c r="S133" s="75">
        <f>VLOOKUP($A133,'Data Vlaue (Cr)'!$C:$FB,128)*100</f>
        <v>-50.6</v>
      </c>
    </row>
    <row r="134" spans="1:19" x14ac:dyDescent="0.25">
      <c r="A134" s="96" t="str">
        <f>'Data Vlaue (Cr)'!C125</f>
        <v>MARUTI</v>
      </c>
      <c r="B134" s="75">
        <f>VLOOKUP($A134,'Data Vlaue (Cr)'!$C:$FB,2)</f>
        <v>50</v>
      </c>
      <c r="C134" s="75">
        <f>VLOOKUP($A134,'Data Vlaue (Cr)'!$C:$FB,8)</f>
        <v>14415</v>
      </c>
      <c r="D134" s="75">
        <f>VLOOKUP($A134,'Data Vlaue (Cr)'!$C:$FB,4)</f>
        <v>14439</v>
      </c>
      <c r="E134" s="75">
        <f>VLOOKUP($A134,'Data Vlaue (Cr)'!$C:$FB,5)</f>
        <v>14185</v>
      </c>
      <c r="F134" s="75">
        <f t="shared" si="6"/>
        <v>24</v>
      </c>
      <c r="G134" s="75">
        <f t="shared" si="7"/>
        <v>1.7591245931158666</v>
      </c>
      <c r="H134" s="75">
        <f>VLOOKUP($A134,'Data Vlaue (Cr)'!$C:$FB,99)</f>
        <v>7633</v>
      </c>
      <c r="I134" s="75">
        <f>VLOOKUP($A134,'Data Vlaue (Cr)'!$C:$FB,100)</f>
        <v>7563</v>
      </c>
      <c r="J134" s="75">
        <f t="shared" si="8"/>
        <v>70</v>
      </c>
      <c r="K134" s="75">
        <f t="shared" si="9"/>
        <v>0.91707061443731164</v>
      </c>
      <c r="L134" s="75">
        <f>VLOOKUP($A134,'Data Vlaue (Cr)'!$C:$FB,67)</f>
        <v>5900</v>
      </c>
      <c r="M134" s="75">
        <f>VLOOKUP($A134,'Data Vlaue (Cr)'!$C:$FB,68)</f>
        <v>9983</v>
      </c>
      <c r="N134" s="75">
        <f t="shared" si="10"/>
        <v>-4083</v>
      </c>
      <c r="O134" s="75">
        <f t="shared" si="11"/>
        <v>-69.20338983050847</v>
      </c>
      <c r="P134" s="75">
        <f>VLOOKUP($A134,'Data Vlaue (Cr)'!$C:$FB,119)</f>
        <v>0.51</v>
      </c>
      <c r="Q134" s="75">
        <f>VLOOKUP($A134,'Data Vlaue (Cr)'!$C:$FB,122)*100</f>
        <v>0</v>
      </c>
      <c r="R134" s="75">
        <f>VLOOKUP($A134,'Data Vlaue (Cr)'!$C:$FB,125)</f>
        <v>0.61</v>
      </c>
      <c r="S134" s="75">
        <f>VLOOKUP($A134,'Data Vlaue (Cr)'!$C:$FB,128)*100</f>
        <v>-23.75</v>
      </c>
    </row>
    <row r="135" spans="1:19" x14ac:dyDescent="0.25">
      <c r="A135" s="96" t="str">
        <f>'Data Vlaue (Cr)'!C126</f>
        <v>MAXHEALTH</v>
      </c>
      <c r="B135" s="75">
        <f>VLOOKUP($A135,'Data Vlaue (Cr)'!$C:$FB,2)</f>
        <v>525</v>
      </c>
      <c r="C135" s="75">
        <f>VLOOKUP($A135,'Data Vlaue (Cr)'!$C:$FB,8)</f>
        <v>1058.2</v>
      </c>
      <c r="D135" s="75">
        <f>VLOOKUP($A135,'Data Vlaue (Cr)'!$C:$FB,4)</f>
        <v>1063</v>
      </c>
      <c r="E135" s="75">
        <f>VLOOKUP($A135,'Data Vlaue (Cr)'!$C:$FB,5)</f>
        <v>1058.5</v>
      </c>
      <c r="F135" s="75">
        <f t="shared" si="6"/>
        <v>4.7999999999999545</v>
      </c>
      <c r="G135" s="75">
        <f t="shared" si="7"/>
        <v>0.42333019755409218</v>
      </c>
      <c r="H135" s="75">
        <f>VLOOKUP($A135,'Data Vlaue (Cr)'!$C:$FB,99)</f>
        <v>1869</v>
      </c>
      <c r="I135" s="75">
        <f>VLOOKUP($A135,'Data Vlaue (Cr)'!$C:$FB,100)</f>
        <v>1796</v>
      </c>
      <c r="J135" s="75">
        <f t="shared" si="8"/>
        <v>73</v>
      </c>
      <c r="K135" s="75">
        <f t="shared" si="9"/>
        <v>3.9058319957196366</v>
      </c>
      <c r="L135" s="75">
        <f>VLOOKUP($A135,'Data Vlaue (Cr)'!$C:$FB,67)</f>
        <v>976</v>
      </c>
      <c r="M135" s="75">
        <f>VLOOKUP($A135,'Data Vlaue (Cr)'!$C:$FB,68)</f>
        <v>705</v>
      </c>
      <c r="N135" s="75">
        <f t="shared" si="10"/>
        <v>271</v>
      </c>
      <c r="O135" s="75">
        <f t="shared" si="11"/>
        <v>27.766393442622949</v>
      </c>
      <c r="P135" s="75">
        <f>VLOOKUP($A135,'Data Vlaue (Cr)'!$C:$FB,119)</f>
        <v>0.79</v>
      </c>
      <c r="Q135" s="75">
        <f>VLOOKUP($A135,'Data Vlaue (Cr)'!$C:$FB,122)*100</f>
        <v>1.28</v>
      </c>
      <c r="R135" s="75">
        <f>VLOOKUP($A135,'Data Vlaue (Cr)'!$C:$FB,125)</f>
        <v>1.1499999999999999</v>
      </c>
      <c r="S135" s="75">
        <f>VLOOKUP($A135,'Data Vlaue (Cr)'!$C:$FB,128)*100</f>
        <v>61.970000000000006</v>
      </c>
    </row>
    <row r="136" spans="1:19" x14ac:dyDescent="0.25">
      <c r="A136" s="96" t="str">
        <f>'Data Vlaue (Cr)'!C127</f>
        <v>MAZDOCK</v>
      </c>
      <c r="B136" s="75">
        <f>VLOOKUP($A136,'Data Vlaue (Cr)'!$C:$FB,2)</f>
        <v>200</v>
      </c>
      <c r="C136" s="75">
        <f>VLOOKUP($A136,'Data Vlaue (Cr)'!$C:$FB,8)</f>
        <v>2352.5</v>
      </c>
      <c r="D136" s="75">
        <f>VLOOKUP($A136,'Data Vlaue (Cr)'!$C:$FB,4)</f>
        <v>2359.4</v>
      </c>
      <c r="E136" s="75">
        <f>VLOOKUP($A136,'Data Vlaue (Cr)'!$C:$FB,5)</f>
        <v>2172.4</v>
      </c>
      <c r="F136" s="75">
        <f t="shared" si="6"/>
        <v>6.9000000000000909</v>
      </c>
      <c r="G136" s="75">
        <f t="shared" si="7"/>
        <v>7.9257438331779255</v>
      </c>
      <c r="H136" s="75">
        <f>VLOOKUP($A136,'Data Vlaue (Cr)'!$C:$FB,99)</f>
        <v>2158</v>
      </c>
      <c r="I136" s="75">
        <f>VLOOKUP($A136,'Data Vlaue (Cr)'!$C:$FB,100)</f>
        <v>1760</v>
      </c>
      <c r="J136" s="75">
        <f t="shared" si="8"/>
        <v>398</v>
      </c>
      <c r="K136" s="75">
        <f t="shared" si="9"/>
        <v>18.443002780352177</v>
      </c>
      <c r="L136" s="75">
        <f>VLOOKUP($A136,'Data Vlaue (Cr)'!$C:$FB,67)</f>
        <v>11727</v>
      </c>
      <c r="M136" s="75">
        <f>VLOOKUP($A136,'Data Vlaue (Cr)'!$C:$FB,68)</f>
        <v>1094</v>
      </c>
      <c r="N136" s="75">
        <f t="shared" si="10"/>
        <v>10633</v>
      </c>
      <c r="O136" s="75">
        <f t="shared" si="11"/>
        <v>90.671100878315002</v>
      </c>
      <c r="P136" s="75">
        <f>VLOOKUP($A136,'Data Vlaue (Cr)'!$C:$FB,119)</f>
        <v>0.53</v>
      </c>
      <c r="Q136" s="75">
        <f>VLOOKUP($A136,'Data Vlaue (Cr)'!$C:$FB,122)*100</f>
        <v>-13.11</v>
      </c>
      <c r="R136" s="75">
        <f>VLOOKUP($A136,'Data Vlaue (Cr)'!$C:$FB,125)</f>
        <v>0.23</v>
      </c>
      <c r="S136" s="75">
        <f>VLOOKUP($A136,'Data Vlaue (Cr)'!$C:$FB,128)*100</f>
        <v>-57.410000000000004</v>
      </c>
    </row>
    <row r="137" spans="1:19" x14ac:dyDescent="0.25">
      <c r="A137" s="96" t="str">
        <f>'Data Vlaue (Cr)'!C128</f>
        <v>MCX</v>
      </c>
      <c r="B137" s="75">
        <f>VLOOKUP($A137,'Data Vlaue (Cr)'!$C:$FB,2)</f>
        <v>625</v>
      </c>
      <c r="C137" s="75">
        <f>VLOOKUP($A137,'Data Vlaue (Cr)'!$C:$FB,8)</f>
        <v>2553.5</v>
      </c>
      <c r="D137" s="75">
        <f>VLOOKUP($A137,'Data Vlaue (Cr)'!$C:$FB,4)</f>
        <v>2561</v>
      </c>
      <c r="E137" s="75">
        <f>VLOOKUP($A137,'Data Vlaue (Cr)'!$C:$FB,5)</f>
        <v>2488.9</v>
      </c>
      <c r="F137" s="75">
        <f t="shared" si="6"/>
        <v>7.5</v>
      </c>
      <c r="G137" s="75">
        <f t="shared" si="7"/>
        <v>2.8153065208902737</v>
      </c>
      <c r="H137" s="75">
        <f>VLOOKUP($A137,'Data Vlaue (Cr)'!$C:$FB,99)</f>
        <v>6220</v>
      </c>
      <c r="I137" s="75">
        <f>VLOOKUP($A137,'Data Vlaue (Cr)'!$C:$FB,100)</f>
        <v>6310</v>
      </c>
      <c r="J137" s="75">
        <f t="shared" si="8"/>
        <v>-90</v>
      </c>
      <c r="K137" s="75">
        <f t="shared" si="9"/>
        <v>-1.4469453376205788</v>
      </c>
      <c r="L137" s="75">
        <f>VLOOKUP($A137,'Data Vlaue (Cr)'!$C:$FB,67)</f>
        <v>7842</v>
      </c>
      <c r="M137" s="75">
        <f>VLOOKUP($A137,'Data Vlaue (Cr)'!$C:$FB,68)</f>
        <v>6512</v>
      </c>
      <c r="N137" s="75">
        <f t="shared" si="10"/>
        <v>1330</v>
      </c>
      <c r="O137" s="75">
        <f t="shared" si="11"/>
        <v>16.95995919408314</v>
      </c>
      <c r="P137" s="75">
        <f>VLOOKUP($A137,'Data Vlaue (Cr)'!$C:$FB,119)</f>
        <v>0.78</v>
      </c>
      <c r="Q137" s="75">
        <f>VLOOKUP($A137,'Data Vlaue (Cr)'!$C:$FB,122)*100</f>
        <v>6.8500000000000005</v>
      </c>
      <c r="R137" s="75">
        <f>VLOOKUP($A137,'Data Vlaue (Cr)'!$C:$FB,125)</f>
        <v>0.42</v>
      </c>
      <c r="S137" s="75">
        <f>VLOOKUP($A137,'Data Vlaue (Cr)'!$C:$FB,128)*100</f>
        <v>-44.74</v>
      </c>
    </row>
    <row r="138" spans="1:19" x14ac:dyDescent="0.25">
      <c r="A138" s="96" t="str">
        <f>'Data Vlaue (Cr)'!C129</f>
        <v>MFSL</v>
      </c>
      <c r="B138" s="75">
        <f>VLOOKUP($A138,'Data Vlaue (Cr)'!$C:$FB,2)</f>
        <v>400</v>
      </c>
      <c r="C138" s="75">
        <f>VLOOKUP($A138,'Data Vlaue (Cr)'!$C:$FB,8)</f>
        <v>1748.6</v>
      </c>
      <c r="D138" s="75">
        <f>VLOOKUP($A138,'Data Vlaue (Cr)'!$C:$FB,4)</f>
        <v>1753.3</v>
      </c>
      <c r="E138" s="75">
        <f>VLOOKUP($A138,'Data Vlaue (Cr)'!$C:$FB,5)</f>
        <v>1752</v>
      </c>
      <c r="F138" s="75">
        <f t="shared" si="6"/>
        <v>4.7000000000000455</v>
      </c>
      <c r="G138" s="75">
        <f t="shared" si="7"/>
        <v>7.4145896309813178E-2</v>
      </c>
      <c r="H138" s="75">
        <f>VLOOKUP($A138,'Data Vlaue (Cr)'!$C:$FB,99)</f>
        <v>1726</v>
      </c>
      <c r="I138" s="75">
        <f>VLOOKUP($A138,'Data Vlaue (Cr)'!$C:$FB,100)</f>
        <v>1712</v>
      </c>
      <c r="J138" s="75">
        <f t="shared" si="8"/>
        <v>14</v>
      </c>
      <c r="K138" s="75">
        <f t="shared" si="9"/>
        <v>0.81112398609501735</v>
      </c>
      <c r="L138" s="75">
        <f>VLOOKUP($A138,'Data Vlaue (Cr)'!$C:$FB,67)</f>
        <v>344</v>
      </c>
      <c r="M138" s="75">
        <f>VLOOKUP($A138,'Data Vlaue (Cr)'!$C:$FB,68)</f>
        <v>412</v>
      </c>
      <c r="N138" s="75">
        <f t="shared" si="10"/>
        <v>-68</v>
      </c>
      <c r="O138" s="75">
        <f t="shared" si="11"/>
        <v>-19.767441860465116</v>
      </c>
      <c r="P138" s="75">
        <f>VLOOKUP($A138,'Data Vlaue (Cr)'!$C:$FB,119)</f>
        <v>0.71</v>
      </c>
      <c r="Q138" s="75">
        <f>VLOOKUP($A138,'Data Vlaue (Cr)'!$C:$FB,122)*100</f>
        <v>-15.479999999999999</v>
      </c>
      <c r="R138" s="75">
        <f>VLOOKUP($A138,'Data Vlaue (Cr)'!$C:$FB,125)</f>
        <v>0.52</v>
      </c>
      <c r="S138" s="75">
        <f>VLOOKUP($A138,'Data Vlaue (Cr)'!$C:$FB,128)*100</f>
        <v>-41.57</v>
      </c>
    </row>
    <row r="139" spans="1:19" x14ac:dyDescent="0.25">
      <c r="A139" s="96" t="str">
        <f>'Data Vlaue (Cr)'!C130</f>
        <v>MIDCPNIFTY</v>
      </c>
      <c r="B139" s="75">
        <f>VLOOKUP($A139,'Data Vlaue (Cr)'!$C:$FB,2)</f>
        <v>120</v>
      </c>
      <c r="C139" s="75">
        <f>VLOOKUP($A139,'Data Vlaue (Cr)'!$C:$FB,8)</f>
        <v>13260.5</v>
      </c>
      <c r="D139" s="75">
        <f>VLOOKUP($A139,'Data Vlaue (Cr)'!$C:$FB,4)</f>
        <v>13298.85</v>
      </c>
      <c r="E139" s="75">
        <f>VLOOKUP($A139,'Data Vlaue (Cr)'!$C:$FB,5)</f>
        <v>13070.65</v>
      </c>
      <c r="F139" s="75">
        <f t="shared" si="6"/>
        <v>38.350000000000364</v>
      </c>
      <c r="G139" s="75">
        <f t="shared" si="7"/>
        <v>1.7159378442496962</v>
      </c>
      <c r="H139" s="75">
        <f>VLOOKUP($A139,'Data Vlaue (Cr)'!$C:$FB,99)</f>
        <v>18020</v>
      </c>
      <c r="I139" s="75">
        <f>VLOOKUP($A139,'Data Vlaue (Cr)'!$C:$FB,100)</f>
        <v>17419</v>
      </c>
      <c r="J139" s="75">
        <f t="shared" si="8"/>
        <v>601</v>
      </c>
      <c r="K139" s="75">
        <f t="shared" si="9"/>
        <v>3.3351831298557157</v>
      </c>
      <c r="L139" s="75">
        <f>VLOOKUP($A139,'Data Vlaue (Cr)'!$C:$FB,67)</f>
        <v>32467</v>
      </c>
      <c r="M139" s="75">
        <f>VLOOKUP($A139,'Data Vlaue (Cr)'!$C:$FB,68)</f>
        <v>42086</v>
      </c>
      <c r="N139" s="75">
        <f t="shared" si="10"/>
        <v>-9619</v>
      </c>
      <c r="O139" s="75">
        <f t="shared" si="11"/>
        <v>-29.62700588289648</v>
      </c>
      <c r="P139" s="75">
        <f>VLOOKUP($A139,'Data Vlaue (Cr)'!$C:$FB,119)</f>
        <v>0.97</v>
      </c>
      <c r="Q139" s="75">
        <f>VLOOKUP($A139,'Data Vlaue (Cr)'!$C:$FB,122)*100</f>
        <v>2.11</v>
      </c>
      <c r="R139" s="75">
        <f>VLOOKUP($A139,'Data Vlaue (Cr)'!$C:$FB,125)</f>
        <v>1</v>
      </c>
      <c r="S139" s="75">
        <f>VLOOKUP($A139,'Data Vlaue (Cr)'!$C:$FB,128)*100</f>
        <v>2.04</v>
      </c>
    </row>
    <row r="140" spans="1:19" x14ac:dyDescent="0.25">
      <c r="A140" s="96" t="str">
        <f>'Data Vlaue (Cr)'!C131</f>
        <v>MOTHERSON</v>
      </c>
      <c r="B140" s="75">
        <f>VLOOKUP($A140,'Data Vlaue (Cr)'!$C:$FB,2)</f>
        <v>6150</v>
      </c>
      <c r="C140" s="75">
        <f>VLOOKUP($A140,'Data Vlaue (Cr)'!$C:$FB,8)</f>
        <v>126.34</v>
      </c>
      <c r="D140" s="75">
        <f>VLOOKUP($A140,'Data Vlaue (Cr)'!$C:$FB,4)</f>
        <v>126.52</v>
      </c>
      <c r="E140" s="75">
        <f>VLOOKUP($A140,'Data Vlaue (Cr)'!$C:$FB,5)</f>
        <v>123.44</v>
      </c>
      <c r="F140" s="75">
        <f t="shared" ref="F140:F176" si="12">D140-C140</f>
        <v>0.17999999999999261</v>
      </c>
      <c r="G140" s="75">
        <f t="shared" ref="G140:G176" si="13">(D140-E140)/D140*100</f>
        <v>2.4343977236800494</v>
      </c>
      <c r="H140" s="75">
        <f>VLOOKUP($A140,'Data Vlaue (Cr)'!$C:$FB,99)</f>
        <v>2633</v>
      </c>
      <c r="I140" s="75">
        <f>VLOOKUP($A140,'Data Vlaue (Cr)'!$C:$FB,100)</f>
        <v>2623</v>
      </c>
      <c r="J140" s="75">
        <f t="shared" ref="J140:J176" si="14">H140-I140</f>
        <v>10</v>
      </c>
      <c r="K140" s="75">
        <f t="shared" ref="K140:K176" si="15">J140/H140*100</f>
        <v>0.37979491074819599</v>
      </c>
      <c r="L140" s="75">
        <f>VLOOKUP($A140,'Data Vlaue (Cr)'!$C:$FB,67)</f>
        <v>1300</v>
      </c>
      <c r="M140" s="75">
        <f>VLOOKUP($A140,'Data Vlaue (Cr)'!$C:$FB,68)</f>
        <v>1215</v>
      </c>
      <c r="N140" s="75">
        <f t="shared" ref="N140:N176" si="16">L140-M140</f>
        <v>85</v>
      </c>
      <c r="O140" s="75">
        <f t="shared" ref="O140:O176" si="17">N140/L140*100</f>
        <v>6.5384615384615392</v>
      </c>
      <c r="P140" s="75">
        <f>VLOOKUP($A140,'Data Vlaue (Cr)'!$C:$FB,119)</f>
        <v>0.63</v>
      </c>
      <c r="Q140" s="75">
        <f>VLOOKUP($A140,'Data Vlaue (Cr)'!$C:$FB,122)*100</f>
        <v>-1.5599999999999998</v>
      </c>
      <c r="R140" s="75">
        <f>VLOOKUP($A140,'Data Vlaue (Cr)'!$C:$FB,125)</f>
        <v>0.3</v>
      </c>
      <c r="S140" s="75">
        <f>VLOOKUP($A140,'Data Vlaue (Cr)'!$C:$FB,128)*100</f>
        <v>-61.539999999999992</v>
      </c>
    </row>
    <row r="141" spans="1:19" x14ac:dyDescent="0.25">
      <c r="A141" s="96" t="str">
        <f>'Data Vlaue (Cr)'!C132</f>
        <v>MPHASIS</v>
      </c>
      <c r="B141" s="75">
        <f>VLOOKUP($A141,'Data Vlaue (Cr)'!$C:$FB,2)</f>
        <v>275</v>
      </c>
      <c r="C141" s="75">
        <f>VLOOKUP($A141,'Data Vlaue (Cr)'!$C:$FB,8)</f>
        <v>2231.6</v>
      </c>
      <c r="D141" s="75">
        <f>VLOOKUP($A141,'Data Vlaue (Cr)'!$C:$FB,4)</f>
        <v>2242.4</v>
      </c>
      <c r="E141" s="75">
        <f>VLOOKUP($A141,'Data Vlaue (Cr)'!$C:$FB,5)</f>
        <v>2277.3000000000002</v>
      </c>
      <c r="F141" s="75">
        <f t="shared" si="12"/>
        <v>10.800000000000182</v>
      </c>
      <c r="G141" s="75">
        <f t="shared" si="13"/>
        <v>-1.5563681769532685</v>
      </c>
      <c r="H141" s="75">
        <f>VLOOKUP($A141,'Data Vlaue (Cr)'!$C:$FB,99)</f>
        <v>1613</v>
      </c>
      <c r="I141" s="75">
        <f>VLOOKUP($A141,'Data Vlaue (Cr)'!$C:$FB,100)</f>
        <v>1560</v>
      </c>
      <c r="J141" s="75">
        <f t="shared" si="14"/>
        <v>53</v>
      </c>
      <c r="K141" s="75">
        <f t="shared" si="15"/>
        <v>3.2858028518288904</v>
      </c>
      <c r="L141" s="75">
        <f>VLOOKUP($A141,'Data Vlaue (Cr)'!$C:$FB,67)</f>
        <v>544</v>
      </c>
      <c r="M141" s="75">
        <f>VLOOKUP($A141,'Data Vlaue (Cr)'!$C:$FB,68)</f>
        <v>652</v>
      </c>
      <c r="N141" s="75">
        <f t="shared" si="16"/>
        <v>-108</v>
      </c>
      <c r="O141" s="75">
        <f t="shared" si="17"/>
        <v>-19.852941176470587</v>
      </c>
      <c r="P141" s="75">
        <f>VLOOKUP($A141,'Data Vlaue (Cr)'!$C:$FB,119)</f>
        <v>0.57999999999999996</v>
      </c>
      <c r="Q141" s="75">
        <f>VLOOKUP($A141,'Data Vlaue (Cr)'!$C:$FB,122)*100</f>
        <v>-13.43</v>
      </c>
      <c r="R141" s="75">
        <f>VLOOKUP($A141,'Data Vlaue (Cr)'!$C:$FB,125)</f>
        <v>0.56999999999999995</v>
      </c>
      <c r="S141" s="75">
        <f>VLOOKUP($A141,'Data Vlaue (Cr)'!$C:$FB,128)*100</f>
        <v>26.669999999999998</v>
      </c>
    </row>
    <row r="142" spans="1:19" x14ac:dyDescent="0.25">
      <c r="A142" s="96" t="str">
        <f>'Data Vlaue (Cr)'!C133</f>
        <v>MUTHOOTFIN</v>
      </c>
      <c r="B142" s="75">
        <f>VLOOKUP($A142,'Data Vlaue (Cr)'!$C:$FB,2)</f>
        <v>275</v>
      </c>
      <c r="C142" s="75">
        <f>VLOOKUP($A142,'Data Vlaue (Cr)'!$C:$FB,8)</f>
        <v>3306.4</v>
      </c>
      <c r="D142" s="75">
        <f>VLOOKUP($A142,'Data Vlaue (Cr)'!$C:$FB,4)</f>
        <v>3318.5</v>
      </c>
      <c r="E142" s="75">
        <f>VLOOKUP($A142,'Data Vlaue (Cr)'!$C:$FB,5)</f>
        <v>3354.7</v>
      </c>
      <c r="F142" s="75">
        <f t="shared" si="12"/>
        <v>12.099999999999909</v>
      </c>
      <c r="G142" s="75">
        <f t="shared" si="13"/>
        <v>-1.0908543016423027</v>
      </c>
      <c r="H142" s="75">
        <f>VLOOKUP($A142,'Data Vlaue (Cr)'!$C:$FB,99)</f>
        <v>3309</v>
      </c>
      <c r="I142" s="75">
        <f>VLOOKUP($A142,'Data Vlaue (Cr)'!$C:$FB,100)</f>
        <v>3227</v>
      </c>
      <c r="J142" s="75">
        <f t="shared" si="14"/>
        <v>82</v>
      </c>
      <c r="K142" s="75">
        <f t="shared" si="15"/>
        <v>2.47809005741916</v>
      </c>
      <c r="L142" s="75">
        <f>VLOOKUP($A142,'Data Vlaue (Cr)'!$C:$FB,67)</f>
        <v>2914</v>
      </c>
      <c r="M142" s="75">
        <f>VLOOKUP($A142,'Data Vlaue (Cr)'!$C:$FB,68)</f>
        <v>2722</v>
      </c>
      <c r="N142" s="75">
        <f t="shared" si="16"/>
        <v>192</v>
      </c>
      <c r="O142" s="75">
        <f t="shared" si="17"/>
        <v>6.5888812628689095</v>
      </c>
      <c r="P142" s="75">
        <f>VLOOKUP($A142,'Data Vlaue (Cr)'!$C:$FB,119)</f>
        <v>0.44</v>
      </c>
      <c r="Q142" s="75">
        <f>VLOOKUP($A142,'Data Vlaue (Cr)'!$C:$FB,122)*100</f>
        <v>-2.2200000000000002</v>
      </c>
      <c r="R142" s="75">
        <f>VLOOKUP($A142,'Data Vlaue (Cr)'!$C:$FB,125)</f>
        <v>0.56999999999999995</v>
      </c>
      <c r="S142" s="75">
        <f>VLOOKUP($A142,'Data Vlaue (Cr)'!$C:$FB,128)*100</f>
        <v>-6.5600000000000005</v>
      </c>
    </row>
    <row r="143" spans="1:19" x14ac:dyDescent="0.25">
      <c r="A143" s="96" t="str">
        <f>'Data Vlaue (Cr)'!C134</f>
        <v>NATIONALUM</v>
      </c>
      <c r="B143" s="75">
        <f>VLOOKUP($A143,'Data Vlaue (Cr)'!$C:$FB,2)</f>
        <v>3750</v>
      </c>
      <c r="C143" s="75">
        <f>VLOOKUP($A143,'Data Vlaue (Cr)'!$C:$FB,8)</f>
        <v>395.95</v>
      </c>
      <c r="D143" s="75">
        <f>VLOOKUP($A143,'Data Vlaue (Cr)'!$C:$FB,4)</f>
        <v>396.65</v>
      </c>
      <c r="E143" s="75">
        <f>VLOOKUP($A143,'Data Vlaue (Cr)'!$C:$FB,5)</f>
        <v>374.4</v>
      </c>
      <c r="F143" s="75">
        <f t="shared" si="12"/>
        <v>0.69999999999998863</v>
      </c>
      <c r="G143" s="75">
        <f t="shared" si="13"/>
        <v>5.6094793898903319</v>
      </c>
      <c r="H143" s="75">
        <f>VLOOKUP($A143,'Data Vlaue (Cr)'!$C:$FB,99)</f>
        <v>4708</v>
      </c>
      <c r="I143" s="75">
        <f>VLOOKUP($A143,'Data Vlaue (Cr)'!$C:$FB,100)</f>
        <v>4189</v>
      </c>
      <c r="J143" s="75">
        <f t="shared" si="14"/>
        <v>519</v>
      </c>
      <c r="K143" s="75"/>
      <c r="L143" s="75">
        <f>VLOOKUP($A143,'Data Vlaue (Cr)'!$C:$FB,67)</f>
        <v>14954</v>
      </c>
      <c r="M143" s="75">
        <f>VLOOKUP($A143,'Data Vlaue (Cr)'!$C:$FB,68)</f>
        <v>6498</v>
      </c>
      <c r="N143" s="75">
        <f t="shared" si="16"/>
        <v>8456</v>
      </c>
      <c r="O143" s="75">
        <f t="shared" si="17"/>
        <v>56.546743346261877</v>
      </c>
      <c r="P143" s="75">
        <f>VLOOKUP($A143,'Data Vlaue (Cr)'!$C:$FB,119)</f>
        <v>0.81</v>
      </c>
      <c r="Q143" s="75">
        <f>VLOOKUP($A143,'Data Vlaue (Cr)'!$C:$FB,122)*100</f>
        <v>-3.5700000000000003</v>
      </c>
      <c r="R143" s="75">
        <f>VLOOKUP($A143,'Data Vlaue (Cr)'!$C:$FB,125)</f>
        <v>0.4</v>
      </c>
      <c r="S143" s="75">
        <f>VLOOKUP($A143,'Data Vlaue (Cr)'!$C:$FB,128)*100</f>
        <v>-21.57</v>
      </c>
    </row>
    <row r="144" spans="1:19" x14ac:dyDescent="0.25">
      <c r="A144" s="96" t="str">
        <f>'Data Vlaue (Cr)'!C135</f>
        <v>NAUKRI</v>
      </c>
      <c r="B144" s="75">
        <f>VLOOKUP($A144,'Data Vlaue (Cr)'!$C:$FB,2)</f>
        <v>375</v>
      </c>
      <c r="C144" s="75">
        <f>VLOOKUP($A144,'Data Vlaue (Cr)'!$C:$FB,8)</f>
        <v>1015.3</v>
      </c>
      <c r="D144" s="75">
        <f>VLOOKUP($A144,'Data Vlaue (Cr)'!$C:$FB,4)</f>
        <v>1016.8</v>
      </c>
      <c r="E144" s="75">
        <f>VLOOKUP($A144,'Data Vlaue (Cr)'!$C:$FB,5)</f>
        <v>1002.4</v>
      </c>
      <c r="F144" s="75">
        <f t="shared" si="12"/>
        <v>1.5</v>
      </c>
      <c r="G144" s="75">
        <f t="shared" si="13"/>
        <v>1.4162077104641992</v>
      </c>
      <c r="H144" s="75">
        <f>VLOOKUP($A144,'Data Vlaue (Cr)'!$C:$FB,99)</f>
        <v>1562</v>
      </c>
      <c r="I144" s="75">
        <f>VLOOKUP($A144,'Data Vlaue (Cr)'!$C:$FB,100)</f>
        <v>1579</v>
      </c>
      <c r="J144" s="75">
        <f t="shared" si="14"/>
        <v>-17</v>
      </c>
      <c r="K144" s="75">
        <f t="shared" si="15"/>
        <v>-1.0883482714468631</v>
      </c>
      <c r="L144" s="75">
        <f>VLOOKUP($A144,'Data Vlaue (Cr)'!$C:$FB,67)</f>
        <v>378</v>
      </c>
      <c r="M144" s="75">
        <f>VLOOKUP($A144,'Data Vlaue (Cr)'!$C:$FB,68)</f>
        <v>479</v>
      </c>
      <c r="N144" s="75">
        <f t="shared" si="16"/>
        <v>-101</v>
      </c>
      <c r="O144" s="75">
        <f t="shared" si="17"/>
        <v>-26.719576719576722</v>
      </c>
      <c r="P144" s="75">
        <f>VLOOKUP($A144,'Data Vlaue (Cr)'!$C:$FB,119)</f>
        <v>0.5</v>
      </c>
      <c r="Q144" s="75">
        <f>VLOOKUP($A144,'Data Vlaue (Cr)'!$C:$FB,122)*100</f>
        <v>0</v>
      </c>
      <c r="R144" s="75">
        <f>VLOOKUP($A144,'Data Vlaue (Cr)'!$C:$FB,125)</f>
        <v>0.21</v>
      </c>
      <c r="S144" s="75">
        <f>VLOOKUP($A144,'Data Vlaue (Cr)'!$C:$FB,128)*100</f>
        <v>-56.25</v>
      </c>
    </row>
    <row r="145" spans="1:19" x14ac:dyDescent="0.25">
      <c r="A145" s="96" t="str">
        <f>'Data Vlaue (Cr)'!C136</f>
        <v>NBCC</v>
      </c>
      <c r="B145" s="75">
        <f>VLOOKUP($A145,'Data Vlaue (Cr)'!$C:$FB,2)</f>
        <v>6500</v>
      </c>
      <c r="C145" s="75">
        <f>VLOOKUP($A145,'Data Vlaue (Cr)'!$C:$FB,8)</f>
        <v>86.85</v>
      </c>
      <c r="D145" s="75">
        <f>VLOOKUP($A145,'Data Vlaue (Cr)'!$C:$FB,4)</f>
        <v>87.21</v>
      </c>
      <c r="E145" s="75">
        <f>VLOOKUP($A145,'Data Vlaue (Cr)'!$C:$FB,5)</f>
        <v>85.72</v>
      </c>
      <c r="F145" s="75">
        <f t="shared" si="12"/>
        <v>0.35999999999999943</v>
      </c>
      <c r="G145" s="75">
        <f t="shared" si="13"/>
        <v>1.7085196651760064</v>
      </c>
      <c r="H145" s="75">
        <f>VLOOKUP($A145,'Data Vlaue (Cr)'!$C:$FB,99)</f>
        <v>1215</v>
      </c>
      <c r="I145" s="75">
        <f>VLOOKUP($A145,'Data Vlaue (Cr)'!$C:$FB,100)</f>
        <v>1190</v>
      </c>
      <c r="J145" s="75">
        <f t="shared" si="14"/>
        <v>25</v>
      </c>
      <c r="K145" s="75">
        <f t="shared" si="15"/>
        <v>2.0576131687242798</v>
      </c>
      <c r="L145" s="75">
        <f>VLOOKUP($A145,'Data Vlaue (Cr)'!$C:$FB,67)</f>
        <v>307</v>
      </c>
      <c r="M145" s="75">
        <f>VLOOKUP($A145,'Data Vlaue (Cr)'!$C:$FB,68)</f>
        <v>399</v>
      </c>
      <c r="N145" s="75">
        <f t="shared" si="16"/>
        <v>-92</v>
      </c>
      <c r="O145" s="75">
        <f t="shared" si="17"/>
        <v>-29.967426710097723</v>
      </c>
      <c r="P145" s="75">
        <f>VLOOKUP($A145,'Data Vlaue (Cr)'!$C:$FB,119)</f>
        <v>0.57999999999999996</v>
      </c>
      <c r="Q145" s="75">
        <f>VLOOKUP($A145,'Data Vlaue (Cr)'!$C:$FB,122)*100</f>
        <v>-3.3300000000000005</v>
      </c>
      <c r="R145" s="75">
        <f>VLOOKUP($A145,'Data Vlaue (Cr)'!$C:$FB,125)</f>
        <v>0.59</v>
      </c>
      <c r="S145" s="75">
        <f>VLOOKUP($A145,'Data Vlaue (Cr)'!$C:$FB,128)*100</f>
        <v>-9.2299999999999986</v>
      </c>
    </row>
    <row r="146" spans="1:19" x14ac:dyDescent="0.25">
      <c r="A146" s="96" t="str">
        <f>'Data Vlaue (Cr)'!C137</f>
        <v>NESTLEIND</v>
      </c>
      <c r="B146" s="75">
        <f>VLOOKUP($A146,'Data Vlaue (Cr)'!$C:$FB,2)</f>
        <v>500</v>
      </c>
      <c r="C146" s="75">
        <f>VLOOKUP($A146,'Data Vlaue (Cr)'!$C:$FB,8)</f>
        <v>1250.9000000000001</v>
      </c>
      <c r="D146" s="75">
        <f>VLOOKUP($A146,'Data Vlaue (Cr)'!$C:$FB,4)</f>
        <v>1256.3</v>
      </c>
      <c r="E146" s="75">
        <f>VLOOKUP($A146,'Data Vlaue (Cr)'!$C:$FB,5)</f>
        <v>1250.7</v>
      </c>
      <c r="F146" s="75">
        <f t="shared" si="12"/>
        <v>5.3999999999998636</v>
      </c>
      <c r="G146" s="75">
        <f t="shared" si="13"/>
        <v>0.44575340284963061</v>
      </c>
      <c r="H146" s="75">
        <f>VLOOKUP($A146,'Data Vlaue (Cr)'!$C:$FB,99)</f>
        <v>2581</v>
      </c>
      <c r="I146" s="75">
        <f>VLOOKUP($A146,'Data Vlaue (Cr)'!$C:$FB,100)</f>
        <v>2552</v>
      </c>
      <c r="J146" s="75">
        <f t="shared" si="14"/>
        <v>29</v>
      </c>
      <c r="K146" s="75">
        <f t="shared" si="15"/>
        <v>1.1235955056179776</v>
      </c>
      <c r="L146" s="75">
        <f>VLOOKUP($A146,'Data Vlaue (Cr)'!$C:$FB,67)</f>
        <v>694</v>
      </c>
      <c r="M146" s="75">
        <f>VLOOKUP($A146,'Data Vlaue (Cr)'!$C:$FB,68)</f>
        <v>727</v>
      </c>
      <c r="N146" s="75">
        <f t="shared" si="16"/>
        <v>-33</v>
      </c>
      <c r="O146" s="75">
        <f t="shared" si="17"/>
        <v>-4.7550432276657064</v>
      </c>
      <c r="P146" s="75">
        <f>VLOOKUP($A146,'Data Vlaue (Cr)'!$C:$FB,119)</f>
        <v>0.54</v>
      </c>
      <c r="Q146" s="75">
        <f>VLOOKUP($A146,'Data Vlaue (Cr)'!$C:$FB,122)*100</f>
        <v>8</v>
      </c>
      <c r="R146" s="75">
        <f>VLOOKUP($A146,'Data Vlaue (Cr)'!$C:$FB,125)</f>
        <v>0.61</v>
      </c>
      <c r="S146" s="75">
        <f>VLOOKUP($A146,'Data Vlaue (Cr)'!$C:$FB,128)*100</f>
        <v>29.79</v>
      </c>
    </row>
    <row r="147" spans="1:19" x14ac:dyDescent="0.25">
      <c r="A147" s="96" t="str">
        <f>'Data Vlaue (Cr)'!C138</f>
        <v>NHPC</v>
      </c>
      <c r="B147" s="75">
        <f>VLOOKUP($A147,'Data Vlaue (Cr)'!$C:$FB,2)</f>
        <v>6400</v>
      </c>
      <c r="C147" s="75">
        <f>VLOOKUP($A147,'Data Vlaue (Cr)'!$C:$FB,8)</f>
        <v>74.150000000000006</v>
      </c>
      <c r="D147" s="75">
        <f>VLOOKUP($A147,'Data Vlaue (Cr)'!$C:$FB,4)</f>
        <v>74.489999999999995</v>
      </c>
      <c r="E147" s="75">
        <f>VLOOKUP($A147,'Data Vlaue (Cr)'!$C:$FB,5)</f>
        <v>72.45</v>
      </c>
      <c r="F147" s="75">
        <f t="shared" si="12"/>
        <v>0.3399999999999892</v>
      </c>
      <c r="G147" s="75">
        <f t="shared" si="13"/>
        <v>2.7386226339105817</v>
      </c>
      <c r="H147" s="75">
        <f>VLOOKUP($A147,'Data Vlaue (Cr)'!$C:$FB,99)</f>
        <v>957</v>
      </c>
      <c r="I147" s="75">
        <f>VLOOKUP($A147,'Data Vlaue (Cr)'!$C:$FB,100)</f>
        <v>956</v>
      </c>
      <c r="J147" s="75">
        <f t="shared" si="14"/>
        <v>1</v>
      </c>
      <c r="K147" s="75">
        <f t="shared" si="15"/>
        <v>0.10449320794148381</v>
      </c>
      <c r="L147" s="75">
        <f>VLOOKUP($A147,'Data Vlaue (Cr)'!$C:$FB,67)</f>
        <v>365</v>
      </c>
      <c r="M147" s="75">
        <f>VLOOKUP($A147,'Data Vlaue (Cr)'!$C:$FB,68)</f>
        <v>414</v>
      </c>
      <c r="N147" s="75">
        <f t="shared" si="16"/>
        <v>-49</v>
      </c>
      <c r="O147" s="75">
        <f t="shared" si="17"/>
        <v>-13.424657534246576</v>
      </c>
      <c r="P147" s="75">
        <f>VLOOKUP($A147,'Data Vlaue (Cr)'!$C:$FB,119)</f>
        <v>0.6</v>
      </c>
      <c r="Q147" s="75">
        <f>VLOOKUP($A147,'Data Vlaue (Cr)'!$C:$FB,122)*100</f>
        <v>5.26</v>
      </c>
      <c r="R147" s="75">
        <f>VLOOKUP($A147,'Data Vlaue (Cr)'!$C:$FB,125)</f>
        <v>0.65</v>
      </c>
      <c r="S147" s="75">
        <f>VLOOKUP($A147,'Data Vlaue (Cr)'!$C:$FB,128)*100</f>
        <v>-10.96</v>
      </c>
    </row>
    <row r="148" spans="1:19" x14ac:dyDescent="0.25">
      <c r="A148" s="96" t="str">
        <f>'Data Vlaue (Cr)'!C139</f>
        <v>NIFTY</v>
      </c>
      <c r="B148" s="75">
        <f>VLOOKUP($A148,'Data Vlaue (Cr)'!$C:$FB,2)</f>
        <v>65</v>
      </c>
      <c r="C148" s="75">
        <f>VLOOKUP($A148,'Data Vlaue (Cr)'!$C:$FB,8)</f>
        <v>24765.9</v>
      </c>
      <c r="D148" s="75">
        <f>VLOOKUP($A148,'Data Vlaue (Cr)'!$C:$FB,4)</f>
        <v>24854.3</v>
      </c>
      <c r="E148" s="75">
        <f>VLOOKUP($A148,'Data Vlaue (Cr)'!$C:$FB,5)</f>
        <v>24584.7</v>
      </c>
      <c r="F148" s="75">
        <f t="shared" si="12"/>
        <v>88.399999999997817</v>
      </c>
      <c r="G148" s="75">
        <f t="shared" si="13"/>
        <v>1.084721758407996</v>
      </c>
      <c r="H148" s="75">
        <f>VLOOKUP($A148,'Data Vlaue (Cr)'!$C:$FB,99)</f>
        <v>1055609</v>
      </c>
      <c r="I148" s="75">
        <f>VLOOKUP($A148,'Data Vlaue (Cr)'!$C:$FB,100)</f>
        <v>912188</v>
      </c>
      <c r="J148" s="75">
        <f t="shared" si="14"/>
        <v>143421</v>
      </c>
      <c r="K148" s="75">
        <f t="shared" si="15"/>
        <v>13.586564722354582</v>
      </c>
      <c r="L148" s="75">
        <f>VLOOKUP($A148,'Data Vlaue (Cr)'!$C:$FB,67)</f>
        <v>9885394</v>
      </c>
      <c r="M148" s="75">
        <f>VLOOKUP($A148,'Data Vlaue (Cr)'!$C:$FB,68)</f>
        <v>8503214</v>
      </c>
      <c r="N148" s="75">
        <f t="shared" si="16"/>
        <v>1382180</v>
      </c>
      <c r="O148" s="75">
        <f t="shared" si="17"/>
        <v>13.982042597391667</v>
      </c>
      <c r="P148" s="75">
        <f>VLOOKUP($A148,'Data Vlaue (Cr)'!$C:$FB,119)</f>
        <v>1.01</v>
      </c>
      <c r="Q148" s="75">
        <f>VLOOKUP($A148,'Data Vlaue (Cr)'!$C:$FB,122)*100</f>
        <v>6.32</v>
      </c>
      <c r="R148" s="75">
        <f>VLOOKUP($A148,'Data Vlaue (Cr)'!$C:$FB,125)</f>
        <v>0.8</v>
      </c>
      <c r="S148" s="75">
        <f>VLOOKUP($A148,'Data Vlaue (Cr)'!$C:$FB,128)*100</f>
        <v>5.26</v>
      </c>
    </row>
    <row r="149" spans="1:19" x14ac:dyDescent="0.25">
      <c r="A149" s="96" t="str">
        <f>'Data Vlaue (Cr)'!C140</f>
        <v>NIFTYNXT50</v>
      </c>
      <c r="B149" s="75">
        <f>VLOOKUP($A149,'Data Vlaue (Cr)'!$C:$FB,2)</f>
        <v>25</v>
      </c>
      <c r="C149" s="75">
        <f>VLOOKUP($A149,'Data Vlaue (Cr)'!$C:$FB,8)</f>
        <v>67722.2</v>
      </c>
      <c r="D149" s="75">
        <f>VLOOKUP($A149,'Data Vlaue (Cr)'!$C:$FB,4)</f>
        <v>67928.399999999994</v>
      </c>
      <c r="E149" s="75">
        <f>VLOOKUP($A149,'Data Vlaue (Cr)'!$C:$FB,5)</f>
        <v>67008.800000000003</v>
      </c>
      <c r="F149" s="75">
        <f t="shared" si="12"/>
        <v>206.19999999999709</v>
      </c>
      <c r="G149" s="75">
        <f t="shared" si="13"/>
        <v>1.3537783901873022</v>
      </c>
      <c r="H149" s="75">
        <f>VLOOKUP($A149,'Data Vlaue (Cr)'!$C:$FB,99)</f>
        <v>187</v>
      </c>
      <c r="I149" s="75">
        <f>VLOOKUP($A149,'Data Vlaue (Cr)'!$C:$FB,100)</f>
        <v>178</v>
      </c>
      <c r="J149" s="75">
        <f t="shared" si="14"/>
        <v>9</v>
      </c>
      <c r="K149" s="75">
        <f t="shared" si="15"/>
        <v>4.8128342245989302</v>
      </c>
      <c r="L149" s="75">
        <f>VLOOKUP($A149,'Data Vlaue (Cr)'!$C:$FB,67)</f>
        <v>124</v>
      </c>
      <c r="M149" s="75">
        <f>VLOOKUP($A149,'Data Vlaue (Cr)'!$C:$FB,68)</f>
        <v>173</v>
      </c>
      <c r="N149" s="75">
        <f t="shared" si="16"/>
        <v>-49</v>
      </c>
      <c r="O149" s="75">
        <f t="shared" si="17"/>
        <v>-39.516129032258064</v>
      </c>
      <c r="P149" s="75">
        <f>VLOOKUP($A149,'Data Vlaue (Cr)'!$C:$FB,119)</f>
        <v>0.39</v>
      </c>
      <c r="Q149" s="75">
        <f>VLOOKUP($A149,'Data Vlaue (Cr)'!$C:$FB,122)*100</f>
        <v>39.290000000000006</v>
      </c>
      <c r="R149" s="75">
        <f>VLOOKUP($A149,'Data Vlaue (Cr)'!$C:$FB,125)</f>
        <v>0.44</v>
      </c>
      <c r="S149" s="75">
        <f>VLOOKUP($A149,'Data Vlaue (Cr)'!$C:$FB,128)*100</f>
        <v>780</v>
      </c>
    </row>
    <row r="150" spans="1:19" x14ac:dyDescent="0.25">
      <c r="A150" s="96" t="str">
        <f>'Data Vlaue (Cr)'!C141</f>
        <v>NMDC</v>
      </c>
      <c r="B150" s="75">
        <f>VLOOKUP($A150,'Data Vlaue (Cr)'!$C:$FB,2)</f>
        <v>6750</v>
      </c>
      <c r="C150" s="75">
        <f>VLOOKUP($A150,'Data Vlaue (Cr)'!$C:$FB,8)</f>
        <v>78.44</v>
      </c>
      <c r="D150" s="75">
        <f>VLOOKUP($A150,'Data Vlaue (Cr)'!$C:$FB,4)</f>
        <v>78.69</v>
      </c>
      <c r="E150" s="75">
        <f>VLOOKUP($A150,'Data Vlaue (Cr)'!$C:$FB,5)</f>
        <v>76.95</v>
      </c>
      <c r="F150" s="75">
        <f t="shared" si="12"/>
        <v>0.25</v>
      </c>
      <c r="G150" s="75">
        <f t="shared" si="13"/>
        <v>2.2112085398398715</v>
      </c>
      <c r="H150" s="75">
        <f>VLOOKUP($A150,'Data Vlaue (Cr)'!$C:$FB,99)</f>
        <v>3645</v>
      </c>
      <c r="I150" s="75">
        <f>VLOOKUP($A150,'Data Vlaue (Cr)'!$C:$FB,100)</f>
        <v>3600</v>
      </c>
      <c r="J150" s="75">
        <f t="shared" si="14"/>
        <v>45</v>
      </c>
      <c r="K150" s="75">
        <f t="shared" si="15"/>
        <v>1.2345679012345678</v>
      </c>
      <c r="L150" s="75">
        <f>VLOOKUP($A150,'Data Vlaue (Cr)'!$C:$FB,67)</f>
        <v>962</v>
      </c>
      <c r="M150" s="75">
        <f>VLOOKUP($A150,'Data Vlaue (Cr)'!$C:$FB,68)</f>
        <v>1064</v>
      </c>
      <c r="N150" s="75">
        <f t="shared" si="16"/>
        <v>-102</v>
      </c>
      <c r="O150" s="75">
        <f t="shared" si="17"/>
        <v>-10.602910602910603</v>
      </c>
      <c r="P150" s="75">
        <f>VLOOKUP($A150,'Data Vlaue (Cr)'!$C:$FB,119)</f>
        <v>0.56999999999999995</v>
      </c>
      <c r="Q150" s="75">
        <f>VLOOKUP($A150,'Data Vlaue (Cr)'!$C:$FB,122)*100</f>
        <v>-3.39</v>
      </c>
      <c r="R150" s="75">
        <f>VLOOKUP($A150,'Data Vlaue (Cr)'!$C:$FB,125)</f>
        <v>0.36</v>
      </c>
      <c r="S150" s="75">
        <f>VLOOKUP($A150,'Data Vlaue (Cr)'!$C:$FB,128)*100</f>
        <v>-25</v>
      </c>
    </row>
    <row r="151" spans="1:19" x14ac:dyDescent="0.25">
      <c r="A151" s="96" t="str">
        <f>'Data Vlaue (Cr)'!C142</f>
        <v>NTPC</v>
      </c>
      <c r="B151" s="75">
        <f>VLOOKUP($A151,'Data Vlaue (Cr)'!$C:$FB,2)</f>
        <v>1500</v>
      </c>
      <c r="C151" s="75">
        <f>VLOOKUP($A151,'Data Vlaue (Cr)'!$C:$FB,8)</f>
        <v>378.05</v>
      </c>
      <c r="D151" s="75">
        <f>VLOOKUP($A151,'Data Vlaue (Cr)'!$C:$FB,4)</f>
        <v>378.65</v>
      </c>
      <c r="E151" s="75">
        <f>VLOOKUP($A151,'Data Vlaue (Cr)'!$C:$FB,5)</f>
        <v>366.95</v>
      </c>
      <c r="F151" s="75">
        <f t="shared" si="12"/>
        <v>0.59999999999996589</v>
      </c>
      <c r="G151" s="75">
        <f t="shared" si="13"/>
        <v>3.0899247326026646</v>
      </c>
      <c r="H151" s="75">
        <f>VLOOKUP($A151,'Data Vlaue (Cr)'!$C:$FB,99)</f>
        <v>6829</v>
      </c>
      <c r="I151" s="75">
        <f>VLOOKUP($A151,'Data Vlaue (Cr)'!$C:$FB,100)</f>
        <v>6525</v>
      </c>
      <c r="J151" s="75">
        <f t="shared" si="14"/>
        <v>304</v>
      </c>
      <c r="K151" s="75">
        <f t="shared" si="15"/>
        <v>4.4516034558500515</v>
      </c>
      <c r="L151" s="75">
        <f>VLOOKUP($A151,'Data Vlaue (Cr)'!$C:$FB,67)</f>
        <v>4685</v>
      </c>
      <c r="M151" s="75">
        <f>VLOOKUP($A151,'Data Vlaue (Cr)'!$C:$FB,68)</f>
        <v>3820</v>
      </c>
      <c r="N151" s="75">
        <f t="shared" si="16"/>
        <v>865</v>
      </c>
      <c r="O151" s="75">
        <f t="shared" si="17"/>
        <v>18.463180362860193</v>
      </c>
      <c r="P151" s="75">
        <f>VLOOKUP($A151,'Data Vlaue (Cr)'!$C:$FB,119)</f>
        <v>0.39</v>
      </c>
      <c r="Q151" s="75">
        <f>VLOOKUP($A151,'Data Vlaue (Cr)'!$C:$FB,122)*100</f>
        <v>8.33</v>
      </c>
      <c r="R151" s="75">
        <f>VLOOKUP($A151,'Data Vlaue (Cr)'!$C:$FB,125)</f>
        <v>0.46</v>
      </c>
      <c r="S151" s="75">
        <f>VLOOKUP($A151,'Data Vlaue (Cr)'!$C:$FB,128)*100</f>
        <v>15</v>
      </c>
    </row>
    <row r="152" spans="1:19" x14ac:dyDescent="0.25">
      <c r="A152" s="96" t="str">
        <f>'Data Vlaue (Cr)'!C143</f>
        <v>NUVAMA</v>
      </c>
      <c r="B152" s="75">
        <f>VLOOKUP($A152,'Data Vlaue (Cr)'!$C:$FB,2)</f>
        <v>500</v>
      </c>
      <c r="C152" s="75">
        <f>VLOOKUP($A152,'Data Vlaue (Cr)'!$C:$FB,8)</f>
        <v>1238.0999999999999</v>
      </c>
      <c r="D152" s="75">
        <f>VLOOKUP($A152,'Data Vlaue (Cr)'!$C:$FB,4)</f>
        <v>1231.8</v>
      </c>
      <c r="E152" s="75">
        <f>VLOOKUP($A152,'Data Vlaue (Cr)'!$C:$FB,5)</f>
        <v>1192.5999999999999</v>
      </c>
      <c r="F152" s="75">
        <f t="shared" si="12"/>
        <v>-6.2999999999999545</v>
      </c>
      <c r="G152" s="75">
        <f t="shared" si="13"/>
        <v>3.1823347946095182</v>
      </c>
      <c r="H152" s="75">
        <f>VLOOKUP($A152,'Data Vlaue (Cr)'!$C:$FB,99)</f>
        <v>412</v>
      </c>
      <c r="I152" s="75">
        <f>VLOOKUP($A152,'Data Vlaue (Cr)'!$C:$FB,100)</f>
        <v>400</v>
      </c>
      <c r="J152" s="75">
        <f t="shared" si="14"/>
        <v>12</v>
      </c>
      <c r="K152" s="75">
        <f t="shared" si="15"/>
        <v>2.912621359223301</v>
      </c>
      <c r="L152" s="75">
        <f>VLOOKUP($A152,'Data Vlaue (Cr)'!$C:$FB,67)</f>
        <v>243</v>
      </c>
      <c r="M152" s="75">
        <f>VLOOKUP($A152,'Data Vlaue (Cr)'!$C:$FB,68)</f>
        <v>313</v>
      </c>
      <c r="N152" s="75">
        <f t="shared" si="16"/>
        <v>-70</v>
      </c>
      <c r="O152" s="75">
        <f t="shared" si="17"/>
        <v>-28.806584362139919</v>
      </c>
      <c r="P152" s="75">
        <f>VLOOKUP($A152,'Data Vlaue (Cr)'!$C:$FB,119)</f>
        <v>0.65</v>
      </c>
      <c r="Q152" s="75">
        <f>VLOOKUP($A152,'Data Vlaue (Cr)'!$C:$FB,122)*100</f>
        <v>-1.52</v>
      </c>
      <c r="R152" s="75">
        <f>VLOOKUP($A152,'Data Vlaue (Cr)'!$C:$FB,125)</f>
        <v>0.21</v>
      </c>
      <c r="S152" s="75">
        <f>VLOOKUP($A152,'Data Vlaue (Cr)'!$C:$FB,128)*100</f>
        <v>-69.12</v>
      </c>
    </row>
    <row r="153" spans="1:19" x14ac:dyDescent="0.25">
      <c r="A153" s="96" t="str">
        <f>'Data Vlaue (Cr)'!C144</f>
        <v>NYKAA</v>
      </c>
      <c r="B153" s="75">
        <f>VLOOKUP($A153,'Data Vlaue (Cr)'!$C:$FB,2)</f>
        <v>3125</v>
      </c>
      <c r="C153" s="75">
        <f>VLOOKUP($A153,'Data Vlaue (Cr)'!$C:$FB,8)</f>
        <v>260.8</v>
      </c>
      <c r="D153" s="75">
        <f>VLOOKUP($A153,'Data Vlaue (Cr)'!$C:$FB,4)</f>
        <v>261.3</v>
      </c>
      <c r="E153" s="75">
        <f>VLOOKUP($A153,'Data Vlaue (Cr)'!$C:$FB,5)</f>
        <v>256.25</v>
      </c>
      <c r="F153" s="75">
        <f t="shared" si="12"/>
        <v>0.5</v>
      </c>
      <c r="G153" s="75">
        <f t="shared" si="13"/>
        <v>1.9326444699579071</v>
      </c>
      <c r="H153" s="75">
        <f>VLOOKUP($A153,'Data Vlaue (Cr)'!$C:$FB,99)</f>
        <v>1472</v>
      </c>
      <c r="I153" s="75">
        <f>VLOOKUP($A153,'Data Vlaue (Cr)'!$C:$FB,100)</f>
        <v>1460</v>
      </c>
      <c r="J153" s="75">
        <f t="shared" si="14"/>
        <v>12</v>
      </c>
      <c r="K153" s="75">
        <f t="shared" si="15"/>
        <v>0.81521739130434778</v>
      </c>
      <c r="L153" s="75">
        <f>VLOOKUP($A153,'Data Vlaue (Cr)'!$C:$FB,67)</f>
        <v>266</v>
      </c>
      <c r="M153" s="75">
        <f>VLOOKUP($A153,'Data Vlaue (Cr)'!$C:$FB,68)</f>
        <v>427</v>
      </c>
      <c r="N153" s="75">
        <f t="shared" si="16"/>
        <v>-161</v>
      </c>
      <c r="O153" s="75">
        <f t="shared" si="17"/>
        <v>-60.526315789473685</v>
      </c>
      <c r="P153" s="75">
        <f>VLOOKUP($A153,'Data Vlaue (Cr)'!$C:$FB,119)</f>
        <v>0.56999999999999995</v>
      </c>
      <c r="Q153" s="75">
        <f>VLOOKUP($A153,'Data Vlaue (Cr)'!$C:$FB,122)*100</f>
        <v>-6.5600000000000005</v>
      </c>
      <c r="R153" s="75">
        <f>VLOOKUP($A153,'Data Vlaue (Cr)'!$C:$FB,125)</f>
        <v>0.34</v>
      </c>
      <c r="S153" s="75">
        <f>VLOOKUP($A153,'Data Vlaue (Cr)'!$C:$FB,128)*100</f>
        <v>-46.03</v>
      </c>
    </row>
    <row r="154" spans="1:19" x14ac:dyDescent="0.25">
      <c r="A154" s="96" t="str">
        <f>'Data Vlaue (Cr)'!C145</f>
        <v>OBEROIRLTY</v>
      </c>
      <c r="B154" s="75">
        <f>VLOOKUP($A154,'Data Vlaue (Cr)'!$C:$FB,2)</f>
        <v>350</v>
      </c>
      <c r="C154" s="75">
        <f>VLOOKUP($A154,'Data Vlaue (Cr)'!$C:$FB,8)</f>
        <v>1482.1</v>
      </c>
      <c r="D154" s="75">
        <f>VLOOKUP($A154,'Data Vlaue (Cr)'!$C:$FB,4)</f>
        <v>1475.1</v>
      </c>
      <c r="E154" s="75">
        <f>VLOOKUP($A154,'Data Vlaue (Cr)'!$C:$FB,5)</f>
        <v>1436.9</v>
      </c>
      <c r="F154" s="75">
        <f t="shared" si="12"/>
        <v>-7</v>
      </c>
      <c r="G154" s="75">
        <f t="shared" si="13"/>
        <v>2.5896549386482151</v>
      </c>
      <c r="H154" s="75">
        <f>VLOOKUP($A154,'Data Vlaue (Cr)'!$C:$FB,99)</f>
        <v>1254</v>
      </c>
      <c r="I154" s="75">
        <f>VLOOKUP($A154,'Data Vlaue (Cr)'!$C:$FB,100)</f>
        <v>1232</v>
      </c>
      <c r="J154" s="75">
        <f t="shared" si="14"/>
        <v>22</v>
      </c>
      <c r="K154" s="75">
        <f t="shared" si="15"/>
        <v>1.7543859649122806</v>
      </c>
      <c r="L154" s="75">
        <f>VLOOKUP($A154,'Data Vlaue (Cr)'!$C:$FB,67)</f>
        <v>414</v>
      </c>
      <c r="M154" s="75">
        <f>VLOOKUP($A154,'Data Vlaue (Cr)'!$C:$FB,68)</f>
        <v>795</v>
      </c>
      <c r="N154" s="75">
        <f t="shared" si="16"/>
        <v>-381</v>
      </c>
      <c r="O154" s="75">
        <f t="shared" si="17"/>
        <v>-92.028985507246375</v>
      </c>
      <c r="P154" s="75">
        <f>VLOOKUP($A154,'Data Vlaue (Cr)'!$C:$FB,119)</f>
        <v>1.06</v>
      </c>
      <c r="Q154" s="75">
        <f>VLOOKUP($A154,'Data Vlaue (Cr)'!$C:$FB,122)*100</f>
        <v>0</v>
      </c>
      <c r="R154" s="75">
        <f>VLOOKUP($A154,'Data Vlaue (Cr)'!$C:$FB,125)</f>
        <v>0.66</v>
      </c>
      <c r="S154" s="75">
        <f>VLOOKUP($A154,'Data Vlaue (Cr)'!$C:$FB,128)*100</f>
        <v>-57.14</v>
      </c>
    </row>
    <row r="155" spans="1:19" x14ac:dyDescent="0.25">
      <c r="A155" s="96" t="str">
        <f>'Data Vlaue (Cr)'!C146</f>
        <v>OFSS</v>
      </c>
      <c r="B155" s="75">
        <f>VLOOKUP($A155,'Data Vlaue (Cr)'!$C:$FB,2)</f>
        <v>75</v>
      </c>
      <c r="C155" s="75">
        <f>VLOOKUP($A155,'Data Vlaue (Cr)'!$C:$FB,8)</f>
        <v>6789.5</v>
      </c>
      <c r="D155" s="75">
        <f>VLOOKUP($A155,'Data Vlaue (Cr)'!$C:$FB,4)</f>
        <v>6789</v>
      </c>
      <c r="E155" s="75">
        <f>VLOOKUP($A155,'Data Vlaue (Cr)'!$C:$FB,5)</f>
        <v>6825.5</v>
      </c>
      <c r="F155" s="75">
        <f t="shared" si="12"/>
        <v>-0.5</v>
      </c>
      <c r="G155" s="75">
        <f t="shared" si="13"/>
        <v>-0.53763440860215062</v>
      </c>
      <c r="H155" s="75">
        <f>VLOOKUP($A155,'Data Vlaue (Cr)'!$C:$FB,99)</f>
        <v>1498</v>
      </c>
      <c r="I155" s="75">
        <f>VLOOKUP($A155,'Data Vlaue (Cr)'!$C:$FB,100)</f>
        <v>1476</v>
      </c>
      <c r="J155" s="75">
        <f t="shared" si="14"/>
        <v>22</v>
      </c>
      <c r="K155" s="75">
        <f t="shared" si="15"/>
        <v>1.4686248331108143</v>
      </c>
      <c r="L155" s="75">
        <f>VLOOKUP($A155,'Data Vlaue (Cr)'!$C:$FB,67)</f>
        <v>1309</v>
      </c>
      <c r="M155" s="75">
        <f>VLOOKUP($A155,'Data Vlaue (Cr)'!$C:$FB,68)</f>
        <v>755</v>
      </c>
      <c r="N155" s="75">
        <f t="shared" si="16"/>
        <v>554</v>
      </c>
      <c r="O155" s="75">
        <f t="shared" si="17"/>
        <v>42.322383498854087</v>
      </c>
      <c r="P155" s="75">
        <f>VLOOKUP($A155,'Data Vlaue (Cr)'!$C:$FB,119)</f>
        <v>0.71</v>
      </c>
      <c r="Q155" s="75">
        <f>VLOOKUP($A155,'Data Vlaue (Cr)'!$C:$FB,122)*100</f>
        <v>-7.79</v>
      </c>
      <c r="R155" s="75">
        <f>VLOOKUP($A155,'Data Vlaue (Cr)'!$C:$FB,125)</f>
        <v>0.56000000000000005</v>
      </c>
      <c r="S155" s="75">
        <f>VLOOKUP($A155,'Data Vlaue (Cr)'!$C:$FB,128)*100</f>
        <v>-44.55</v>
      </c>
    </row>
    <row r="156" spans="1:19" x14ac:dyDescent="0.25">
      <c r="A156" s="96" t="str">
        <f>'Data Vlaue (Cr)'!C147</f>
        <v>OIL</v>
      </c>
      <c r="B156" s="75">
        <f>VLOOKUP($A156,'Data Vlaue (Cr)'!$C:$FB,2)</f>
        <v>1400</v>
      </c>
      <c r="C156" s="75">
        <f>VLOOKUP($A156,'Data Vlaue (Cr)'!$C:$FB,8)</f>
        <v>479.1</v>
      </c>
      <c r="D156" s="75">
        <f>VLOOKUP($A156,'Data Vlaue (Cr)'!$C:$FB,4)</f>
        <v>481.25</v>
      </c>
      <c r="E156" s="75">
        <f>VLOOKUP($A156,'Data Vlaue (Cr)'!$C:$FB,5)</f>
        <v>490.2</v>
      </c>
      <c r="F156" s="75">
        <f t="shared" si="12"/>
        <v>2.1499999999999773</v>
      </c>
      <c r="G156" s="75">
        <f t="shared" si="13"/>
        <v>-1.8597402597402575</v>
      </c>
      <c r="H156" s="75">
        <f>VLOOKUP($A156,'Data Vlaue (Cr)'!$C:$FB,99)</f>
        <v>2009</v>
      </c>
      <c r="I156" s="75">
        <f>VLOOKUP($A156,'Data Vlaue (Cr)'!$C:$FB,100)</f>
        <v>2085</v>
      </c>
      <c r="J156" s="75">
        <f t="shared" si="14"/>
        <v>-76</v>
      </c>
      <c r="K156" s="75">
        <f t="shared" si="15"/>
        <v>-3.7829766052762568</v>
      </c>
      <c r="L156" s="75">
        <f>VLOOKUP($A156,'Data Vlaue (Cr)'!$C:$FB,67)</f>
        <v>2301</v>
      </c>
      <c r="M156" s="75">
        <f>VLOOKUP($A156,'Data Vlaue (Cr)'!$C:$FB,68)</f>
        <v>5199</v>
      </c>
      <c r="N156" s="75">
        <f t="shared" si="16"/>
        <v>-2898</v>
      </c>
      <c r="O156" s="75">
        <f t="shared" si="17"/>
        <v>-125.9452411994785</v>
      </c>
      <c r="P156" s="75">
        <f>VLOOKUP($A156,'Data Vlaue (Cr)'!$C:$FB,119)</f>
        <v>0.53</v>
      </c>
      <c r="Q156" s="75">
        <f>VLOOKUP($A156,'Data Vlaue (Cr)'!$C:$FB,122)*100</f>
        <v>-1.8499999999999999</v>
      </c>
      <c r="R156" s="75">
        <f>VLOOKUP($A156,'Data Vlaue (Cr)'!$C:$FB,125)</f>
        <v>0.31</v>
      </c>
      <c r="S156" s="75">
        <f>VLOOKUP($A156,'Data Vlaue (Cr)'!$C:$FB,128)*100</f>
        <v>34.78</v>
      </c>
    </row>
    <row r="157" spans="1:19" x14ac:dyDescent="0.25">
      <c r="A157" s="96" t="str">
        <f>'Data Vlaue (Cr)'!C148</f>
        <v>ONGC</v>
      </c>
      <c r="B157" s="75">
        <f>VLOOKUP($A157,'Data Vlaue (Cr)'!$C:$FB,2)</f>
        <v>2250</v>
      </c>
      <c r="C157" s="75">
        <f>VLOOKUP($A157,'Data Vlaue (Cr)'!$C:$FB,8)</f>
        <v>276.35000000000002</v>
      </c>
      <c r="D157" s="75">
        <f>VLOOKUP($A157,'Data Vlaue (Cr)'!$C:$FB,4)</f>
        <v>277.3</v>
      </c>
      <c r="E157" s="75">
        <f>VLOOKUP($A157,'Data Vlaue (Cr)'!$C:$FB,5)</f>
        <v>277.5</v>
      </c>
      <c r="F157" s="75">
        <f t="shared" si="12"/>
        <v>0.94999999999998863</v>
      </c>
      <c r="G157" s="75">
        <f t="shared" si="13"/>
        <v>-7.2124053371795394E-2</v>
      </c>
      <c r="H157" s="75">
        <f>VLOOKUP($A157,'Data Vlaue (Cr)'!$C:$FB,99)</f>
        <v>6040</v>
      </c>
      <c r="I157" s="75">
        <f>VLOOKUP($A157,'Data Vlaue (Cr)'!$C:$FB,100)</f>
        <v>6272</v>
      </c>
      <c r="J157" s="75">
        <f t="shared" si="14"/>
        <v>-232</v>
      </c>
      <c r="K157" s="75">
        <f t="shared" si="15"/>
        <v>-3.8410596026490067</v>
      </c>
      <c r="L157" s="75">
        <f>VLOOKUP($A157,'Data Vlaue (Cr)'!$C:$FB,67)</f>
        <v>6122</v>
      </c>
      <c r="M157" s="75">
        <f>VLOOKUP($A157,'Data Vlaue (Cr)'!$C:$FB,68)</f>
        <v>6870</v>
      </c>
      <c r="N157" s="75">
        <f t="shared" si="16"/>
        <v>-748</v>
      </c>
      <c r="O157" s="75">
        <f t="shared" si="17"/>
        <v>-12.218229336818034</v>
      </c>
      <c r="P157" s="75">
        <f>VLOOKUP($A157,'Data Vlaue (Cr)'!$C:$FB,119)</f>
        <v>0.51</v>
      </c>
      <c r="Q157" s="75">
        <f>VLOOKUP($A157,'Data Vlaue (Cr)'!$C:$FB,122)*100</f>
        <v>8.51</v>
      </c>
      <c r="R157" s="75">
        <f>VLOOKUP($A157,'Data Vlaue (Cr)'!$C:$FB,125)</f>
        <v>0.44</v>
      </c>
      <c r="S157" s="75">
        <f>VLOOKUP($A157,'Data Vlaue (Cr)'!$C:$FB,128)*100</f>
        <v>4.7600000000000007</v>
      </c>
    </row>
    <row r="158" spans="1:19" x14ac:dyDescent="0.25">
      <c r="A158" s="96" t="str">
        <f>'Data Vlaue (Cr)'!C149</f>
        <v>PAGEIND</v>
      </c>
      <c r="B158" s="75">
        <f>VLOOKUP($A158,'Data Vlaue (Cr)'!$C:$FB,2)</f>
        <v>15</v>
      </c>
      <c r="C158" s="75">
        <f>VLOOKUP($A158,'Data Vlaue (Cr)'!$C:$FB,8)</f>
        <v>31525</v>
      </c>
      <c r="D158" s="75">
        <f>VLOOKUP($A158,'Data Vlaue (Cr)'!$C:$FB,4)</f>
        <v>31680</v>
      </c>
      <c r="E158" s="75">
        <f>VLOOKUP($A158,'Data Vlaue (Cr)'!$C:$FB,5)</f>
        <v>31130</v>
      </c>
      <c r="F158" s="75">
        <f t="shared" si="12"/>
        <v>155</v>
      </c>
      <c r="G158" s="75">
        <f t="shared" si="13"/>
        <v>1.7361111111111112</v>
      </c>
      <c r="H158" s="75">
        <f>VLOOKUP($A158,'Data Vlaue (Cr)'!$C:$FB,99)</f>
        <v>1137</v>
      </c>
      <c r="I158" s="75">
        <f>VLOOKUP($A158,'Data Vlaue (Cr)'!$C:$FB,100)</f>
        <v>1181</v>
      </c>
      <c r="J158" s="75">
        <f t="shared" si="14"/>
        <v>-44</v>
      </c>
      <c r="K158" s="75">
        <f t="shared" si="15"/>
        <v>-3.8698328935795954</v>
      </c>
      <c r="L158" s="75">
        <f>VLOOKUP($A158,'Data Vlaue (Cr)'!$C:$FB,67)</f>
        <v>459</v>
      </c>
      <c r="M158" s="75">
        <f>VLOOKUP($A158,'Data Vlaue (Cr)'!$C:$FB,68)</f>
        <v>649</v>
      </c>
      <c r="N158" s="75">
        <f t="shared" si="16"/>
        <v>-190</v>
      </c>
      <c r="O158" s="75">
        <f t="shared" si="17"/>
        <v>-41.394335511982575</v>
      </c>
      <c r="P158" s="75">
        <f>VLOOKUP($A158,'Data Vlaue (Cr)'!$C:$FB,119)</f>
        <v>0.56999999999999995</v>
      </c>
      <c r="Q158" s="75">
        <f>VLOOKUP($A158,'Data Vlaue (Cr)'!$C:$FB,122)*100</f>
        <v>7.55</v>
      </c>
      <c r="R158" s="75">
        <f>VLOOKUP($A158,'Data Vlaue (Cr)'!$C:$FB,125)</f>
        <v>0.38</v>
      </c>
      <c r="S158" s="75">
        <f>VLOOKUP($A158,'Data Vlaue (Cr)'!$C:$FB,128)*100</f>
        <v>123.53</v>
      </c>
    </row>
    <row r="159" spans="1:19" x14ac:dyDescent="0.25">
      <c r="A159" s="96" t="str">
        <f>'Data Vlaue (Cr)'!C150</f>
        <v>PATANJALI</v>
      </c>
      <c r="B159" s="75">
        <f>VLOOKUP($A159,'Data Vlaue (Cr)'!$C:$FB,2)</f>
        <v>900</v>
      </c>
      <c r="C159" s="75">
        <f>VLOOKUP($A159,'Data Vlaue (Cr)'!$C:$FB,8)</f>
        <v>499.8</v>
      </c>
      <c r="D159" s="75">
        <f>VLOOKUP($A159,'Data Vlaue (Cr)'!$C:$FB,4)</f>
        <v>501.4</v>
      </c>
      <c r="E159" s="75">
        <f>VLOOKUP($A159,'Data Vlaue (Cr)'!$C:$FB,5)</f>
        <v>503.3</v>
      </c>
      <c r="F159" s="75">
        <f t="shared" si="12"/>
        <v>1.5999999999999659</v>
      </c>
      <c r="G159" s="75">
        <f t="shared" si="13"/>
        <v>-0.37893897088153855</v>
      </c>
      <c r="H159" s="75">
        <f>VLOOKUP($A159,'Data Vlaue (Cr)'!$C:$FB,99)</f>
        <v>2137</v>
      </c>
      <c r="I159" s="75">
        <f>VLOOKUP($A159,'Data Vlaue (Cr)'!$C:$FB,100)</f>
        <v>2130</v>
      </c>
      <c r="J159" s="75">
        <f t="shared" si="14"/>
        <v>7</v>
      </c>
      <c r="K159" s="75">
        <f t="shared" si="15"/>
        <v>0.32756200280767434</v>
      </c>
      <c r="L159" s="75">
        <f>VLOOKUP($A159,'Data Vlaue (Cr)'!$C:$FB,67)</f>
        <v>224</v>
      </c>
      <c r="M159" s="75">
        <f>VLOOKUP($A159,'Data Vlaue (Cr)'!$C:$FB,68)</f>
        <v>394</v>
      </c>
      <c r="N159" s="75">
        <f t="shared" si="16"/>
        <v>-170</v>
      </c>
      <c r="O159" s="75">
        <f t="shared" si="17"/>
        <v>-75.892857142857139</v>
      </c>
      <c r="P159" s="75">
        <f>VLOOKUP($A159,'Data Vlaue (Cr)'!$C:$FB,119)</f>
        <v>0.63</v>
      </c>
      <c r="Q159" s="75">
        <f>VLOOKUP($A159,'Data Vlaue (Cr)'!$C:$FB,122)*100</f>
        <v>-12.5</v>
      </c>
      <c r="R159" s="75">
        <f>VLOOKUP($A159,'Data Vlaue (Cr)'!$C:$FB,125)</f>
        <v>0.34</v>
      </c>
      <c r="S159" s="75">
        <f>VLOOKUP($A159,'Data Vlaue (Cr)'!$C:$FB,128)*100</f>
        <v>-53.42</v>
      </c>
    </row>
    <row r="160" spans="1:19" x14ac:dyDescent="0.25">
      <c r="A160" s="96" t="str">
        <f>'Data Vlaue (Cr)'!C151</f>
        <v>PAYTM</v>
      </c>
      <c r="B160" s="75">
        <f>VLOOKUP($A160,'Data Vlaue (Cr)'!$C:$FB,2)</f>
        <v>725</v>
      </c>
      <c r="C160" s="75">
        <f>VLOOKUP($A160,'Data Vlaue (Cr)'!$C:$FB,8)</f>
        <v>1052.9000000000001</v>
      </c>
      <c r="D160" s="75">
        <f>VLOOKUP($A160,'Data Vlaue (Cr)'!$C:$FB,4)</f>
        <v>1057.4000000000001</v>
      </c>
      <c r="E160" s="75">
        <f>VLOOKUP($A160,'Data Vlaue (Cr)'!$C:$FB,5)</f>
        <v>1048</v>
      </c>
      <c r="F160" s="75">
        <f t="shared" si="12"/>
        <v>4.5</v>
      </c>
      <c r="G160" s="75">
        <f t="shared" si="13"/>
        <v>0.88897295252506991</v>
      </c>
      <c r="H160" s="75">
        <f>VLOOKUP($A160,'Data Vlaue (Cr)'!$C:$FB,99)</f>
        <v>3707</v>
      </c>
      <c r="I160" s="75">
        <f>VLOOKUP($A160,'Data Vlaue (Cr)'!$C:$FB,100)</f>
        <v>3623</v>
      </c>
      <c r="J160" s="75">
        <f t="shared" si="14"/>
        <v>84</v>
      </c>
      <c r="K160" s="75">
        <f t="shared" si="15"/>
        <v>2.2659832748853517</v>
      </c>
      <c r="L160" s="75">
        <f>VLOOKUP($A160,'Data Vlaue (Cr)'!$C:$FB,67)</f>
        <v>1919</v>
      </c>
      <c r="M160" s="75">
        <f>VLOOKUP($A160,'Data Vlaue (Cr)'!$C:$FB,68)</f>
        <v>2338</v>
      </c>
      <c r="N160" s="75">
        <f t="shared" si="16"/>
        <v>-419</v>
      </c>
      <c r="O160" s="75">
        <f t="shared" si="17"/>
        <v>-21.834288692027098</v>
      </c>
      <c r="P160" s="75">
        <f>VLOOKUP($A160,'Data Vlaue (Cr)'!$C:$FB,119)</f>
        <v>0.69</v>
      </c>
      <c r="Q160" s="75">
        <f>VLOOKUP($A160,'Data Vlaue (Cr)'!$C:$FB,122)*100</f>
        <v>0</v>
      </c>
      <c r="R160" s="75">
        <f>VLOOKUP($A160,'Data Vlaue (Cr)'!$C:$FB,125)</f>
        <v>0.46</v>
      </c>
      <c r="S160" s="75">
        <f>VLOOKUP($A160,'Data Vlaue (Cr)'!$C:$FB,128)*100</f>
        <v>-36.11</v>
      </c>
    </row>
    <row r="161" spans="1:19" x14ac:dyDescent="0.25">
      <c r="A161" s="96" t="str">
        <f>'Data Vlaue (Cr)'!C152</f>
        <v>PERSISTENT</v>
      </c>
      <c r="B161" s="75">
        <f>VLOOKUP($A161,'Data Vlaue (Cr)'!$C:$FB,2)</f>
        <v>100</v>
      </c>
      <c r="C161" s="75">
        <f>VLOOKUP($A161,'Data Vlaue (Cr)'!$C:$FB,8)</f>
        <v>4641.7</v>
      </c>
      <c r="D161" s="75">
        <f>VLOOKUP($A161,'Data Vlaue (Cr)'!$C:$FB,4)</f>
        <v>4650.2</v>
      </c>
      <c r="E161" s="75">
        <f>VLOOKUP($A161,'Data Vlaue (Cr)'!$C:$FB,5)</f>
        <v>4716.2</v>
      </c>
      <c r="F161" s="75">
        <f t="shared" si="12"/>
        <v>8.5</v>
      </c>
      <c r="G161" s="75">
        <f t="shared" si="13"/>
        <v>-1.4192937938153198</v>
      </c>
      <c r="H161" s="75">
        <f>VLOOKUP($A161,'Data Vlaue (Cr)'!$C:$FB,99)</f>
        <v>3322</v>
      </c>
      <c r="I161" s="75">
        <f>VLOOKUP($A161,'Data Vlaue (Cr)'!$C:$FB,100)</f>
        <v>3275</v>
      </c>
      <c r="J161" s="75">
        <f t="shared" si="14"/>
        <v>47</v>
      </c>
      <c r="K161" s="75">
        <f t="shared" si="15"/>
        <v>1.4148103552077063</v>
      </c>
      <c r="L161" s="75">
        <f>VLOOKUP($A161,'Data Vlaue (Cr)'!$C:$FB,67)</f>
        <v>2428</v>
      </c>
      <c r="M161" s="75">
        <f>VLOOKUP($A161,'Data Vlaue (Cr)'!$C:$FB,68)</f>
        <v>2360</v>
      </c>
      <c r="N161" s="75">
        <f t="shared" si="16"/>
        <v>68</v>
      </c>
      <c r="O161" s="75">
        <f t="shared" si="17"/>
        <v>2.8006589785831961</v>
      </c>
      <c r="P161" s="75">
        <f>VLOOKUP($A161,'Data Vlaue (Cr)'!$C:$FB,119)</f>
        <v>0.71</v>
      </c>
      <c r="Q161" s="75">
        <f>VLOOKUP($A161,'Data Vlaue (Cr)'!$C:$FB,122)*100</f>
        <v>-1.39</v>
      </c>
      <c r="R161" s="75">
        <f>VLOOKUP($A161,'Data Vlaue (Cr)'!$C:$FB,125)</f>
        <v>0.82</v>
      </c>
      <c r="S161" s="75">
        <f>VLOOKUP($A161,'Data Vlaue (Cr)'!$C:$FB,128)*100</f>
        <v>34.43</v>
      </c>
    </row>
    <row r="162" spans="1:19" x14ac:dyDescent="0.25">
      <c r="A162" s="96" t="str">
        <f>'Data Vlaue (Cr)'!C153</f>
        <v>PETRONET</v>
      </c>
      <c r="B162" s="75">
        <f>VLOOKUP($A162,'Data Vlaue (Cr)'!$C:$FB,2)</f>
        <v>1900</v>
      </c>
      <c r="C162" s="75">
        <f>VLOOKUP($A162,'Data Vlaue (Cr)'!$C:$FB,8)</f>
        <v>293.05</v>
      </c>
      <c r="D162" s="75">
        <f>VLOOKUP($A162,'Data Vlaue (Cr)'!$C:$FB,4)</f>
        <v>292.45</v>
      </c>
      <c r="E162" s="75">
        <f>VLOOKUP($A162,'Data Vlaue (Cr)'!$C:$FB,5)</f>
        <v>280.14999999999998</v>
      </c>
      <c r="F162" s="75">
        <f t="shared" si="12"/>
        <v>-0.60000000000002274</v>
      </c>
      <c r="G162" s="75">
        <f t="shared" si="13"/>
        <v>4.2058471533595529</v>
      </c>
      <c r="H162" s="75">
        <f>VLOOKUP($A162,'Data Vlaue (Cr)'!$C:$FB,99)</f>
        <v>2064</v>
      </c>
      <c r="I162" s="75">
        <f>VLOOKUP($A162,'Data Vlaue (Cr)'!$C:$FB,100)</f>
        <v>2086</v>
      </c>
      <c r="J162" s="75">
        <f t="shared" si="14"/>
        <v>-22</v>
      </c>
      <c r="K162" s="75">
        <f t="shared" si="15"/>
        <v>-1.0658914728682169</v>
      </c>
      <c r="L162" s="75">
        <f>VLOOKUP($A162,'Data Vlaue (Cr)'!$C:$FB,67)</f>
        <v>3058</v>
      </c>
      <c r="M162" s="75">
        <f>VLOOKUP($A162,'Data Vlaue (Cr)'!$C:$FB,68)</f>
        <v>5215</v>
      </c>
      <c r="N162" s="75">
        <f t="shared" si="16"/>
        <v>-2157</v>
      </c>
      <c r="O162" s="75">
        <f t="shared" si="17"/>
        <v>-70.536298234139963</v>
      </c>
      <c r="P162" s="75">
        <f>VLOOKUP($A162,'Data Vlaue (Cr)'!$C:$FB,119)</f>
        <v>1.07</v>
      </c>
      <c r="Q162" s="75">
        <f>VLOOKUP($A162,'Data Vlaue (Cr)'!$C:$FB,122)*100</f>
        <v>-6.1400000000000006</v>
      </c>
      <c r="R162" s="75">
        <f>VLOOKUP($A162,'Data Vlaue (Cr)'!$C:$FB,125)</f>
        <v>0.91</v>
      </c>
      <c r="S162" s="75">
        <f>VLOOKUP($A162,'Data Vlaue (Cr)'!$C:$FB,128)*100</f>
        <v>-45.18</v>
      </c>
    </row>
    <row r="163" spans="1:19" x14ac:dyDescent="0.25">
      <c r="A163" s="96" t="str">
        <f>'Data Vlaue (Cr)'!C154</f>
        <v>PFC</v>
      </c>
      <c r="B163" s="75">
        <f>VLOOKUP($A163,'Data Vlaue (Cr)'!$C:$FB,2)</f>
        <v>1300</v>
      </c>
      <c r="C163" s="75">
        <f>VLOOKUP($A163,'Data Vlaue (Cr)'!$C:$FB,8)</f>
        <v>413.65</v>
      </c>
      <c r="D163" s="75">
        <f>VLOOKUP($A163,'Data Vlaue (Cr)'!$C:$FB,4)</f>
        <v>414.3</v>
      </c>
      <c r="E163" s="75">
        <f>VLOOKUP($A163,'Data Vlaue (Cr)'!$C:$FB,5)</f>
        <v>395.05</v>
      </c>
      <c r="F163" s="75">
        <f t="shared" si="12"/>
        <v>0.65000000000003411</v>
      </c>
      <c r="G163" s="75">
        <f t="shared" si="13"/>
        <v>4.6463915037412509</v>
      </c>
      <c r="H163" s="75">
        <f>VLOOKUP($A163,'Data Vlaue (Cr)'!$C:$FB,99)</f>
        <v>4550</v>
      </c>
      <c r="I163" s="75">
        <f>VLOOKUP($A163,'Data Vlaue (Cr)'!$C:$FB,100)</f>
        <v>4497</v>
      </c>
      <c r="J163" s="75">
        <f t="shared" si="14"/>
        <v>53</v>
      </c>
      <c r="K163" s="75">
        <f t="shared" si="15"/>
        <v>1.1648351648351647</v>
      </c>
      <c r="L163" s="75">
        <f>VLOOKUP($A163,'Data Vlaue (Cr)'!$C:$FB,67)</f>
        <v>3018</v>
      </c>
      <c r="M163" s="75">
        <f>VLOOKUP($A163,'Data Vlaue (Cr)'!$C:$FB,68)</f>
        <v>1898</v>
      </c>
      <c r="N163" s="75">
        <f t="shared" si="16"/>
        <v>1120</v>
      </c>
      <c r="O163" s="75">
        <f t="shared" si="17"/>
        <v>37.110669317428766</v>
      </c>
      <c r="P163" s="75">
        <f>VLOOKUP($A163,'Data Vlaue (Cr)'!$C:$FB,119)</f>
        <v>0.51</v>
      </c>
      <c r="Q163" s="75">
        <f>VLOOKUP($A163,'Data Vlaue (Cr)'!$C:$FB,122)*100</f>
        <v>6.25</v>
      </c>
      <c r="R163" s="75">
        <f>VLOOKUP($A163,'Data Vlaue (Cr)'!$C:$FB,125)</f>
        <v>0.51</v>
      </c>
      <c r="S163" s="75">
        <f>VLOOKUP($A163,'Data Vlaue (Cr)'!$C:$FB,128)*100</f>
        <v>-16.39</v>
      </c>
    </row>
    <row r="164" spans="1:19" x14ac:dyDescent="0.25">
      <c r="A164" s="96" t="str">
        <f>'Data Vlaue (Cr)'!C155</f>
        <v>PGEL</v>
      </c>
      <c r="B164" s="75">
        <f>VLOOKUP($A164,'Data Vlaue (Cr)'!$C:$FB,2)</f>
        <v>950</v>
      </c>
      <c r="C164" s="75">
        <f>VLOOKUP($A164,'Data Vlaue (Cr)'!$C:$FB,8)</f>
        <v>614.45000000000005</v>
      </c>
      <c r="D164" s="75">
        <f>VLOOKUP($A164,'Data Vlaue (Cr)'!$C:$FB,4)</f>
        <v>616.95000000000005</v>
      </c>
      <c r="E164" s="75">
        <f>VLOOKUP($A164,'Data Vlaue (Cr)'!$C:$FB,5)</f>
        <v>595.85</v>
      </c>
      <c r="F164" s="75">
        <f t="shared" si="12"/>
        <v>2.5</v>
      </c>
      <c r="G164" s="75">
        <f t="shared" si="13"/>
        <v>3.4200502471837297</v>
      </c>
      <c r="H164" s="75">
        <f>VLOOKUP($A164,'Data Vlaue (Cr)'!$C:$FB,99)</f>
        <v>1182</v>
      </c>
      <c r="I164" s="75">
        <f>VLOOKUP($A164,'Data Vlaue (Cr)'!$C:$FB,100)</f>
        <v>1084</v>
      </c>
      <c r="J164" s="75">
        <f t="shared" si="14"/>
        <v>98</v>
      </c>
      <c r="K164" s="75">
        <f t="shared" si="15"/>
        <v>8.2910321489001699</v>
      </c>
      <c r="L164" s="75">
        <f>VLOOKUP($A164,'Data Vlaue (Cr)'!$C:$FB,67)</f>
        <v>1070</v>
      </c>
      <c r="M164" s="75">
        <f>VLOOKUP($A164,'Data Vlaue (Cr)'!$C:$FB,68)</f>
        <v>991</v>
      </c>
      <c r="N164" s="75">
        <f t="shared" si="16"/>
        <v>79</v>
      </c>
      <c r="O164" s="75">
        <f t="shared" si="17"/>
        <v>7.3831775700934577</v>
      </c>
      <c r="P164" s="75">
        <f>VLOOKUP($A164,'Data Vlaue (Cr)'!$C:$FB,119)</f>
        <v>0.83</v>
      </c>
      <c r="Q164" s="75">
        <f>VLOOKUP($A164,'Data Vlaue (Cr)'!$C:$FB,122)*100</f>
        <v>-6.74</v>
      </c>
      <c r="R164" s="75">
        <f>VLOOKUP($A164,'Data Vlaue (Cr)'!$C:$FB,125)</f>
        <v>0.45</v>
      </c>
      <c r="S164" s="75">
        <f>VLOOKUP($A164,'Data Vlaue (Cr)'!$C:$FB,128)*100</f>
        <v>-54.08</v>
      </c>
    </row>
    <row r="165" spans="1:19" x14ac:dyDescent="0.25">
      <c r="A165" s="96" t="str">
        <f>'Data Vlaue (Cr)'!C156</f>
        <v>PHOENIXLTD</v>
      </c>
      <c r="B165" s="75">
        <f>VLOOKUP($A165,'Data Vlaue (Cr)'!$C:$FB,2)</f>
        <v>350</v>
      </c>
      <c r="C165" s="75">
        <f>VLOOKUP($A165,'Data Vlaue (Cr)'!$C:$FB,8)</f>
        <v>1633.6</v>
      </c>
      <c r="D165" s="75">
        <f>VLOOKUP($A165,'Data Vlaue (Cr)'!$C:$FB,4)</f>
        <v>1637.3</v>
      </c>
      <c r="E165" s="75">
        <f>VLOOKUP($A165,'Data Vlaue (Cr)'!$C:$FB,5)</f>
        <v>1617.1</v>
      </c>
      <c r="F165" s="75">
        <f t="shared" si="12"/>
        <v>3.7000000000000455</v>
      </c>
      <c r="G165" s="75">
        <f t="shared" si="13"/>
        <v>1.2337384718744302</v>
      </c>
      <c r="H165" s="75">
        <f>VLOOKUP($A165,'Data Vlaue (Cr)'!$C:$FB,99)</f>
        <v>918</v>
      </c>
      <c r="I165" s="75">
        <f>VLOOKUP($A165,'Data Vlaue (Cr)'!$C:$FB,100)</f>
        <v>870</v>
      </c>
      <c r="J165" s="75">
        <f t="shared" si="14"/>
        <v>48</v>
      </c>
      <c r="K165" s="75">
        <f t="shared" si="15"/>
        <v>5.2287581699346406</v>
      </c>
      <c r="L165" s="75">
        <f>VLOOKUP($A165,'Data Vlaue (Cr)'!$C:$FB,67)</f>
        <v>1058</v>
      </c>
      <c r="M165" s="75">
        <f>VLOOKUP($A165,'Data Vlaue (Cr)'!$C:$FB,68)</f>
        <v>252</v>
      </c>
      <c r="N165" s="75">
        <f t="shared" si="16"/>
        <v>806</v>
      </c>
      <c r="O165" s="75">
        <f t="shared" si="17"/>
        <v>76.181474480151223</v>
      </c>
      <c r="P165" s="75">
        <f>VLOOKUP($A165,'Data Vlaue (Cr)'!$C:$FB,119)</f>
        <v>0.57999999999999996</v>
      </c>
      <c r="Q165" s="75">
        <f>VLOOKUP($A165,'Data Vlaue (Cr)'!$C:$FB,122)*100</f>
        <v>-7.9399999999999995</v>
      </c>
      <c r="R165" s="75">
        <f>VLOOKUP($A165,'Data Vlaue (Cr)'!$C:$FB,125)</f>
        <v>0.56000000000000005</v>
      </c>
      <c r="S165" s="75">
        <f>VLOOKUP($A165,'Data Vlaue (Cr)'!$C:$FB,128)*100</f>
        <v>-15.15</v>
      </c>
    </row>
    <row r="166" spans="1:19" x14ac:dyDescent="0.25">
      <c r="A166" s="96" t="str">
        <f>'Data Vlaue (Cr)'!C157</f>
        <v>PIDILITIND</v>
      </c>
      <c r="B166" s="75">
        <f>VLOOKUP($A166,'Data Vlaue (Cr)'!$C:$FB,2)</f>
        <v>500</v>
      </c>
      <c r="C166" s="75">
        <f>VLOOKUP($A166,'Data Vlaue (Cr)'!$C:$FB,8)</f>
        <v>1445.9</v>
      </c>
      <c r="D166" s="75">
        <f>VLOOKUP($A166,'Data Vlaue (Cr)'!$C:$FB,4)</f>
        <v>1446.6</v>
      </c>
      <c r="E166" s="75">
        <f>VLOOKUP($A166,'Data Vlaue (Cr)'!$C:$FB,5)</f>
        <v>1440.8</v>
      </c>
      <c r="F166" s="75">
        <f t="shared" si="12"/>
        <v>0.6999999999998181</v>
      </c>
      <c r="G166" s="75">
        <f t="shared" si="13"/>
        <v>0.40094013549011165</v>
      </c>
      <c r="H166" s="75">
        <f>VLOOKUP($A166,'Data Vlaue (Cr)'!$C:$FB,99)</f>
        <v>1448</v>
      </c>
      <c r="I166" s="75">
        <f>VLOOKUP($A166,'Data Vlaue (Cr)'!$C:$FB,100)</f>
        <v>1436</v>
      </c>
      <c r="J166" s="75">
        <f t="shared" si="14"/>
        <v>12</v>
      </c>
      <c r="K166" s="75">
        <f t="shared" si="15"/>
        <v>0.82872928176795579</v>
      </c>
      <c r="L166" s="75">
        <f>VLOOKUP($A166,'Data Vlaue (Cr)'!$C:$FB,67)</f>
        <v>405</v>
      </c>
      <c r="M166" s="75">
        <f>VLOOKUP($A166,'Data Vlaue (Cr)'!$C:$FB,68)</f>
        <v>527</v>
      </c>
      <c r="N166" s="75">
        <f t="shared" si="16"/>
        <v>-122</v>
      </c>
      <c r="O166" s="75">
        <f t="shared" si="17"/>
        <v>-30.123456790123459</v>
      </c>
      <c r="P166" s="75">
        <f>VLOOKUP($A166,'Data Vlaue (Cr)'!$C:$FB,119)</f>
        <v>0.52</v>
      </c>
      <c r="Q166" s="75">
        <f>VLOOKUP($A166,'Data Vlaue (Cr)'!$C:$FB,122)*100</f>
        <v>-8.77</v>
      </c>
      <c r="R166" s="75">
        <f>VLOOKUP($A166,'Data Vlaue (Cr)'!$C:$FB,125)</f>
        <v>0.45</v>
      </c>
      <c r="S166" s="75">
        <f>VLOOKUP($A166,'Data Vlaue (Cr)'!$C:$FB,128)*100</f>
        <v>-26.229999999999997</v>
      </c>
    </row>
    <row r="167" spans="1:19" x14ac:dyDescent="0.25">
      <c r="A167" s="96" t="str">
        <f>'Data Vlaue (Cr)'!C158</f>
        <v>PIIND</v>
      </c>
      <c r="B167" s="75">
        <f>VLOOKUP($A167,'Data Vlaue (Cr)'!$C:$FB,2)</f>
        <v>175</v>
      </c>
      <c r="C167" s="75">
        <f>VLOOKUP($A167,'Data Vlaue (Cr)'!$C:$FB,8)</f>
        <v>3089</v>
      </c>
      <c r="D167" s="75">
        <f>VLOOKUP($A167,'Data Vlaue (Cr)'!$C:$FB,4)</f>
        <v>3080.4</v>
      </c>
      <c r="E167" s="75">
        <f>VLOOKUP($A167,'Data Vlaue (Cr)'!$C:$FB,5)</f>
        <v>3038.6</v>
      </c>
      <c r="F167" s="75">
        <f t="shared" si="12"/>
        <v>-8.5999999999999091</v>
      </c>
      <c r="G167" s="75">
        <f t="shared" si="13"/>
        <v>1.3569666277106929</v>
      </c>
      <c r="H167" s="75">
        <f>VLOOKUP($A167,'Data Vlaue (Cr)'!$C:$FB,99)</f>
        <v>1421</v>
      </c>
      <c r="I167" s="75">
        <f>VLOOKUP($A167,'Data Vlaue (Cr)'!$C:$FB,100)</f>
        <v>1419</v>
      </c>
      <c r="J167" s="75">
        <f t="shared" si="14"/>
        <v>2</v>
      </c>
      <c r="K167" s="75">
        <f t="shared" si="15"/>
        <v>0.14074595355383532</v>
      </c>
      <c r="L167" s="75">
        <f>VLOOKUP($A167,'Data Vlaue (Cr)'!$C:$FB,67)</f>
        <v>322</v>
      </c>
      <c r="M167" s="75">
        <f>VLOOKUP($A167,'Data Vlaue (Cr)'!$C:$FB,68)</f>
        <v>436</v>
      </c>
      <c r="N167" s="75">
        <f t="shared" si="16"/>
        <v>-114</v>
      </c>
      <c r="O167" s="75">
        <f t="shared" si="17"/>
        <v>-35.403726708074537</v>
      </c>
      <c r="P167" s="75">
        <f>VLOOKUP($A167,'Data Vlaue (Cr)'!$C:$FB,119)</f>
        <v>0.64</v>
      </c>
      <c r="Q167" s="75">
        <f>VLOOKUP($A167,'Data Vlaue (Cr)'!$C:$FB,122)*100</f>
        <v>-7.2499999999999991</v>
      </c>
      <c r="R167" s="75">
        <f>VLOOKUP($A167,'Data Vlaue (Cr)'!$C:$FB,125)</f>
        <v>0.39</v>
      </c>
      <c r="S167" s="75">
        <f>VLOOKUP($A167,'Data Vlaue (Cr)'!$C:$FB,128)*100</f>
        <v>-42.65</v>
      </c>
    </row>
    <row r="168" spans="1:19" x14ac:dyDescent="0.25">
      <c r="A168" s="96" t="str">
        <f>'Data Vlaue (Cr)'!C159</f>
        <v>PNB</v>
      </c>
      <c r="B168" s="75">
        <f>VLOOKUP($A168,'Data Vlaue (Cr)'!$C:$FB,2)</f>
        <v>8000</v>
      </c>
      <c r="C168" s="75">
        <f>VLOOKUP($A168,'Data Vlaue (Cr)'!$C:$FB,8)</f>
        <v>122.2</v>
      </c>
      <c r="D168" s="75">
        <f>VLOOKUP($A168,'Data Vlaue (Cr)'!$C:$FB,4)</f>
        <v>122.79</v>
      </c>
      <c r="E168" s="75">
        <f>VLOOKUP($A168,'Data Vlaue (Cr)'!$C:$FB,5)</f>
        <v>121.98</v>
      </c>
      <c r="F168" s="75">
        <f t="shared" si="12"/>
        <v>0.59000000000000341</v>
      </c>
      <c r="G168" s="75">
        <f t="shared" si="13"/>
        <v>0.65966283899340528</v>
      </c>
      <c r="H168" s="75">
        <f>VLOOKUP($A168,'Data Vlaue (Cr)'!$C:$FB,99)</f>
        <v>5310</v>
      </c>
      <c r="I168" s="75">
        <f>VLOOKUP($A168,'Data Vlaue (Cr)'!$C:$FB,100)</f>
        <v>4972</v>
      </c>
      <c r="J168" s="75">
        <f t="shared" si="14"/>
        <v>338</v>
      </c>
      <c r="K168" s="75">
        <f t="shared" si="15"/>
        <v>6.365348399246705</v>
      </c>
      <c r="L168" s="75">
        <f>VLOOKUP($A168,'Data Vlaue (Cr)'!$C:$FB,67)</f>
        <v>2880</v>
      </c>
      <c r="M168" s="75">
        <f>VLOOKUP($A168,'Data Vlaue (Cr)'!$C:$FB,68)</f>
        <v>3701</v>
      </c>
      <c r="N168" s="75">
        <f t="shared" si="16"/>
        <v>-821</v>
      </c>
      <c r="O168" s="75">
        <f t="shared" si="17"/>
        <v>-28.506944444444443</v>
      </c>
      <c r="P168" s="75">
        <f>VLOOKUP($A168,'Data Vlaue (Cr)'!$C:$FB,119)</f>
        <v>0.67</v>
      </c>
      <c r="Q168" s="75">
        <f>VLOOKUP($A168,'Data Vlaue (Cr)'!$C:$FB,122)*100</f>
        <v>0</v>
      </c>
      <c r="R168" s="75">
        <f>VLOOKUP($A168,'Data Vlaue (Cr)'!$C:$FB,125)</f>
        <v>0.76</v>
      </c>
      <c r="S168" s="75">
        <f>VLOOKUP($A168,'Data Vlaue (Cr)'!$C:$FB,128)*100</f>
        <v>-6.17</v>
      </c>
    </row>
    <row r="169" spans="1:19" x14ac:dyDescent="0.25">
      <c r="A169" s="96" t="str">
        <f>'Data Vlaue (Cr)'!C160</f>
        <v>PNBHOUSING</v>
      </c>
      <c r="B169" s="75">
        <f>VLOOKUP($A169,'Data Vlaue (Cr)'!$C:$FB,2)</f>
        <v>650</v>
      </c>
      <c r="C169" s="75">
        <f>VLOOKUP($A169,'Data Vlaue (Cr)'!$C:$FB,8)</f>
        <v>790.65</v>
      </c>
      <c r="D169" s="75">
        <f>VLOOKUP($A169,'Data Vlaue (Cr)'!$C:$FB,4)</f>
        <v>795.35</v>
      </c>
      <c r="E169" s="75">
        <f>VLOOKUP($A169,'Data Vlaue (Cr)'!$C:$FB,5)</f>
        <v>786.3</v>
      </c>
      <c r="F169" s="75">
        <f t="shared" si="12"/>
        <v>4.7000000000000455</v>
      </c>
      <c r="G169" s="75">
        <f t="shared" si="13"/>
        <v>1.1378638335324158</v>
      </c>
      <c r="H169" s="75">
        <f>VLOOKUP($A169,'Data Vlaue (Cr)'!$C:$FB,99)</f>
        <v>1281</v>
      </c>
      <c r="I169" s="75">
        <f>VLOOKUP($A169,'Data Vlaue (Cr)'!$C:$FB,100)</f>
        <v>1239</v>
      </c>
      <c r="J169" s="75">
        <f t="shared" si="14"/>
        <v>42</v>
      </c>
      <c r="K169" s="75">
        <f t="shared" si="15"/>
        <v>3.278688524590164</v>
      </c>
      <c r="L169" s="75">
        <f>VLOOKUP($A169,'Data Vlaue (Cr)'!$C:$FB,67)</f>
        <v>302</v>
      </c>
      <c r="M169" s="75">
        <f>VLOOKUP($A169,'Data Vlaue (Cr)'!$C:$FB,68)</f>
        <v>475</v>
      </c>
      <c r="N169" s="75">
        <f t="shared" si="16"/>
        <v>-173</v>
      </c>
      <c r="O169" s="75">
        <f t="shared" si="17"/>
        <v>-57.284768211920536</v>
      </c>
      <c r="P169" s="75">
        <f>VLOOKUP($A169,'Data Vlaue (Cr)'!$C:$FB,119)</f>
        <v>0.75</v>
      </c>
      <c r="Q169" s="75">
        <f>VLOOKUP($A169,'Data Vlaue (Cr)'!$C:$FB,122)*100</f>
        <v>-6.25</v>
      </c>
      <c r="R169" s="75">
        <f>VLOOKUP($A169,'Data Vlaue (Cr)'!$C:$FB,125)</f>
        <v>0.76</v>
      </c>
      <c r="S169" s="75">
        <f>VLOOKUP($A169,'Data Vlaue (Cr)'!$C:$FB,128)*100</f>
        <v>4.1099999999999994</v>
      </c>
    </row>
    <row r="170" spans="1:19" x14ac:dyDescent="0.25">
      <c r="A170" s="96" t="str">
        <f>'Data Vlaue (Cr)'!C161</f>
        <v>POLICYBZR</v>
      </c>
      <c r="B170" s="75">
        <f>VLOOKUP($A170,'Data Vlaue (Cr)'!$C:$FB,2)</f>
        <v>350</v>
      </c>
      <c r="C170" s="75">
        <f>VLOOKUP($A170,'Data Vlaue (Cr)'!$C:$FB,8)</f>
        <v>1472.8</v>
      </c>
      <c r="D170" s="75">
        <f>VLOOKUP($A170,'Data Vlaue (Cr)'!$C:$FB,4)</f>
        <v>1478.8</v>
      </c>
      <c r="E170" s="75">
        <f>VLOOKUP($A170,'Data Vlaue (Cr)'!$C:$FB,5)</f>
        <v>1483</v>
      </c>
      <c r="F170" s="75">
        <f t="shared" si="12"/>
        <v>6</v>
      </c>
      <c r="G170" s="75">
        <f t="shared" si="13"/>
        <v>-0.2840140654584829</v>
      </c>
      <c r="H170" s="75">
        <f>VLOOKUP($A170,'Data Vlaue (Cr)'!$C:$FB,99)</f>
        <v>1725</v>
      </c>
      <c r="I170" s="75">
        <f>VLOOKUP($A170,'Data Vlaue (Cr)'!$C:$FB,100)</f>
        <v>1722</v>
      </c>
      <c r="J170" s="75">
        <f t="shared" si="14"/>
        <v>3</v>
      </c>
      <c r="K170" s="75">
        <f t="shared" si="15"/>
        <v>0.17391304347826086</v>
      </c>
      <c r="L170" s="75">
        <f>VLOOKUP($A170,'Data Vlaue (Cr)'!$C:$FB,67)</f>
        <v>508</v>
      </c>
      <c r="M170" s="75">
        <f>VLOOKUP($A170,'Data Vlaue (Cr)'!$C:$FB,68)</f>
        <v>668</v>
      </c>
      <c r="N170" s="75">
        <f t="shared" si="16"/>
        <v>-160</v>
      </c>
      <c r="O170" s="75">
        <f t="shared" si="17"/>
        <v>-31.496062992125985</v>
      </c>
      <c r="P170" s="75">
        <f>VLOOKUP($A170,'Data Vlaue (Cr)'!$C:$FB,119)</f>
        <v>0.79</v>
      </c>
      <c r="Q170" s="75">
        <f>VLOOKUP($A170,'Data Vlaue (Cr)'!$C:$FB,122)*100</f>
        <v>5.33</v>
      </c>
      <c r="R170" s="75">
        <f>VLOOKUP($A170,'Data Vlaue (Cr)'!$C:$FB,125)</f>
        <v>0.51</v>
      </c>
      <c r="S170" s="75">
        <f>VLOOKUP($A170,'Data Vlaue (Cr)'!$C:$FB,128)*100</f>
        <v>-22.73</v>
      </c>
    </row>
    <row r="171" spans="1:19" x14ac:dyDescent="0.25">
      <c r="A171" s="96" t="str">
        <f>'Data Vlaue (Cr)'!C162</f>
        <v>POLYCAB</v>
      </c>
      <c r="B171" s="75">
        <f>VLOOKUP($A171,'Data Vlaue (Cr)'!$C:$FB,2)</f>
        <v>125</v>
      </c>
      <c r="C171" s="75">
        <f>VLOOKUP($A171,'Data Vlaue (Cr)'!$C:$FB,8)</f>
        <v>8564</v>
      </c>
      <c r="D171" s="75">
        <f>VLOOKUP($A171,'Data Vlaue (Cr)'!$C:$FB,4)</f>
        <v>8575.5</v>
      </c>
      <c r="E171" s="75">
        <f>VLOOKUP($A171,'Data Vlaue (Cr)'!$C:$FB,5)</f>
        <v>8317.5</v>
      </c>
      <c r="F171" s="75">
        <f t="shared" si="12"/>
        <v>11.5</v>
      </c>
      <c r="G171" s="75">
        <f t="shared" si="13"/>
        <v>3.0085709288088158</v>
      </c>
      <c r="H171" s="75">
        <f>VLOOKUP($A171,'Data Vlaue (Cr)'!$C:$FB,99)</f>
        <v>3968</v>
      </c>
      <c r="I171" s="75">
        <f>VLOOKUP($A171,'Data Vlaue (Cr)'!$C:$FB,100)</f>
        <v>3820</v>
      </c>
      <c r="J171" s="75">
        <f t="shared" si="14"/>
        <v>148</v>
      </c>
      <c r="K171" s="75">
        <f t="shared" si="15"/>
        <v>3.7298387096774195</v>
      </c>
      <c r="L171" s="75">
        <f>VLOOKUP($A171,'Data Vlaue (Cr)'!$C:$FB,67)</f>
        <v>4677</v>
      </c>
      <c r="M171" s="75">
        <f>VLOOKUP($A171,'Data Vlaue (Cr)'!$C:$FB,68)</f>
        <v>5566</v>
      </c>
      <c r="N171" s="75">
        <f t="shared" si="16"/>
        <v>-889</v>
      </c>
      <c r="O171" s="75">
        <f t="shared" si="17"/>
        <v>-19.007911054094507</v>
      </c>
      <c r="P171" s="75">
        <f>VLOOKUP($A171,'Data Vlaue (Cr)'!$C:$FB,119)</f>
        <v>1.07</v>
      </c>
      <c r="Q171" s="75">
        <f>VLOOKUP($A171,'Data Vlaue (Cr)'!$C:$FB,122)*100</f>
        <v>-1.83</v>
      </c>
      <c r="R171" s="75">
        <f>VLOOKUP($A171,'Data Vlaue (Cr)'!$C:$FB,125)</f>
        <v>0.9</v>
      </c>
      <c r="S171" s="75">
        <f>VLOOKUP($A171,'Data Vlaue (Cr)'!$C:$FB,128)*100</f>
        <v>-55.669999999999995</v>
      </c>
    </row>
    <row r="172" spans="1:19" x14ac:dyDescent="0.25">
      <c r="A172" s="96" t="str">
        <f>'Data Vlaue (Cr)'!C163</f>
        <v>POWERGRID</v>
      </c>
      <c r="B172" s="75">
        <f>VLOOKUP($A172,'Data Vlaue (Cr)'!$C:$FB,2)</f>
        <v>1900</v>
      </c>
      <c r="C172" s="75">
        <f>VLOOKUP($A172,'Data Vlaue (Cr)'!$C:$FB,8)</f>
        <v>299.45</v>
      </c>
      <c r="D172" s="75">
        <f>VLOOKUP($A172,'Data Vlaue (Cr)'!$C:$FB,4)</f>
        <v>299.89999999999998</v>
      </c>
      <c r="E172" s="75">
        <f>VLOOKUP($A172,'Data Vlaue (Cr)'!$C:$FB,5)</f>
        <v>293.10000000000002</v>
      </c>
      <c r="F172" s="75">
        <f t="shared" si="12"/>
        <v>0.44999999999998863</v>
      </c>
      <c r="G172" s="75">
        <f t="shared" si="13"/>
        <v>2.2674224741580375</v>
      </c>
      <c r="H172" s="75">
        <f>VLOOKUP($A172,'Data Vlaue (Cr)'!$C:$FB,99)</f>
        <v>4010</v>
      </c>
      <c r="I172" s="75">
        <f>VLOOKUP($A172,'Data Vlaue (Cr)'!$C:$FB,100)</f>
        <v>3969</v>
      </c>
      <c r="J172" s="75">
        <f t="shared" si="14"/>
        <v>41</v>
      </c>
      <c r="K172" s="75">
        <f t="shared" si="15"/>
        <v>1.022443890274314</v>
      </c>
      <c r="L172" s="75">
        <f>VLOOKUP($A172,'Data Vlaue (Cr)'!$C:$FB,67)</f>
        <v>1942</v>
      </c>
      <c r="M172" s="75">
        <f>VLOOKUP($A172,'Data Vlaue (Cr)'!$C:$FB,68)</f>
        <v>2051</v>
      </c>
      <c r="N172" s="75">
        <f t="shared" si="16"/>
        <v>-109</v>
      </c>
      <c r="O172" s="75">
        <f t="shared" si="17"/>
        <v>-5.6127703398558184</v>
      </c>
      <c r="P172" s="75">
        <f>VLOOKUP($A172,'Data Vlaue (Cr)'!$C:$FB,119)</f>
        <v>0.42</v>
      </c>
      <c r="Q172" s="75">
        <f>VLOOKUP($A172,'Data Vlaue (Cr)'!$C:$FB,122)*100</f>
        <v>-4.55</v>
      </c>
      <c r="R172" s="75">
        <f>VLOOKUP($A172,'Data Vlaue (Cr)'!$C:$FB,125)</f>
        <v>0.42</v>
      </c>
      <c r="S172" s="75">
        <f>VLOOKUP($A172,'Data Vlaue (Cr)'!$C:$FB,128)*100</f>
        <v>-34.380000000000003</v>
      </c>
    </row>
    <row r="173" spans="1:19" x14ac:dyDescent="0.25">
      <c r="A173" s="96" t="str">
        <f>'Data Vlaue (Cr)'!C164</f>
        <v>POWERINDIA</v>
      </c>
      <c r="B173" s="75">
        <f>VLOOKUP($A173,'Data Vlaue (Cr)'!$C:$FB,2)</f>
        <v>50</v>
      </c>
      <c r="C173" s="75">
        <f>VLOOKUP($A173,'Data Vlaue (Cr)'!$C:$FB,8)</f>
        <v>25305</v>
      </c>
      <c r="D173" s="75">
        <f>VLOOKUP($A173,'Data Vlaue (Cr)'!$C:$FB,4)</f>
        <v>25390</v>
      </c>
      <c r="E173" s="75">
        <f>VLOOKUP($A173,'Data Vlaue (Cr)'!$C:$FB,5)</f>
        <v>24600</v>
      </c>
      <c r="F173" s="75">
        <f t="shared" si="12"/>
        <v>85</v>
      </c>
      <c r="G173" s="75">
        <f t="shared" si="13"/>
        <v>3.1114612051988972</v>
      </c>
      <c r="H173" s="75">
        <f>VLOOKUP($A173,'Data Vlaue (Cr)'!$C:$FB,99)</f>
        <v>1493</v>
      </c>
      <c r="I173" s="75">
        <f>VLOOKUP($A173,'Data Vlaue (Cr)'!$C:$FB,100)</f>
        <v>1377</v>
      </c>
      <c r="J173" s="75">
        <f t="shared" si="14"/>
        <v>116</v>
      </c>
      <c r="K173" s="75">
        <f t="shared" si="15"/>
        <v>7.7695914266577359</v>
      </c>
      <c r="L173" s="75">
        <f>VLOOKUP($A173,'Data Vlaue (Cr)'!$C:$FB,67)</f>
        <v>1584</v>
      </c>
      <c r="M173" s="75">
        <f>VLOOKUP($A173,'Data Vlaue (Cr)'!$C:$FB,68)</f>
        <v>1388</v>
      </c>
      <c r="N173" s="75">
        <f t="shared" si="16"/>
        <v>196</v>
      </c>
      <c r="O173" s="75">
        <f t="shared" si="17"/>
        <v>12.373737373737374</v>
      </c>
      <c r="P173" s="75">
        <f>VLOOKUP($A173,'Data Vlaue (Cr)'!$C:$FB,119)</f>
        <v>0.91</v>
      </c>
      <c r="Q173" s="75">
        <f>VLOOKUP($A173,'Data Vlaue (Cr)'!$C:$FB,122)*100</f>
        <v>-1.0900000000000001</v>
      </c>
      <c r="R173" s="75">
        <f>VLOOKUP($A173,'Data Vlaue (Cr)'!$C:$FB,125)</f>
        <v>0.38</v>
      </c>
      <c r="S173" s="75">
        <f>VLOOKUP($A173,'Data Vlaue (Cr)'!$C:$FB,128)*100</f>
        <v>-63.81</v>
      </c>
    </row>
    <row r="174" spans="1:19" x14ac:dyDescent="0.25">
      <c r="A174" s="96" t="str">
        <f>'Data Vlaue (Cr)'!C165</f>
        <v>PPLPHARMA</v>
      </c>
      <c r="B174" s="75">
        <f>VLOOKUP($A174,'Data Vlaue (Cr)'!$C:$FB,2)</f>
        <v>2625</v>
      </c>
      <c r="C174" s="75">
        <f>VLOOKUP($A174,'Data Vlaue (Cr)'!$C:$FB,8)</f>
        <v>153.30000000000001</v>
      </c>
      <c r="D174" s="75">
        <f>VLOOKUP($A174,'Data Vlaue (Cr)'!$C:$FB,4)</f>
        <v>153.93</v>
      </c>
      <c r="E174" s="75">
        <f>VLOOKUP($A174,'Data Vlaue (Cr)'!$C:$FB,5)</f>
        <v>152.66999999999999</v>
      </c>
      <c r="F174" s="75">
        <f t="shared" si="12"/>
        <v>0.62999999999999545</v>
      </c>
      <c r="G174" s="75">
        <f t="shared" si="13"/>
        <v>0.81855388813098107</v>
      </c>
      <c r="H174" s="75">
        <f>VLOOKUP($A174,'Data Vlaue (Cr)'!$C:$FB,99)</f>
        <v>429</v>
      </c>
      <c r="I174" s="75">
        <f>VLOOKUP($A174,'Data Vlaue (Cr)'!$C:$FB,100)</f>
        <v>426</v>
      </c>
      <c r="J174" s="75">
        <f t="shared" si="14"/>
        <v>3</v>
      </c>
      <c r="K174" s="75">
        <f t="shared" si="15"/>
        <v>0.69930069930069927</v>
      </c>
      <c r="L174" s="75">
        <f>VLOOKUP($A174,'Data Vlaue (Cr)'!$C:$FB,67)</f>
        <v>95</v>
      </c>
      <c r="M174" s="75">
        <f>VLOOKUP($A174,'Data Vlaue (Cr)'!$C:$FB,68)</f>
        <v>122</v>
      </c>
      <c r="N174" s="75">
        <f t="shared" si="16"/>
        <v>-27</v>
      </c>
      <c r="O174" s="75">
        <f t="shared" si="17"/>
        <v>-28.421052631578945</v>
      </c>
      <c r="P174" s="75">
        <f>VLOOKUP($A174,'Data Vlaue (Cr)'!$C:$FB,119)</f>
        <v>0.61</v>
      </c>
      <c r="Q174" s="75">
        <f>VLOOKUP($A174,'Data Vlaue (Cr)'!$C:$FB,122)*100</f>
        <v>-3.17</v>
      </c>
      <c r="R174" s="75">
        <f>VLOOKUP($A174,'Data Vlaue (Cr)'!$C:$FB,125)</f>
        <v>0.27</v>
      </c>
      <c r="S174" s="75">
        <f>VLOOKUP($A174,'Data Vlaue (Cr)'!$C:$FB,128)*100</f>
        <v>-40</v>
      </c>
    </row>
    <row r="175" spans="1:19" x14ac:dyDescent="0.25">
      <c r="A175" s="96" t="str">
        <f>'Data Vlaue (Cr)'!C166</f>
        <v>PREMIERENE</v>
      </c>
      <c r="B175" s="75">
        <f>VLOOKUP($A175,'Data Vlaue (Cr)'!$C:$FB,2)</f>
        <v>575</v>
      </c>
      <c r="C175" s="75">
        <f>VLOOKUP($A175,'Data Vlaue (Cr)'!$C:$FB,8)</f>
        <v>720.1</v>
      </c>
      <c r="D175" s="75">
        <f>VLOOKUP($A175,'Data Vlaue (Cr)'!$C:$FB,4)</f>
        <v>719.85</v>
      </c>
      <c r="E175" s="75">
        <f>VLOOKUP($A175,'Data Vlaue (Cr)'!$C:$FB,5)</f>
        <v>709.6</v>
      </c>
      <c r="F175" s="75">
        <f t="shared" si="12"/>
        <v>-0.25</v>
      </c>
      <c r="G175" s="75">
        <f t="shared" si="13"/>
        <v>1.4239077585608111</v>
      </c>
      <c r="H175" s="75">
        <f>VLOOKUP($A175,'Data Vlaue (Cr)'!$C:$FB,99)</f>
        <v>1107</v>
      </c>
      <c r="I175" s="75">
        <f>VLOOKUP($A175,'Data Vlaue (Cr)'!$C:$FB,100)</f>
        <v>1086</v>
      </c>
      <c r="J175" s="75">
        <f t="shared" si="14"/>
        <v>21</v>
      </c>
      <c r="K175" s="75">
        <f t="shared" si="15"/>
        <v>1.8970189701897018</v>
      </c>
      <c r="L175" s="75">
        <f>VLOOKUP($A175,'Data Vlaue (Cr)'!$C:$FB,67)</f>
        <v>501</v>
      </c>
      <c r="M175" s="75">
        <f>VLOOKUP($A175,'Data Vlaue (Cr)'!$C:$FB,68)</f>
        <v>327</v>
      </c>
      <c r="N175" s="75">
        <f t="shared" si="16"/>
        <v>174</v>
      </c>
      <c r="O175" s="75">
        <f t="shared" si="17"/>
        <v>34.730538922155688</v>
      </c>
      <c r="P175" s="75">
        <f>VLOOKUP($A175,'Data Vlaue (Cr)'!$C:$FB,119)</f>
        <v>0.98</v>
      </c>
      <c r="Q175" s="75">
        <f>VLOOKUP($A175,'Data Vlaue (Cr)'!$C:$FB,122)*100</f>
        <v>0</v>
      </c>
      <c r="R175" s="75">
        <f>VLOOKUP($A175,'Data Vlaue (Cr)'!$C:$FB,125)</f>
        <v>0.64</v>
      </c>
      <c r="S175" s="75">
        <f>VLOOKUP($A175,'Data Vlaue (Cr)'!$C:$FB,128)*100</f>
        <v>3.2300000000000004</v>
      </c>
    </row>
    <row r="176" spans="1:19" x14ac:dyDescent="0.25">
      <c r="A176" s="96" t="str">
        <f>'Data Vlaue (Cr)'!C167</f>
        <v>PRESTIGE</v>
      </c>
      <c r="B176" s="75">
        <f>VLOOKUP($A176,'Data Vlaue (Cr)'!$C:$FB,2)</f>
        <v>450</v>
      </c>
      <c r="C176" s="75">
        <f>VLOOKUP($A176,'Data Vlaue (Cr)'!$C:$FB,8)</f>
        <v>1375.6</v>
      </c>
      <c r="D176" s="75">
        <f>VLOOKUP($A176,'Data Vlaue (Cr)'!$C:$FB,4)</f>
        <v>1380.1</v>
      </c>
      <c r="E176" s="75">
        <f>VLOOKUP($A176,'Data Vlaue (Cr)'!$C:$FB,5)</f>
        <v>1353.6</v>
      </c>
      <c r="F176" s="75">
        <f t="shared" si="12"/>
        <v>4.5</v>
      </c>
      <c r="G176" s="75">
        <f t="shared" si="13"/>
        <v>1.9201507137163973</v>
      </c>
      <c r="H176" s="75">
        <f>VLOOKUP($A176,'Data Vlaue (Cr)'!$C:$FB,99)</f>
        <v>925</v>
      </c>
      <c r="I176" s="75">
        <f>VLOOKUP($A176,'Data Vlaue (Cr)'!$C:$FB,100)</f>
        <v>931</v>
      </c>
      <c r="J176" s="75">
        <f t="shared" si="14"/>
        <v>-6</v>
      </c>
      <c r="K176" s="75">
        <f t="shared" si="15"/>
        <v>-0.64864864864864857</v>
      </c>
      <c r="L176" s="75">
        <f>VLOOKUP($A176,'Data Vlaue (Cr)'!$C:$FB,67)</f>
        <v>344</v>
      </c>
      <c r="M176" s="75">
        <f>VLOOKUP($A176,'Data Vlaue (Cr)'!$C:$FB,68)</f>
        <v>417</v>
      </c>
      <c r="N176" s="75">
        <f t="shared" si="16"/>
        <v>-73</v>
      </c>
      <c r="O176" s="75">
        <f t="shared" si="17"/>
        <v>-21.220930232558139</v>
      </c>
      <c r="P176" s="75">
        <f>VLOOKUP($A176,'Data Vlaue (Cr)'!$C:$FB,119)</f>
        <v>1.0900000000000001</v>
      </c>
      <c r="Q176" s="75">
        <f>VLOOKUP($A176,'Data Vlaue (Cr)'!$C:$FB,122)*100</f>
        <v>4.8099999999999996</v>
      </c>
      <c r="R176" s="75">
        <f>VLOOKUP($A176,'Data Vlaue (Cr)'!$C:$FB,125)</f>
        <v>0.42</v>
      </c>
      <c r="S176" s="75">
        <f>VLOOKUP($A176,'Data Vlaue (Cr)'!$C:$FB,128)*100</f>
        <v>-72.55</v>
      </c>
    </row>
    <row r="177" spans="1:19" x14ac:dyDescent="0.25">
      <c r="A177" s="96" t="str">
        <f>'Data Vlaue (Cr)'!C168</f>
        <v>RBLBANK</v>
      </c>
      <c r="B177" s="75">
        <f>VLOOKUP($A177,'Data Vlaue (Cr)'!$C:$FB,2)</f>
        <v>3175</v>
      </c>
      <c r="C177" s="75">
        <f>VLOOKUP($A177,'Data Vlaue (Cr)'!$C:$FB,8)</f>
        <v>310.10000000000002</v>
      </c>
      <c r="D177" s="75">
        <f>VLOOKUP($A177,'Data Vlaue (Cr)'!$C:$FB,4)</f>
        <v>311.64999999999998</v>
      </c>
      <c r="E177" s="75">
        <f>VLOOKUP($A177,'Data Vlaue (Cr)'!$C:$FB,5)</f>
        <v>307.7</v>
      </c>
      <c r="F177" s="75">
        <f t="shared" ref="F177:F185" si="18">D177-C177</f>
        <v>1.5499999999999545</v>
      </c>
      <c r="G177" s="75">
        <f t="shared" ref="G177:G185" si="19">(D177-E177)/D177*100</f>
        <v>1.267447457083263</v>
      </c>
      <c r="H177" s="75">
        <f>VLOOKUP($A177,'Data Vlaue (Cr)'!$C:$FB,99)</f>
        <v>3120</v>
      </c>
      <c r="I177" s="75">
        <f>VLOOKUP($A177,'Data Vlaue (Cr)'!$C:$FB,100)</f>
        <v>3065</v>
      </c>
      <c r="J177" s="75">
        <f t="shared" ref="J177:J185" si="20">H177-I177</f>
        <v>55</v>
      </c>
      <c r="K177" s="75">
        <f t="shared" ref="K177:K185" si="21">J177/H177*100</f>
        <v>1.7628205128205128</v>
      </c>
      <c r="L177" s="75">
        <f>VLOOKUP($A177,'Data Vlaue (Cr)'!$C:$FB,67)</f>
        <v>1350</v>
      </c>
      <c r="M177" s="75">
        <f>VLOOKUP($A177,'Data Vlaue (Cr)'!$C:$FB,68)</f>
        <v>2372</v>
      </c>
      <c r="N177" s="75">
        <f t="shared" ref="N177:N185" si="22">L177-M177</f>
        <v>-1022</v>
      </c>
      <c r="O177" s="75">
        <f t="shared" ref="O177:O185" si="23">N177/L177*100</f>
        <v>-75.703703703703709</v>
      </c>
      <c r="P177" s="75">
        <f>VLOOKUP($A177,'Data Vlaue (Cr)'!$C:$FB,119)</f>
        <v>0.84</v>
      </c>
      <c r="Q177" s="75">
        <f>VLOOKUP($A177,'Data Vlaue (Cr)'!$C:$FB,122)*100</f>
        <v>0</v>
      </c>
      <c r="R177" s="75">
        <f>VLOOKUP($A177,'Data Vlaue (Cr)'!$C:$FB,125)</f>
        <v>0.47</v>
      </c>
      <c r="S177" s="75">
        <f>VLOOKUP($A177,'Data Vlaue (Cr)'!$C:$FB,128)*100</f>
        <v>-42.68</v>
      </c>
    </row>
    <row r="178" spans="1:19" x14ac:dyDescent="0.25">
      <c r="A178" s="96" t="str">
        <f>'Data Vlaue (Cr)'!C169</f>
        <v>RECLTD</v>
      </c>
      <c r="B178" s="75">
        <f>VLOOKUP($A178,'Data Vlaue (Cr)'!$C:$FB,2)</f>
        <v>1400</v>
      </c>
      <c r="C178" s="75">
        <f>VLOOKUP($A178,'Data Vlaue (Cr)'!$C:$FB,8)</f>
        <v>341.85</v>
      </c>
      <c r="D178" s="75">
        <f>VLOOKUP($A178,'Data Vlaue (Cr)'!$C:$FB,4)</f>
        <v>342.2</v>
      </c>
      <c r="E178" s="75">
        <f>VLOOKUP($A178,'Data Vlaue (Cr)'!$C:$FB,5)</f>
        <v>327.7</v>
      </c>
      <c r="F178" s="75">
        <f t="shared" si="18"/>
        <v>0.34999999999996589</v>
      </c>
      <c r="G178" s="75">
        <f t="shared" si="19"/>
        <v>4.2372881355932197</v>
      </c>
      <c r="H178" s="75">
        <f>VLOOKUP($A178,'Data Vlaue (Cr)'!$C:$FB,99)</f>
        <v>4580</v>
      </c>
      <c r="I178" s="75">
        <f>VLOOKUP($A178,'Data Vlaue (Cr)'!$C:$FB,100)</f>
        <v>4459</v>
      </c>
      <c r="J178" s="75">
        <f t="shared" si="20"/>
        <v>121</v>
      </c>
      <c r="K178" s="75">
        <f t="shared" si="21"/>
        <v>2.6419213973799125</v>
      </c>
      <c r="L178" s="75">
        <f>VLOOKUP($A178,'Data Vlaue (Cr)'!$C:$FB,67)</f>
        <v>2910</v>
      </c>
      <c r="M178" s="75">
        <f>VLOOKUP($A178,'Data Vlaue (Cr)'!$C:$FB,68)</f>
        <v>2235</v>
      </c>
      <c r="N178" s="75">
        <f t="shared" si="22"/>
        <v>675</v>
      </c>
      <c r="O178" s="75">
        <f t="shared" si="23"/>
        <v>23.195876288659793</v>
      </c>
      <c r="P178" s="75">
        <f>VLOOKUP($A178,'Data Vlaue (Cr)'!$C:$FB,119)</f>
        <v>1.1299999999999999</v>
      </c>
      <c r="Q178" s="75">
        <f>VLOOKUP($A178,'Data Vlaue (Cr)'!$C:$FB,122)*100</f>
        <v>8.6499999999999986</v>
      </c>
      <c r="R178" s="75">
        <f>VLOOKUP($A178,'Data Vlaue (Cr)'!$C:$FB,125)</f>
        <v>0.69</v>
      </c>
      <c r="S178" s="75">
        <f>VLOOKUP($A178,'Data Vlaue (Cr)'!$C:$FB,128)*100</f>
        <v>11.29</v>
      </c>
    </row>
    <row r="179" spans="1:19" x14ac:dyDescent="0.25">
      <c r="A179" s="96" t="str">
        <f>'Data Vlaue (Cr)'!C170</f>
        <v>RELIANCE</v>
      </c>
      <c r="B179" s="75">
        <f>VLOOKUP($A179,'Data Vlaue (Cr)'!$C:$FB,2)</f>
        <v>500</v>
      </c>
      <c r="C179" s="75">
        <f>VLOOKUP($A179,'Data Vlaue (Cr)'!$C:$FB,8)</f>
        <v>1389.4</v>
      </c>
      <c r="D179" s="75">
        <f>VLOOKUP($A179,'Data Vlaue (Cr)'!$C:$FB,4)</f>
        <v>1393</v>
      </c>
      <c r="E179" s="75">
        <f>VLOOKUP($A179,'Data Vlaue (Cr)'!$C:$FB,5)</f>
        <v>1349.5</v>
      </c>
      <c r="F179" s="75">
        <f t="shared" si="18"/>
        <v>3.5999999999999091</v>
      </c>
      <c r="G179" s="75">
        <f t="shared" si="19"/>
        <v>3.1227566403445799</v>
      </c>
      <c r="H179" s="75">
        <f>VLOOKUP($A179,'Data Vlaue (Cr)'!$C:$FB,99)</f>
        <v>25967</v>
      </c>
      <c r="I179" s="75">
        <f>VLOOKUP($A179,'Data Vlaue (Cr)'!$C:$FB,100)</f>
        <v>26097</v>
      </c>
      <c r="J179" s="75">
        <f t="shared" si="20"/>
        <v>-130</v>
      </c>
      <c r="K179" s="75">
        <f t="shared" si="21"/>
        <v>-0.50063542188161902</v>
      </c>
      <c r="L179" s="75">
        <f>VLOOKUP($A179,'Data Vlaue (Cr)'!$C:$FB,67)</f>
        <v>23468</v>
      </c>
      <c r="M179" s="75">
        <f>VLOOKUP($A179,'Data Vlaue (Cr)'!$C:$FB,68)</f>
        <v>24147</v>
      </c>
      <c r="N179" s="75">
        <f t="shared" si="22"/>
        <v>-679</v>
      </c>
      <c r="O179" s="75">
        <f t="shared" si="23"/>
        <v>-2.893301516959264</v>
      </c>
      <c r="P179" s="75">
        <f>VLOOKUP($A179,'Data Vlaue (Cr)'!$C:$FB,119)</f>
        <v>0.73</v>
      </c>
      <c r="Q179" s="75">
        <f>VLOOKUP($A179,'Data Vlaue (Cr)'!$C:$FB,122)*100</f>
        <v>5.8000000000000007</v>
      </c>
      <c r="R179" s="75">
        <f>VLOOKUP($A179,'Data Vlaue (Cr)'!$C:$FB,125)</f>
        <v>0.76</v>
      </c>
      <c r="S179" s="75">
        <f>VLOOKUP($A179,'Data Vlaue (Cr)'!$C:$FB,128)*100</f>
        <v>-3.8</v>
      </c>
    </row>
    <row r="180" spans="1:19" x14ac:dyDescent="0.25">
      <c r="A180" s="96" t="str">
        <f>'Data Vlaue (Cr)'!C171</f>
        <v>RVNL</v>
      </c>
      <c r="B180" s="75">
        <f>VLOOKUP($A180,'Data Vlaue (Cr)'!$C:$FB,2)</f>
        <v>1525</v>
      </c>
      <c r="C180" s="75">
        <f>VLOOKUP($A180,'Data Vlaue (Cr)'!$C:$FB,8)</f>
        <v>279.25</v>
      </c>
      <c r="D180" s="75">
        <f>VLOOKUP($A180,'Data Vlaue (Cr)'!$C:$FB,4)</f>
        <v>275.5</v>
      </c>
      <c r="E180" s="75">
        <f>VLOOKUP($A180,'Data Vlaue (Cr)'!$C:$FB,5)</f>
        <v>271.05</v>
      </c>
      <c r="F180" s="75">
        <f t="shared" si="18"/>
        <v>-3.75</v>
      </c>
      <c r="G180" s="75">
        <f t="shared" si="19"/>
        <v>1.6152450090744059</v>
      </c>
      <c r="H180" s="75">
        <f>VLOOKUP($A180,'Data Vlaue (Cr)'!$C:$FB,99)</f>
        <v>2983</v>
      </c>
      <c r="I180" s="75">
        <f>VLOOKUP($A180,'Data Vlaue (Cr)'!$C:$FB,100)</f>
        <v>2948</v>
      </c>
      <c r="J180" s="75">
        <f t="shared" si="20"/>
        <v>35</v>
      </c>
      <c r="K180" s="75">
        <f t="shared" si="21"/>
        <v>1.1733154542406972</v>
      </c>
      <c r="L180" s="75">
        <f>VLOOKUP($A180,'Data Vlaue (Cr)'!$C:$FB,67)</f>
        <v>1570</v>
      </c>
      <c r="M180" s="75">
        <f>VLOOKUP($A180,'Data Vlaue (Cr)'!$C:$FB,68)</f>
        <v>1235</v>
      </c>
      <c r="N180" s="75">
        <f t="shared" si="22"/>
        <v>335</v>
      </c>
      <c r="O180" s="75">
        <f t="shared" si="23"/>
        <v>21.337579617834397</v>
      </c>
      <c r="P180" s="75">
        <f>VLOOKUP($A180,'Data Vlaue (Cr)'!$C:$FB,119)</f>
        <v>0.49</v>
      </c>
      <c r="Q180" s="75">
        <f>VLOOKUP($A180,'Data Vlaue (Cr)'!$C:$FB,122)*100</f>
        <v>-5.7700000000000005</v>
      </c>
      <c r="R180" s="75">
        <f>VLOOKUP($A180,'Data Vlaue (Cr)'!$C:$FB,125)</f>
        <v>0.23</v>
      </c>
      <c r="S180" s="75">
        <f>VLOOKUP($A180,'Data Vlaue (Cr)'!$C:$FB,128)*100</f>
        <v>-39.47</v>
      </c>
    </row>
    <row r="181" spans="1:19" x14ac:dyDescent="0.25">
      <c r="A181" s="96" t="str">
        <f>'Data Vlaue (Cr)'!C172</f>
        <v>SAIL</v>
      </c>
      <c r="B181" s="75">
        <f>VLOOKUP($A181,'Data Vlaue (Cr)'!$C:$FB,2)</f>
        <v>4700</v>
      </c>
      <c r="C181" s="75">
        <f>VLOOKUP($A181,'Data Vlaue (Cr)'!$C:$FB,8)</f>
        <v>156.15</v>
      </c>
      <c r="D181" s="75">
        <f>VLOOKUP($A181,'Data Vlaue (Cr)'!$C:$FB,4)</f>
        <v>157.69</v>
      </c>
      <c r="E181" s="75">
        <f>VLOOKUP($A181,'Data Vlaue (Cr)'!$C:$FB,5)</f>
        <v>156.61000000000001</v>
      </c>
      <c r="F181" s="75">
        <f t="shared" si="18"/>
        <v>1.539999999999992</v>
      </c>
      <c r="G181" s="75">
        <f t="shared" si="19"/>
        <v>0.684888071532744</v>
      </c>
      <c r="H181" s="75">
        <f>VLOOKUP($A181,'Data Vlaue (Cr)'!$C:$FB,99)</f>
        <v>3963</v>
      </c>
      <c r="I181" s="75">
        <f>VLOOKUP($A181,'Data Vlaue (Cr)'!$C:$FB,100)</f>
        <v>4017</v>
      </c>
      <c r="J181" s="75">
        <f t="shared" si="20"/>
        <v>-54</v>
      </c>
      <c r="K181" s="75">
        <f t="shared" si="21"/>
        <v>-1.3626040878122634</v>
      </c>
      <c r="L181" s="75">
        <f>VLOOKUP($A181,'Data Vlaue (Cr)'!$C:$FB,67)</f>
        <v>111</v>
      </c>
      <c r="M181" s="75">
        <f>VLOOKUP($A181,'Data Vlaue (Cr)'!$C:$FB,68)</f>
        <v>2005</v>
      </c>
      <c r="N181" s="75">
        <f t="shared" si="22"/>
        <v>-1894</v>
      </c>
      <c r="O181" s="75">
        <f t="shared" si="23"/>
        <v>-1706.3063063063062</v>
      </c>
      <c r="P181" s="75">
        <f>VLOOKUP($A181,'Data Vlaue (Cr)'!$C:$FB,119)</f>
        <v>0.67</v>
      </c>
      <c r="Q181" s="75">
        <f>VLOOKUP($A181,'Data Vlaue (Cr)'!$C:$FB,122)*100</f>
        <v>1.52</v>
      </c>
      <c r="R181" s="75">
        <f>VLOOKUP($A181,'Data Vlaue (Cr)'!$C:$FB,125)</f>
        <v>0.37</v>
      </c>
      <c r="S181" s="75">
        <f>VLOOKUP($A181,'Data Vlaue (Cr)'!$C:$FB,128)*100</f>
        <v>-63</v>
      </c>
    </row>
    <row r="182" spans="1:19" x14ac:dyDescent="0.25">
      <c r="A182" s="96" t="str">
        <f>'Data Vlaue (Cr)'!C173</f>
        <v>SAMMAANCAP</v>
      </c>
      <c r="B182" s="75">
        <f>VLOOKUP($A182,'Data Vlaue (Cr)'!$C:$FB,2)</f>
        <v>4300</v>
      </c>
      <c r="C182" s="75">
        <f>VLOOKUP($A182,'Data Vlaue (Cr)'!$C:$FB,8)</f>
        <v>145.21</v>
      </c>
      <c r="D182" s="75">
        <f>VLOOKUP($A182,'Data Vlaue (Cr)'!$C:$FB,4)</f>
        <v>145.79</v>
      </c>
      <c r="E182" s="75">
        <f>VLOOKUP($A182,'Data Vlaue (Cr)'!$C:$FB,5)</f>
        <v>142.44</v>
      </c>
      <c r="F182" s="75">
        <f t="shared" si="18"/>
        <v>0.57999999999998408</v>
      </c>
      <c r="G182" s="75">
        <f t="shared" si="19"/>
        <v>2.2978256396186256</v>
      </c>
      <c r="H182" s="75">
        <f>VLOOKUP($A182,'Data Vlaue (Cr)'!$C:$FB,99)</f>
        <v>2142</v>
      </c>
      <c r="I182" s="75">
        <f>VLOOKUP($A182,'Data Vlaue (Cr)'!$C:$FB,100)</f>
        <v>2146</v>
      </c>
      <c r="J182" s="75">
        <f t="shared" si="20"/>
        <v>-4</v>
      </c>
      <c r="K182" s="75">
        <f t="shared" si="21"/>
        <v>-0.18674136321195145</v>
      </c>
      <c r="L182" s="75">
        <f>VLOOKUP($A182,'Data Vlaue (Cr)'!$C:$FB,67)</f>
        <v>6</v>
      </c>
      <c r="M182" s="75">
        <f>VLOOKUP($A182,'Data Vlaue (Cr)'!$C:$FB,68)</f>
        <v>41</v>
      </c>
      <c r="N182" s="75">
        <f t="shared" si="22"/>
        <v>-35</v>
      </c>
      <c r="O182" s="75">
        <f t="shared" si="23"/>
        <v>-583.33333333333326</v>
      </c>
      <c r="P182" s="75">
        <f>VLOOKUP($A182,'Data Vlaue (Cr)'!$C:$FB,119)</f>
        <v>0.44</v>
      </c>
      <c r="Q182" s="75">
        <f>VLOOKUP($A182,'Data Vlaue (Cr)'!$C:$FB,122)*100</f>
        <v>0</v>
      </c>
      <c r="R182" s="75">
        <f>VLOOKUP($A182,'Data Vlaue (Cr)'!$C:$FB,125)</f>
        <v>0.03</v>
      </c>
      <c r="S182" s="75">
        <f>VLOOKUP($A182,'Data Vlaue (Cr)'!$C:$FB,128)*100</f>
        <v>-92.11</v>
      </c>
    </row>
    <row r="183" spans="1:19" x14ac:dyDescent="0.25">
      <c r="A183" s="96" t="str">
        <f>'Data Vlaue (Cr)'!C174</f>
        <v>SBICARD</v>
      </c>
      <c r="B183" s="75">
        <f>VLOOKUP($A183,'Data Vlaue (Cr)'!$C:$FB,2)</f>
        <v>800</v>
      </c>
      <c r="C183" s="75">
        <f>VLOOKUP($A183,'Data Vlaue (Cr)'!$C:$FB,8)</f>
        <v>730.55</v>
      </c>
      <c r="D183" s="75">
        <f>VLOOKUP($A183,'Data Vlaue (Cr)'!$C:$FB,4)</f>
        <v>731.5</v>
      </c>
      <c r="E183" s="75">
        <f>VLOOKUP($A183,'Data Vlaue (Cr)'!$C:$FB,5)</f>
        <v>725.45</v>
      </c>
      <c r="F183" s="75">
        <f t="shared" si="18"/>
        <v>0.95000000000004547</v>
      </c>
      <c r="G183" s="75">
        <f t="shared" si="19"/>
        <v>0.82706766917292618</v>
      </c>
      <c r="H183" s="75">
        <f>VLOOKUP($A183,'Data Vlaue (Cr)'!$C:$FB,99)</f>
        <v>2553</v>
      </c>
      <c r="I183" s="75">
        <f>VLOOKUP($A183,'Data Vlaue (Cr)'!$C:$FB,100)</f>
        <v>2560</v>
      </c>
      <c r="J183" s="75">
        <f t="shared" si="20"/>
        <v>-7</v>
      </c>
      <c r="K183" s="75">
        <f t="shared" si="21"/>
        <v>-0.27418723070896983</v>
      </c>
      <c r="L183" s="75">
        <f>VLOOKUP($A183,'Data Vlaue (Cr)'!$C:$FB,67)</f>
        <v>685</v>
      </c>
      <c r="M183" s="75">
        <f>VLOOKUP($A183,'Data Vlaue (Cr)'!$C:$FB,68)</f>
        <v>1001</v>
      </c>
      <c r="N183" s="75">
        <f t="shared" si="22"/>
        <v>-316</v>
      </c>
      <c r="O183" s="75">
        <f t="shared" si="23"/>
        <v>-46.131386861313864</v>
      </c>
      <c r="P183" s="75">
        <f>VLOOKUP($A183,'Data Vlaue (Cr)'!$C:$FB,119)</f>
        <v>0.65</v>
      </c>
      <c r="Q183" s="75">
        <f>VLOOKUP($A183,'Data Vlaue (Cr)'!$C:$FB,122)*100</f>
        <v>-2.9899999999999998</v>
      </c>
      <c r="R183" s="75">
        <f>VLOOKUP($A183,'Data Vlaue (Cr)'!$C:$FB,125)</f>
        <v>0.52</v>
      </c>
      <c r="S183" s="75">
        <f>VLOOKUP($A183,'Data Vlaue (Cr)'!$C:$FB,128)*100</f>
        <v>-42.22</v>
      </c>
    </row>
    <row r="184" spans="1:19" x14ac:dyDescent="0.25">
      <c r="A184" s="96" t="str">
        <f>'Data Vlaue (Cr)'!C175</f>
        <v>SBILIFE</v>
      </c>
      <c r="B184" s="75">
        <f>VLOOKUP($A184,'Data Vlaue (Cr)'!$C:$FB,2)</f>
        <v>375</v>
      </c>
      <c r="C184" s="75">
        <f>VLOOKUP($A184,'Data Vlaue (Cr)'!$C:$FB,8)</f>
        <v>1945</v>
      </c>
      <c r="D184" s="75">
        <f>VLOOKUP($A184,'Data Vlaue (Cr)'!$C:$FB,4)</f>
        <v>1946.2</v>
      </c>
      <c r="E184" s="75">
        <f>VLOOKUP($A184,'Data Vlaue (Cr)'!$C:$FB,5)</f>
        <v>1936.5</v>
      </c>
      <c r="F184" s="75">
        <f t="shared" si="18"/>
        <v>1.2000000000000455</v>
      </c>
      <c r="G184" s="75">
        <f t="shared" si="19"/>
        <v>0.49840715239955019</v>
      </c>
      <c r="H184" s="75">
        <f>VLOOKUP($A184,'Data Vlaue (Cr)'!$C:$FB,99)</f>
        <v>2574</v>
      </c>
      <c r="I184" s="75">
        <f>VLOOKUP($A184,'Data Vlaue (Cr)'!$C:$FB,100)</f>
        <v>2439</v>
      </c>
      <c r="J184" s="75">
        <f t="shared" si="20"/>
        <v>135</v>
      </c>
      <c r="K184" s="75">
        <f t="shared" si="21"/>
        <v>5.244755244755245</v>
      </c>
      <c r="L184" s="75">
        <f>VLOOKUP($A184,'Data Vlaue (Cr)'!$C:$FB,67)</f>
        <v>1532</v>
      </c>
      <c r="M184" s="75">
        <f>VLOOKUP($A184,'Data Vlaue (Cr)'!$C:$FB,68)</f>
        <v>1322</v>
      </c>
      <c r="N184" s="75">
        <f t="shared" si="22"/>
        <v>210</v>
      </c>
      <c r="O184" s="75">
        <f t="shared" si="23"/>
        <v>13.707571801566578</v>
      </c>
      <c r="P184" s="75">
        <f>VLOOKUP($A184,'Data Vlaue (Cr)'!$C:$FB,119)</f>
        <v>0.42</v>
      </c>
      <c r="Q184" s="75">
        <f>VLOOKUP($A184,'Data Vlaue (Cr)'!$C:$FB,122)*100</f>
        <v>-6.67</v>
      </c>
      <c r="R184" s="75">
        <f>VLOOKUP($A184,'Data Vlaue (Cr)'!$C:$FB,125)</f>
        <v>0.51</v>
      </c>
      <c r="S184" s="75">
        <f>VLOOKUP($A184,'Data Vlaue (Cr)'!$C:$FB,128)*100</f>
        <v>-36.25</v>
      </c>
    </row>
    <row r="185" spans="1:19" x14ac:dyDescent="0.25">
      <c r="A185" s="96" t="str">
        <f>'Data Vlaue (Cr)'!C176</f>
        <v>SBIN</v>
      </c>
      <c r="B185" s="75">
        <f>VLOOKUP($A185,'Data Vlaue (Cr)'!$C:$FB,2)</f>
        <v>750</v>
      </c>
      <c r="C185" s="75">
        <f>VLOOKUP($A185,'Data Vlaue (Cr)'!$C:$FB,8)</f>
        <v>1169.5</v>
      </c>
      <c r="D185" s="75">
        <f>VLOOKUP($A185,'Data Vlaue (Cr)'!$C:$FB,4)</f>
        <v>1174.5</v>
      </c>
      <c r="E185" s="75">
        <f>VLOOKUP($A185,'Data Vlaue (Cr)'!$C:$FB,5)</f>
        <v>1179.8</v>
      </c>
      <c r="F185" s="75">
        <f t="shared" si="18"/>
        <v>5</v>
      </c>
      <c r="G185" s="75">
        <f t="shared" si="19"/>
        <v>-0.45125585355470021</v>
      </c>
      <c r="H185" s="75">
        <f>VLOOKUP($A185,'Data Vlaue (Cr)'!$C:$FB,99)</f>
        <v>15090</v>
      </c>
      <c r="I185" s="75">
        <f>VLOOKUP($A185,'Data Vlaue (Cr)'!$C:$FB,100)</f>
        <v>14498</v>
      </c>
      <c r="J185" s="75">
        <f t="shared" si="20"/>
        <v>592</v>
      </c>
      <c r="K185" s="75">
        <f t="shared" si="21"/>
        <v>3.9231278992710403</v>
      </c>
      <c r="L185" s="75">
        <f>VLOOKUP($A185,'Data Vlaue (Cr)'!$C:$FB,67)</f>
        <v>16520</v>
      </c>
      <c r="M185" s="75">
        <f>VLOOKUP($A185,'Data Vlaue (Cr)'!$C:$FB,68)</f>
        <v>20269</v>
      </c>
      <c r="N185" s="75">
        <f t="shared" si="22"/>
        <v>-3749</v>
      </c>
      <c r="O185" s="75">
        <f t="shared" si="23"/>
        <v>-22.69370460048426</v>
      </c>
      <c r="P185" s="75">
        <f>VLOOKUP($A185,'Data Vlaue (Cr)'!$C:$FB,119)</f>
        <v>0.8</v>
      </c>
      <c r="Q185" s="75">
        <f>VLOOKUP($A185,'Data Vlaue (Cr)'!$C:$FB,122)*100</f>
        <v>-14.89</v>
      </c>
      <c r="R185" s="75">
        <f>VLOOKUP($A185,'Data Vlaue (Cr)'!$C:$FB,125)</f>
        <v>0.79</v>
      </c>
      <c r="S185" s="75">
        <f>VLOOKUP($A185,'Data Vlaue (Cr)'!$C:$FB,128)*100</f>
        <v>-33.61</v>
      </c>
    </row>
    <row r="186" spans="1:19" x14ac:dyDescent="0.25">
      <c r="A186" s="96" t="str">
        <f>'Data Vlaue (Cr)'!C177</f>
        <v>SHREECEM</v>
      </c>
      <c r="B186" s="75">
        <f>VLOOKUP($A186,'Data Vlaue (Cr)'!$C:$FB,2)</f>
        <v>25</v>
      </c>
      <c r="C186" s="75">
        <f>VLOOKUP($A186,'Data Vlaue (Cr)'!$C:$FB,8)</f>
        <v>25200</v>
      </c>
      <c r="D186" s="75">
        <f>VLOOKUP($A186,'Data Vlaue (Cr)'!$C:$FB,4)</f>
        <v>25175</v>
      </c>
      <c r="E186" s="75">
        <f>VLOOKUP($A186,'Data Vlaue (Cr)'!$C:$FB,5)</f>
        <v>25010</v>
      </c>
      <c r="F186" s="75">
        <f t="shared" ref="F186:F193" si="24">D186-C186</f>
        <v>-25</v>
      </c>
      <c r="G186" s="75">
        <f t="shared" ref="G186:G193" si="25">(D186-E186)/D186*100</f>
        <v>0.65541211519364451</v>
      </c>
      <c r="H186" s="75">
        <f>VLOOKUP($A186,'Data Vlaue (Cr)'!$C:$FB,99)</f>
        <v>1119</v>
      </c>
      <c r="I186" s="75">
        <f>VLOOKUP($A186,'Data Vlaue (Cr)'!$C:$FB,100)</f>
        <v>1103</v>
      </c>
      <c r="J186" s="75">
        <f t="shared" ref="J186:J193" si="26">H186-I186</f>
        <v>16</v>
      </c>
      <c r="K186" s="75">
        <f t="shared" ref="K186:K193" si="27">J186/H186*100</f>
        <v>1.4298480786416443</v>
      </c>
      <c r="L186" s="75">
        <f>VLOOKUP($A186,'Data Vlaue (Cr)'!$C:$FB,67)</f>
        <v>408</v>
      </c>
      <c r="M186" s="75">
        <f>VLOOKUP($A186,'Data Vlaue (Cr)'!$C:$FB,68)</f>
        <v>413</v>
      </c>
      <c r="N186" s="75">
        <f t="shared" ref="N186:N193" si="28">L186-M186</f>
        <v>-5</v>
      </c>
      <c r="O186" s="75">
        <f t="shared" ref="O186:O193" si="29">N186/L186*100</f>
        <v>-1.2254901960784315</v>
      </c>
      <c r="P186" s="75">
        <f>VLOOKUP($A186,'Data Vlaue (Cr)'!$C:$FB,119)</f>
        <v>0.61</v>
      </c>
      <c r="Q186" s="75">
        <f>VLOOKUP($A186,'Data Vlaue (Cr)'!$C:$FB,122)*100</f>
        <v>-10.290000000000001</v>
      </c>
      <c r="R186" s="75">
        <f>VLOOKUP($A186,'Data Vlaue (Cr)'!$C:$FB,125)</f>
        <v>0.38</v>
      </c>
      <c r="S186" s="75">
        <f>VLOOKUP($A186,'Data Vlaue (Cr)'!$C:$FB,128)*100</f>
        <v>-26.919999999999998</v>
      </c>
    </row>
    <row r="187" spans="1:19" x14ac:dyDescent="0.25">
      <c r="A187" s="96" t="str">
        <f>'Data Vlaue (Cr)'!C178</f>
        <v>SHRIRAMFIN</v>
      </c>
      <c r="B187" s="75">
        <f>VLOOKUP($A187,'Data Vlaue (Cr)'!$C:$FB,2)</f>
        <v>825</v>
      </c>
      <c r="C187" s="75">
        <f>VLOOKUP($A187,'Data Vlaue (Cr)'!$C:$FB,8)</f>
        <v>1039.5</v>
      </c>
      <c r="D187" s="75">
        <f>VLOOKUP($A187,'Data Vlaue (Cr)'!$C:$FB,4)</f>
        <v>1041.2</v>
      </c>
      <c r="E187" s="75">
        <f>VLOOKUP($A187,'Data Vlaue (Cr)'!$C:$FB,5)</f>
        <v>1012.7</v>
      </c>
      <c r="F187" s="75">
        <f t="shared" si="24"/>
        <v>1.7000000000000455</v>
      </c>
      <c r="G187" s="75">
        <f t="shared" si="25"/>
        <v>2.7372262773722627</v>
      </c>
      <c r="H187" s="75">
        <f>VLOOKUP($A187,'Data Vlaue (Cr)'!$C:$FB,99)</f>
        <v>5252</v>
      </c>
      <c r="I187" s="75">
        <f>VLOOKUP($A187,'Data Vlaue (Cr)'!$C:$FB,100)</f>
        <v>5228</v>
      </c>
      <c r="J187" s="75">
        <f t="shared" si="26"/>
        <v>24</v>
      </c>
      <c r="K187" s="75">
        <f t="shared" si="27"/>
        <v>0.45696877380045697</v>
      </c>
      <c r="L187" s="75">
        <f>VLOOKUP($A187,'Data Vlaue (Cr)'!$C:$FB,67)</f>
        <v>2896</v>
      </c>
      <c r="M187" s="75">
        <f>VLOOKUP($A187,'Data Vlaue (Cr)'!$C:$FB,68)</f>
        <v>4204</v>
      </c>
      <c r="N187" s="75">
        <f t="shared" si="28"/>
        <v>-1308</v>
      </c>
      <c r="O187" s="75">
        <f t="shared" si="29"/>
        <v>-45.165745856353588</v>
      </c>
      <c r="P187" s="75">
        <f>VLOOKUP($A187,'Data Vlaue (Cr)'!$C:$FB,119)</f>
        <v>0.84</v>
      </c>
      <c r="Q187" s="75">
        <f>VLOOKUP($A187,'Data Vlaue (Cr)'!$C:$FB,122)*100</f>
        <v>3.6999999999999997</v>
      </c>
      <c r="R187" s="75">
        <f>VLOOKUP($A187,'Data Vlaue (Cr)'!$C:$FB,125)</f>
        <v>0.65</v>
      </c>
      <c r="S187" s="75">
        <f>VLOOKUP($A187,'Data Vlaue (Cr)'!$C:$FB,128)*100</f>
        <v>-25.290000000000003</v>
      </c>
    </row>
    <row r="188" spans="1:19" x14ac:dyDescent="0.25">
      <c r="A188" s="96" t="str">
        <f>'Data Vlaue (Cr)'!C179</f>
        <v>SIEMENS</v>
      </c>
      <c r="B188" s="75">
        <f>VLOOKUP($A188,'Data Vlaue (Cr)'!$C:$FB,2)</f>
        <v>175</v>
      </c>
      <c r="C188" s="75">
        <f>VLOOKUP($A188,'Data Vlaue (Cr)'!$C:$FB,8)</f>
        <v>3215.7</v>
      </c>
      <c r="D188" s="75">
        <f>VLOOKUP($A188,'Data Vlaue (Cr)'!$C:$FB,4)</f>
        <v>3230.6</v>
      </c>
      <c r="E188" s="75">
        <f>VLOOKUP($A188,'Data Vlaue (Cr)'!$C:$FB,5)</f>
        <v>3175.8</v>
      </c>
      <c r="F188" s="75">
        <f t="shared" si="24"/>
        <v>14.900000000000091</v>
      </c>
      <c r="G188" s="75">
        <f t="shared" si="25"/>
        <v>1.6962793289172207</v>
      </c>
      <c r="H188" s="75">
        <f>VLOOKUP($A188,'Data Vlaue (Cr)'!$C:$FB,99)</f>
        <v>1506</v>
      </c>
      <c r="I188" s="75">
        <f>VLOOKUP($A188,'Data Vlaue (Cr)'!$C:$FB,100)</f>
        <v>1512</v>
      </c>
      <c r="J188" s="75">
        <f t="shared" si="26"/>
        <v>-6</v>
      </c>
      <c r="K188" s="75">
        <f t="shared" si="27"/>
        <v>-0.39840637450199201</v>
      </c>
      <c r="L188" s="75">
        <f>VLOOKUP($A188,'Data Vlaue (Cr)'!$C:$FB,67)</f>
        <v>962</v>
      </c>
      <c r="M188" s="75">
        <f>VLOOKUP($A188,'Data Vlaue (Cr)'!$C:$FB,68)</f>
        <v>1432</v>
      </c>
      <c r="N188" s="75">
        <f t="shared" si="28"/>
        <v>-470</v>
      </c>
      <c r="O188" s="75">
        <f t="shared" si="29"/>
        <v>-48.856548856548862</v>
      </c>
      <c r="P188" s="75">
        <f>VLOOKUP($A188,'Data Vlaue (Cr)'!$C:$FB,119)</f>
        <v>0.5</v>
      </c>
      <c r="Q188" s="75">
        <f>VLOOKUP($A188,'Data Vlaue (Cr)'!$C:$FB,122)*100</f>
        <v>-3.85</v>
      </c>
      <c r="R188" s="75">
        <f>VLOOKUP($A188,'Data Vlaue (Cr)'!$C:$FB,125)</f>
        <v>0.37</v>
      </c>
      <c r="S188" s="75">
        <f>VLOOKUP($A188,'Data Vlaue (Cr)'!$C:$FB,128)*100</f>
        <v>-45.59</v>
      </c>
    </row>
    <row r="189" spans="1:19" x14ac:dyDescent="0.25">
      <c r="A189" s="96" t="str">
        <f>'Data Vlaue (Cr)'!C180</f>
        <v>SOLARINDS</v>
      </c>
      <c r="B189" s="75">
        <f>VLOOKUP($A189,'Data Vlaue (Cr)'!$C:$FB,2)</f>
        <v>50</v>
      </c>
      <c r="C189" s="75">
        <f>VLOOKUP($A189,'Data Vlaue (Cr)'!$C:$FB,8)</f>
        <v>14671</v>
      </c>
      <c r="D189" s="75">
        <f>VLOOKUP($A189,'Data Vlaue (Cr)'!$C:$FB,4)</f>
        <v>14729</v>
      </c>
      <c r="E189" s="75">
        <f>VLOOKUP($A189,'Data Vlaue (Cr)'!$C:$FB,5)</f>
        <v>14550</v>
      </c>
      <c r="F189" s="75">
        <f t="shared" si="24"/>
        <v>58</v>
      </c>
      <c r="G189" s="75">
        <f t="shared" si="25"/>
        <v>1.215289564804128</v>
      </c>
      <c r="H189" s="75">
        <f>VLOOKUP($A189,'Data Vlaue (Cr)'!$C:$FB,99)</f>
        <v>1809</v>
      </c>
      <c r="I189" s="75">
        <f>VLOOKUP($A189,'Data Vlaue (Cr)'!$C:$FB,100)</f>
        <v>1756</v>
      </c>
      <c r="J189" s="75">
        <f t="shared" si="26"/>
        <v>53</v>
      </c>
      <c r="K189" s="75">
        <f t="shared" si="27"/>
        <v>2.9297954671088999</v>
      </c>
      <c r="L189" s="75">
        <f>VLOOKUP($A189,'Data Vlaue (Cr)'!$C:$FB,67)</f>
        <v>2933</v>
      </c>
      <c r="M189" s="75">
        <f>VLOOKUP($A189,'Data Vlaue (Cr)'!$C:$FB,68)</f>
        <v>5242</v>
      </c>
      <c r="N189" s="75">
        <f t="shared" si="28"/>
        <v>-2309</v>
      </c>
      <c r="O189" s="75">
        <f t="shared" si="29"/>
        <v>-78.724855097170135</v>
      </c>
      <c r="P189" s="75">
        <f>VLOOKUP($A189,'Data Vlaue (Cr)'!$C:$FB,119)</f>
        <v>0.81</v>
      </c>
      <c r="Q189" s="75">
        <f>VLOOKUP($A189,'Data Vlaue (Cr)'!$C:$FB,122)*100</f>
        <v>-1.22</v>
      </c>
      <c r="R189" s="75">
        <f>VLOOKUP($A189,'Data Vlaue (Cr)'!$C:$FB,125)</f>
        <v>0.36</v>
      </c>
      <c r="S189" s="75">
        <f>VLOOKUP($A189,'Data Vlaue (Cr)'!$C:$FB,128)*100</f>
        <v>38.46</v>
      </c>
    </row>
    <row r="190" spans="1:19" x14ac:dyDescent="0.25">
      <c r="A190" s="96" t="str">
        <f>'Data Vlaue (Cr)'!C181</f>
        <v>SONACOMS</v>
      </c>
      <c r="B190" s="75">
        <f>VLOOKUP($A190,'Data Vlaue (Cr)'!$C:$FB,2)</f>
        <v>1225</v>
      </c>
      <c r="C190" s="75">
        <f>VLOOKUP($A190,'Data Vlaue (Cr)'!$C:$FB,8)</f>
        <v>510.95</v>
      </c>
      <c r="D190" s="75">
        <f>VLOOKUP($A190,'Data Vlaue (Cr)'!$C:$FB,4)</f>
        <v>512.65</v>
      </c>
      <c r="E190" s="75">
        <f>VLOOKUP($A190,'Data Vlaue (Cr)'!$C:$FB,5)</f>
        <v>502.35</v>
      </c>
      <c r="F190" s="75">
        <f t="shared" si="24"/>
        <v>1.6999999999999886</v>
      </c>
      <c r="G190" s="75">
        <f t="shared" si="25"/>
        <v>2.0091680483760763</v>
      </c>
      <c r="H190" s="75">
        <f>VLOOKUP($A190,'Data Vlaue (Cr)'!$C:$FB,99)</f>
        <v>940</v>
      </c>
      <c r="I190" s="75">
        <f>VLOOKUP($A190,'Data Vlaue (Cr)'!$C:$FB,100)</f>
        <v>907</v>
      </c>
      <c r="J190" s="75">
        <f t="shared" si="26"/>
        <v>33</v>
      </c>
      <c r="K190" s="75">
        <f t="shared" si="27"/>
        <v>3.5106382978723407</v>
      </c>
      <c r="L190" s="75">
        <f>VLOOKUP($A190,'Data Vlaue (Cr)'!$C:$FB,67)</f>
        <v>275</v>
      </c>
      <c r="M190" s="75">
        <f>VLOOKUP($A190,'Data Vlaue (Cr)'!$C:$FB,68)</f>
        <v>309</v>
      </c>
      <c r="N190" s="75">
        <f t="shared" si="28"/>
        <v>-34</v>
      </c>
      <c r="O190" s="75">
        <f t="shared" si="29"/>
        <v>-12.363636363636363</v>
      </c>
      <c r="P190" s="75">
        <f>VLOOKUP($A190,'Data Vlaue (Cr)'!$C:$FB,119)</f>
        <v>0.81</v>
      </c>
      <c r="Q190" s="75">
        <f>VLOOKUP($A190,'Data Vlaue (Cr)'!$C:$FB,122)*100</f>
        <v>26.56</v>
      </c>
      <c r="R190" s="75">
        <f>VLOOKUP($A190,'Data Vlaue (Cr)'!$C:$FB,125)</f>
        <v>1.4</v>
      </c>
      <c r="S190" s="75">
        <f>VLOOKUP($A190,'Data Vlaue (Cr)'!$C:$FB,128)*100</f>
        <v>100</v>
      </c>
    </row>
    <row r="191" spans="1:19" x14ac:dyDescent="0.25">
      <c r="A191" s="96" t="str">
        <f>'Data Vlaue (Cr)'!C182</f>
        <v>SRF</v>
      </c>
      <c r="B191" s="75">
        <f>VLOOKUP($A191,'Data Vlaue (Cr)'!$C:$FB,2)</f>
        <v>200</v>
      </c>
      <c r="C191" s="75">
        <f>VLOOKUP($A191,'Data Vlaue (Cr)'!$C:$FB,8)</f>
        <v>2563.1</v>
      </c>
      <c r="D191" s="75">
        <f>VLOOKUP($A191,'Data Vlaue (Cr)'!$C:$FB,4)</f>
        <v>2575.6</v>
      </c>
      <c r="E191" s="75">
        <f>VLOOKUP($A191,'Data Vlaue (Cr)'!$C:$FB,5)</f>
        <v>2541.6999999999998</v>
      </c>
      <c r="F191" s="75">
        <f t="shared" si="24"/>
        <v>12.5</v>
      </c>
      <c r="G191" s="75">
        <f t="shared" si="25"/>
        <v>1.3161981674173044</v>
      </c>
      <c r="H191" s="75">
        <f>VLOOKUP($A191,'Data Vlaue (Cr)'!$C:$FB,99)</f>
        <v>1558</v>
      </c>
      <c r="I191" s="75">
        <f>VLOOKUP($A191,'Data Vlaue (Cr)'!$C:$FB,100)</f>
        <v>1575</v>
      </c>
      <c r="J191" s="75">
        <f t="shared" si="26"/>
        <v>-17</v>
      </c>
      <c r="K191" s="75">
        <f t="shared" si="27"/>
        <v>-1.0911424903722722</v>
      </c>
      <c r="L191" s="75">
        <f>VLOOKUP($A191,'Data Vlaue (Cr)'!$C:$FB,67)</f>
        <v>395</v>
      </c>
      <c r="M191" s="75">
        <f>VLOOKUP($A191,'Data Vlaue (Cr)'!$C:$FB,68)</f>
        <v>638</v>
      </c>
      <c r="N191" s="75">
        <f t="shared" si="28"/>
        <v>-243</v>
      </c>
      <c r="O191" s="75">
        <f t="shared" si="29"/>
        <v>-61.518987341772146</v>
      </c>
      <c r="P191" s="75">
        <f>VLOOKUP($A191,'Data Vlaue (Cr)'!$C:$FB,119)</f>
        <v>0.8</v>
      </c>
      <c r="Q191" s="75">
        <f>VLOOKUP($A191,'Data Vlaue (Cr)'!$C:$FB,122)*100</f>
        <v>-2.44</v>
      </c>
      <c r="R191" s="75">
        <f>VLOOKUP($A191,'Data Vlaue (Cr)'!$C:$FB,125)</f>
        <v>0.48</v>
      </c>
      <c r="S191" s="75">
        <f>VLOOKUP($A191,'Data Vlaue (Cr)'!$C:$FB,128)*100</f>
        <v>-9.43</v>
      </c>
    </row>
    <row r="192" spans="1:19" x14ac:dyDescent="0.25">
      <c r="A192" s="96" t="str">
        <f>'Data Vlaue (Cr)'!C183</f>
        <v>SUNPHARMA</v>
      </c>
      <c r="B192" s="75">
        <f>VLOOKUP($A192,'Data Vlaue (Cr)'!$C:$FB,2)</f>
        <v>350</v>
      </c>
      <c r="C192" s="75">
        <f>VLOOKUP($A192,'Data Vlaue (Cr)'!$C:$FB,8)</f>
        <v>1784.5</v>
      </c>
      <c r="D192" s="75">
        <f>VLOOKUP($A192,'Data Vlaue (Cr)'!$C:$FB,4)</f>
        <v>1790.1</v>
      </c>
      <c r="E192" s="75">
        <f>VLOOKUP($A192,'Data Vlaue (Cr)'!$C:$FB,5)</f>
        <v>1755</v>
      </c>
      <c r="F192" s="75">
        <f t="shared" si="24"/>
        <v>5.5999999999999091</v>
      </c>
      <c r="G192" s="75">
        <f t="shared" si="25"/>
        <v>1.9607843137254852</v>
      </c>
      <c r="H192" s="75">
        <f>VLOOKUP($A192,'Data Vlaue (Cr)'!$C:$FB,99)</f>
        <v>5917</v>
      </c>
      <c r="I192" s="75">
        <f>VLOOKUP($A192,'Data Vlaue (Cr)'!$C:$FB,100)</f>
        <v>5638</v>
      </c>
      <c r="J192" s="75">
        <f t="shared" si="26"/>
        <v>279</v>
      </c>
      <c r="K192" s="75">
        <f t="shared" si="27"/>
        <v>4.7152273111374008</v>
      </c>
      <c r="L192" s="75">
        <f>VLOOKUP($A192,'Data Vlaue (Cr)'!$C:$FB,67)</f>
        <v>4063</v>
      </c>
      <c r="M192" s="75">
        <f>VLOOKUP($A192,'Data Vlaue (Cr)'!$C:$FB,68)</f>
        <v>3612</v>
      </c>
      <c r="N192" s="75">
        <f t="shared" si="28"/>
        <v>451</v>
      </c>
      <c r="O192" s="75">
        <f t="shared" si="29"/>
        <v>11.100172286487817</v>
      </c>
      <c r="P192" s="75">
        <f>VLOOKUP($A192,'Data Vlaue (Cr)'!$C:$FB,119)</f>
        <v>0.55000000000000004</v>
      </c>
      <c r="Q192" s="75">
        <f>VLOOKUP($A192,'Data Vlaue (Cr)'!$C:$FB,122)*100</f>
        <v>14.580000000000002</v>
      </c>
      <c r="R192" s="75">
        <f>VLOOKUP($A192,'Data Vlaue (Cr)'!$C:$FB,125)</f>
        <v>0.52</v>
      </c>
      <c r="S192" s="75">
        <f>VLOOKUP($A192,'Data Vlaue (Cr)'!$C:$FB,128)*100</f>
        <v>-10.34</v>
      </c>
    </row>
    <row r="193" spans="1:19" x14ac:dyDescent="0.25">
      <c r="A193" s="96" t="str">
        <f>'Data Vlaue (Cr)'!C184</f>
        <v>SUPREMEIND</v>
      </c>
      <c r="B193" s="75">
        <f>VLOOKUP($A193,'Data Vlaue (Cr)'!$C:$FB,2)</f>
        <v>175</v>
      </c>
      <c r="C193" s="75">
        <f>VLOOKUP($A193,'Data Vlaue (Cr)'!$C:$FB,8)</f>
        <v>3950.2</v>
      </c>
      <c r="D193" s="75">
        <f>VLOOKUP($A193,'Data Vlaue (Cr)'!$C:$FB,4)</f>
        <v>3961.9</v>
      </c>
      <c r="E193" s="75">
        <f>VLOOKUP($A193,'Data Vlaue (Cr)'!$C:$FB,5)</f>
        <v>3910</v>
      </c>
      <c r="F193" s="75">
        <f t="shared" si="24"/>
        <v>11.700000000000273</v>
      </c>
      <c r="G193" s="75">
        <f t="shared" si="25"/>
        <v>1.3099775360306947</v>
      </c>
      <c r="H193" s="75">
        <f>VLOOKUP($A193,'Data Vlaue (Cr)'!$C:$FB,99)</f>
        <v>834</v>
      </c>
      <c r="I193" s="75">
        <f>VLOOKUP($A193,'Data Vlaue (Cr)'!$C:$FB,100)</f>
        <v>809</v>
      </c>
      <c r="J193" s="75">
        <f t="shared" si="26"/>
        <v>25</v>
      </c>
      <c r="K193" s="75">
        <f t="shared" si="27"/>
        <v>2.9976019184652278</v>
      </c>
      <c r="L193" s="75">
        <f>VLOOKUP($A193,'Data Vlaue (Cr)'!$C:$FB,67)</f>
        <v>366</v>
      </c>
      <c r="M193" s="75">
        <f>VLOOKUP($A193,'Data Vlaue (Cr)'!$C:$FB,68)</f>
        <v>391</v>
      </c>
      <c r="N193" s="75">
        <f t="shared" si="28"/>
        <v>-25</v>
      </c>
      <c r="O193" s="75">
        <f t="shared" si="29"/>
        <v>-6.8306010928961758</v>
      </c>
      <c r="P193" s="75">
        <f>VLOOKUP($A193,'Data Vlaue (Cr)'!$C:$FB,119)</f>
        <v>0.4</v>
      </c>
      <c r="Q193" s="75">
        <f>VLOOKUP($A193,'Data Vlaue (Cr)'!$C:$FB,122)*100</f>
        <v>-4.7600000000000007</v>
      </c>
      <c r="R193" s="75">
        <f>VLOOKUP($A193,'Data Vlaue (Cr)'!$C:$FB,125)</f>
        <v>0.32</v>
      </c>
      <c r="S193" s="75">
        <f>VLOOKUP($A193,'Data Vlaue (Cr)'!$C:$FB,128)*100</f>
        <v>-13.51</v>
      </c>
    </row>
    <row r="194" spans="1:19" ht="13.9" customHeight="1" x14ac:dyDescent="0.25">
      <c r="A194" s="96" t="str">
        <f>'Data Vlaue (Cr)'!C185</f>
        <v>SUZLON</v>
      </c>
      <c r="B194" s="75">
        <f>VLOOKUP($A194,'Data Vlaue (Cr)'!$C:$FB,2)</f>
        <v>9025</v>
      </c>
      <c r="C194" s="75">
        <f>VLOOKUP($A194,'Data Vlaue (Cr)'!$C:$FB,8)</f>
        <v>40.25</v>
      </c>
      <c r="D194" s="75">
        <f>VLOOKUP($A194,'Data Vlaue (Cr)'!$C:$FB,4)</f>
        <v>40.42</v>
      </c>
      <c r="E194" s="75">
        <f>VLOOKUP($A194,'Data Vlaue (Cr)'!$C:$FB,5)</f>
        <v>40.1</v>
      </c>
      <c r="F194" s="75">
        <f t="shared" ref="F194:F214" si="30">D194-C194</f>
        <v>0.17000000000000171</v>
      </c>
      <c r="G194" s="75">
        <f t="shared" ref="G194:G214" si="31">(D194-E194)/D194*100</f>
        <v>0.79168728352300899</v>
      </c>
      <c r="H194" s="75">
        <f>VLOOKUP($A194,'Data Vlaue (Cr)'!$C:$FB,99)</f>
        <v>2330</v>
      </c>
      <c r="I194" s="75">
        <f>VLOOKUP($A194,'Data Vlaue (Cr)'!$C:$FB,100)</f>
        <v>2181</v>
      </c>
      <c r="J194" s="75">
        <f t="shared" ref="J194:J214" si="32">H194-I194</f>
        <v>149</v>
      </c>
      <c r="K194" s="75">
        <f t="shared" ref="K194:K214" si="33">J194/H194*100</f>
        <v>6.3948497854077244</v>
      </c>
      <c r="L194" s="75">
        <f>VLOOKUP($A194,'Data Vlaue (Cr)'!$C:$FB,67)</f>
        <v>1099</v>
      </c>
      <c r="M194" s="75">
        <f>VLOOKUP($A194,'Data Vlaue (Cr)'!$C:$FB,68)</f>
        <v>801</v>
      </c>
      <c r="N194" s="75">
        <f t="shared" ref="N194:N214" si="34">L194-M194</f>
        <v>298</v>
      </c>
      <c r="O194" s="75">
        <f t="shared" ref="O194:O214" si="35">N194/L194*100</f>
        <v>27.115559599636036</v>
      </c>
      <c r="P194" s="75">
        <f>VLOOKUP($A194,'Data Vlaue (Cr)'!$C:$FB,119)</f>
        <v>0.4</v>
      </c>
      <c r="Q194" s="75">
        <f>VLOOKUP($A194,'Data Vlaue (Cr)'!$C:$FB,122)*100</f>
        <v>-20</v>
      </c>
      <c r="R194" s="75">
        <f>VLOOKUP($A194,'Data Vlaue (Cr)'!$C:$FB,125)</f>
        <v>0.2</v>
      </c>
      <c r="S194" s="75">
        <f>VLOOKUP($A194,'Data Vlaue (Cr)'!$C:$FB,128)*100</f>
        <v>-62.260000000000005</v>
      </c>
    </row>
    <row r="195" spans="1:19" x14ac:dyDescent="0.25">
      <c r="A195" s="96" t="str">
        <f>'Data Vlaue (Cr)'!C186</f>
        <v>SWIGGY</v>
      </c>
      <c r="B195" s="75">
        <f>VLOOKUP($A195,'Data Vlaue (Cr)'!$C:$FB,2)</f>
        <v>1300</v>
      </c>
      <c r="C195" s="75">
        <f>VLOOKUP($A195,'Data Vlaue (Cr)'!$C:$FB,8)</f>
        <v>298.39999999999998</v>
      </c>
      <c r="D195" s="75">
        <f>VLOOKUP($A195,'Data Vlaue (Cr)'!$C:$FB,4)</f>
        <v>298.05</v>
      </c>
      <c r="E195" s="75">
        <f>VLOOKUP($A195,'Data Vlaue (Cr)'!$C:$FB,5)</f>
        <v>294.7</v>
      </c>
      <c r="F195" s="75">
        <f t="shared" si="30"/>
        <v>-0.34999999999996589</v>
      </c>
      <c r="G195" s="75">
        <f t="shared" si="31"/>
        <v>1.1239724878376187</v>
      </c>
      <c r="H195" s="75">
        <f>VLOOKUP($A195,'Data Vlaue (Cr)'!$C:$FB,99)</f>
        <v>1853</v>
      </c>
      <c r="I195" s="75">
        <f>VLOOKUP($A195,'Data Vlaue (Cr)'!$C:$FB,100)</f>
        <v>1841</v>
      </c>
      <c r="J195" s="75">
        <f t="shared" si="32"/>
        <v>12</v>
      </c>
      <c r="K195" s="75">
        <f t="shared" si="33"/>
        <v>0.64759848893685912</v>
      </c>
      <c r="L195" s="75">
        <f>VLOOKUP($A195,'Data Vlaue (Cr)'!$C:$FB,67)</f>
        <v>558</v>
      </c>
      <c r="M195" s="75">
        <f>VLOOKUP($A195,'Data Vlaue (Cr)'!$C:$FB,68)</f>
        <v>967</v>
      </c>
      <c r="N195" s="75">
        <f t="shared" si="34"/>
        <v>-409</v>
      </c>
      <c r="O195" s="75">
        <f t="shared" si="35"/>
        <v>-73.297491039426518</v>
      </c>
      <c r="P195" s="75">
        <f>VLOOKUP($A195,'Data Vlaue (Cr)'!$C:$FB,119)</f>
        <v>0.81</v>
      </c>
      <c r="Q195" s="75">
        <f>VLOOKUP($A195,'Data Vlaue (Cr)'!$C:$FB,122)*100</f>
        <v>2.5299999999999998</v>
      </c>
      <c r="R195" s="75">
        <f>VLOOKUP($A195,'Data Vlaue (Cr)'!$C:$FB,125)</f>
        <v>0.73</v>
      </c>
      <c r="S195" s="75">
        <f>VLOOKUP($A195,'Data Vlaue (Cr)'!$C:$FB,128)*100</f>
        <v>43.14</v>
      </c>
    </row>
    <row r="196" spans="1:19" x14ac:dyDescent="0.25">
      <c r="A196" s="96" t="str">
        <f>'Data Vlaue (Cr)'!C187</f>
        <v>SYNGENE</v>
      </c>
      <c r="B196" s="75">
        <f>VLOOKUP($A196,'Data Vlaue (Cr)'!$C:$FB,2)</f>
        <v>1000</v>
      </c>
      <c r="C196" s="75">
        <f>VLOOKUP($A196,'Data Vlaue (Cr)'!$C:$FB,8)</f>
        <v>403.7</v>
      </c>
      <c r="D196" s="75">
        <f>VLOOKUP($A196,'Data Vlaue (Cr)'!$C:$FB,4)</f>
        <v>405.8</v>
      </c>
      <c r="E196" s="75">
        <f>VLOOKUP($A196,'Data Vlaue (Cr)'!$C:$FB,5)</f>
        <v>401.55</v>
      </c>
      <c r="F196" s="75">
        <f t="shared" si="30"/>
        <v>2.1000000000000227</v>
      </c>
      <c r="G196" s="75">
        <f t="shared" si="31"/>
        <v>1.047313947757516</v>
      </c>
      <c r="H196" s="75">
        <f>VLOOKUP($A196,'Data Vlaue (Cr)'!$C:$FB,99)</f>
        <v>669</v>
      </c>
      <c r="I196" s="75">
        <f>VLOOKUP($A196,'Data Vlaue (Cr)'!$C:$FB,100)</f>
        <v>653</v>
      </c>
      <c r="J196" s="75">
        <f t="shared" si="32"/>
        <v>16</v>
      </c>
      <c r="K196" s="75">
        <f t="shared" si="33"/>
        <v>2.391629297458894</v>
      </c>
      <c r="L196" s="75">
        <f>VLOOKUP($A196,'Data Vlaue (Cr)'!$C:$FB,67)</f>
        <v>158</v>
      </c>
      <c r="M196" s="75">
        <f>VLOOKUP($A196,'Data Vlaue (Cr)'!$C:$FB,68)</f>
        <v>212</v>
      </c>
      <c r="N196" s="75">
        <f t="shared" si="34"/>
        <v>-54</v>
      </c>
      <c r="O196" s="75">
        <f t="shared" si="35"/>
        <v>-34.177215189873415</v>
      </c>
      <c r="P196" s="75">
        <f>VLOOKUP($A196,'Data Vlaue (Cr)'!$C:$FB,119)</f>
        <v>0.57999999999999996</v>
      </c>
      <c r="Q196" s="75">
        <f>VLOOKUP($A196,'Data Vlaue (Cr)'!$C:$FB,122)*100</f>
        <v>-7.9399999999999995</v>
      </c>
      <c r="R196" s="75">
        <f>VLOOKUP($A196,'Data Vlaue (Cr)'!$C:$FB,125)</f>
        <v>0.37</v>
      </c>
      <c r="S196" s="75">
        <f>VLOOKUP($A196,'Data Vlaue (Cr)'!$C:$FB,128)*100</f>
        <v>-22.919999999999998</v>
      </c>
    </row>
    <row r="197" spans="1:19" x14ac:dyDescent="0.25">
      <c r="A197" s="96" t="str">
        <f>'Data Vlaue (Cr)'!C188</f>
        <v>TATACONSUM</v>
      </c>
      <c r="B197" s="75">
        <f>VLOOKUP($A197,'Data Vlaue (Cr)'!$C:$FB,2)</f>
        <v>550</v>
      </c>
      <c r="C197" s="75">
        <f>VLOOKUP($A197,'Data Vlaue (Cr)'!$C:$FB,8)</f>
        <v>1119.0999999999999</v>
      </c>
      <c r="D197" s="75">
        <f>VLOOKUP($A197,'Data Vlaue (Cr)'!$C:$FB,4)</f>
        <v>1121.7</v>
      </c>
      <c r="E197" s="75">
        <f>VLOOKUP($A197,'Data Vlaue (Cr)'!$C:$FB,5)</f>
        <v>1115</v>
      </c>
      <c r="F197" s="75">
        <f t="shared" si="30"/>
        <v>2.6000000000001364</v>
      </c>
      <c r="G197" s="75">
        <f t="shared" si="31"/>
        <v>0.59730765801908225</v>
      </c>
      <c r="H197" s="75">
        <f>VLOOKUP($A197,'Data Vlaue (Cr)'!$C:$FB,99)</f>
        <v>1903</v>
      </c>
      <c r="I197" s="75">
        <f>VLOOKUP($A197,'Data Vlaue (Cr)'!$C:$FB,100)</f>
        <v>1885</v>
      </c>
      <c r="J197" s="75">
        <f t="shared" si="32"/>
        <v>18</v>
      </c>
      <c r="K197" s="75">
        <f t="shared" si="33"/>
        <v>0.94587493431424075</v>
      </c>
      <c r="L197" s="75">
        <f>VLOOKUP($A197,'Data Vlaue (Cr)'!$C:$FB,67)</f>
        <v>430</v>
      </c>
      <c r="M197" s="75">
        <f>VLOOKUP($A197,'Data Vlaue (Cr)'!$C:$FB,68)</f>
        <v>481</v>
      </c>
      <c r="N197" s="75">
        <f t="shared" si="34"/>
        <v>-51</v>
      </c>
      <c r="O197" s="75">
        <f t="shared" si="35"/>
        <v>-11.86046511627907</v>
      </c>
      <c r="P197" s="75">
        <f>VLOOKUP($A197,'Data Vlaue (Cr)'!$C:$FB,119)</f>
        <v>0.61</v>
      </c>
      <c r="Q197" s="75">
        <f>VLOOKUP($A197,'Data Vlaue (Cr)'!$C:$FB,122)*100</f>
        <v>-3.17</v>
      </c>
      <c r="R197" s="75">
        <f>VLOOKUP($A197,'Data Vlaue (Cr)'!$C:$FB,125)</f>
        <v>0.63</v>
      </c>
      <c r="S197" s="75">
        <f>VLOOKUP($A197,'Data Vlaue (Cr)'!$C:$FB,128)*100</f>
        <v>-40.57</v>
      </c>
    </row>
    <row r="198" spans="1:19" x14ac:dyDescent="0.25">
      <c r="A198" s="96" t="str">
        <f>'Data Vlaue (Cr)'!C189</f>
        <v>TATAELXSI</v>
      </c>
      <c r="B198" s="75">
        <f>VLOOKUP($A198,'Data Vlaue (Cr)'!$C:$FB,2)</f>
        <v>100</v>
      </c>
      <c r="C198" s="75">
        <f>VLOOKUP($A198,'Data Vlaue (Cr)'!$C:$FB,8)</f>
        <v>4400</v>
      </c>
      <c r="D198" s="75">
        <f>VLOOKUP($A198,'Data Vlaue (Cr)'!$C:$FB,4)</f>
        <v>4380</v>
      </c>
      <c r="E198" s="75">
        <f>VLOOKUP($A198,'Data Vlaue (Cr)'!$C:$FB,5)</f>
        <v>4365</v>
      </c>
      <c r="F198" s="75">
        <f t="shared" si="30"/>
        <v>-20</v>
      </c>
      <c r="G198" s="75">
        <f t="shared" si="31"/>
        <v>0.34246575342465752</v>
      </c>
      <c r="H198" s="75">
        <f>VLOOKUP($A198,'Data Vlaue (Cr)'!$C:$FB,99)</f>
        <v>1631</v>
      </c>
      <c r="I198" s="75">
        <f>VLOOKUP($A198,'Data Vlaue (Cr)'!$C:$FB,100)</f>
        <v>1591</v>
      </c>
      <c r="J198" s="75">
        <f t="shared" si="32"/>
        <v>40</v>
      </c>
      <c r="K198" s="75">
        <f t="shared" si="33"/>
        <v>2.4524831391784181</v>
      </c>
      <c r="L198" s="75">
        <f>VLOOKUP($A198,'Data Vlaue (Cr)'!$C:$FB,67)</f>
        <v>704</v>
      </c>
      <c r="M198" s="75">
        <f>VLOOKUP($A198,'Data Vlaue (Cr)'!$C:$FB,68)</f>
        <v>826</v>
      </c>
      <c r="N198" s="75">
        <f t="shared" si="34"/>
        <v>-122</v>
      </c>
      <c r="O198" s="75">
        <f t="shared" si="35"/>
        <v>-17.329545454545457</v>
      </c>
      <c r="P198" s="75">
        <f>VLOOKUP($A198,'Data Vlaue (Cr)'!$C:$FB,119)</f>
        <v>0.48</v>
      </c>
      <c r="Q198" s="75">
        <f>VLOOKUP($A198,'Data Vlaue (Cr)'!$C:$FB,122)*100</f>
        <v>0</v>
      </c>
      <c r="R198" s="75">
        <f>VLOOKUP($A198,'Data Vlaue (Cr)'!$C:$FB,125)</f>
        <v>0.32</v>
      </c>
      <c r="S198" s="75">
        <f>VLOOKUP($A198,'Data Vlaue (Cr)'!$C:$FB,128)*100</f>
        <v>-48.39</v>
      </c>
    </row>
    <row r="199" spans="1:19" x14ac:dyDescent="0.25">
      <c r="A199" s="96" t="str">
        <f>'Data Vlaue (Cr)'!C190</f>
        <v>TATAPOWER</v>
      </c>
      <c r="B199" s="75">
        <f>VLOOKUP($A199,'Data Vlaue (Cr)'!$C:$FB,2)</f>
        <v>1450</v>
      </c>
      <c r="C199" s="75">
        <f>VLOOKUP($A199,'Data Vlaue (Cr)'!$C:$FB,8)</f>
        <v>376.85</v>
      </c>
      <c r="D199" s="75">
        <f>VLOOKUP($A199,'Data Vlaue (Cr)'!$C:$FB,4)</f>
        <v>378.65</v>
      </c>
      <c r="E199" s="75">
        <f>VLOOKUP($A199,'Data Vlaue (Cr)'!$C:$FB,5)</f>
        <v>367.5</v>
      </c>
      <c r="F199" s="75">
        <f t="shared" si="30"/>
        <v>1.7999999999999545</v>
      </c>
      <c r="G199" s="75">
        <f t="shared" si="31"/>
        <v>2.9446718605572371</v>
      </c>
      <c r="H199" s="75">
        <f>VLOOKUP($A199,'Data Vlaue (Cr)'!$C:$FB,99)</f>
        <v>3812</v>
      </c>
      <c r="I199" s="75">
        <f>VLOOKUP($A199,'Data Vlaue (Cr)'!$C:$FB,100)</f>
        <v>3838</v>
      </c>
      <c r="J199" s="75">
        <f t="shared" si="32"/>
        <v>-26</v>
      </c>
      <c r="K199" s="75">
        <f t="shared" si="33"/>
        <v>-0.6820566631689402</v>
      </c>
      <c r="L199" s="75">
        <f>VLOOKUP($A199,'Data Vlaue (Cr)'!$C:$FB,67)</f>
        <v>2588</v>
      </c>
      <c r="M199" s="75">
        <f>VLOOKUP($A199,'Data Vlaue (Cr)'!$C:$FB,68)</f>
        <v>2188</v>
      </c>
      <c r="N199" s="75">
        <f t="shared" si="34"/>
        <v>400</v>
      </c>
      <c r="O199" s="75">
        <f t="shared" si="35"/>
        <v>15.455950540958268</v>
      </c>
      <c r="P199" s="75">
        <f>VLOOKUP($A199,'Data Vlaue (Cr)'!$C:$FB,119)</f>
        <v>0.72</v>
      </c>
      <c r="Q199" s="75">
        <f>VLOOKUP($A199,'Data Vlaue (Cr)'!$C:$FB,122)*100</f>
        <v>7.46</v>
      </c>
      <c r="R199" s="75">
        <f>VLOOKUP($A199,'Data Vlaue (Cr)'!$C:$FB,125)</f>
        <v>0.5</v>
      </c>
      <c r="S199" s="75">
        <f>VLOOKUP($A199,'Data Vlaue (Cr)'!$C:$FB,128)*100</f>
        <v>-19.350000000000001</v>
      </c>
    </row>
    <row r="200" spans="1:19" x14ac:dyDescent="0.25">
      <c r="A200" s="96" t="str">
        <f>'Data Vlaue (Cr)'!C191</f>
        <v>TATASTEEL</v>
      </c>
      <c r="B200" s="75">
        <f>VLOOKUP($A200,'Data Vlaue (Cr)'!$C:$FB,2)</f>
        <v>5500</v>
      </c>
      <c r="C200" s="75">
        <f>VLOOKUP($A200,'Data Vlaue (Cr)'!$C:$FB,8)</f>
        <v>200.57</v>
      </c>
      <c r="D200" s="75">
        <f>VLOOKUP($A200,'Data Vlaue (Cr)'!$C:$FB,4)</f>
        <v>200.9</v>
      </c>
      <c r="E200" s="75">
        <f>VLOOKUP($A200,'Data Vlaue (Cr)'!$C:$FB,5)</f>
        <v>197.06</v>
      </c>
      <c r="F200" s="75">
        <f t="shared" si="30"/>
        <v>0.33000000000001251</v>
      </c>
      <c r="G200" s="75">
        <f t="shared" si="31"/>
        <v>1.9113987058237945</v>
      </c>
      <c r="H200" s="75">
        <f>VLOOKUP($A200,'Data Vlaue (Cr)'!$C:$FB,99)</f>
        <v>8486</v>
      </c>
      <c r="I200" s="75">
        <f>VLOOKUP($A200,'Data Vlaue (Cr)'!$C:$FB,100)</f>
        <v>8511</v>
      </c>
      <c r="J200" s="75">
        <f t="shared" si="32"/>
        <v>-25</v>
      </c>
      <c r="K200" s="75">
        <f t="shared" si="33"/>
        <v>-0.29460287532406315</v>
      </c>
      <c r="L200" s="75">
        <f>VLOOKUP($A200,'Data Vlaue (Cr)'!$C:$FB,67)</f>
        <v>7430</v>
      </c>
      <c r="M200" s="75">
        <f>VLOOKUP($A200,'Data Vlaue (Cr)'!$C:$FB,68)</f>
        <v>12992</v>
      </c>
      <c r="N200" s="75">
        <f t="shared" si="34"/>
        <v>-5562</v>
      </c>
      <c r="O200" s="75">
        <f t="shared" si="35"/>
        <v>-74.858681022880219</v>
      </c>
      <c r="P200" s="75">
        <f>VLOOKUP($A200,'Data Vlaue (Cr)'!$C:$FB,119)</f>
        <v>0.67</v>
      </c>
      <c r="Q200" s="75">
        <f>VLOOKUP($A200,'Data Vlaue (Cr)'!$C:$FB,122)*100</f>
        <v>-4.29</v>
      </c>
      <c r="R200" s="75">
        <f>VLOOKUP($A200,'Data Vlaue (Cr)'!$C:$FB,125)</f>
        <v>0.51</v>
      </c>
      <c r="S200" s="75">
        <f>VLOOKUP($A200,'Data Vlaue (Cr)'!$C:$FB,128)*100</f>
        <v>-45.739999999999995</v>
      </c>
    </row>
    <row r="201" spans="1:19" x14ac:dyDescent="0.25">
      <c r="A201" s="96" t="str">
        <f>'Data Vlaue (Cr)'!C192</f>
        <v>TATATECH</v>
      </c>
      <c r="B201" s="75">
        <f>VLOOKUP($A201,'Data Vlaue (Cr)'!$C:$FB,2)</f>
        <v>800</v>
      </c>
      <c r="C201" s="75">
        <f>VLOOKUP($A201,'Data Vlaue (Cr)'!$C:$FB,8)</f>
        <v>576.1</v>
      </c>
      <c r="D201" s="75">
        <f>VLOOKUP($A201,'Data Vlaue (Cr)'!$C:$FB,4)</f>
        <v>578.85</v>
      </c>
      <c r="E201" s="75">
        <f>VLOOKUP($A201,'Data Vlaue (Cr)'!$C:$FB,5)</f>
        <v>574.79999999999995</v>
      </c>
      <c r="F201" s="75">
        <f t="shared" si="30"/>
        <v>2.75</v>
      </c>
      <c r="G201" s="75">
        <f t="shared" si="31"/>
        <v>0.69966312516197082</v>
      </c>
      <c r="H201" s="75">
        <f>VLOOKUP($A201,'Data Vlaue (Cr)'!$C:$FB,99)</f>
        <v>1031</v>
      </c>
      <c r="I201" s="75">
        <f>VLOOKUP($A201,'Data Vlaue (Cr)'!$C:$FB,100)</f>
        <v>1037</v>
      </c>
      <c r="J201" s="75">
        <f t="shared" si="32"/>
        <v>-6</v>
      </c>
      <c r="K201" s="75">
        <f t="shared" si="33"/>
        <v>-0.58195926285160038</v>
      </c>
      <c r="L201" s="75">
        <f>VLOOKUP($A201,'Data Vlaue (Cr)'!$C:$FB,67)</f>
        <v>204</v>
      </c>
      <c r="M201" s="75">
        <f>VLOOKUP($A201,'Data Vlaue (Cr)'!$C:$FB,68)</f>
        <v>228</v>
      </c>
      <c r="N201" s="75">
        <f t="shared" si="34"/>
        <v>-24</v>
      </c>
      <c r="O201" s="75">
        <f t="shared" si="35"/>
        <v>-11.76470588235294</v>
      </c>
      <c r="P201" s="75">
        <f>VLOOKUP($A201,'Data Vlaue (Cr)'!$C:$FB,119)</f>
        <v>0.62</v>
      </c>
      <c r="Q201" s="75">
        <f>VLOOKUP($A201,'Data Vlaue (Cr)'!$C:$FB,122)*100</f>
        <v>-3.1300000000000003</v>
      </c>
      <c r="R201" s="75">
        <f>VLOOKUP($A201,'Data Vlaue (Cr)'!$C:$FB,125)</f>
        <v>0.44</v>
      </c>
      <c r="S201" s="75">
        <f>VLOOKUP($A201,'Data Vlaue (Cr)'!$C:$FB,128)*100</f>
        <v>12.82</v>
      </c>
    </row>
    <row r="202" spans="1:19" x14ac:dyDescent="0.25">
      <c r="A202" s="96" t="str">
        <f>'Data Vlaue (Cr)'!C193</f>
        <v>TCS</v>
      </c>
      <c r="B202" s="75">
        <f>VLOOKUP($A202,'Data Vlaue (Cr)'!$C:$FB,2)</f>
        <v>175</v>
      </c>
      <c r="C202" s="75">
        <f>VLOOKUP($A202,'Data Vlaue (Cr)'!$C:$FB,8)</f>
        <v>2578.8000000000002</v>
      </c>
      <c r="D202" s="75">
        <f>VLOOKUP($A202,'Data Vlaue (Cr)'!$C:$FB,4)</f>
        <v>2589.5</v>
      </c>
      <c r="E202" s="75">
        <f>VLOOKUP($A202,'Data Vlaue (Cr)'!$C:$FB,5)</f>
        <v>2597</v>
      </c>
      <c r="F202" s="75">
        <f t="shared" si="30"/>
        <v>10.699999999999818</v>
      </c>
      <c r="G202" s="75">
        <f t="shared" si="31"/>
        <v>-0.28963120293492955</v>
      </c>
      <c r="H202" s="75">
        <f>VLOOKUP($A202,'Data Vlaue (Cr)'!$C:$FB,99)</f>
        <v>13155</v>
      </c>
      <c r="I202" s="75">
        <f>VLOOKUP($A202,'Data Vlaue (Cr)'!$C:$FB,100)</f>
        <v>13093</v>
      </c>
      <c r="J202" s="75">
        <f t="shared" si="32"/>
        <v>62</v>
      </c>
      <c r="K202" s="75">
        <f t="shared" si="33"/>
        <v>0.47130368681109847</v>
      </c>
      <c r="L202" s="75">
        <f>VLOOKUP($A202,'Data Vlaue (Cr)'!$C:$FB,67)</f>
        <v>5797</v>
      </c>
      <c r="M202" s="75">
        <f>VLOOKUP($A202,'Data Vlaue (Cr)'!$C:$FB,68)</f>
        <v>5539</v>
      </c>
      <c r="N202" s="75">
        <f t="shared" si="34"/>
        <v>258</v>
      </c>
      <c r="O202" s="75">
        <f t="shared" si="35"/>
        <v>4.4505778851129891</v>
      </c>
      <c r="P202" s="75">
        <f>VLOOKUP($A202,'Data Vlaue (Cr)'!$C:$FB,119)</f>
        <v>0.63</v>
      </c>
      <c r="Q202" s="75">
        <f>VLOOKUP($A202,'Data Vlaue (Cr)'!$C:$FB,122)*100</f>
        <v>-4.55</v>
      </c>
      <c r="R202" s="75">
        <f>VLOOKUP($A202,'Data Vlaue (Cr)'!$C:$FB,125)</f>
        <v>0.66</v>
      </c>
      <c r="S202" s="75">
        <f>VLOOKUP($A202,'Data Vlaue (Cr)'!$C:$FB,128)*100</f>
        <v>43.480000000000004</v>
      </c>
    </row>
    <row r="203" spans="1:19" x14ac:dyDescent="0.25">
      <c r="A203" s="96" t="str">
        <f>'Data Vlaue (Cr)'!C194</f>
        <v>TECHM</v>
      </c>
      <c r="B203" s="75">
        <f>VLOOKUP($A203,'Data Vlaue (Cr)'!$C:$FB,2)</f>
        <v>600</v>
      </c>
      <c r="C203" s="75">
        <f>VLOOKUP($A203,'Data Vlaue (Cr)'!$C:$FB,8)</f>
        <v>1333.3</v>
      </c>
      <c r="D203" s="75">
        <f>VLOOKUP($A203,'Data Vlaue (Cr)'!$C:$FB,4)</f>
        <v>1336.5</v>
      </c>
      <c r="E203" s="75">
        <f>VLOOKUP($A203,'Data Vlaue (Cr)'!$C:$FB,5)</f>
        <v>1354.2</v>
      </c>
      <c r="F203" s="75">
        <f t="shared" si="30"/>
        <v>3.2000000000000455</v>
      </c>
      <c r="G203" s="75">
        <f t="shared" si="31"/>
        <v>-1.3243546576879945</v>
      </c>
      <c r="H203" s="75">
        <f>VLOOKUP($A203,'Data Vlaue (Cr)'!$C:$FB,99)</f>
        <v>4577</v>
      </c>
      <c r="I203" s="75">
        <f>VLOOKUP($A203,'Data Vlaue (Cr)'!$C:$FB,100)</f>
        <v>4524</v>
      </c>
      <c r="J203" s="75">
        <f t="shared" si="32"/>
        <v>53</v>
      </c>
      <c r="K203" s="75">
        <f t="shared" si="33"/>
        <v>1.1579637317019882</v>
      </c>
      <c r="L203" s="75">
        <f>VLOOKUP($A203,'Data Vlaue (Cr)'!$C:$FB,67)</f>
        <v>1707</v>
      </c>
      <c r="M203" s="75">
        <f>VLOOKUP($A203,'Data Vlaue (Cr)'!$C:$FB,68)</f>
        <v>2032</v>
      </c>
      <c r="N203" s="75">
        <f t="shared" si="34"/>
        <v>-325</v>
      </c>
      <c r="O203" s="75">
        <f t="shared" si="35"/>
        <v>-19.039250146455771</v>
      </c>
      <c r="P203" s="75">
        <f>VLOOKUP($A203,'Data Vlaue (Cr)'!$C:$FB,119)</f>
        <v>0.59</v>
      </c>
      <c r="Q203" s="75">
        <f>VLOOKUP($A203,'Data Vlaue (Cr)'!$C:$FB,122)*100</f>
        <v>-6.35</v>
      </c>
      <c r="R203" s="75">
        <f>VLOOKUP($A203,'Data Vlaue (Cr)'!$C:$FB,125)</f>
        <v>0.52</v>
      </c>
      <c r="S203" s="75">
        <f>VLOOKUP($A203,'Data Vlaue (Cr)'!$C:$FB,128)*100</f>
        <v>15.559999999999999</v>
      </c>
    </row>
    <row r="204" spans="1:19" x14ac:dyDescent="0.25">
      <c r="A204" s="96" t="str">
        <f>'Data Vlaue (Cr)'!C195</f>
        <v>TIINDIA</v>
      </c>
      <c r="B204" s="75">
        <f>VLOOKUP($A204,'Data Vlaue (Cr)'!$C:$FB,2)</f>
        <v>200</v>
      </c>
      <c r="C204" s="75">
        <f>VLOOKUP($A204,'Data Vlaue (Cr)'!$C:$FB,8)</f>
        <v>2781.9</v>
      </c>
      <c r="D204" s="75">
        <f>VLOOKUP($A204,'Data Vlaue (Cr)'!$C:$FB,4)</f>
        <v>2768.4</v>
      </c>
      <c r="E204" s="75">
        <f>VLOOKUP($A204,'Data Vlaue (Cr)'!$C:$FB,5)</f>
        <v>2767.6</v>
      </c>
      <c r="F204" s="75">
        <f t="shared" si="30"/>
        <v>-13.5</v>
      </c>
      <c r="G204" s="75">
        <f t="shared" si="31"/>
        <v>2.8897558156342356E-2</v>
      </c>
      <c r="H204" s="75">
        <f>VLOOKUP($A204,'Data Vlaue (Cr)'!$C:$FB,99)</f>
        <v>1172</v>
      </c>
      <c r="I204" s="75">
        <f>VLOOKUP($A204,'Data Vlaue (Cr)'!$C:$FB,100)</f>
        <v>1152</v>
      </c>
      <c r="J204" s="75">
        <f t="shared" si="32"/>
        <v>20</v>
      </c>
      <c r="K204" s="75">
        <f t="shared" si="33"/>
        <v>1.7064846416382253</v>
      </c>
      <c r="L204" s="75">
        <f>VLOOKUP($A204,'Data Vlaue (Cr)'!$C:$FB,67)</f>
        <v>381</v>
      </c>
      <c r="M204" s="75">
        <f>VLOOKUP($A204,'Data Vlaue (Cr)'!$C:$FB,68)</f>
        <v>643</v>
      </c>
      <c r="N204" s="75">
        <f t="shared" si="34"/>
        <v>-262</v>
      </c>
      <c r="O204" s="75">
        <f t="shared" si="35"/>
        <v>-68.766404199475062</v>
      </c>
      <c r="P204" s="75">
        <f>VLOOKUP($A204,'Data Vlaue (Cr)'!$C:$FB,119)</f>
        <v>0.77</v>
      </c>
      <c r="Q204" s="75">
        <f>VLOOKUP($A204,'Data Vlaue (Cr)'!$C:$FB,122)*100</f>
        <v>0</v>
      </c>
      <c r="R204" s="75">
        <f>VLOOKUP($A204,'Data Vlaue (Cr)'!$C:$FB,125)</f>
        <v>0.44</v>
      </c>
      <c r="S204" s="75">
        <f>VLOOKUP($A204,'Data Vlaue (Cr)'!$C:$FB,128)*100</f>
        <v>-43.59</v>
      </c>
    </row>
    <row r="205" spans="1:19" x14ac:dyDescent="0.25">
      <c r="A205" s="96" t="str">
        <f>'Data Vlaue (Cr)'!C196</f>
        <v>TITAN</v>
      </c>
      <c r="B205" s="75">
        <f>VLOOKUP($A205,'Data Vlaue (Cr)'!$C:$FB,2)</f>
        <v>175</v>
      </c>
      <c r="C205" s="75">
        <f>VLOOKUP($A205,'Data Vlaue (Cr)'!$C:$FB,8)</f>
        <v>4275.2</v>
      </c>
      <c r="D205" s="75">
        <f>VLOOKUP($A205,'Data Vlaue (Cr)'!$C:$FB,4)</f>
        <v>4288.3</v>
      </c>
      <c r="E205" s="75">
        <f>VLOOKUP($A205,'Data Vlaue (Cr)'!$C:$FB,5)</f>
        <v>4219.6000000000004</v>
      </c>
      <c r="F205" s="75">
        <f t="shared" si="30"/>
        <v>13.100000000000364</v>
      </c>
      <c r="G205" s="75">
        <f t="shared" si="31"/>
        <v>1.602033439824635</v>
      </c>
      <c r="H205" s="75">
        <f>VLOOKUP($A205,'Data Vlaue (Cr)'!$C:$FB,99)</f>
        <v>5643</v>
      </c>
      <c r="I205" s="75">
        <f>VLOOKUP($A205,'Data Vlaue (Cr)'!$C:$FB,100)</f>
        <v>5605</v>
      </c>
      <c r="J205" s="75">
        <f t="shared" si="32"/>
        <v>38</v>
      </c>
      <c r="K205" s="75">
        <f t="shared" si="33"/>
        <v>0.67340067340067333</v>
      </c>
      <c r="L205" s="75">
        <f>VLOOKUP($A205,'Data Vlaue (Cr)'!$C:$FB,67)</f>
        <v>2665</v>
      </c>
      <c r="M205" s="75">
        <f>VLOOKUP($A205,'Data Vlaue (Cr)'!$C:$FB,68)</f>
        <v>3837</v>
      </c>
      <c r="N205" s="75">
        <f t="shared" si="34"/>
        <v>-1172</v>
      </c>
      <c r="O205" s="75">
        <f t="shared" si="35"/>
        <v>-43.977485928705441</v>
      </c>
      <c r="P205" s="75">
        <f>VLOOKUP($A205,'Data Vlaue (Cr)'!$C:$FB,119)</f>
        <v>0.66</v>
      </c>
      <c r="Q205" s="75">
        <f>VLOOKUP($A205,'Data Vlaue (Cr)'!$C:$FB,122)*100</f>
        <v>-7.04</v>
      </c>
      <c r="R205" s="75">
        <f>VLOOKUP($A205,'Data Vlaue (Cr)'!$C:$FB,125)</f>
        <v>0.57999999999999996</v>
      </c>
      <c r="S205" s="75">
        <f>VLOOKUP($A205,'Data Vlaue (Cr)'!$C:$FB,128)*100</f>
        <v>-42.57</v>
      </c>
    </row>
    <row r="206" spans="1:19" x14ac:dyDescent="0.25">
      <c r="A206" s="96" t="str">
        <f>'Data Vlaue (Cr)'!C197</f>
        <v>TMPV</v>
      </c>
      <c r="B206" s="75">
        <f>VLOOKUP($A206,'Data Vlaue (Cr)'!$C:$FB,2)</f>
        <v>800</v>
      </c>
      <c r="C206" s="75">
        <f>VLOOKUP($A206,'Data Vlaue (Cr)'!$C:$FB,8)</f>
        <v>355.15</v>
      </c>
      <c r="D206" s="75">
        <f>VLOOKUP($A206,'Data Vlaue (Cr)'!$C:$FB,4)</f>
        <v>356.55</v>
      </c>
      <c r="E206" s="75">
        <f>VLOOKUP($A206,'Data Vlaue (Cr)'!$C:$FB,5)</f>
        <v>352.35</v>
      </c>
      <c r="F206" s="75">
        <f t="shared" si="30"/>
        <v>1.4000000000000341</v>
      </c>
      <c r="G206" s="75">
        <f t="shared" si="31"/>
        <v>1.1779554059739135</v>
      </c>
      <c r="H206" s="75">
        <f>VLOOKUP($A206,'Data Vlaue (Cr)'!$C:$FB,99)</f>
        <v>5154</v>
      </c>
      <c r="I206" s="75">
        <f>VLOOKUP($A206,'Data Vlaue (Cr)'!$C:$FB,100)</f>
        <v>5017</v>
      </c>
      <c r="J206" s="75">
        <f t="shared" si="32"/>
        <v>137</v>
      </c>
      <c r="K206" s="75">
        <f t="shared" si="33"/>
        <v>2.658129608071401</v>
      </c>
      <c r="L206" s="75">
        <f>VLOOKUP($A206,'Data Vlaue (Cr)'!$C:$FB,67)</f>
        <v>2949</v>
      </c>
      <c r="M206" s="75">
        <f>VLOOKUP($A206,'Data Vlaue (Cr)'!$C:$FB,68)</f>
        <v>4244</v>
      </c>
      <c r="N206" s="75">
        <f t="shared" si="34"/>
        <v>-1295</v>
      </c>
      <c r="O206" s="75">
        <f t="shared" si="35"/>
        <v>-43.913190912173619</v>
      </c>
      <c r="P206" s="75">
        <f>VLOOKUP($A206,'Data Vlaue (Cr)'!$C:$FB,119)</f>
        <v>0.61</v>
      </c>
      <c r="Q206" s="75">
        <f>VLOOKUP($A206,'Data Vlaue (Cr)'!$C:$FB,122)*100</f>
        <v>-1.6099999999999999</v>
      </c>
      <c r="R206" s="75">
        <f>VLOOKUP($A206,'Data Vlaue (Cr)'!$C:$FB,125)</f>
        <v>0.56000000000000005</v>
      </c>
      <c r="S206" s="75">
        <f>VLOOKUP($A206,'Data Vlaue (Cr)'!$C:$FB,128)*100</f>
        <v>-20</v>
      </c>
    </row>
    <row r="207" spans="1:19" x14ac:dyDescent="0.25">
      <c r="A207" s="96" t="str">
        <f>'Data Vlaue (Cr)'!C198</f>
        <v>TORNTPHARM</v>
      </c>
      <c r="B207" s="75">
        <f>VLOOKUP($A207,'Data Vlaue (Cr)'!$C:$FB,2)</f>
        <v>250</v>
      </c>
      <c r="C207" s="75">
        <f>VLOOKUP($A207,'Data Vlaue (Cr)'!$C:$FB,8)</f>
        <v>4353.3999999999996</v>
      </c>
      <c r="D207" s="75">
        <f>VLOOKUP($A207,'Data Vlaue (Cr)'!$C:$FB,4)</f>
        <v>4372.3</v>
      </c>
      <c r="E207" s="75">
        <f>VLOOKUP($A207,'Data Vlaue (Cr)'!$C:$FB,5)</f>
        <v>4354.7</v>
      </c>
      <c r="F207" s="75">
        <f t="shared" si="30"/>
        <v>18.900000000000546</v>
      </c>
      <c r="G207" s="75">
        <f t="shared" si="31"/>
        <v>0.40253413535211136</v>
      </c>
      <c r="H207" s="75">
        <f>VLOOKUP($A207,'Data Vlaue (Cr)'!$C:$FB,99)</f>
        <v>1740</v>
      </c>
      <c r="I207" s="75">
        <f>VLOOKUP($A207,'Data Vlaue (Cr)'!$C:$FB,100)</f>
        <v>1717</v>
      </c>
      <c r="J207" s="75">
        <f t="shared" si="32"/>
        <v>23</v>
      </c>
      <c r="K207" s="75">
        <f t="shared" si="33"/>
        <v>1.3218390804597702</v>
      </c>
      <c r="L207" s="75">
        <f>VLOOKUP($A207,'Data Vlaue (Cr)'!$C:$FB,67)</f>
        <v>453</v>
      </c>
      <c r="M207" s="75">
        <f>VLOOKUP($A207,'Data Vlaue (Cr)'!$C:$FB,68)</f>
        <v>704</v>
      </c>
      <c r="N207" s="75">
        <f t="shared" si="34"/>
        <v>-251</v>
      </c>
      <c r="O207" s="75">
        <f t="shared" si="35"/>
        <v>-55.408388520971307</v>
      </c>
      <c r="P207" s="75">
        <f>VLOOKUP($A207,'Data Vlaue (Cr)'!$C:$FB,119)</f>
        <v>0.71</v>
      </c>
      <c r="Q207" s="75">
        <f>VLOOKUP($A207,'Data Vlaue (Cr)'!$C:$FB,122)*100</f>
        <v>4.41</v>
      </c>
      <c r="R207" s="75">
        <f>VLOOKUP($A207,'Data Vlaue (Cr)'!$C:$FB,125)</f>
        <v>0.51</v>
      </c>
      <c r="S207" s="75">
        <f>VLOOKUP($A207,'Data Vlaue (Cr)'!$C:$FB,128)*100</f>
        <v>-38.550000000000004</v>
      </c>
    </row>
    <row r="208" spans="1:19" x14ac:dyDescent="0.25">
      <c r="A208" s="96" t="str">
        <f>'Data Vlaue (Cr)'!C199</f>
        <v>TORNTPOWER</v>
      </c>
      <c r="B208" s="75">
        <f>VLOOKUP($A208,'Data Vlaue (Cr)'!$C:$FB,2)</f>
        <v>425</v>
      </c>
      <c r="C208" s="75">
        <f>VLOOKUP($A208,'Data Vlaue (Cr)'!$C:$FB,8)</f>
        <v>1503.9</v>
      </c>
      <c r="D208" s="75">
        <f>VLOOKUP($A208,'Data Vlaue (Cr)'!$C:$FB,4)</f>
        <v>1507.3</v>
      </c>
      <c r="E208" s="75">
        <f>VLOOKUP($A208,'Data Vlaue (Cr)'!$C:$FB,5)</f>
        <v>1465.7</v>
      </c>
      <c r="F208" s="75">
        <f t="shared" si="30"/>
        <v>3.3999999999998636</v>
      </c>
      <c r="G208" s="75">
        <f t="shared" si="31"/>
        <v>2.7599018111855576</v>
      </c>
      <c r="H208" s="75">
        <f>VLOOKUP($A208,'Data Vlaue (Cr)'!$C:$FB,99)</f>
        <v>909</v>
      </c>
      <c r="I208" s="75">
        <f>VLOOKUP($A208,'Data Vlaue (Cr)'!$C:$FB,100)</f>
        <v>866</v>
      </c>
      <c r="J208" s="75">
        <f t="shared" si="32"/>
        <v>43</v>
      </c>
      <c r="K208" s="75">
        <f t="shared" si="33"/>
        <v>4.7304730473047307</v>
      </c>
      <c r="L208" s="75">
        <f>VLOOKUP($A208,'Data Vlaue (Cr)'!$C:$FB,67)</f>
        <v>476</v>
      </c>
      <c r="M208" s="75">
        <f>VLOOKUP($A208,'Data Vlaue (Cr)'!$C:$FB,68)</f>
        <v>1023</v>
      </c>
      <c r="N208" s="75">
        <f t="shared" si="34"/>
        <v>-547</v>
      </c>
      <c r="O208" s="75">
        <f t="shared" si="35"/>
        <v>-114.91596638655462</v>
      </c>
      <c r="P208" s="75">
        <f>VLOOKUP($A208,'Data Vlaue (Cr)'!$C:$FB,119)</f>
        <v>0.56000000000000005</v>
      </c>
      <c r="Q208" s="75">
        <f>VLOOKUP($A208,'Data Vlaue (Cr)'!$C:$FB,122)*100</f>
        <v>0</v>
      </c>
      <c r="R208" s="75">
        <f>VLOOKUP($A208,'Data Vlaue (Cr)'!$C:$FB,125)</f>
        <v>0.52</v>
      </c>
      <c r="S208" s="75">
        <f>VLOOKUP($A208,'Data Vlaue (Cr)'!$C:$FB,128)*100</f>
        <v>-22.39</v>
      </c>
    </row>
    <row r="209" spans="1:19" x14ac:dyDescent="0.25">
      <c r="A209" s="96" t="str">
        <f>'Data Vlaue (Cr)'!C200</f>
        <v>TRENT</v>
      </c>
      <c r="B209" s="75">
        <f>VLOOKUP($A209,'Data Vlaue (Cr)'!$C:$FB,2)</f>
        <v>100</v>
      </c>
      <c r="C209" s="75">
        <f>VLOOKUP($A209,'Data Vlaue (Cr)'!$C:$FB,8)</f>
        <v>3790.9</v>
      </c>
      <c r="D209" s="75">
        <f>VLOOKUP($A209,'Data Vlaue (Cr)'!$C:$FB,4)</f>
        <v>3796.1</v>
      </c>
      <c r="E209" s="75">
        <f>VLOOKUP($A209,'Data Vlaue (Cr)'!$C:$FB,5)</f>
        <v>3763.8</v>
      </c>
      <c r="F209" s="75">
        <f t="shared" si="30"/>
        <v>5.1999999999998181</v>
      </c>
      <c r="G209" s="75">
        <f t="shared" si="31"/>
        <v>0.85087326466636093</v>
      </c>
      <c r="H209" s="75">
        <f>VLOOKUP($A209,'Data Vlaue (Cr)'!$C:$FB,99)</f>
        <v>3791</v>
      </c>
      <c r="I209" s="75">
        <f>VLOOKUP($A209,'Data Vlaue (Cr)'!$C:$FB,100)</f>
        <v>3808</v>
      </c>
      <c r="J209" s="75">
        <f t="shared" si="32"/>
        <v>-17</v>
      </c>
      <c r="K209" s="75">
        <f t="shared" si="33"/>
        <v>-0.44843049327354262</v>
      </c>
      <c r="L209" s="75">
        <f>VLOOKUP($A209,'Data Vlaue (Cr)'!$C:$FB,67)</f>
        <v>1426</v>
      </c>
      <c r="M209" s="75">
        <f>VLOOKUP($A209,'Data Vlaue (Cr)'!$C:$FB,68)</f>
        <v>1837</v>
      </c>
      <c r="N209" s="75">
        <f t="shared" si="34"/>
        <v>-411</v>
      </c>
      <c r="O209" s="75">
        <f t="shared" si="35"/>
        <v>-28.821879382889197</v>
      </c>
      <c r="P209" s="75">
        <f>VLOOKUP($A209,'Data Vlaue (Cr)'!$C:$FB,119)</f>
        <v>0.72</v>
      </c>
      <c r="Q209" s="75">
        <f>VLOOKUP($A209,'Data Vlaue (Cr)'!$C:$FB,122)*100</f>
        <v>-5.26</v>
      </c>
      <c r="R209" s="75">
        <f>VLOOKUP($A209,'Data Vlaue (Cr)'!$C:$FB,125)</f>
        <v>0.42</v>
      </c>
      <c r="S209" s="75">
        <f>VLOOKUP($A209,'Data Vlaue (Cr)'!$C:$FB,128)*100</f>
        <v>-41.67</v>
      </c>
    </row>
    <row r="210" spans="1:19" x14ac:dyDescent="0.25">
      <c r="A210" s="96" t="str">
        <f>'Data Vlaue (Cr)'!C201</f>
        <v>TVSMOTOR</v>
      </c>
      <c r="B210" s="75">
        <f>VLOOKUP($A210,'Data Vlaue (Cr)'!$C:$FB,2)</f>
        <v>175</v>
      </c>
      <c r="C210" s="75">
        <f>VLOOKUP($A210,'Data Vlaue (Cr)'!$C:$FB,8)</f>
        <v>3818.4</v>
      </c>
      <c r="D210" s="75">
        <f>VLOOKUP($A210,'Data Vlaue (Cr)'!$C:$FB,4)</f>
        <v>3814.6</v>
      </c>
      <c r="E210" s="75">
        <f>VLOOKUP($A210,'Data Vlaue (Cr)'!$C:$FB,5)</f>
        <v>3743</v>
      </c>
      <c r="F210" s="75">
        <f t="shared" si="30"/>
        <v>-3.8000000000001819</v>
      </c>
      <c r="G210" s="75">
        <f t="shared" si="31"/>
        <v>1.8769988989671238</v>
      </c>
      <c r="H210" s="75">
        <f>VLOOKUP($A210,'Data Vlaue (Cr)'!$C:$FB,99)</f>
        <v>4391</v>
      </c>
      <c r="I210" s="75">
        <f>VLOOKUP($A210,'Data Vlaue (Cr)'!$C:$FB,100)</f>
        <v>4419</v>
      </c>
      <c r="J210" s="75">
        <f t="shared" si="32"/>
        <v>-28</v>
      </c>
      <c r="K210" s="75">
        <f t="shared" si="33"/>
        <v>-0.63766795718515146</v>
      </c>
      <c r="L210" s="75">
        <f>VLOOKUP($A210,'Data Vlaue (Cr)'!$C:$FB,67)</f>
        <v>1298</v>
      </c>
      <c r="M210" s="75">
        <f>VLOOKUP($A210,'Data Vlaue (Cr)'!$C:$FB,68)</f>
        <v>2344</v>
      </c>
      <c r="N210" s="75">
        <f t="shared" si="34"/>
        <v>-1046</v>
      </c>
      <c r="O210" s="75">
        <f t="shared" si="35"/>
        <v>-80.585516178736512</v>
      </c>
      <c r="P210" s="75">
        <f>VLOOKUP($A210,'Data Vlaue (Cr)'!$C:$FB,119)</f>
        <v>0.77</v>
      </c>
      <c r="Q210" s="75">
        <f>VLOOKUP($A210,'Data Vlaue (Cr)'!$C:$FB,122)*100</f>
        <v>5.48</v>
      </c>
      <c r="R210" s="75">
        <f>VLOOKUP($A210,'Data Vlaue (Cr)'!$C:$FB,125)</f>
        <v>0.43</v>
      </c>
      <c r="S210" s="75">
        <f>VLOOKUP($A210,'Data Vlaue (Cr)'!$C:$FB,128)*100</f>
        <v>-50</v>
      </c>
    </row>
    <row r="211" spans="1:19" x14ac:dyDescent="0.25">
      <c r="A211" s="96" t="str">
        <f>'Data Vlaue (Cr)'!C202</f>
        <v>ULTRACEMCO</v>
      </c>
      <c r="B211" s="75">
        <f>VLOOKUP($A211,'Data Vlaue (Cr)'!$C:$FB,2)</f>
        <v>50</v>
      </c>
      <c r="C211" s="75">
        <f>VLOOKUP($A211,'Data Vlaue (Cr)'!$C:$FB,8)</f>
        <v>12288</v>
      </c>
      <c r="D211" s="75">
        <f>VLOOKUP($A211,'Data Vlaue (Cr)'!$C:$FB,4)</f>
        <v>12303</v>
      </c>
      <c r="E211" s="75">
        <f>VLOOKUP($A211,'Data Vlaue (Cr)'!$C:$FB,5)</f>
        <v>12142</v>
      </c>
      <c r="F211" s="75">
        <f t="shared" si="30"/>
        <v>15</v>
      </c>
      <c r="G211" s="75">
        <f t="shared" si="31"/>
        <v>1.3086239128667805</v>
      </c>
      <c r="H211" s="75">
        <f>VLOOKUP($A211,'Data Vlaue (Cr)'!$C:$FB,99)</f>
        <v>3658</v>
      </c>
      <c r="I211" s="75">
        <f>VLOOKUP($A211,'Data Vlaue (Cr)'!$C:$FB,100)</f>
        <v>3545</v>
      </c>
      <c r="J211" s="75">
        <f t="shared" si="32"/>
        <v>113</v>
      </c>
      <c r="K211" s="75">
        <f t="shared" si="33"/>
        <v>3.0891197375615089</v>
      </c>
      <c r="L211" s="75">
        <f>VLOOKUP($A211,'Data Vlaue (Cr)'!$C:$FB,67)</f>
        <v>2029</v>
      </c>
      <c r="M211" s="75">
        <f>VLOOKUP($A211,'Data Vlaue (Cr)'!$C:$FB,68)</f>
        <v>3133</v>
      </c>
      <c r="N211" s="75">
        <f t="shared" si="34"/>
        <v>-1104</v>
      </c>
      <c r="O211" s="75">
        <f t="shared" si="35"/>
        <v>-54.41103992114342</v>
      </c>
      <c r="P211" s="75">
        <f>VLOOKUP($A211,'Data Vlaue (Cr)'!$C:$FB,119)</f>
        <v>0.57999999999999996</v>
      </c>
      <c r="Q211" s="75">
        <f>VLOOKUP($A211,'Data Vlaue (Cr)'!$C:$FB,122)*100</f>
        <v>9.43</v>
      </c>
      <c r="R211" s="75">
        <f>VLOOKUP($A211,'Data Vlaue (Cr)'!$C:$FB,125)</f>
        <v>0.45</v>
      </c>
      <c r="S211" s="75">
        <f>VLOOKUP($A211,'Data Vlaue (Cr)'!$C:$FB,128)*100</f>
        <v>-34.78</v>
      </c>
    </row>
    <row r="212" spans="1:19" x14ac:dyDescent="0.25">
      <c r="A212" s="96" t="str">
        <f>'Data Vlaue (Cr)'!C203</f>
        <v>UNIONBANK</v>
      </c>
      <c r="B212" s="75">
        <f>VLOOKUP($A212,'Data Vlaue (Cr)'!$C:$FB,2)</f>
        <v>4425</v>
      </c>
      <c r="C212" s="75">
        <f>VLOOKUP($A212,'Data Vlaue (Cr)'!$C:$FB,8)</f>
        <v>191.2</v>
      </c>
      <c r="D212" s="75">
        <f>VLOOKUP($A212,'Data Vlaue (Cr)'!$C:$FB,4)</f>
        <v>192.04</v>
      </c>
      <c r="E212" s="75">
        <f>VLOOKUP($A212,'Data Vlaue (Cr)'!$C:$FB,5)</f>
        <v>192.03</v>
      </c>
      <c r="F212" s="75">
        <f t="shared" si="30"/>
        <v>0.84000000000000341</v>
      </c>
      <c r="G212" s="75">
        <f t="shared" si="31"/>
        <v>5.2072484898932018E-3</v>
      </c>
      <c r="H212" s="75">
        <f>VLOOKUP($A212,'Data Vlaue (Cr)'!$C:$FB,99)</f>
        <v>2431</v>
      </c>
      <c r="I212" s="75">
        <f>VLOOKUP($A212,'Data Vlaue (Cr)'!$C:$FB,100)</f>
        <v>2335</v>
      </c>
      <c r="J212" s="75">
        <f t="shared" si="32"/>
        <v>96</v>
      </c>
      <c r="K212" s="75">
        <f t="shared" si="33"/>
        <v>3.9489921842863018</v>
      </c>
      <c r="L212" s="75">
        <f>VLOOKUP($A212,'Data Vlaue (Cr)'!$C:$FB,67)</f>
        <v>1847</v>
      </c>
      <c r="M212" s="75">
        <f>VLOOKUP($A212,'Data Vlaue (Cr)'!$C:$FB,68)</f>
        <v>2425</v>
      </c>
      <c r="N212" s="75">
        <f t="shared" si="34"/>
        <v>-578</v>
      </c>
      <c r="O212" s="75">
        <f t="shared" si="35"/>
        <v>-31.293990254466703</v>
      </c>
      <c r="P212" s="75">
        <f>VLOOKUP($A212,'Data Vlaue (Cr)'!$C:$FB,119)</f>
        <v>0.73</v>
      </c>
      <c r="Q212" s="75">
        <f>VLOOKUP($A212,'Data Vlaue (Cr)'!$C:$FB,122)*100</f>
        <v>-14.12</v>
      </c>
      <c r="R212" s="75">
        <f>VLOOKUP($A212,'Data Vlaue (Cr)'!$C:$FB,125)</f>
        <v>0.45</v>
      </c>
      <c r="S212" s="75">
        <f>VLOOKUP($A212,'Data Vlaue (Cr)'!$C:$FB,128)*100</f>
        <v>-32.840000000000003</v>
      </c>
    </row>
    <row r="213" spans="1:19" x14ac:dyDescent="0.25">
      <c r="A213" s="96" t="str">
        <f>'Data Vlaue (Cr)'!C204</f>
        <v>UNITDSPR</v>
      </c>
      <c r="B213" s="75">
        <f>VLOOKUP($A213,'Data Vlaue (Cr)'!$C:$FB,2)</f>
        <v>400</v>
      </c>
      <c r="C213" s="75">
        <f>VLOOKUP($A213,'Data Vlaue (Cr)'!$C:$FB,8)</f>
        <v>1325.8</v>
      </c>
      <c r="D213" s="75">
        <f>VLOOKUP($A213,'Data Vlaue (Cr)'!$C:$FB,4)</f>
        <v>1329.5</v>
      </c>
      <c r="E213" s="75">
        <f>VLOOKUP($A213,'Data Vlaue (Cr)'!$C:$FB,5)</f>
        <v>1319.3</v>
      </c>
      <c r="F213" s="75">
        <f t="shared" si="30"/>
        <v>3.7000000000000455</v>
      </c>
      <c r="G213" s="75">
        <f t="shared" si="31"/>
        <v>0.76720571643475333</v>
      </c>
      <c r="H213" s="75">
        <f>VLOOKUP($A213,'Data Vlaue (Cr)'!$C:$FB,99)</f>
        <v>1743</v>
      </c>
      <c r="I213" s="75">
        <f>VLOOKUP($A213,'Data Vlaue (Cr)'!$C:$FB,100)</f>
        <v>1714</v>
      </c>
      <c r="J213" s="75">
        <f t="shared" si="32"/>
        <v>29</v>
      </c>
      <c r="K213" s="75">
        <f t="shared" si="33"/>
        <v>1.663798049340218</v>
      </c>
      <c r="L213" s="75">
        <f>VLOOKUP($A213,'Data Vlaue (Cr)'!$C:$FB,67)</f>
        <v>577</v>
      </c>
      <c r="M213" s="75">
        <f>VLOOKUP($A213,'Data Vlaue (Cr)'!$C:$FB,68)</f>
        <v>607</v>
      </c>
      <c r="N213" s="75">
        <f t="shared" si="34"/>
        <v>-30</v>
      </c>
      <c r="O213" s="75">
        <f t="shared" si="35"/>
        <v>-5.1993067590987865</v>
      </c>
      <c r="P213" s="75">
        <f>VLOOKUP($A213,'Data Vlaue (Cr)'!$C:$FB,119)</f>
        <v>0.77</v>
      </c>
      <c r="Q213" s="75">
        <f>VLOOKUP($A213,'Data Vlaue (Cr)'!$C:$FB,122)*100</f>
        <v>-7.23</v>
      </c>
      <c r="R213" s="75">
        <f>VLOOKUP($A213,'Data Vlaue (Cr)'!$C:$FB,125)</f>
        <v>0.48</v>
      </c>
      <c r="S213" s="75">
        <f>VLOOKUP($A213,'Data Vlaue (Cr)'!$C:$FB,128)*100</f>
        <v>-38.46</v>
      </c>
    </row>
    <row r="214" spans="1:19" x14ac:dyDescent="0.25">
      <c r="A214" s="96" t="str">
        <f>'Data Vlaue (Cr)'!C205</f>
        <v>UNOMINDA</v>
      </c>
      <c r="B214" s="75">
        <f>VLOOKUP($A214,'Data Vlaue (Cr)'!$C:$FB,2)</f>
        <v>550</v>
      </c>
      <c r="C214" s="75">
        <f>VLOOKUP($A214,'Data Vlaue (Cr)'!$C:$FB,8)</f>
        <v>1118.3</v>
      </c>
      <c r="D214" s="75">
        <f>VLOOKUP($A214,'Data Vlaue (Cr)'!$C:$FB,4)</f>
        <v>1121.4000000000001</v>
      </c>
      <c r="E214" s="75">
        <f>VLOOKUP($A214,'Data Vlaue (Cr)'!$C:$FB,5)</f>
        <v>1126.7</v>
      </c>
      <c r="F214" s="75">
        <f t="shared" si="30"/>
        <v>3.1000000000001364</v>
      </c>
      <c r="G214" s="75">
        <f t="shared" si="31"/>
        <v>-0.4726235063313674</v>
      </c>
      <c r="H214" s="75">
        <f>VLOOKUP($A214,'Data Vlaue (Cr)'!$C:$FB,99)</f>
        <v>952</v>
      </c>
      <c r="I214" s="75">
        <f>VLOOKUP($A214,'Data Vlaue (Cr)'!$C:$FB,100)</f>
        <v>940</v>
      </c>
      <c r="J214" s="75">
        <f t="shared" si="32"/>
        <v>12</v>
      </c>
      <c r="K214" s="75">
        <f t="shared" si="33"/>
        <v>1.2605042016806722</v>
      </c>
      <c r="L214" s="75">
        <f>VLOOKUP($A214,'Data Vlaue (Cr)'!$C:$FB,67)</f>
        <v>352</v>
      </c>
      <c r="M214" s="75">
        <f>VLOOKUP($A214,'Data Vlaue (Cr)'!$C:$FB,68)</f>
        <v>353</v>
      </c>
      <c r="N214" s="75">
        <f t="shared" si="34"/>
        <v>-1</v>
      </c>
      <c r="O214" s="75">
        <f t="shared" si="35"/>
        <v>-0.28409090909090912</v>
      </c>
      <c r="P214" s="75">
        <f>VLOOKUP($A214,'Data Vlaue (Cr)'!$C:$FB,119)</f>
        <v>0.67</v>
      </c>
      <c r="Q214" s="75">
        <f>VLOOKUP($A214,'Data Vlaue (Cr)'!$C:$FB,122)*100</f>
        <v>0</v>
      </c>
      <c r="R214" s="75">
        <f>VLOOKUP($A214,'Data Vlaue (Cr)'!$C:$FB,125)</f>
        <v>0.47</v>
      </c>
      <c r="S214" s="75">
        <f>VLOOKUP($A214,'Data Vlaue (Cr)'!$C:$FB,128)*100</f>
        <v>0</v>
      </c>
    </row>
    <row r="215" spans="1:19" x14ac:dyDescent="0.25">
      <c r="A215" s="96" t="str">
        <f>'Data Vlaue (Cr)'!C206</f>
        <v>UPL</v>
      </c>
      <c r="B215" s="75">
        <f>VLOOKUP($A215,'Data Vlaue (Cr)'!$C:$FB,2)</f>
        <v>1355</v>
      </c>
      <c r="C215" s="75">
        <f>VLOOKUP($A215,'Data Vlaue (Cr)'!$C:$FB,8)</f>
        <v>629.6</v>
      </c>
      <c r="D215" s="75">
        <f>VLOOKUP($A215,'Data Vlaue (Cr)'!$C:$FB,4)</f>
        <v>631</v>
      </c>
      <c r="E215" s="75">
        <f>VLOOKUP($A215,'Data Vlaue (Cr)'!$C:$FB,5)</f>
        <v>615.29999999999995</v>
      </c>
      <c r="F215" s="75">
        <f t="shared" ref="F215:F221" si="36">D215-C215</f>
        <v>1.3999999999999773</v>
      </c>
      <c r="G215" s="75">
        <f t="shared" ref="G215:G221" si="37">(D215-E215)/D215*100</f>
        <v>2.4881141045958866</v>
      </c>
      <c r="H215" s="75">
        <f>VLOOKUP($A215,'Data Vlaue (Cr)'!$C:$FB,99)</f>
        <v>4135</v>
      </c>
      <c r="I215" s="75">
        <f>VLOOKUP($A215,'Data Vlaue (Cr)'!$C:$FB,100)</f>
        <v>4215</v>
      </c>
      <c r="J215" s="75">
        <f t="shared" ref="J215:J221" si="38">H215-I215</f>
        <v>-80</v>
      </c>
      <c r="K215" s="75">
        <f t="shared" ref="K215:K221" si="39">J215/H215*100</f>
        <v>-1.9347037484885126</v>
      </c>
      <c r="L215" s="75">
        <f>VLOOKUP($A215,'Data Vlaue (Cr)'!$C:$FB,67)</f>
        <v>1371</v>
      </c>
      <c r="M215" s="75">
        <f>VLOOKUP($A215,'Data Vlaue (Cr)'!$C:$FB,68)</f>
        <v>1916</v>
      </c>
      <c r="N215" s="75">
        <f t="shared" ref="N215:N221" si="40">L215-M215</f>
        <v>-545</v>
      </c>
      <c r="O215" s="75">
        <f t="shared" ref="O215:O221" si="41">N215/L215*100</f>
        <v>-39.752005835156815</v>
      </c>
      <c r="P215" s="75">
        <f>VLOOKUP($A215,'Data Vlaue (Cr)'!$C:$FB,119)</f>
        <v>0.46</v>
      </c>
      <c r="Q215" s="75">
        <f>VLOOKUP($A215,'Data Vlaue (Cr)'!$C:$FB,122)*100</f>
        <v>4.55</v>
      </c>
      <c r="R215" s="75">
        <f>VLOOKUP($A215,'Data Vlaue (Cr)'!$C:$FB,125)</f>
        <v>0.37</v>
      </c>
      <c r="S215" s="75">
        <f>VLOOKUP($A215,'Data Vlaue (Cr)'!$C:$FB,128)*100</f>
        <v>-33.93</v>
      </c>
    </row>
    <row r="216" spans="1:19" x14ac:dyDescent="0.25">
      <c r="A216" s="96" t="str">
        <f>'Data Vlaue (Cr)'!C207</f>
        <v>VBL</v>
      </c>
      <c r="B216" s="75">
        <f>VLOOKUP($A216,'Data Vlaue (Cr)'!$C:$FB,2)</f>
        <v>1125</v>
      </c>
      <c r="C216" s="75">
        <f>VLOOKUP($A216,'Data Vlaue (Cr)'!$C:$FB,8)</f>
        <v>445.75</v>
      </c>
      <c r="D216" s="75">
        <f>VLOOKUP($A216,'Data Vlaue (Cr)'!$C:$FB,4)</f>
        <v>446.25</v>
      </c>
      <c r="E216" s="75">
        <f>VLOOKUP($A216,'Data Vlaue (Cr)'!$C:$FB,5)</f>
        <v>430.7</v>
      </c>
      <c r="F216" s="75">
        <f t="shared" si="36"/>
        <v>0.5</v>
      </c>
      <c r="G216" s="75">
        <f t="shared" si="37"/>
        <v>3.4845938375350167</v>
      </c>
      <c r="H216" s="75">
        <f>VLOOKUP($A216,'Data Vlaue (Cr)'!$C:$FB,99)</f>
        <v>2505</v>
      </c>
      <c r="I216" s="75">
        <f>VLOOKUP($A216,'Data Vlaue (Cr)'!$C:$FB,100)</f>
        <v>2501</v>
      </c>
      <c r="J216" s="75">
        <f t="shared" si="38"/>
        <v>4</v>
      </c>
      <c r="K216" s="75">
        <f t="shared" si="39"/>
        <v>0.15968063872255489</v>
      </c>
      <c r="L216" s="75">
        <f>VLOOKUP($A216,'Data Vlaue (Cr)'!$C:$FB,67)</f>
        <v>1199</v>
      </c>
      <c r="M216" s="75">
        <f>VLOOKUP($A216,'Data Vlaue (Cr)'!$C:$FB,68)</f>
        <v>900</v>
      </c>
      <c r="N216" s="75">
        <f t="shared" si="40"/>
        <v>299</v>
      </c>
      <c r="O216" s="75">
        <f t="shared" si="41"/>
        <v>24.93744787322769</v>
      </c>
      <c r="P216" s="75">
        <f>VLOOKUP($A216,'Data Vlaue (Cr)'!$C:$FB,119)</f>
        <v>0.6</v>
      </c>
      <c r="Q216" s="75">
        <f>VLOOKUP($A216,'Data Vlaue (Cr)'!$C:$FB,122)*100</f>
        <v>-1.6400000000000001</v>
      </c>
      <c r="R216" s="75">
        <f>VLOOKUP($A216,'Data Vlaue (Cr)'!$C:$FB,125)</f>
        <v>0.44</v>
      </c>
      <c r="S216" s="75">
        <f>VLOOKUP($A216,'Data Vlaue (Cr)'!$C:$FB,128)*100</f>
        <v>-13.73</v>
      </c>
    </row>
    <row r="217" spans="1:19" x14ac:dyDescent="0.25">
      <c r="A217" s="96" t="str">
        <f>'Data Vlaue (Cr)'!C208</f>
        <v>VEDL</v>
      </c>
      <c r="B217" s="75">
        <f>VLOOKUP($A217,'Data Vlaue (Cr)'!$C:$FB,2)</f>
        <v>1150</v>
      </c>
      <c r="C217" s="75">
        <f>VLOOKUP($A217,'Data Vlaue (Cr)'!$C:$FB,8)</f>
        <v>711.25</v>
      </c>
      <c r="D217" s="75">
        <f>VLOOKUP($A217,'Data Vlaue (Cr)'!$C:$FB,4)</f>
        <v>712.4</v>
      </c>
      <c r="E217" s="75">
        <f>VLOOKUP($A217,'Data Vlaue (Cr)'!$C:$FB,5)</f>
        <v>703.55</v>
      </c>
      <c r="F217" s="75">
        <f t="shared" si="36"/>
        <v>1.1499999999999773</v>
      </c>
      <c r="G217" s="75">
        <f t="shared" si="37"/>
        <v>1.2422796181920301</v>
      </c>
      <c r="H217" s="75">
        <f>VLOOKUP($A217,'Data Vlaue (Cr)'!$C:$FB,99)</f>
        <v>8769</v>
      </c>
      <c r="I217" s="75">
        <f>VLOOKUP($A217,'Data Vlaue (Cr)'!$C:$FB,100)</f>
        <v>8539</v>
      </c>
      <c r="J217" s="75">
        <f t="shared" si="38"/>
        <v>230</v>
      </c>
      <c r="K217" s="75">
        <f t="shared" si="39"/>
        <v>2.6228760405975597</v>
      </c>
      <c r="L217" s="75">
        <f>VLOOKUP($A217,'Data Vlaue (Cr)'!$C:$FB,67)</f>
        <v>11237</v>
      </c>
      <c r="M217" s="75">
        <f>VLOOKUP($A217,'Data Vlaue (Cr)'!$C:$FB,68)</f>
        <v>6776</v>
      </c>
      <c r="N217" s="75">
        <f t="shared" si="40"/>
        <v>4461</v>
      </c>
      <c r="O217" s="75">
        <f t="shared" si="41"/>
        <v>39.699207973658453</v>
      </c>
      <c r="P217" s="75">
        <f>VLOOKUP($A217,'Data Vlaue (Cr)'!$C:$FB,119)</f>
        <v>0.68</v>
      </c>
      <c r="Q217" s="75">
        <f>VLOOKUP($A217,'Data Vlaue (Cr)'!$C:$FB,122)*100</f>
        <v>0</v>
      </c>
      <c r="R217" s="75">
        <f>VLOOKUP($A217,'Data Vlaue (Cr)'!$C:$FB,125)</f>
        <v>0.44</v>
      </c>
      <c r="S217" s="75">
        <f>VLOOKUP($A217,'Data Vlaue (Cr)'!$C:$FB,128)*100</f>
        <v>-43.59</v>
      </c>
    </row>
    <row r="218" spans="1:19" x14ac:dyDescent="0.25">
      <c r="A218" s="96" t="str">
        <f>'Data Vlaue (Cr)'!C209</f>
        <v>VOLTAS</v>
      </c>
      <c r="B218" s="75">
        <f>VLOOKUP($A218,'Data Vlaue (Cr)'!$C:$FB,2)</f>
        <v>375</v>
      </c>
      <c r="C218" s="75">
        <f>VLOOKUP($A218,'Data Vlaue (Cr)'!$C:$FB,8)</f>
        <v>1485.3</v>
      </c>
      <c r="D218" s="75">
        <f>VLOOKUP($A218,'Data Vlaue (Cr)'!$C:$FB,4)</f>
        <v>1488.4</v>
      </c>
      <c r="E218" s="75">
        <f>VLOOKUP($A218,'Data Vlaue (Cr)'!$C:$FB,5)</f>
        <v>1436.4</v>
      </c>
      <c r="F218" s="75">
        <f t="shared" si="36"/>
        <v>3.1000000000001364</v>
      </c>
      <c r="G218" s="75">
        <f t="shared" si="37"/>
        <v>3.4936844934157483</v>
      </c>
      <c r="H218" s="75">
        <f>VLOOKUP($A218,'Data Vlaue (Cr)'!$C:$FB,99)</f>
        <v>2575</v>
      </c>
      <c r="I218" s="75">
        <f>VLOOKUP($A218,'Data Vlaue (Cr)'!$C:$FB,100)</f>
        <v>2511</v>
      </c>
      <c r="J218" s="75">
        <f t="shared" si="38"/>
        <v>64</v>
      </c>
      <c r="K218" s="75">
        <f t="shared" si="39"/>
        <v>2.4854368932038837</v>
      </c>
      <c r="L218" s="75">
        <f>VLOOKUP($A218,'Data Vlaue (Cr)'!$C:$FB,67)</f>
        <v>2374</v>
      </c>
      <c r="M218" s="75">
        <f>VLOOKUP($A218,'Data Vlaue (Cr)'!$C:$FB,68)</f>
        <v>1590</v>
      </c>
      <c r="N218" s="75">
        <f t="shared" si="40"/>
        <v>784</v>
      </c>
      <c r="O218" s="75">
        <f t="shared" si="41"/>
        <v>33.024431339511374</v>
      </c>
      <c r="P218" s="75">
        <f>VLOOKUP($A218,'Data Vlaue (Cr)'!$C:$FB,119)</f>
        <v>0.66</v>
      </c>
      <c r="Q218" s="75">
        <f>VLOOKUP($A218,'Data Vlaue (Cr)'!$C:$FB,122)*100</f>
        <v>1.54</v>
      </c>
      <c r="R218" s="75">
        <f>VLOOKUP($A218,'Data Vlaue (Cr)'!$C:$FB,125)</f>
        <v>0.4</v>
      </c>
      <c r="S218" s="75">
        <f>VLOOKUP($A218,'Data Vlaue (Cr)'!$C:$FB,128)*100</f>
        <v>-25.929999999999996</v>
      </c>
    </row>
    <row r="219" spans="1:19" x14ac:dyDescent="0.25">
      <c r="A219" s="96" t="str">
        <f>'Data Vlaue (Cr)'!C210</f>
        <v>WAAREEENER</v>
      </c>
      <c r="B219" s="75">
        <f>VLOOKUP($A219,'Data Vlaue (Cr)'!$C:$FB,2)</f>
        <v>175</v>
      </c>
      <c r="C219" s="75">
        <f>VLOOKUP($A219,'Data Vlaue (Cr)'!$C:$FB,8)</f>
        <v>2646.2</v>
      </c>
      <c r="D219" s="75">
        <f>VLOOKUP($A219,'Data Vlaue (Cr)'!$C:$FB,4)</f>
        <v>2658.8</v>
      </c>
      <c r="E219" s="75">
        <f>VLOOKUP($A219,'Data Vlaue (Cr)'!$C:$FB,5)</f>
        <v>2646.2</v>
      </c>
      <c r="F219" s="75">
        <f t="shared" si="36"/>
        <v>12.600000000000364</v>
      </c>
      <c r="G219" s="75">
        <f t="shared" si="37"/>
        <v>0.47389799909735081</v>
      </c>
      <c r="H219" s="75">
        <f>VLOOKUP($A219,'Data Vlaue (Cr)'!$C:$FB,99)</f>
        <v>2430</v>
      </c>
      <c r="I219" s="75">
        <f>VLOOKUP($A219,'Data Vlaue (Cr)'!$C:$FB,100)</f>
        <v>2426</v>
      </c>
      <c r="J219" s="75">
        <f t="shared" si="38"/>
        <v>4</v>
      </c>
      <c r="K219" s="75">
        <f t="shared" si="39"/>
        <v>0.16460905349794239</v>
      </c>
      <c r="L219" s="75">
        <f>VLOOKUP($A219,'Data Vlaue (Cr)'!$C:$FB,67)</f>
        <v>1354</v>
      </c>
      <c r="M219" s="75">
        <f>VLOOKUP($A219,'Data Vlaue (Cr)'!$C:$FB,68)</f>
        <v>1112</v>
      </c>
      <c r="N219" s="75">
        <f t="shared" si="40"/>
        <v>242</v>
      </c>
      <c r="O219" s="75">
        <f t="shared" si="41"/>
        <v>17.872968980797637</v>
      </c>
      <c r="P219" s="75">
        <f>VLOOKUP($A219,'Data Vlaue (Cr)'!$C:$FB,119)</f>
        <v>0.57999999999999996</v>
      </c>
      <c r="Q219" s="75">
        <f>VLOOKUP($A219,'Data Vlaue (Cr)'!$C:$FB,122)*100</f>
        <v>-3.3300000000000005</v>
      </c>
      <c r="R219" s="75">
        <f>VLOOKUP($A219,'Data Vlaue (Cr)'!$C:$FB,125)</f>
        <v>0.4</v>
      </c>
      <c r="S219" s="75">
        <f>VLOOKUP($A219,'Data Vlaue (Cr)'!$C:$FB,128)*100</f>
        <v>-9.09</v>
      </c>
    </row>
    <row r="220" spans="1:19" x14ac:dyDescent="0.25">
      <c r="A220" s="96" t="str">
        <f>'Data Vlaue (Cr)'!C211</f>
        <v>WIPRO</v>
      </c>
      <c r="B220" s="75">
        <f>VLOOKUP($A220,'Data Vlaue (Cr)'!$C:$FB,2)</f>
        <v>3000</v>
      </c>
      <c r="C220" s="75">
        <f>VLOOKUP($A220,'Data Vlaue (Cr)'!$C:$FB,8)</f>
        <v>195.68</v>
      </c>
      <c r="D220" s="75">
        <f>VLOOKUP($A220,'Data Vlaue (Cr)'!$C:$FB,4)</f>
        <v>196.02</v>
      </c>
      <c r="E220" s="75">
        <f>VLOOKUP($A220,'Data Vlaue (Cr)'!$C:$FB,5)</f>
        <v>195.86</v>
      </c>
      <c r="F220" s="75">
        <f t="shared" si="36"/>
        <v>0.34000000000000341</v>
      </c>
      <c r="G220" s="75">
        <f t="shared" si="37"/>
        <v>8.162432404856472E-2</v>
      </c>
      <c r="H220" s="75">
        <f>VLOOKUP($A220,'Data Vlaue (Cr)'!$C:$FB,99)</f>
        <v>5465</v>
      </c>
      <c r="I220" s="75">
        <f>VLOOKUP($A220,'Data Vlaue (Cr)'!$C:$FB,100)</f>
        <v>5457</v>
      </c>
      <c r="J220" s="75">
        <f t="shared" si="38"/>
        <v>8</v>
      </c>
      <c r="K220" s="75">
        <f t="shared" si="39"/>
        <v>0.1463860933211345</v>
      </c>
      <c r="L220" s="75">
        <f>VLOOKUP($A220,'Data Vlaue (Cr)'!$C:$FB,67)</f>
        <v>1858</v>
      </c>
      <c r="M220" s="75">
        <f>VLOOKUP($A220,'Data Vlaue (Cr)'!$C:$FB,68)</f>
        <v>2967</v>
      </c>
      <c r="N220" s="75">
        <f t="shared" si="40"/>
        <v>-1109</v>
      </c>
      <c r="O220" s="75">
        <f t="shared" si="41"/>
        <v>-59.687836383207745</v>
      </c>
      <c r="P220" s="75">
        <f>VLOOKUP($A220,'Data Vlaue (Cr)'!$C:$FB,119)</f>
        <v>0.51</v>
      </c>
      <c r="Q220" s="75">
        <f>VLOOKUP($A220,'Data Vlaue (Cr)'!$C:$FB,122)*100</f>
        <v>0</v>
      </c>
      <c r="R220" s="75">
        <f>VLOOKUP($A220,'Data Vlaue (Cr)'!$C:$FB,125)</f>
        <v>0.55000000000000004</v>
      </c>
      <c r="S220" s="75">
        <f>VLOOKUP($A220,'Data Vlaue (Cr)'!$C:$FB,128)*100</f>
        <v>5.7700000000000005</v>
      </c>
    </row>
    <row r="221" spans="1:19" x14ac:dyDescent="0.25">
      <c r="A221" s="96" t="str">
        <f>'Data Vlaue (Cr)'!C213</f>
        <v>ZYDUSLIFE</v>
      </c>
      <c r="B221" s="75">
        <f>VLOOKUP($A221,'Data Vlaue (Cr)'!$C:$FB,2)</f>
        <v>900</v>
      </c>
      <c r="C221" s="75">
        <f>VLOOKUP($A221,'Data Vlaue (Cr)'!$C:$FB,8)</f>
        <v>914.65</v>
      </c>
      <c r="D221" s="75">
        <f>VLOOKUP($A221,'Data Vlaue (Cr)'!$C:$FB,4)</f>
        <v>916.4</v>
      </c>
      <c r="E221" s="75">
        <f>VLOOKUP($A221,'Data Vlaue (Cr)'!$C:$FB,5)</f>
        <v>900.65</v>
      </c>
      <c r="F221" s="75">
        <f t="shared" si="36"/>
        <v>1.75</v>
      </c>
      <c r="G221" s="75">
        <f t="shared" si="37"/>
        <v>1.7186817983413358</v>
      </c>
      <c r="H221" s="75">
        <f>VLOOKUP($A221,'Data Vlaue (Cr)'!$C:$FB,99)</f>
        <v>1554</v>
      </c>
      <c r="I221" s="75">
        <f>VLOOKUP($A221,'Data Vlaue (Cr)'!$C:$FB,100)</f>
        <v>1570</v>
      </c>
      <c r="J221" s="75">
        <f t="shared" si="38"/>
        <v>-16</v>
      </c>
      <c r="K221" s="75">
        <f t="shared" si="39"/>
        <v>-1.0296010296010296</v>
      </c>
      <c r="L221" s="75">
        <f>VLOOKUP($A221,'Data Vlaue (Cr)'!$C:$FB,67)</f>
        <v>711</v>
      </c>
      <c r="M221" s="75">
        <f>VLOOKUP($A221,'Data Vlaue (Cr)'!$C:$FB,68)</f>
        <v>670</v>
      </c>
      <c r="N221" s="75">
        <f t="shared" si="40"/>
        <v>41</v>
      </c>
      <c r="O221" s="75">
        <f t="shared" si="41"/>
        <v>5.766526019690577</v>
      </c>
      <c r="P221" s="75">
        <f>VLOOKUP($A221,'Data Vlaue (Cr)'!$C:$FB,119)</f>
        <v>0.56999999999999995</v>
      </c>
      <c r="Q221" s="75">
        <f>VLOOKUP($A221,'Data Vlaue (Cr)'!$C:$FB,122)*100</f>
        <v>5.56</v>
      </c>
      <c r="R221" s="75">
        <f>VLOOKUP($A221,'Data Vlaue (Cr)'!$C:$FB,125)</f>
        <v>0.27</v>
      </c>
      <c r="S221" s="75">
        <f>VLOOKUP($A221,'Data Vlaue (Cr)'!$C:$FB,128)*100</f>
        <v>-51.790000000000006</v>
      </c>
    </row>
    <row r="222" spans="1:19" x14ac:dyDescent="0.25">
      <c r="A222" s="96"/>
      <c r="B222" s="75"/>
      <c r="C222" s="75"/>
      <c r="D222" s="75"/>
      <c r="E222" s="75"/>
      <c r="F222" s="75"/>
      <c r="G222" s="75"/>
      <c r="H222" s="75"/>
      <c r="I222" s="75"/>
      <c r="J222" s="75"/>
      <c r="K222" s="75"/>
      <c r="L222" s="75"/>
      <c r="M222" s="75"/>
      <c r="N222" s="75"/>
      <c r="O222" s="75"/>
      <c r="P222" s="75"/>
      <c r="Q222" s="75"/>
      <c r="R222" s="75"/>
      <c r="S222" s="75"/>
    </row>
    <row r="223" spans="1:19" x14ac:dyDescent="0.25">
      <c r="A223" s="98"/>
      <c r="B223" s="75"/>
      <c r="C223" s="75"/>
      <c r="D223" s="75"/>
      <c r="E223" s="75"/>
      <c r="F223" s="75"/>
      <c r="G223" s="75"/>
      <c r="H223" s="75"/>
      <c r="I223" s="75"/>
      <c r="J223" s="75"/>
      <c r="K223" s="75"/>
      <c r="L223" s="75"/>
      <c r="M223" s="75"/>
      <c r="N223" s="75"/>
      <c r="O223" s="75"/>
      <c r="P223" s="75"/>
      <c r="Q223" s="75"/>
      <c r="R223" s="75"/>
      <c r="S223" s="75"/>
    </row>
    <row r="224" spans="1:19" x14ac:dyDescent="0.25">
      <c r="A224" s="98"/>
      <c r="B224" s="75"/>
      <c r="C224" s="75"/>
      <c r="D224" s="75"/>
      <c r="E224" s="75"/>
      <c r="F224" s="75"/>
      <c r="G224" s="75"/>
      <c r="H224" s="75"/>
      <c r="I224" s="75"/>
      <c r="J224" s="75"/>
      <c r="K224" s="75"/>
      <c r="L224" s="75"/>
      <c r="M224" s="75"/>
      <c r="N224" s="75"/>
      <c r="O224" s="75"/>
      <c r="P224" s="75"/>
      <c r="Q224" s="75"/>
      <c r="R224" s="75"/>
      <c r="S224" s="75"/>
    </row>
    <row r="225" spans="1:19" x14ac:dyDescent="0.25">
      <c r="A225" s="98"/>
      <c r="B225" s="75"/>
      <c r="C225" s="75"/>
      <c r="D225" s="75"/>
      <c r="E225" s="75"/>
      <c r="F225" s="75"/>
      <c r="G225" s="75"/>
      <c r="H225" s="75"/>
      <c r="I225" s="75"/>
      <c r="J225" s="75"/>
      <c r="K225" s="75"/>
      <c r="L225" s="75"/>
      <c r="M225" s="75"/>
      <c r="N225" s="75"/>
      <c r="O225" s="75"/>
      <c r="P225" s="75"/>
      <c r="Q225" s="75"/>
      <c r="R225" s="75"/>
      <c r="S225" s="75"/>
    </row>
    <row r="226" spans="1:19" x14ac:dyDescent="0.25">
      <c r="A226" s="98"/>
      <c r="B226" s="75"/>
      <c r="C226" s="75"/>
      <c r="D226" s="75"/>
      <c r="E226" s="75"/>
      <c r="F226" s="75"/>
      <c r="G226" s="75"/>
      <c r="H226" s="75"/>
      <c r="I226" s="75"/>
      <c r="J226" s="75"/>
      <c r="K226" s="75"/>
      <c r="L226" s="75"/>
      <c r="M226" s="75"/>
      <c r="N226" s="75"/>
      <c r="O226" s="75"/>
      <c r="P226" s="75"/>
      <c r="Q226" s="75"/>
      <c r="R226" s="75"/>
      <c r="S226" s="75"/>
    </row>
    <row r="227" spans="1:19" x14ac:dyDescent="0.25">
      <c r="A227" s="238"/>
      <c r="B227" s="238"/>
      <c r="C227" s="238"/>
      <c r="D227" s="238"/>
      <c r="E227" s="238"/>
      <c r="F227" s="238"/>
      <c r="G227" s="15"/>
      <c r="H227" s="16"/>
      <c r="I227" s="238"/>
      <c r="J227" s="238"/>
      <c r="K227" s="238"/>
      <c r="L227" s="238"/>
      <c r="M227" s="238"/>
      <c r="N227" s="16"/>
      <c r="O227" s="16"/>
      <c r="P227" s="16"/>
      <c r="Q227" s="238"/>
      <c r="R227" s="238"/>
      <c r="S227" s="238"/>
    </row>
    <row r="228" spans="1:19" x14ac:dyDescent="0.25">
      <c r="A228" s="235" t="s">
        <v>391</v>
      </c>
      <c r="B228" s="236"/>
      <c r="C228" s="236"/>
      <c r="D228" s="236"/>
      <c r="E228" s="236"/>
      <c r="F228" s="237"/>
      <c r="G228" s="18"/>
      <c r="H228" s="18">
        <f>SUM(H11:H223)</f>
        <v>2033462</v>
      </c>
      <c r="I228" s="18">
        <f>SUM(I11:I223)</f>
        <v>1866045</v>
      </c>
      <c r="J228" s="18">
        <f>H228-I228</f>
        <v>167417</v>
      </c>
      <c r="K228" s="19">
        <f>J228/I228</f>
        <v>8.9717557722348601E-2</v>
      </c>
      <c r="L228" s="18">
        <f>SUM(L11:L223)</f>
        <v>10916862</v>
      </c>
      <c r="M228" s="18">
        <f>SUM(M11:M223)</f>
        <v>9576576</v>
      </c>
      <c r="N228" s="18">
        <f>L228-M228</f>
        <v>1340286</v>
      </c>
      <c r="O228" s="19">
        <f>N228/M228</f>
        <v>0.13995461425879144</v>
      </c>
      <c r="P228" s="235"/>
      <c r="Q228" s="236"/>
      <c r="R228" s="236"/>
      <c r="S228" s="237"/>
    </row>
    <row r="232" spans="1:19" x14ac:dyDescent="0.25">
      <c r="A232" s="241" t="s">
        <v>334</v>
      </c>
      <c r="B232" s="241"/>
      <c r="C232" s="241"/>
      <c r="D232" s="6"/>
      <c r="E232" s="6"/>
      <c r="F232" s="6"/>
      <c r="G232" s="6"/>
      <c r="H232" s="8" t="s">
        <v>385</v>
      </c>
      <c r="J232" s="7"/>
      <c r="K232" s="7"/>
      <c r="L232" s="7"/>
      <c r="M232" s="7"/>
    </row>
    <row r="233" spans="1:19" x14ac:dyDescent="0.25">
      <c r="A233" s="22"/>
      <c r="B233" s="23" t="s">
        <v>182</v>
      </c>
      <c r="C233" s="24" t="s">
        <v>386</v>
      </c>
      <c r="D233" s="25" t="s">
        <v>266</v>
      </c>
      <c r="E233" s="24" t="s">
        <v>386</v>
      </c>
      <c r="F233" s="23" t="s">
        <v>461</v>
      </c>
      <c r="G233" s="23" t="s">
        <v>387</v>
      </c>
      <c r="H233" s="24" t="s">
        <v>386</v>
      </c>
    </row>
    <row r="234" spans="1:19" x14ac:dyDescent="0.25">
      <c r="A234" s="26" t="s">
        <v>388</v>
      </c>
      <c r="B234" s="9">
        <f>VLOOKUP(B233,'OI(Value)'!A7:E226,5,0)</f>
        <v>15131</v>
      </c>
      <c r="C234" s="146">
        <f>VLOOKUP(B233,'OI(Value)'!A7:G226,7,0)</f>
        <v>2.6700000000000002E-2</v>
      </c>
      <c r="D234" s="9">
        <f>VLOOKUP(D233,'OI(Value)'!A7:E226,5,0)</f>
        <v>44413</v>
      </c>
      <c r="E234" s="147">
        <f>VLOOKUP(D233,'OI(Value)'!A7:G226,7,0)</f>
        <v>-3.8999999999999998E-3</v>
      </c>
      <c r="F234" s="9">
        <f>G234-D234-B234</f>
        <v>499083</v>
      </c>
      <c r="G234" s="10">
        <f>'OI(Value)'!E227</f>
        <v>558627</v>
      </c>
      <c r="H234" s="147">
        <f>'OI(Value)'!D234</f>
        <v>5.1554973175303015E-4</v>
      </c>
    </row>
    <row r="235" spans="1:19" x14ac:dyDescent="0.25">
      <c r="A235" s="26" t="s">
        <v>389</v>
      </c>
      <c r="B235" s="9">
        <f>VLOOKUP(B233,'OI(Value)'!A7:H226,8,0)</f>
        <v>83504</v>
      </c>
      <c r="C235" s="146">
        <f>VLOOKUP(B233,'OI(Value)'!A7:J226,10,0)</f>
        <v>7.5899999999999995E-2</v>
      </c>
      <c r="D235" s="9">
        <f>VLOOKUP(D233,'OI(Value)'!A1:O227,8,0)</f>
        <v>501858</v>
      </c>
      <c r="E235" s="147">
        <f>VLOOKUP(D233,'OI(Value)'!A1:J226,10,0)</f>
        <v>0.1285</v>
      </c>
      <c r="F235" s="9">
        <f>G235-D235-B235</f>
        <v>181940</v>
      </c>
      <c r="G235" s="9">
        <f>'OI(Value)'!H227</f>
        <v>767302</v>
      </c>
      <c r="H235" s="147">
        <f>'OI(Value)'!D235</f>
        <v>9.313282123596707E-2</v>
      </c>
    </row>
    <row r="236" spans="1:19" x14ac:dyDescent="0.25">
      <c r="A236" s="26" t="s">
        <v>390</v>
      </c>
      <c r="B236" s="9">
        <f>VLOOKUP(B233,'OI(Value)'!A7:K226,11,0)</f>
        <v>76757</v>
      </c>
      <c r="C236" s="146">
        <f>VLOOKUP(B233,'OI(Value)'!A7:M226,13,0)</f>
        <v>6.1600000000000002E-2</v>
      </c>
      <c r="D236" s="9">
        <f>VLOOKUP(D233,'OI(Value)'!A2:O228,11,0)</f>
        <v>509338</v>
      </c>
      <c r="E236" s="147">
        <f>VLOOKUP(D233,'OI(Value)'!A7:M226,13,0)</f>
        <v>0.2044</v>
      </c>
      <c r="F236" s="9">
        <f>G236-D236-B236</f>
        <v>121436</v>
      </c>
      <c r="G236" s="9">
        <f>'OI(Value)'!K227</f>
        <v>707531</v>
      </c>
      <c r="H236" s="147">
        <f>'OI(Volume)'!D242</f>
        <v>4.3670252904235408E-2</v>
      </c>
    </row>
    <row r="237" spans="1:19" x14ac:dyDescent="0.25">
      <c r="A237" s="22" t="s">
        <v>391</v>
      </c>
      <c r="B237" s="62">
        <f>SUM(B234:B236)</f>
        <v>175392</v>
      </c>
      <c r="C237" s="148">
        <f>VLOOKUP(B233,'OI(Value)'!A7:D148,4,0)</f>
        <v>6.5199999999999994E-2</v>
      </c>
      <c r="D237" s="62">
        <f>SUM(D234:D236)</f>
        <v>1055609</v>
      </c>
      <c r="E237" s="148">
        <f>VLOOKUP(D233,'OI(Value)'!A1:D227,4,0)</f>
        <v>0.15720000000000001</v>
      </c>
      <c r="F237" s="62">
        <f>SUM(F234:F236)</f>
        <v>802459</v>
      </c>
      <c r="G237" s="62">
        <f>SUM(G234:G236)</f>
        <v>2033460</v>
      </c>
      <c r="H237" s="151">
        <f>'OI(Value)'!D237</f>
        <v>8.2324215868519665E-2</v>
      </c>
    </row>
    <row r="241" spans="1:8" x14ac:dyDescent="0.25">
      <c r="A241" s="20" t="s">
        <v>392</v>
      </c>
      <c r="B241" s="11"/>
      <c r="C241" s="11"/>
      <c r="D241" s="11"/>
      <c r="E241" s="11"/>
      <c r="F241" s="11"/>
      <c r="G241" s="11"/>
      <c r="H241" s="12"/>
    </row>
    <row r="242" spans="1:8" x14ac:dyDescent="0.25">
      <c r="A242" s="27"/>
      <c r="B242" s="27"/>
      <c r="C242" s="242" t="s">
        <v>459</v>
      </c>
      <c r="D242" s="243"/>
      <c r="E242" s="244"/>
      <c r="F242" s="242" t="s">
        <v>460</v>
      </c>
      <c r="G242" s="243"/>
      <c r="H242" s="244"/>
    </row>
    <row r="243" spans="1:8" x14ac:dyDescent="0.25">
      <c r="A243" s="28"/>
      <c r="B243" s="27"/>
      <c r="C243" s="31">
        <f>D10</f>
        <v>46086</v>
      </c>
      <c r="D243" s="31" t="s">
        <v>397</v>
      </c>
      <c r="E243" s="32" t="s">
        <v>321</v>
      </c>
      <c r="F243" s="31">
        <f>C243</f>
        <v>46086</v>
      </c>
      <c r="G243" s="31" t="str">
        <f>D243</f>
        <v>Preious</v>
      </c>
      <c r="H243" s="32" t="s">
        <v>386</v>
      </c>
    </row>
    <row r="244" spans="1:8" x14ac:dyDescent="0.25">
      <c r="A244" s="29" t="s">
        <v>393</v>
      </c>
      <c r="B244" s="30"/>
      <c r="C244" s="13">
        <f>FII!N3</f>
        <v>6131</v>
      </c>
      <c r="D244" s="13">
        <f>FII!J3</f>
        <v>6015</v>
      </c>
      <c r="E244" s="14">
        <f>(C244-D244)/C244</f>
        <v>1.892024139618333E-2</v>
      </c>
      <c r="F244" s="13">
        <f>FII!M3</f>
        <v>34404</v>
      </c>
      <c r="G244" s="13">
        <f>FII!I3</f>
        <v>33913</v>
      </c>
      <c r="H244" s="14">
        <f>(F244-G244)/F244</f>
        <v>1.4271596326008603E-2</v>
      </c>
    </row>
    <row r="245" spans="1:8" x14ac:dyDescent="0.25">
      <c r="A245" s="239" t="s">
        <v>394</v>
      </c>
      <c r="B245" s="240"/>
      <c r="C245" s="13">
        <f>FII!N4</f>
        <v>48946</v>
      </c>
      <c r="D245" s="13">
        <f>FII!J4</f>
        <v>47022</v>
      </c>
      <c r="E245" s="14">
        <f>(C245-D245)/C245</f>
        <v>3.9308625832550161E-2</v>
      </c>
      <c r="F245" s="13">
        <f>FII!M4</f>
        <v>276271</v>
      </c>
      <c r="G245" s="13">
        <f>FII!I4</f>
        <v>266769</v>
      </c>
      <c r="H245" s="14">
        <f>(F245-G245)/F245</f>
        <v>3.4393765541804969E-2</v>
      </c>
    </row>
    <row r="246" spans="1:8" x14ac:dyDescent="0.25">
      <c r="A246" s="239" t="s">
        <v>395</v>
      </c>
      <c r="B246" s="240"/>
      <c r="C246" s="13">
        <f>FII!N15</f>
        <v>426752</v>
      </c>
      <c r="D246" s="13">
        <f>FII!J15</f>
        <v>423039</v>
      </c>
      <c r="E246" s="14">
        <f>(C246-D246)/C246</f>
        <v>8.7006036292741444E-3</v>
      </c>
      <c r="F246" s="13">
        <f>FII!M15</f>
        <v>6668214</v>
      </c>
      <c r="G246" s="13">
        <f>FII!I15</f>
        <v>6696762</v>
      </c>
      <c r="H246" s="14">
        <f>(F246-G246)/F246</f>
        <v>-4.2812063320103403E-3</v>
      </c>
    </row>
    <row r="247" spans="1:8" x14ac:dyDescent="0.25">
      <c r="A247" s="239" t="s">
        <v>396</v>
      </c>
      <c r="B247" s="240"/>
      <c r="C247" s="13">
        <f>FII!N16</f>
        <v>37482</v>
      </c>
      <c r="D247" s="13">
        <f>FII!J16</f>
        <v>31869</v>
      </c>
      <c r="E247" s="14">
        <f>(C247-D247)/C247</f>
        <v>0.14975188090283337</v>
      </c>
      <c r="F247" s="13">
        <f>FII!M16</f>
        <v>561482</v>
      </c>
      <c r="G247" s="13">
        <f>FII!I16</f>
        <v>484665</v>
      </c>
      <c r="H247" s="14">
        <f>(F247-G247)/F247</f>
        <v>0.13681115334062358</v>
      </c>
    </row>
    <row r="248" spans="1:8" x14ac:dyDescent="0.25">
      <c r="A248" s="239" t="s">
        <v>391</v>
      </c>
      <c r="B248" s="240"/>
      <c r="C248" s="155">
        <f>SUM(C244:C247)</f>
        <v>519311</v>
      </c>
      <c r="D248" s="155">
        <f>SUM(D244:D247)</f>
        <v>507945</v>
      </c>
      <c r="E248" s="156">
        <f>(C248-D248)/C248</f>
        <v>2.188669217482395E-2</v>
      </c>
      <c r="F248" s="157">
        <f>SUM(F244:F247)</f>
        <v>7540371</v>
      </c>
      <c r="G248" s="158">
        <f>SUM(G244:G247)</f>
        <v>7482109</v>
      </c>
      <c r="H248" s="156">
        <f>(F248-G248)/F248</f>
        <v>7.726675517690045E-3</v>
      </c>
    </row>
  </sheetData>
  <mergeCells count="24">
    <mergeCell ref="A6:S6"/>
    <mergeCell ref="A7:S7"/>
    <mergeCell ref="A8:A9"/>
    <mergeCell ref="H8:K8"/>
    <mergeCell ref="L8:O8"/>
    <mergeCell ref="P8:S8"/>
    <mergeCell ref="D9:G9"/>
    <mergeCell ref="H9:K9"/>
    <mergeCell ref="C8:G8"/>
    <mergeCell ref="L9:O9"/>
    <mergeCell ref="P9:Q9"/>
    <mergeCell ref="R9:S9"/>
    <mergeCell ref="A247:B247"/>
    <mergeCell ref="A248:B248"/>
    <mergeCell ref="A232:C232"/>
    <mergeCell ref="C242:E242"/>
    <mergeCell ref="F242:H242"/>
    <mergeCell ref="A245:B245"/>
    <mergeCell ref="A246:B246"/>
    <mergeCell ref="P228:S228"/>
    <mergeCell ref="A228:F228"/>
    <mergeCell ref="Q227:S227"/>
    <mergeCell ref="I227:M227"/>
    <mergeCell ref="A227:F227"/>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workbookViewId="0">
      <pane ySplit="5" topLeftCell="A201" activePane="bottomLeft" state="frozen"/>
      <selection pane="bottomLeft" activeCell="A217" sqref="A217:G217"/>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11" t="s">
        <v>456</v>
      </c>
      <c r="B3" s="312"/>
      <c r="C3" s="312"/>
      <c r="D3" s="312"/>
      <c r="E3" s="312"/>
      <c r="F3" s="312"/>
      <c r="G3" s="313"/>
      <c r="H3" s="46"/>
    </row>
    <row r="4" spans="1:8" x14ac:dyDescent="0.25">
      <c r="A4" s="287" t="s">
        <v>366</v>
      </c>
      <c r="B4" s="106" t="s">
        <v>312</v>
      </c>
      <c r="C4" s="106" t="s">
        <v>313</v>
      </c>
      <c r="D4" s="287" t="s">
        <v>367</v>
      </c>
      <c r="E4" s="287"/>
      <c r="F4" s="287"/>
      <c r="G4" s="287"/>
      <c r="H4" s="47"/>
    </row>
    <row r="5" spans="1:8" x14ac:dyDescent="0.25">
      <c r="A5" s="306"/>
      <c r="B5" s="3">
        <f>PCR!B6</f>
        <v>46086</v>
      </c>
      <c r="C5" s="3">
        <f>B5</f>
        <v>46086</v>
      </c>
      <c r="D5" s="76" t="s">
        <v>367</v>
      </c>
      <c r="E5" s="76" t="s">
        <v>321</v>
      </c>
      <c r="F5" s="76" t="s">
        <v>368</v>
      </c>
      <c r="G5" s="76" t="s">
        <v>369</v>
      </c>
      <c r="H5" s="48"/>
    </row>
    <row r="6" spans="1:8" x14ac:dyDescent="0.25">
      <c r="A6" s="101" t="str">
        <f>'Data Vlaue (Cr)'!C2</f>
        <v>360ONE</v>
      </c>
      <c r="B6" s="144">
        <f>VLOOKUP($A6,'Data shares'!$C:$FA,7)</f>
        <v>1081</v>
      </c>
      <c r="C6" s="144">
        <f>VLOOKUP($A6,'Data shares'!$C:$FA,3)</f>
        <v>1083</v>
      </c>
      <c r="D6" s="144">
        <f>VLOOKUP($A6,'Data shares'!$C:$FA,23)</f>
        <v>2</v>
      </c>
      <c r="E6" s="145">
        <f>VLOOKUP($A6,'Data shares'!$C:$FA,26)*100</f>
        <v>0.19</v>
      </c>
      <c r="F6" s="144">
        <f>VLOOKUP($A6,'Data shares'!$C:$FA,24)</f>
        <v>4.8</v>
      </c>
      <c r="G6" s="144">
        <f>VLOOKUP($A6,'Data shares'!$C:$FA,25)</f>
        <v>-2.8</v>
      </c>
    </row>
    <row r="7" spans="1:8" x14ac:dyDescent="0.25">
      <c r="A7" s="101" t="str">
        <f>'Data Vlaue (Cr)'!C3</f>
        <v>ABB</v>
      </c>
      <c r="B7" s="144">
        <f>VLOOKUP($A7,'Data shares'!$C:$FA,7)</f>
        <v>5929</v>
      </c>
      <c r="C7" s="144">
        <f>VLOOKUP($A7,'Data shares'!$C:$FA,3)</f>
        <v>5943</v>
      </c>
      <c r="D7" s="144">
        <f>VLOOKUP($A7,'Data shares'!$C:$FA,23)</f>
        <v>14</v>
      </c>
      <c r="E7" s="145">
        <f>VLOOKUP($A7,'Data shares'!$C:$FA,26)*100</f>
        <v>0.24</v>
      </c>
      <c r="F7" s="144">
        <f>VLOOKUP($A7,'Data shares'!$C:$FA,24)</f>
        <v>18.5</v>
      </c>
      <c r="G7" s="144">
        <f>VLOOKUP($A7,'Data shares'!$C:$FA,25)</f>
        <v>-4.5</v>
      </c>
    </row>
    <row r="8" spans="1:8" x14ac:dyDescent="0.25">
      <c r="A8" s="101" t="str">
        <f>'Data Vlaue (Cr)'!C4</f>
        <v>ABCAPITAL</v>
      </c>
      <c r="B8" s="144">
        <f>VLOOKUP($A8,'Data shares'!$C:$FA,7)</f>
        <v>327.60000000000002</v>
      </c>
      <c r="C8" s="144">
        <f>VLOOKUP($A8,'Data shares'!$C:$FA,3)</f>
        <v>328.55</v>
      </c>
      <c r="D8" s="144">
        <f>VLOOKUP($A8,'Data shares'!$C:$FA,23)</f>
        <v>0.95</v>
      </c>
      <c r="E8" s="145">
        <f>VLOOKUP($A8,'Data shares'!$C:$FA,26)*100</f>
        <v>0.28999999999999998</v>
      </c>
      <c r="F8" s="144">
        <f>VLOOKUP($A8,'Data shares'!$C:$FA,24)</f>
        <v>0.7</v>
      </c>
      <c r="G8" s="144">
        <f>VLOOKUP($A8,'Data shares'!$C:$FA,25)</f>
        <v>0.25</v>
      </c>
    </row>
    <row r="9" spans="1:8" x14ac:dyDescent="0.25">
      <c r="A9" s="101" t="str">
        <f>'Data Vlaue (Cr)'!C5</f>
        <v>ADANIENSOL</v>
      </c>
      <c r="B9" s="144">
        <f>VLOOKUP($A9,'Data shares'!$C:$FA,7)</f>
        <v>987.9</v>
      </c>
      <c r="C9" s="144">
        <f>VLOOKUP($A9,'Data shares'!$C:$FA,3)</f>
        <v>991.9</v>
      </c>
      <c r="D9" s="144">
        <f>VLOOKUP($A9,'Data shares'!$C:$FA,23)</f>
        <v>4</v>
      </c>
      <c r="E9" s="145">
        <f>VLOOKUP($A9,'Data shares'!$C:$FA,26)*100</f>
        <v>0.4</v>
      </c>
      <c r="F9" s="144">
        <f>VLOOKUP($A9,'Data shares'!$C:$FA,24)</f>
        <v>1.8</v>
      </c>
      <c r="G9" s="144">
        <f>VLOOKUP($A9,'Data shares'!$C:$FA,25)</f>
        <v>2.2000000000000002</v>
      </c>
    </row>
    <row r="10" spans="1:8" x14ac:dyDescent="0.25">
      <c r="A10" s="101" t="str">
        <f>'Data Vlaue (Cr)'!C6</f>
        <v>ADANIENT</v>
      </c>
      <c r="B10" s="144">
        <f>VLOOKUP($A10,'Data shares'!$C:$FA,7)</f>
        <v>2089.1999999999998</v>
      </c>
      <c r="C10" s="144">
        <f>VLOOKUP($A10,'Data shares'!$C:$FA,3)</f>
        <v>2096.1999999999998</v>
      </c>
      <c r="D10" s="144">
        <f>VLOOKUP($A10,'Data shares'!$C:$FA,23)</f>
        <v>7</v>
      </c>
      <c r="E10" s="145">
        <f>VLOOKUP($A10,'Data shares'!$C:$FA,26)*100</f>
        <v>0.33999999999999997</v>
      </c>
      <c r="F10" s="144">
        <f>VLOOKUP($A10,'Data shares'!$C:$FA,24)</f>
        <v>-6</v>
      </c>
      <c r="G10" s="144">
        <f>VLOOKUP($A10,'Data shares'!$C:$FA,25)</f>
        <v>13</v>
      </c>
    </row>
    <row r="11" spans="1:8" x14ac:dyDescent="0.25">
      <c r="A11" s="101" t="str">
        <f>'Data Vlaue (Cr)'!C7</f>
        <v>ADANIGREEN</v>
      </c>
      <c r="B11" s="144">
        <f>VLOOKUP($A11,'Data shares'!$C:$FA,7)</f>
        <v>884.55</v>
      </c>
      <c r="C11" s="144">
        <f>VLOOKUP($A11,'Data shares'!$C:$FA,3)</f>
        <v>888.4</v>
      </c>
      <c r="D11" s="144">
        <f>VLOOKUP($A11,'Data shares'!$C:$FA,23)</f>
        <v>3.85</v>
      </c>
      <c r="E11" s="145">
        <f>VLOOKUP($A11,'Data shares'!$C:$FA,26)*100</f>
        <v>0.44</v>
      </c>
      <c r="F11" s="144">
        <f>VLOOKUP($A11,'Data shares'!$C:$FA,24)</f>
        <v>3</v>
      </c>
      <c r="G11" s="144">
        <f>VLOOKUP($A11,'Data shares'!$C:$FA,25)</f>
        <v>0.85</v>
      </c>
    </row>
    <row r="12" spans="1:8" x14ac:dyDescent="0.25">
      <c r="A12" s="101" t="str">
        <f>'Data Vlaue (Cr)'!C8</f>
        <v>ADANIPORTS</v>
      </c>
      <c r="B12" s="144">
        <f>VLOOKUP($A12,'Data shares'!$C:$FA,7)</f>
        <v>1499.3</v>
      </c>
      <c r="C12" s="144">
        <f>VLOOKUP($A12,'Data shares'!$C:$FA,3)</f>
        <v>1501.8</v>
      </c>
      <c r="D12" s="144">
        <f>VLOOKUP($A12,'Data shares'!$C:$FA,23)</f>
        <v>2.5</v>
      </c>
      <c r="E12" s="145">
        <f>VLOOKUP($A12,'Data shares'!$C:$FA,26)*100</f>
        <v>0.16999999999999998</v>
      </c>
      <c r="F12" s="144">
        <f>VLOOKUP($A12,'Data shares'!$C:$FA,24)</f>
        <v>6.5</v>
      </c>
      <c r="G12" s="144">
        <f>VLOOKUP($A12,'Data shares'!$C:$FA,25)</f>
        <v>-4</v>
      </c>
    </row>
    <row r="13" spans="1:8" x14ac:dyDescent="0.25">
      <c r="A13" s="101" t="str">
        <f>'Data Vlaue (Cr)'!C9</f>
        <v>ALKEM</v>
      </c>
      <c r="B13" s="144">
        <f>VLOOKUP($A13,'Data shares'!$C:$FA,7)</f>
        <v>5550</v>
      </c>
      <c r="C13" s="144">
        <f>VLOOKUP($A13,'Data shares'!$C:$FA,3)</f>
        <v>5574</v>
      </c>
      <c r="D13" s="144">
        <f>VLOOKUP($A13,'Data shares'!$C:$FA,23)</f>
        <v>24</v>
      </c>
      <c r="E13" s="145">
        <f>VLOOKUP($A13,'Data shares'!$C:$FA,26)*100</f>
        <v>0.43</v>
      </c>
      <c r="F13" s="144">
        <f>VLOOKUP($A13,'Data shares'!$C:$FA,24)</f>
        <v>21.5</v>
      </c>
      <c r="G13" s="144">
        <f>VLOOKUP($A13,'Data shares'!$C:$FA,25)</f>
        <v>2.5</v>
      </c>
    </row>
    <row r="14" spans="1:8" x14ac:dyDescent="0.25">
      <c r="A14" s="101" t="str">
        <f>'Data Vlaue (Cr)'!C10</f>
        <v>AMBER</v>
      </c>
      <c r="B14" s="144">
        <f>VLOOKUP($A14,'Data shares'!$C:$FA,7)</f>
        <v>7825.5</v>
      </c>
      <c r="C14" s="144">
        <f>VLOOKUP($A14,'Data shares'!$C:$FA,3)</f>
        <v>7865</v>
      </c>
      <c r="D14" s="144">
        <f>VLOOKUP($A14,'Data shares'!$C:$FA,23)</f>
        <v>39.5</v>
      </c>
      <c r="E14" s="145">
        <f>VLOOKUP($A14,'Data shares'!$C:$FA,26)*100</f>
        <v>0.5</v>
      </c>
      <c r="F14" s="144">
        <f>VLOOKUP($A14,'Data shares'!$C:$FA,24)</f>
        <v>34.5</v>
      </c>
      <c r="G14" s="144">
        <f>VLOOKUP($A14,'Data shares'!$C:$FA,25)</f>
        <v>5</v>
      </c>
    </row>
    <row r="15" spans="1:8" x14ac:dyDescent="0.25">
      <c r="A15" s="101" t="str">
        <f>'Data Vlaue (Cr)'!C11</f>
        <v>AMBUJACEM</v>
      </c>
      <c r="B15" s="144">
        <f>VLOOKUP($A15,'Data shares'!$C:$FA,7)</f>
        <v>480</v>
      </c>
      <c r="C15" s="144">
        <f>VLOOKUP($A15,'Data shares'!$C:$FA,3)</f>
        <v>482.35</v>
      </c>
      <c r="D15" s="144">
        <f>VLOOKUP($A15,'Data shares'!$C:$FA,23)</f>
        <v>2.35</v>
      </c>
      <c r="E15" s="145">
        <f>VLOOKUP($A15,'Data shares'!$C:$FA,26)*100</f>
        <v>0.49</v>
      </c>
      <c r="F15" s="144">
        <f>VLOOKUP($A15,'Data shares'!$C:$FA,24)</f>
        <v>2.1</v>
      </c>
      <c r="G15" s="144">
        <f>VLOOKUP($A15,'Data shares'!$C:$FA,25)</f>
        <v>0.25</v>
      </c>
    </row>
    <row r="16" spans="1:8" x14ac:dyDescent="0.25">
      <c r="A16" s="101" t="str">
        <f>'Data Vlaue (Cr)'!C12</f>
        <v>ANGELONE</v>
      </c>
      <c r="B16" s="144">
        <f>VLOOKUP($A16,'Data shares'!$C:$FA,7)</f>
        <v>224.68</v>
      </c>
      <c r="C16" s="144">
        <f>VLOOKUP($A16,'Data shares'!$C:$FA,3)</f>
        <v>224.63</v>
      </c>
      <c r="D16" s="144">
        <f>VLOOKUP($A16,'Data shares'!$C:$FA,23)</f>
        <v>-0.05</v>
      </c>
      <c r="E16" s="145">
        <f>VLOOKUP($A16,'Data shares'!$C:$FA,26)*100</f>
        <v>-0.02</v>
      </c>
      <c r="F16" s="144">
        <f>VLOOKUP($A16,'Data shares'!$C:$FA,24)</f>
        <v>0.21</v>
      </c>
      <c r="G16" s="144">
        <f>VLOOKUP($A16,'Data shares'!$C:$FA,25)</f>
        <v>-0.26</v>
      </c>
    </row>
    <row r="17" spans="1:7" x14ac:dyDescent="0.25">
      <c r="A17" s="101" t="str">
        <f>'Data Vlaue (Cr)'!C13</f>
        <v>APLAPOLLO</v>
      </c>
      <c r="B17" s="144">
        <f>VLOOKUP($A17,'Data shares'!$C:$FA,7)</f>
        <v>2161.3000000000002</v>
      </c>
      <c r="C17" s="144">
        <f>VLOOKUP($A17,'Data shares'!$C:$FA,3)</f>
        <v>2170</v>
      </c>
      <c r="D17" s="144">
        <f>VLOOKUP($A17,'Data shares'!$C:$FA,23)</f>
        <v>8.6999999999999993</v>
      </c>
      <c r="E17" s="145">
        <f>VLOOKUP($A17,'Data shares'!$C:$FA,26)*100</f>
        <v>0.4</v>
      </c>
      <c r="F17" s="144">
        <f>VLOOKUP($A17,'Data shares'!$C:$FA,24)</f>
        <v>2.8</v>
      </c>
      <c r="G17" s="144">
        <f>VLOOKUP($A17,'Data shares'!$C:$FA,25)</f>
        <v>5.9</v>
      </c>
    </row>
    <row r="18" spans="1:7" x14ac:dyDescent="0.25">
      <c r="A18" s="101" t="str">
        <f>'Data Vlaue (Cr)'!C14</f>
        <v>APOLLOHOSP</v>
      </c>
      <c r="B18" s="144">
        <f>VLOOKUP($A18,'Data shares'!$C:$FA,7)</f>
        <v>7775</v>
      </c>
      <c r="C18" s="144">
        <f>VLOOKUP($A18,'Data shares'!$C:$FA,3)</f>
        <v>7787.5</v>
      </c>
      <c r="D18" s="144">
        <f>VLOOKUP($A18,'Data shares'!$C:$FA,23)</f>
        <v>12.5</v>
      </c>
      <c r="E18" s="145">
        <f>VLOOKUP($A18,'Data shares'!$C:$FA,26)*100</f>
        <v>0.16</v>
      </c>
      <c r="F18" s="144">
        <f>VLOOKUP($A18,'Data shares'!$C:$FA,24)</f>
        <v>14</v>
      </c>
      <c r="G18" s="144">
        <f>VLOOKUP($A18,'Data shares'!$C:$FA,25)</f>
        <v>-1.5</v>
      </c>
    </row>
    <row r="19" spans="1:7" x14ac:dyDescent="0.25">
      <c r="A19" s="101" t="str">
        <f>'Data Vlaue (Cr)'!C15</f>
        <v>ASHOKLEY</v>
      </c>
      <c r="B19" s="144">
        <f>VLOOKUP($A19,'Data shares'!$C:$FA,7)</f>
        <v>203.04</v>
      </c>
      <c r="C19" s="144">
        <f>VLOOKUP($A19,'Data shares'!$C:$FA,3)</f>
        <v>203.21</v>
      </c>
      <c r="D19" s="144">
        <f>VLOOKUP($A19,'Data shares'!$C:$FA,23)</f>
        <v>0.17</v>
      </c>
      <c r="E19" s="145">
        <f>VLOOKUP($A19,'Data shares'!$C:$FA,26)*100</f>
        <v>0.08</v>
      </c>
      <c r="F19" s="144">
        <f>VLOOKUP($A19,'Data shares'!$C:$FA,24)</f>
        <v>-0.35</v>
      </c>
      <c r="G19" s="144">
        <f>VLOOKUP($A19,'Data shares'!$C:$FA,25)</f>
        <v>0.52</v>
      </c>
    </row>
    <row r="20" spans="1:7" x14ac:dyDescent="0.25">
      <c r="A20" s="101" t="str">
        <f>'Data Vlaue (Cr)'!C16</f>
        <v>ASIANPAINT</v>
      </c>
      <c r="B20" s="144">
        <f>VLOOKUP($A20,'Data shares'!$C:$FA,7)</f>
        <v>2287.8000000000002</v>
      </c>
      <c r="C20" s="144">
        <f>VLOOKUP($A20,'Data shares'!$C:$FA,3)</f>
        <v>2298.8000000000002</v>
      </c>
      <c r="D20" s="144">
        <f>VLOOKUP($A20,'Data shares'!$C:$FA,23)</f>
        <v>11</v>
      </c>
      <c r="E20" s="145">
        <f>VLOOKUP($A20,'Data shares'!$C:$FA,26)*100</f>
        <v>0.48</v>
      </c>
      <c r="F20" s="144">
        <f>VLOOKUP($A20,'Data shares'!$C:$FA,24)</f>
        <v>7.9</v>
      </c>
      <c r="G20" s="144">
        <f>VLOOKUP($A20,'Data shares'!$C:$FA,25)</f>
        <v>3.1</v>
      </c>
    </row>
    <row r="21" spans="1:7" x14ac:dyDescent="0.25">
      <c r="A21" s="101" t="str">
        <f>'Data Vlaue (Cr)'!C17</f>
        <v>ASTRAL</v>
      </c>
      <c r="B21" s="144">
        <f>VLOOKUP($A21,'Data shares'!$C:$FA,7)</f>
        <v>1663.1</v>
      </c>
      <c r="C21" s="144">
        <f>VLOOKUP($A21,'Data shares'!$C:$FA,3)</f>
        <v>1655.6</v>
      </c>
      <c r="D21" s="144">
        <f>VLOOKUP($A21,'Data shares'!$C:$FA,23)</f>
        <v>-7.5</v>
      </c>
      <c r="E21" s="145">
        <f>VLOOKUP($A21,'Data shares'!$C:$FA,26)*100</f>
        <v>-0.44999999999999996</v>
      </c>
      <c r="F21" s="144">
        <f>VLOOKUP($A21,'Data shares'!$C:$FA,24)</f>
        <v>-29.1</v>
      </c>
      <c r="G21" s="144">
        <f>VLOOKUP($A21,'Data shares'!$C:$FA,25)</f>
        <v>21.6</v>
      </c>
    </row>
    <row r="22" spans="1:7" x14ac:dyDescent="0.25">
      <c r="A22" s="101" t="str">
        <f>'Data Vlaue (Cr)'!C18</f>
        <v>AUBANK</v>
      </c>
      <c r="B22" s="144">
        <f>VLOOKUP($A22,'Data shares'!$C:$FA,7)</f>
        <v>973.45</v>
      </c>
      <c r="C22" s="144">
        <f>VLOOKUP($A22,'Data shares'!$C:$FA,3)</f>
        <v>974.9</v>
      </c>
      <c r="D22" s="144">
        <f>VLOOKUP($A22,'Data shares'!$C:$FA,23)</f>
        <v>1.45</v>
      </c>
      <c r="E22" s="145">
        <f>VLOOKUP($A22,'Data shares'!$C:$FA,26)*100</f>
        <v>0.15</v>
      </c>
      <c r="F22" s="144">
        <f>VLOOKUP($A22,'Data shares'!$C:$FA,24)</f>
        <v>3.5</v>
      </c>
      <c r="G22" s="144">
        <f>VLOOKUP($A22,'Data shares'!$C:$FA,25)</f>
        <v>-2.0499999999999998</v>
      </c>
    </row>
    <row r="23" spans="1:7" x14ac:dyDescent="0.25">
      <c r="A23" s="101" t="str">
        <f>'Data Vlaue (Cr)'!C19</f>
        <v>AUROPHARMA</v>
      </c>
      <c r="B23" s="144">
        <f>VLOOKUP($A23,'Data shares'!$C:$FA,7)</f>
        <v>1225.5</v>
      </c>
      <c r="C23" s="144">
        <f>VLOOKUP($A23,'Data shares'!$C:$FA,3)</f>
        <v>1228.3</v>
      </c>
      <c r="D23" s="144">
        <f>VLOOKUP($A23,'Data shares'!$C:$FA,23)</f>
        <v>2.8</v>
      </c>
      <c r="E23" s="145">
        <f>VLOOKUP($A23,'Data shares'!$C:$FA,26)*100</f>
        <v>0.22999999999999998</v>
      </c>
      <c r="F23" s="144">
        <f>VLOOKUP($A23,'Data shares'!$C:$FA,24)</f>
        <v>2.2000000000000002</v>
      </c>
      <c r="G23" s="144">
        <f>VLOOKUP($A23,'Data shares'!$C:$FA,25)</f>
        <v>0.6</v>
      </c>
    </row>
    <row r="24" spans="1:7" x14ac:dyDescent="0.25">
      <c r="A24" s="101" t="str">
        <f>'Data Vlaue (Cr)'!C20</f>
        <v>AXISBANK</v>
      </c>
      <c r="B24" s="144">
        <f>VLOOKUP($A24,'Data shares'!$C:$FA,7)</f>
        <v>1349.1</v>
      </c>
      <c r="C24" s="144">
        <f>VLOOKUP($A24,'Data shares'!$C:$FA,3)</f>
        <v>1356.1</v>
      </c>
      <c r="D24" s="144">
        <f>VLOOKUP($A24,'Data shares'!$C:$FA,23)</f>
        <v>7</v>
      </c>
      <c r="E24" s="145">
        <f>VLOOKUP($A24,'Data shares'!$C:$FA,26)*100</f>
        <v>0.52</v>
      </c>
      <c r="F24" s="144">
        <f>VLOOKUP($A24,'Data shares'!$C:$FA,24)</f>
        <v>2.5</v>
      </c>
      <c r="G24" s="144">
        <f>VLOOKUP($A24,'Data shares'!$C:$FA,25)</f>
        <v>4.5</v>
      </c>
    </row>
    <row r="25" spans="1:7" x14ac:dyDescent="0.25">
      <c r="A25" s="101" t="str">
        <f>'Data Vlaue (Cr)'!C21</f>
        <v>BAJAJ-AUTO</v>
      </c>
      <c r="B25" s="144">
        <f>VLOOKUP($A25,'Data shares'!$C:$FA,7)</f>
        <v>9804.5</v>
      </c>
      <c r="C25" s="144">
        <f>VLOOKUP($A25,'Data shares'!$C:$FA,3)</f>
        <v>9788.5</v>
      </c>
      <c r="D25" s="144">
        <f>VLOOKUP($A25,'Data shares'!$C:$FA,23)</f>
        <v>-16</v>
      </c>
      <c r="E25" s="145">
        <f>VLOOKUP($A25,'Data shares'!$C:$FA,26)*100</f>
        <v>-0.16</v>
      </c>
      <c r="F25" s="144">
        <f>VLOOKUP($A25,'Data shares'!$C:$FA,24)</f>
        <v>-7.5</v>
      </c>
      <c r="G25" s="144">
        <f>VLOOKUP($A25,'Data shares'!$C:$FA,25)</f>
        <v>-8.5</v>
      </c>
    </row>
    <row r="26" spans="1:7" x14ac:dyDescent="0.25">
      <c r="A26" s="101" t="str">
        <f>'Data Vlaue (Cr)'!C22</f>
        <v>BAJAJFINSV</v>
      </c>
      <c r="B26" s="144">
        <f>VLOOKUP($A26,'Data shares'!$C:$FA,7)</f>
        <v>1911.8</v>
      </c>
      <c r="C26" s="144">
        <f>VLOOKUP($A26,'Data shares'!$C:$FA,3)</f>
        <v>1917.9</v>
      </c>
      <c r="D26" s="144">
        <f>VLOOKUP($A26,'Data shares'!$C:$FA,23)</f>
        <v>6.1</v>
      </c>
      <c r="E26" s="145">
        <f>VLOOKUP($A26,'Data shares'!$C:$FA,26)*100</f>
        <v>0.32</v>
      </c>
      <c r="F26" s="144">
        <f>VLOOKUP($A26,'Data shares'!$C:$FA,24)</f>
        <v>2.5</v>
      </c>
      <c r="G26" s="144">
        <f>VLOOKUP($A26,'Data shares'!$C:$FA,25)</f>
        <v>3.6</v>
      </c>
    </row>
    <row r="27" spans="1:7" x14ac:dyDescent="0.25">
      <c r="A27" s="101" t="str">
        <f>'Data Vlaue (Cr)'!C23</f>
        <v>BAJAJHLDNG</v>
      </c>
      <c r="B27" s="144">
        <f>VLOOKUP($A27,'Data shares'!$C:$FA,7)</f>
        <v>10663</v>
      </c>
      <c r="C27" s="144">
        <f>VLOOKUP($A27,'Data shares'!$C:$FA,3)</f>
        <v>10710</v>
      </c>
      <c r="D27" s="144">
        <f>VLOOKUP($A27,'Data shares'!$C:$FA,23)</f>
        <v>47</v>
      </c>
      <c r="E27" s="145">
        <f>VLOOKUP($A27,'Data shares'!$C:$FA,26)*100</f>
        <v>0.44</v>
      </c>
      <c r="F27" s="144">
        <f>VLOOKUP($A27,'Data shares'!$C:$FA,24)</f>
        <v>24</v>
      </c>
      <c r="G27" s="144">
        <f>VLOOKUP($A27,'Data shares'!$C:$FA,25)</f>
        <v>23</v>
      </c>
    </row>
    <row r="28" spans="1:7" x14ac:dyDescent="0.25">
      <c r="A28" s="101" t="str">
        <f>'Data Vlaue (Cr)'!C24</f>
        <v>BAJFINANCE</v>
      </c>
      <c r="B28" s="144">
        <f>VLOOKUP($A28,'Data shares'!$C:$FA,7)</f>
        <v>962.4</v>
      </c>
      <c r="C28" s="144">
        <f>VLOOKUP($A28,'Data shares'!$C:$FA,3)</f>
        <v>964.15</v>
      </c>
      <c r="D28" s="144">
        <f>VLOOKUP($A28,'Data shares'!$C:$FA,23)</f>
        <v>1.75</v>
      </c>
      <c r="E28" s="145">
        <f>VLOOKUP($A28,'Data shares'!$C:$FA,26)*100</f>
        <v>0.18</v>
      </c>
      <c r="F28" s="144">
        <f>VLOOKUP($A28,'Data shares'!$C:$FA,24)</f>
        <v>4.5</v>
      </c>
      <c r="G28" s="144">
        <f>VLOOKUP($A28,'Data shares'!$C:$FA,25)</f>
        <v>-2.75</v>
      </c>
    </row>
    <row r="29" spans="1:7" x14ac:dyDescent="0.25">
      <c r="A29" s="101" t="str">
        <f>'Data Vlaue (Cr)'!C25</f>
        <v>BANDHANBNK</v>
      </c>
      <c r="B29" s="144">
        <f>VLOOKUP($A29,'Data shares'!$C:$FA,7)</f>
        <v>185.03</v>
      </c>
      <c r="C29" s="144">
        <f>VLOOKUP($A29,'Data shares'!$C:$FA,3)</f>
        <v>185.56</v>
      </c>
      <c r="D29" s="144">
        <f>VLOOKUP($A29,'Data shares'!$C:$FA,23)</f>
        <v>0.53</v>
      </c>
      <c r="E29" s="145">
        <f>VLOOKUP($A29,'Data shares'!$C:$FA,26)*100</f>
        <v>0.28999999999999998</v>
      </c>
      <c r="F29" s="144">
        <f>VLOOKUP($A29,'Data shares'!$C:$FA,24)</f>
        <v>0.89</v>
      </c>
      <c r="G29" s="144">
        <f>VLOOKUP($A29,'Data shares'!$C:$FA,25)</f>
        <v>-0.36</v>
      </c>
    </row>
    <row r="30" spans="1:7" x14ac:dyDescent="0.25">
      <c r="A30" s="101" t="str">
        <f>'Data Vlaue (Cr)'!C26</f>
        <v>BANKBARODA</v>
      </c>
      <c r="B30" s="144">
        <f>VLOOKUP($A30,'Data shares'!$C:$FA,7)</f>
        <v>301.85000000000002</v>
      </c>
      <c r="C30" s="144">
        <f>VLOOKUP($A30,'Data shares'!$C:$FA,3)</f>
        <v>303.35000000000002</v>
      </c>
      <c r="D30" s="144">
        <f>VLOOKUP($A30,'Data shares'!$C:$FA,23)</f>
        <v>1.5</v>
      </c>
      <c r="E30" s="145">
        <f>VLOOKUP($A30,'Data shares'!$C:$FA,26)*100</f>
        <v>0.5</v>
      </c>
      <c r="F30" s="144">
        <f>VLOOKUP($A30,'Data shares'!$C:$FA,24)</f>
        <v>1.45</v>
      </c>
      <c r="G30" s="144">
        <f>VLOOKUP($A30,'Data shares'!$C:$FA,25)</f>
        <v>0.05</v>
      </c>
    </row>
    <row r="31" spans="1:7" x14ac:dyDescent="0.25">
      <c r="A31" s="101" t="str">
        <f>'Data Vlaue (Cr)'!C27</f>
        <v>BANKINDIA</v>
      </c>
      <c r="B31" s="144">
        <f>VLOOKUP($A31,'Data shares'!$C:$FA,7)</f>
        <v>164.18</v>
      </c>
      <c r="C31" s="144">
        <f>VLOOKUP($A31,'Data shares'!$C:$FA,3)</f>
        <v>164.96</v>
      </c>
      <c r="D31" s="144">
        <f>VLOOKUP($A31,'Data shares'!$C:$FA,23)</f>
        <v>0.78</v>
      </c>
      <c r="E31" s="145">
        <f>VLOOKUP($A31,'Data shares'!$C:$FA,26)*100</f>
        <v>0.48</v>
      </c>
      <c r="F31" s="144">
        <f>VLOOKUP($A31,'Data shares'!$C:$FA,24)</f>
        <v>0.75</v>
      </c>
      <c r="G31" s="144">
        <f>VLOOKUP($A31,'Data shares'!$C:$FA,25)</f>
        <v>0.03</v>
      </c>
    </row>
    <row r="32" spans="1:7" x14ac:dyDescent="0.25">
      <c r="A32" s="101" t="str">
        <f>'Data Vlaue (Cr)'!C28</f>
        <v>BANKNIFTY</v>
      </c>
      <c r="B32" s="144">
        <f>VLOOKUP($A32,'Data shares'!$C:$FA,7)</f>
        <v>59055.85</v>
      </c>
      <c r="C32" s="144">
        <f>VLOOKUP($A32,'Data shares'!$C:$FA,3)</f>
        <v>59375.199999999997</v>
      </c>
      <c r="D32" s="144">
        <f>VLOOKUP($A32,'Data shares'!$C:$FA,23)</f>
        <v>319.35000000000002</v>
      </c>
      <c r="E32" s="145">
        <f>VLOOKUP($A32,'Data shares'!$C:$FA,26)*100</f>
        <v>0.54</v>
      </c>
      <c r="F32" s="144">
        <f>VLOOKUP($A32,'Data shares'!$C:$FA,24)</f>
        <v>345.15</v>
      </c>
      <c r="G32" s="144">
        <f>VLOOKUP($A32,'Data shares'!$C:$FA,25)</f>
        <v>-25.8</v>
      </c>
    </row>
    <row r="33" spans="1:7" x14ac:dyDescent="0.25">
      <c r="A33" s="101" t="str">
        <f>'Data Vlaue (Cr)'!C29</f>
        <v>BDL</v>
      </c>
      <c r="B33" s="144">
        <f>VLOOKUP($A33,'Data shares'!$C:$FA,7)</f>
        <v>1280.5999999999999</v>
      </c>
      <c r="C33" s="144">
        <f>VLOOKUP($A33,'Data shares'!$C:$FA,3)</f>
        <v>1283</v>
      </c>
      <c r="D33" s="144">
        <f>VLOOKUP($A33,'Data shares'!$C:$FA,23)</f>
        <v>2.4</v>
      </c>
      <c r="E33" s="145">
        <f>VLOOKUP($A33,'Data shares'!$C:$FA,26)*100</f>
        <v>0.19</v>
      </c>
      <c r="F33" s="144">
        <f>VLOOKUP($A33,'Data shares'!$C:$FA,24)</f>
        <v>-14.4</v>
      </c>
      <c r="G33" s="144">
        <f>VLOOKUP($A33,'Data shares'!$C:$FA,25)</f>
        <v>16.8</v>
      </c>
    </row>
    <row r="34" spans="1:7" x14ac:dyDescent="0.25">
      <c r="A34" s="101" t="str">
        <f>'Data Vlaue (Cr)'!C30</f>
        <v>BEL</v>
      </c>
      <c r="B34" s="144">
        <f>VLOOKUP($A34,'Data shares'!$C:$FA,7)</f>
        <v>460</v>
      </c>
      <c r="C34" s="144">
        <f>VLOOKUP($A34,'Data shares'!$C:$FA,3)</f>
        <v>459.85</v>
      </c>
      <c r="D34" s="144">
        <f>VLOOKUP($A34,'Data shares'!$C:$FA,23)</f>
        <v>-0.15</v>
      </c>
      <c r="E34" s="145">
        <f>VLOOKUP($A34,'Data shares'!$C:$FA,26)*100</f>
        <v>-0.03</v>
      </c>
      <c r="F34" s="144">
        <f>VLOOKUP($A34,'Data shares'!$C:$FA,24)</f>
        <v>-1.05</v>
      </c>
      <c r="G34" s="144">
        <f>VLOOKUP($A34,'Data shares'!$C:$FA,25)</f>
        <v>0.9</v>
      </c>
    </row>
    <row r="35" spans="1:7" x14ac:dyDescent="0.25">
      <c r="A35" s="101" t="str">
        <f>'Data Vlaue (Cr)'!C31</f>
        <v>BHARATFORG</v>
      </c>
      <c r="B35" s="144">
        <f>VLOOKUP($A35,'Data shares'!$C:$FA,7)</f>
        <v>1898.4</v>
      </c>
      <c r="C35" s="144">
        <f>VLOOKUP($A35,'Data shares'!$C:$FA,3)</f>
        <v>1902</v>
      </c>
      <c r="D35" s="144">
        <f>VLOOKUP($A35,'Data shares'!$C:$FA,23)</f>
        <v>3.6</v>
      </c>
      <c r="E35" s="145">
        <f>VLOOKUP($A35,'Data shares'!$C:$FA,26)*100</f>
        <v>0.19</v>
      </c>
      <c r="F35" s="144">
        <f>VLOOKUP($A35,'Data shares'!$C:$FA,24)</f>
        <v>3.3</v>
      </c>
      <c r="G35" s="144">
        <f>VLOOKUP($A35,'Data shares'!$C:$FA,25)</f>
        <v>0.3</v>
      </c>
    </row>
    <row r="36" spans="1:7" x14ac:dyDescent="0.25">
      <c r="A36" s="101" t="str">
        <f>'Data Vlaue (Cr)'!C32</f>
        <v>BHARTIARTL</v>
      </c>
      <c r="B36" s="144">
        <f>VLOOKUP($A36,'Data shares'!$C:$FA,7)</f>
        <v>1907</v>
      </c>
      <c r="C36" s="144">
        <f>VLOOKUP($A36,'Data shares'!$C:$FA,3)</f>
        <v>1914.5</v>
      </c>
      <c r="D36" s="144">
        <f>VLOOKUP($A36,'Data shares'!$C:$FA,23)</f>
        <v>7.5</v>
      </c>
      <c r="E36" s="145">
        <f>VLOOKUP($A36,'Data shares'!$C:$FA,26)*100</f>
        <v>0.38999999999999996</v>
      </c>
      <c r="F36" s="144">
        <f>VLOOKUP($A36,'Data shares'!$C:$FA,24)</f>
        <v>6.4</v>
      </c>
      <c r="G36" s="144">
        <f>VLOOKUP($A36,'Data shares'!$C:$FA,25)</f>
        <v>1.1000000000000001</v>
      </c>
    </row>
    <row r="37" spans="1:7" x14ac:dyDescent="0.25">
      <c r="A37" s="101" t="str">
        <f>'Data Vlaue (Cr)'!C33</f>
        <v>BHEL</v>
      </c>
      <c r="B37" s="144">
        <f>VLOOKUP($A37,'Data shares'!$C:$FA,7)</f>
        <v>257.25</v>
      </c>
      <c r="C37" s="144">
        <f>VLOOKUP($A37,'Data shares'!$C:$FA,3)</f>
        <v>257.64999999999998</v>
      </c>
      <c r="D37" s="144">
        <f>VLOOKUP($A37,'Data shares'!$C:$FA,23)</f>
        <v>0.4</v>
      </c>
      <c r="E37" s="145">
        <f>VLOOKUP($A37,'Data shares'!$C:$FA,26)*100</f>
        <v>0.16</v>
      </c>
      <c r="F37" s="144">
        <f>VLOOKUP($A37,'Data shares'!$C:$FA,24)</f>
        <v>1</v>
      </c>
      <c r="G37" s="144">
        <f>VLOOKUP($A37,'Data shares'!$C:$FA,25)</f>
        <v>-0.6</v>
      </c>
    </row>
    <row r="38" spans="1:7" x14ac:dyDescent="0.25">
      <c r="A38" s="101" t="str">
        <f>'Data Vlaue (Cr)'!C34</f>
        <v>BIOCON</v>
      </c>
      <c r="B38" s="144">
        <f>VLOOKUP($A38,'Data shares'!$C:$FA,7)</f>
        <v>386.8</v>
      </c>
      <c r="C38" s="144">
        <f>VLOOKUP($A38,'Data shares'!$C:$FA,3)</f>
        <v>388.6</v>
      </c>
      <c r="D38" s="144">
        <f>VLOOKUP($A38,'Data shares'!$C:$FA,23)</f>
        <v>1.8</v>
      </c>
      <c r="E38" s="145">
        <f>VLOOKUP($A38,'Data shares'!$C:$FA,26)*100</f>
        <v>0.47000000000000003</v>
      </c>
      <c r="F38" s="144">
        <f>VLOOKUP($A38,'Data shares'!$C:$FA,24)</f>
        <v>0.95</v>
      </c>
      <c r="G38" s="144">
        <f>VLOOKUP($A38,'Data shares'!$C:$FA,25)</f>
        <v>0.85</v>
      </c>
    </row>
    <row r="39" spans="1:7" x14ac:dyDescent="0.25">
      <c r="A39" s="101" t="str">
        <f>'Data Vlaue (Cr)'!C35</f>
        <v>BLUESTARCO</v>
      </c>
      <c r="B39" s="144">
        <f>VLOOKUP($A39,'Data shares'!$C:$FA,7)</f>
        <v>1946.7</v>
      </c>
      <c r="C39" s="144">
        <f>VLOOKUP($A39,'Data shares'!$C:$FA,3)</f>
        <v>1949.7</v>
      </c>
      <c r="D39" s="144">
        <f>VLOOKUP($A39,'Data shares'!$C:$FA,23)</f>
        <v>3</v>
      </c>
      <c r="E39" s="145">
        <f>VLOOKUP($A39,'Data shares'!$C:$FA,26)*100</f>
        <v>0.15</v>
      </c>
      <c r="F39" s="144">
        <f>VLOOKUP($A39,'Data shares'!$C:$FA,24)</f>
        <v>2.8</v>
      </c>
      <c r="G39" s="144">
        <f>VLOOKUP($A39,'Data shares'!$C:$FA,25)</f>
        <v>0.2</v>
      </c>
    </row>
    <row r="40" spans="1:7" x14ac:dyDescent="0.25">
      <c r="A40" s="101" t="str">
        <f>'Data Vlaue (Cr)'!C36</f>
        <v>BOSCHLTD</v>
      </c>
      <c r="B40" s="144">
        <f>VLOOKUP($A40,'Data shares'!$C:$FA,7)</f>
        <v>33230</v>
      </c>
      <c r="C40" s="144">
        <f>VLOOKUP($A40,'Data shares'!$C:$FA,3)</f>
        <v>33400</v>
      </c>
      <c r="D40" s="144">
        <f>VLOOKUP($A40,'Data shares'!$C:$FA,23)</f>
        <v>170</v>
      </c>
      <c r="E40" s="145">
        <f>VLOOKUP($A40,'Data shares'!$C:$FA,26)*100</f>
        <v>0.51</v>
      </c>
      <c r="F40" s="144">
        <f>VLOOKUP($A40,'Data shares'!$C:$FA,24)</f>
        <v>165</v>
      </c>
      <c r="G40" s="144">
        <f>VLOOKUP($A40,'Data shares'!$C:$FA,25)</f>
        <v>5</v>
      </c>
    </row>
    <row r="41" spans="1:7" x14ac:dyDescent="0.25">
      <c r="A41" s="101" t="str">
        <f>'Data Vlaue (Cr)'!C37</f>
        <v>BPCL</v>
      </c>
      <c r="B41" s="144">
        <f>VLOOKUP($A41,'Data shares'!$C:$FA,7)</f>
        <v>360.35</v>
      </c>
      <c r="C41" s="144">
        <f>VLOOKUP($A41,'Data shares'!$C:$FA,3)</f>
        <v>361.5</v>
      </c>
      <c r="D41" s="144">
        <f>VLOOKUP($A41,'Data shares'!$C:$FA,23)</f>
        <v>1.1499999999999999</v>
      </c>
      <c r="E41" s="145">
        <f>VLOOKUP($A41,'Data shares'!$C:$FA,26)*100</f>
        <v>0.32</v>
      </c>
      <c r="F41" s="144">
        <f>VLOOKUP($A41,'Data shares'!$C:$FA,24)</f>
        <v>0.4</v>
      </c>
      <c r="G41" s="144">
        <f>VLOOKUP($A41,'Data shares'!$C:$FA,25)</f>
        <v>0.75</v>
      </c>
    </row>
    <row r="42" spans="1:7" x14ac:dyDescent="0.25">
      <c r="A42" s="101" t="str">
        <f>'Data Vlaue (Cr)'!C38</f>
        <v>BRITANNIA</v>
      </c>
      <c r="B42" s="144">
        <f>VLOOKUP($A42,'Data shares'!$C:$FA,7)</f>
        <v>5963</v>
      </c>
      <c r="C42" s="144">
        <f>VLOOKUP($A42,'Data shares'!$C:$FA,3)</f>
        <v>5982</v>
      </c>
      <c r="D42" s="144">
        <f>VLOOKUP($A42,'Data shares'!$C:$FA,23)</f>
        <v>19</v>
      </c>
      <c r="E42" s="145">
        <f>VLOOKUP($A42,'Data shares'!$C:$FA,26)*100</f>
        <v>0.32</v>
      </c>
      <c r="F42" s="144">
        <f>VLOOKUP($A42,'Data shares'!$C:$FA,24)</f>
        <v>13</v>
      </c>
      <c r="G42" s="144">
        <f>VLOOKUP($A42,'Data shares'!$C:$FA,25)</f>
        <v>6</v>
      </c>
    </row>
    <row r="43" spans="1:7" x14ac:dyDescent="0.25">
      <c r="A43" s="101" t="str">
        <f>'Data Vlaue (Cr)'!C39</f>
        <v>BSE</v>
      </c>
      <c r="B43" s="144">
        <f>VLOOKUP($A43,'Data shares'!$C:$FA,7)</f>
        <v>2761.4</v>
      </c>
      <c r="C43" s="144">
        <f>VLOOKUP($A43,'Data shares'!$C:$FA,3)</f>
        <v>2765</v>
      </c>
      <c r="D43" s="144">
        <f>VLOOKUP($A43,'Data shares'!$C:$FA,23)</f>
        <v>3.6</v>
      </c>
      <c r="E43" s="145">
        <f>VLOOKUP($A43,'Data shares'!$C:$FA,26)*100</f>
        <v>0.13</v>
      </c>
      <c r="F43" s="144">
        <f>VLOOKUP($A43,'Data shares'!$C:$FA,24)</f>
        <v>2</v>
      </c>
      <c r="G43" s="144">
        <f>VLOOKUP($A43,'Data shares'!$C:$FA,25)</f>
        <v>1.6</v>
      </c>
    </row>
    <row r="44" spans="1:7" x14ac:dyDescent="0.25">
      <c r="A44" s="101" t="str">
        <f>'Data Vlaue (Cr)'!C40</f>
        <v>CAMS</v>
      </c>
      <c r="B44" s="144">
        <f>VLOOKUP($A44,'Data shares'!$C:$FA,7)</f>
        <v>652.35</v>
      </c>
      <c r="C44" s="144">
        <f>VLOOKUP($A44,'Data shares'!$C:$FA,3)</f>
        <v>654.85</v>
      </c>
      <c r="D44" s="144">
        <f>VLOOKUP($A44,'Data shares'!$C:$FA,23)</f>
        <v>2.5</v>
      </c>
      <c r="E44" s="145">
        <f>VLOOKUP($A44,'Data shares'!$C:$FA,26)*100</f>
        <v>0.38</v>
      </c>
      <c r="F44" s="144">
        <f>VLOOKUP($A44,'Data shares'!$C:$FA,24)</f>
        <v>3.35</v>
      </c>
      <c r="G44" s="144">
        <f>VLOOKUP($A44,'Data shares'!$C:$FA,25)</f>
        <v>-0.85</v>
      </c>
    </row>
    <row r="45" spans="1:7" x14ac:dyDescent="0.25">
      <c r="A45" s="101" t="str">
        <f>'Data Vlaue (Cr)'!C41</f>
        <v>CANBK</v>
      </c>
      <c r="B45" s="144">
        <f>VLOOKUP($A45,'Data shares'!$C:$FA,7)</f>
        <v>148.51</v>
      </c>
      <c r="C45" s="144">
        <f>VLOOKUP($A45,'Data shares'!$C:$FA,3)</f>
        <v>149.19</v>
      </c>
      <c r="D45" s="144">
        <f>VLOOKUP($A45,'Data shares'!$C:$FA,23)</f>
        <v>0.68</v>
      </c>
      <c r="E45" s="145">
        <f>VLOOKUP($A45,'Data shares'!$C:$FA,26)*100</f>
        <v>0.45999999999999996</v>
      </c>
      <c r="F45" s="144">
        <f>VLOOKUP($A45,'Data shares'!$C:$FA,24)</f>
        <v>0.64</v>
      </c>
      <c r="G45" s="144">
        <f>VLOOKUP($A45,'Data shares'!$C:$FA,25)</f>
        <v>0.04</v>
      </c>
    </row>
    <row r="46" spans="1:7" x14ac:dyDescent="0.25">
      <c r="A46" s="101" t="str">
        <f>'Data Vlaue (Cr)'!C42</f>
        <v>CDSL</v>
      </c>
      <c r="B46" s="144">
        <f>VLOOKUP($A46,'Data shares'!$C:$FA,7)</f>
        <v>1239.5999999999999</v>
      </c>
      <c r="C46" s="144">
        <f>VLOOKUP($A46,'Data shares'!$C:$FA,3)</f>
        <v>1242.2</v>
      </c>
      <c r="D46" s="144">
        <f>VLOOKUP($A46,'Data shares'!$C:$FA,23)</f>
        <v>2.6</v>
      </c>
      <c r="E46" s="145">
        <f>VLOOKUP($A46,'Data shares'!$C:$FA,26)*100</f>
        <v>0.21</v>
      </c>
      <c r="F46" s="144">
        <f>VLOOKUP($A46,'Data shares'!$C:$FA,24)</f>
        <v>2.2000000000000002</v>
      </c>
      <c r="G46" s="144">
        <f>VLOOKUP($A46,'Data shares'!$C:$FA,25)</f>
        <v>0.4</v>
      </c>
    </row>
    <row r="47" spans="1:7" x14ac:dyDescent="0.25">
      <c r="A47" s="101" t="str">
        <f>'Data Vlaue (Cr)'!C43</f>
        <v>CGPOWER</v>
      </c>
      <c r="B47" s="144">
        <f>VLOOKUP($A47,'Data shares'!$C:$FA,7)</f>
        <v>701.1</v>
      </c>
      <c r="C47" s="144">
        <f>VLOOKUP($A47,'Data shares'!$C:$FA,3)</f>
        <v>702.5</v>
      </c>
      <c r="D47" s="144">
        <f>VLOOKUP($A47,'Data shares'!$C:$FA,23)</f>
        <v>1.4</v>
      </c>
      <c r="E47" s="145">
        <f>VLOOKUP($A47,'Data shares'!$C:$FA,26)*100</f>
        <v>0.2</v>
      </c>
      <c r="F47" s="144">
        <f>VLOOKUP($A47,'Data shares'!$C:$FA,24)</f>
        <v>1.2</v>
      </c>
      <c r="G47" s="144">
        <f>VLOOKUP($A47,'Data shares'!$C:$FA,25)</f>
        <v>0.2</v>
      </c>
    </row>
    <row r="48" spans="1:7" x14ac:dyDescent="0.25">
      <c r="A48" s="101" t="str">
        <f>'Data Vlaue (Cr)'!C44</f>
        <v>CHOLAFIN</v>
      </c>
      <c r="B48" s="144">
        <f>VLOOKUP($A48,'Data shares'!$C:$FA,7)</f>
        <v>1669</v>
      </c>
      <c r="C48" s="144">
        <f>VLOOKUP($A48,'Data shares'!$C:$FA,3)</f>
        <v>1679.2</v>
      </c>
      <c r="D48" s="144">
        <f>VLOOKUP($A48,'Data shares'!$C:$FA,23)</f>
        <v>10.199999999999999</v>
      </c>
      <c r="E48" s="145">
        <f>VLOOKUP($A48,'Data shares'!$C:$FA,26)*100</f>
        <v>0.61</v>
      </c>
      <c r="F48" s="144">
        <f>VLOOKUP($A48,'Data shares'!$C:$FA,24)</f>
        <v>8</v>
      </c>
      <c r="G48" s="144">
        <f>VLOOKUP($A48,'Data shares'!$C:$FA,25)</f>
        <v>2.2000000000000002</v>
      </c>
    </row>
    <row r="49" spans="1:7" x14ac:dyDescent="0.25">
      <c r="A49" s="101" t="str">
        <f>'Data Vlaue (Cr)'!C45</f>
        <v>CIPLA</v>
      </c>
      <c r="B49" s="144">
        <f>VLOOKUP($A49,'Data shares'!$C:$FA,7)</f>
        <v>1326.4</v>
      </c>
      <c r="C49" s="144">
        <f>VLOOKUP($A49,'Data shares'!$C:$FA,3)</f>
        <v>1332.3</v>
      </c>
      <c r="D49" s="144">
        <f>VLOOKUP($A49,'Data shares'!$C:$FA,23)</f>
        <v>5.9</v>
      </c>
      <c r="E49" s="145">
        <f>VLOOKUP($A49,'Data shares'!$C:$FA,26)*100</f>
        <v>0.44</v>
      </c>
      <c r="F49" s="144">
        <f>VLOOKUP($A49,'Data shares'!$C:$FA,24)</f>
        <v>6.5</v>
      </c>
      <c r="G49" s="144">
        <f>VLOOKUP($A49,'Data shares'!$C:$FA,25)</f>
        <v>-0.6</v>
      </c>
    </row>
    <row r="50" spans="1:7" x14ac:dyDescent="0.25">
      <c r="A50" s="101" t="str">
        <f>'Data Vlaue (Cr)'!C46</f>
        <v>COALINDIA</v>
      </c>
      <c r="B50" s="144">
        <f>VLOOKUP($A50,'Data shares'!$C:$FA,7)</f>
        <v>449.4</v>
      </c>
      <c r="C50" s="144">
        <f>VLOOKUP($A50,'Data shares'!$C:$FA,3)</f>
        <v>450.5</v>
      </c>
      <c r="D50" s="144">
        <f>VLOOKUP($A50,'Data shares'!$C:$FA,23)</f>
        <v>1.1000000000000001</v>
      </c>
      <c r="E50" s="145">
        <f>VLOOKUP($A50,'Data shares'!$C:$FA,26)*100</f>
        <v>0.24</v>
      </c>
      <c r="F50" s="144">
        <f>VLOOKUP($A50,'Data shares'!$C:$FA,24)</f>
        <v>1.7</v>
      </c>
      <c r="G50" s="144">
        <f>VLOOKUP($A50,'Data shares'!$C:$FA,25)</f>
        <v>-0.6</v>
      </c>
    </row>
    <row r="51" spans="1:7" x14ac:dyDescent="0.25">
      <c r="A51" s="101" t="str">
        <f>'Data Vlaue (Cr)'!C47</f>
        <v>COFORGE</v>
      </c>
      <c r="B51" s="144">
        <f>VLOOKUP($A51,'Data shares'!$C:$FA,7)</f>
        <v>1152.7</v>
      </c>
      <c r="C51" s="144">
        <f>VLOOKUP($A51,'Data shares'!$C:$FA,3)</f>
        <v>1158.2</v>
      </c>
      <c r="D51" s="144">
        <f>VLOOKUP($A51,'Data shares'!$C:$FA,23)</f>
        <v>5.5</v>
      </c>
      <c r="E51" s="145">
        <f>VLOOKUP($A51,'Data shares'!$C:$FA,26)*100</f>
        <v>0.48</v>
      </c>
      <c r="F51" s="144">
        <f>VLOOKUP($A51,'Data shares'!$C:$FA,24)</f>
        <v>2.4</v>
      </c>
      <c r="G51" s="144">
        <f>VLOOKUP($A51,'Data shares'!$C:$FA,25)</f>
        <v>3.1</v>
      </c>
    </row>
    <row r="52" spans="1:7" x14ac:dyDescent="0.25">
      <c r="A52" s="101" t="str">
        <f>'Data Vlaue (Cr)'!C48</f>
        <v>COLPAL</v>
      </c>
      <c r="B52" s="144">
        <f>VLOOKUP($A52,'Data shares'!$C:$FA,7)</f>
        <v>2200.6</v>
      </c>
      <c r="C52" s="144">
        <f>VLOOKUP($A52,'Data shares'!$C:$FA,3)</f>
        <v>2209.1</v>
      </c>
      <c r="D52" s="144">
        <f>VLOOKUP($A52,'Data shares'!$C:$FA,23)</f>
        <v>8.5</v>
      </c>
      <c r="E52" s="145">
        <f>VLOOKUP($A52,'Data shares'!$C:$FA,26)*100</f>
        <v>0.38999999999999996</v>
      </c>
      <c r="F52" s="144">
        <f>VLOOKUP($A52,'Data shares'!$C:$FA,24)</f>
        <v>4.2</v>
      </c>
      <c r="G52" s="144">
        <f>VLOOKUP($A52,'Data shares'!$C:$FA,25)</f>
        <v>4.3</v>
      </c>
    </row>
    <row r="53" spans="1:7" x14ac:dyDescent="0.25">
      <c r="A53" s="101" t="str">
        <f>'Data Vlaue (Cr)'!C49</f>
        <v>CONCOR</v>
      </c>
      <c r="B53" s="144">
        <f>VLOOKUP($A53,'Data shares'!$C:$FA,7)</f>
        <v>479.95</v>
      </c>
      <c r="C53" s="144">
        <f>VLOOKUP($A53,'Data shares'!$C:$FA,3)</f>
        <v>481.15</v>
      </c>
      <c r="D53" s="144">
        <f>VLOOKUP($A53,'Data shares'!$C:$FA,23)</f>
        <v>1.2</v>
      </c>
      <c r="E53" s="145">
        <f>VLOOKUP($A53,'Data shares'!$C:$FA,26)*100</f>
        <v>0.25</v>
      </c>
      <c r="F53" s="144">
        <f>VLOOKUP($A53,'Data shares'!$C:$FA,24)</f>
        <v>1.05</v>
      </c>
      <c r="G53" s="144">
        <f>VLOOKUP($A53,'Data shares'!$C:$FA,25)</f>
        <v>0.15</v>
      </c>
    </row>
    <row r="54" spans="1:7" x14ac:dyDescent="0.25">
      <c r="A54" s="101" t="str">
        <f>'Data Vlaue (Cr)'!C50</f>
        <v>CROMPTON</v>
      </c>
      <c r="B54" s="144">
        <f>VLOOKUP($A54,'Data shares'!$C:$FA,7)</f>
        <v>250.1</v>
      </c>
      <c r="C54" s="144">
        <f>VLOOKUP($A54,'Data shares'!$C:$FA,3)</f>
        <v>250.75</v>
      </c>
      <c r="D54" s="144">
        <f>VLOOKUP($A54,'Data shares'!$C:$FA,23)</f>
        <v>0.65</v>
      </c>
      <c r="E54" s="145">
        <f>VLOOKUP($A54,'Data shares'!$C:$FA,26)*100</f>
        <v>0.26</v>
      </c>
      <c r="F54" s="144">
        <f>VLOOKUP($A54,'Data shares'!$C:$FA,24)</f>
        <v>1.2</v>
      </c>
      <c r="G54" s="144">
        <f>VLOOKUP($A54,'Data shares'!$C:$FA,25)</f>
        <v>-0.55000000000000004</v>
      </c>
    </row>
    <row r="55" spans="1:7" x14ac:dyDescent="0.25">
      <c r="A55" s="101" t="str">
        <f>'Data Vlaue (Cr)'!C51</f>
        <v>CUMMINSIND</v>
      </c>
      <c r="B55" s="144">
        <f>VLOOKUP($A55,'Data shares'!$C:$FA,7)</f>
        <v>4791.3999999999996</v>
      </c>
      <c r="C55" s="144">
        <f>VLOOKUP($A55,'Data shares'!$C:$FA,3)</f>
        <v>4800.3999999999996</v>
      </c>
      <c r="D55" s="144">
        <f>VLOOKUP($A55,'Data shares'!$C:$FA,23)</f>
        <v>9</v>
      </c>
      <c r="E55" s="145">
        <f>VLOOKUP($A55,'Data shares'!$C:$FA,26)*100</f>
        <v>0.19</v>
      </c>
      <c r="F55" s="144">
        <f>VLOOKUP($A55,'Data shares'!$C:$FA,24)</f>
        <v>22.9</v>
      </c>
      <c r="G55" s="144">
        <f>VLOOKUP($A55,'Data shares'!$C:$FA,25)</f>
        <v>-13.9</v>
      </c>
    </row>
    <row r="56" spans="1:7" x14ac:dyDescent="0.25">
      <c r="A56" s="101" t="str">
        <f>'Data Vlaue (Cr)'!C52</f>
        <v>DABUR</v>
      </c>
      <c r="B56" s="144">
        <f>VLOOKUP($A56,'Data shares'!$C:$FA,7)</f>
        <v>487.9</v>
      </c>
      <c r="C56" s="144">
        <f>VLOOKUP($A56,'Data shares'!$C:$FA,3)</f>
        <v>489.7</v>
      </c>
      <c r="D56" s="144">
        <f>VLOOKUP($A56,'Data shares'!$C:$FA,23)</f>
        <v>1.8</v>
      </c>
      <c r="E56" s="145">
        <f>VLOOKUP($A56,'Data shares'!$C:$FA,26)*100</f>
        <v>0.37</v>
      </c>
      <c r="F56" s="144">
        <f>VLOOKUP($A56,'Data shares'!$C:$FA,24)</f>
        <v>2.2999999999999998</v>
      </c>
      <c r="G56" s="144">
        <f>VLOOKUP($A56,'Data shares'!$C:$FA,25)</f>
        <v>-0.5</v>
      </c>
    </row>
    <row r="57" spans="1:7" x14ac:dyDescent="0.25">
      <c r="A57" s="101" t="str">
        <f>'Data Vlaue (Cr)'!C53</f>
        <v>DALBHARAT</v>
      </c>
      <c r="B57" s="144">
        <f>VLOOKUP($A57,'Data shares'!$C:$FA,7)</f>
        <v>1928.7</v>
      </c>
      <c r="C57" s="144">
        <f>VLOOKUP($A57,'Data shares'!$C:$FA,3)</f>
        <v>1932.6</v>
      </c>
      <c r="D57" s="144">
        <f>VLOOKUP($A57,'Data shares'!$C:$FA,23)</f>
        <v>3.9</v>
      </c>
      <c r="E57" s="145">
        <f>VLOOKUP($A57,'Data shares'!$C:$FA,26)*100</f>
        <v>0.2</v>
      </c>
      <c r="F57" s="144">
        <f>VLOOKUP($A57,'Data shares'!$C:$FA,24)</f>
        <v>5.6</v>
      </c>
      <c r="G57" s="144">
        <f>VLOOKUP($A57,'Data shares'!$C:$FA,25)</f>
        <v>-1.7</v>
      </c>
    </row>
    <row r="58" spans="1:7" x14ac:dyDescent="0.25">
      <c r="A58" s="101" t="str">
        <f>'Data Vlaue (Cr)'!C54</f>
        <v>DELHIVERY</v>
      </c>
      <c r="B58" s="144">
        <f>VLOOKUP($A58,'Data shares'!$C:$FA,7)</f>
        <v>428.1</v>
      </c>
      <c r="C58" s="144">
        <f>VLOOKUP($A58,'Data shares'!$C:$FA,3)</f>
        <v>428.95</v>
      </c>
      <c r="D58" s="144">
        <f>VLOOKUP($A58,'Data shares'!$C:$FA,23)</f>
        <v>0.85</v>
      </c>
      <c r="E58" s="145">
        <f>VLOOKUP($A58,'Data shares'!$C:$FA,26)*100</f>
        <v>0.2</v>
      </c>
      <c r="F58" s="144">
        <f>VLOOKUP($A58,'Data shares'!$C:$FA,24)</f>
        <v>2.15</v>
      </c>
      <c r="G58" s="144">
        <f>VLOOKUP($A58,'Data shares'!$C:$FA,25)</f>
        <v>-1.3</v>
      </c>
    </row>
    <row r="59" spans="1:7" x14ac:dyDescent="0.25">
      <c r="A59" s="101" t="str">
        <f>'Data Vlaue (Cr)'!C55</f>
        <v>DIVISLAB</v>
      </c>
      <c r="B59" s="144">
        <f>VLOOKUP($A59,'Data shares'!$C:$FA,7)</f>
        <v>6364.5</v>
      </c>
      <c r="C59" s="144">
        <f>VLOOKUP($A59,'Data shares'!$C:$FA,3)</f>
        <v>6392.5</v>
      </c>
      <c r="D59" s="144">
        <f>VLOOKUP($A59,'Data shares'!$C:$FA,23)</f>
        <v>28</v>
      </c>
      <c r="E59" s="145">
        <f>VLOOKUP($A59,'Data shares'!$C:$FA,26)*100</f>
        <v>0.44</v>
      </c>
      <c r="F59" s="144">
        <f>VLOOKUP($A59,'Data shares'!$C:$FA,24)</f>
        <v>13</v>
      </c>
      <c r="G59" s="144">
        <f>VLOOKUP($A59,'Data shares'!$C:$FA,25)</f>
        <v>15</v>
      </c>
    </row>
    <row r="60" spans="1:7" x14ac:dyDescent="0.25">
      <c r="A60" s="101" t="str">
        <f>'Data Vlaue (Cr)'!C56</f>
        <v>DIXON</v>
      </c>
      <c r="B60" s="144">
        <f>VLOOKUP($A60,'Data shares'!$C:$FA,7)</f>
        <v>10224</v>
      </c>
      <c r="C60" s="144">
        <f>VLOOKUP($A60,'Data shares'!$C:$FA,3)</f>
        <v>10236</v>
      </c>
      <c r="D60" s="144">
        <f>VLOOKUP($A60,'Data shares'!$C:$FA,23)</f>
        <v>12</v>
      </c>
      <c r="E60" s="145">
        <f>VLOOKUP($A60,'Data shares'!$C:$FA,26)*100</f>
        <v>0.12</v>
      </c>
      <c r="F60" s="144">
        <f>VLOOKUP($A60,'Data shares'!$C:$FA,24)</f>
        <v>39</v>
      </c>
      <c r="G60" s="144">
        <f>VLOOKUP($A60,'Data shares'!$C:$FA,25)</f>
        <v>-27</v>
      </c>
    </row>
    <row r="61" spans="1:7" x14ac:dyDescent="0.25">
      <c r="A61" s="101" t="str">
        <f>'Data Vlaue (Cr)'!C57</f>
        <v>DLF</v>
      </c>
      <c r="B61" s="144">
        <f>VLOOKUP($A61,'Data shares'!$C:$FA,7)</f>
        <v>585.15</v>
      </c>
      <c r="C61" s="144">
        <f>VLOOKUP($A61,'Data shares'!$C:$FA,3)</f>
        <v>587.29999999999995</v>
      </c>
      <c r="D61" s="144">
        <f>VLOOKUP($A61,'Data shares'!$C:$FA,23)</f>
        <v>2.15</v>
      </c>
      <c r="E61" s="145">
        <f>VLOOKUP($A61,'Data shares'!$C:$FA,26)*100</f>
        <v>0.37</v>
      </c>
      <c r="F61" s="144">
        <f>VLOOKUP($A61,'Data shares'!$C:$FA,24)</f>
        <v>2.5</v>
      </c>
      <c r="G61" s="144">
        <f>VLOOKUP($A61,'Data shares'!$C:$FA,25)</f>
        <v>-0.35</v>
      </c>
    </row>
    <row r="62" spans="1:7" x14ac:dyDescent="0.25">
      <c r="A62" s="101" t="str">
        <f>'Data Vlaue (Cr)'!C58</f>
        <v>DMART</v>
      </c>
      <c r="B62" s="144">
        <f>VLOOKUP($A62,'Data shares'!$C:$FA,7)</f>
        <v>3835.4</v>
      </c>
      <c r="C62" s="144">
        <f>VLOOKUP($A62,'Data shares'!$C:$FA,3)</f>
        <v>3844.7</v>
      </c>
      <c r="D62" s="144">
        <f>VLOOKUP($A62,'Data shares'!$C:$FA,23)</f>
        <v>9.3000000000000007</v>
      </c>
      <c r="E62" s="145">
        <f>VLOOKUP($A62,'Data shares'!$C:$FA,26)*100</f>
        <v>0.24</v>
      </c>
      <c r="F62" s="144">
        <f>VLOOKUP($A62,'Data shares'!$C:$FA,24)</f>
        <v>-16.100000000000001</v>
      </c>
      <c r="G62" s="144">
        <f>VLOOKUP($A62,'Data shares'!$C:$FA,25)</f>
        <v>25.4</v>
      </c>
    </row>
    <row r="63" spans="1:7" x14ac:dyDescent="0.25">
      <c r="A63" s="101" t="str">
        <f>'Data Vlaue (Cr)'!C59</f>
        <v>DRREDDY</v>
      </c>
      <c r="B63" s="144">
        <f>VLOOKUP($A63,'Data shares'!$C:$FA,7)</f>
        <v>1313.5</v>
      </c>
      <c r="C63" s="144">
        <f>VLOOKUP($A63,'Data shares'!$C:$FA,3)</f>
        <v>1318</v>
      </c>
      <c r="D63" s="144">
        <f>VLOOKUP($A63,'Data shares'!$C:$FA,23)</f>
        <v>4.5</v>
      </c>
      <c r="E63" s="145">
        <f>VLOOKUP($A63,'Data shares'!$C:$FA,26)*100</f>
        <v>0.33999999999999997</v>
      </c>
      <c r="F63" s="144">
        <f>VLOOKUP($A63,'Data shares'!$C:$FA,24)</f>
        <v>2.6</v>
      </c>
      <c r="G63" s="144">
        <f>VLOOKUP($A63,'Data shares'!$C:$FA,25)</f>
        <v>1.9</v>
      </c>
    </row>
    <row r="64" spans="1:7" x14ac:dyDescent="0.25">
      <c r="A64" s="101" t="str">
        <f>'Data Vlaue (Cr)'!C60</f>
        <v>EICHERMOT</v>
      </c>
      <c r="B64" s="144">
        <f>VLOOKUP($A64,'Data shares'!$C:$FA,7)</f>
        <v>7755</v>
      </c>
      <c r="C64" s="144">
        <f>VLOOKUP($A64,'Data shares'!$C:$FA,3)</f>
        <v>7768</v>
      </c>
      <c r="D64" s="144">
        <f>VLOOKUP($A64,'Data shares'!$C:$FA,23)</f>
        <v>13</v>
      </c>
      <c r="E64" s="145">
        <f>VLOOKUP($A64,'Data shares'!$C:$FA,26)*100</f>
        <v>0.16999999999999998</v>
      </c>
      <c r="F64" s="144">
        <f>VLOOKUP($A64,'Data shares'!$C:$FA,24)</f>
        <v>27.5</v>
      </c>
      <c r="G64" s="144">
        <f>VLOOKUP($A64,'Data shares'!$C:$FA,25)</f>
        <v>-14.5</v>
      </c>
    </row>
    <row r="65" spans="1:7" x14ac:dyDescent="0.25">
      <c r="A65" s="101" t="str">
        <f>'Data Vlaue (Cr)'!C61</f>
        <v>ETERNAL</v>
      </c>
      <c r="B65" s="144">
        <f>VLOOKUP($A65,'Data shares'!$C:$FA,7)</f>
        <v>240.14</v>
      </c>
      <c r="C65" s="144">
        <f>VLOOKUP($A65,'Data shares'!$C:$FA,3)</f>
        <v>240.67</v>
      </c>
      <c r="D65" s="144">
        <f>VLOOKUP($A65,'Data shares'!$C:$FA,23)</f>
        <v>0.53</v>
      </c>
      <c r="E65" s="145">
        <f>VLOOKUP($A65,'Data shares'!$C:$FA,26)*100</f>
        <v>0.22</v>
      </c>
      <c r="F65" s="144">
        <f>VLOOKUP($A65,'Data shares'!$C:$FA,24)</f>
        <v>0.45</v>
      </c>
      <c r="G65" s="144">
        <f>VLOOKUP($A65,'Data shares'!$C:$FA,25)</f>
        <v>0.08</v>
      </c>
    </row>
    <row r="66" spans="1:7" x14ac:dyDescent="0.25">
      <c r="A66" s="101" t="str">
        <f>'Data Vlaue (Cr)'!C62</f>
        <v>EXIDEIND</v>
      </c>
      <c r="B66" s="144">
        <f>VLOOKUP($A66,'Data shares'!$C:$FA,7)</f>
        <v>319.64999999999998</v>
      </c>
      <c r="C66" s="144">
        <f>VLOOKUP($A66,'Data shares'!$C:$FA,3)</f>
        <v>320.95</v>
      </c>
      <c r="D66" s="144">
        <f>VLOOKUP($A66,'Data shares'!$C:$FA,23)</f>
        <v>1.3</v>
      </c>
      <c r="E66" s="145">
        <f>VLOOKUP($A66,'Data shares'!$C:$FA,26)*100</f>
        <v>0.41000000000000003</v>
      </c>
      <c r="F66" s="144">
        <f>VLOOKUP($A66,'Data shares'!$C:$FA,24)</f>
        <v>1.2</v>
      </c>
      <c r="G66" s="144">
        <f>VLOOKUP($A66,'Data shares'!$C:$FA,25)</f>
        <v>0.1</v>
      </c>
    </row>
    <row r="67" spans="1:7" x14ac:dyDescent="0.25">
      <c r="A67" s="101" t="str">
        <f>'Data Vlaue (Cr)'!C63</f>
        <v>FEDERALBNK</v>
      </c>
      <c r="B67" s="144">
        <f>VLOOKUP($A67,'Data shares'!$C:$FA,7)</f>
        <v>289.7</v>
      </c>
      <c r="C67" s="144">
        <f>VLOOKUP($A67,'Data shares'!$C:$FA,3)</f>
        <v>290.85000000000002</v>
      </c>
      <c r="D67" s="144">
        <f>VLOOKUP($A67,'Data shares'!$C:$FA,23)</f>
        <v>1.1499999999999999</v>
      </c>
      <c r="E67" s="145">
        <f>VLOOKUP($A67,'Data shares'!$C:$FA,26)*100</f>
        <v>0.4</v>
      </c>
      <c r="F67" s="144">
        <f>VLOOKUP($A67,'Data shares'!$C:$FA,24)</f>
        <v>1.35</v>
      </c>
      <c r="G67" s="144">
        <f>VLOOKUP($A67,'Data shares'!$C:$FA,25)</f>
        <v>-0.2</v>
      </c>
    </row>
    <row r="68" spans="1:7" x14ac:dyDescent="0.25">
      <c r="A68" s="101" t="str">
        <f>'Data Vlaue (Cr)'!C64</f>
        <v>FINNIFTY</v>
      </c>
      <c r="B68" s="144">
        <f>VLOOKUP($A68,'Data shares'!$C:$FA,7)</f>
        <v>27235.8</v>
      </c>
      <c r="C68" s="144">
        <f>VLOOKUP($A68,'Data shares'!$C:$FA,3)</f>
        <v>27361.1</v>
      </c>
      <c r="D68" s="144">
        <f>VLOOKUP($A68,'Data shares'!$C:$FA,23)</f>
        <v>125.3</v>
      </c>
      <c r="E68" s="145">
        <f>VLOOKUP($A68,'Data shares'!$C:$FA,26)*100</f>
        <v>0.45999999999999996</v>
      </c>
      <c r="F68" s="144">
        <f>VLOOKUP($A68,'Data shares'!$C:$FA,24)</f>
        <v>116.85</v>
      </c>
      <c r="G68" s="144">
        <f>VLOOKUP($A68,'Data shares'!$C:$FA,25)</f>
        <v>8.4499999999999993</v>
      </c>
    </row>
    <row r="69" spans="1:7" x14ac:dyDescent="0.25">
      <c r="A69" s="101" t="str">
        <f>'Data Vlaue (Cr)'!C65</f>
        <v>FORTIS</v>
      </c>
      <c r="B69" s="144">
        <f>VLOOKUP($A69,'Data shares'!$C:$FA,7)</f>
        <v>920.95</v>
      </c>
      <c r="C69" s="144">
        <f>VLOOKUP($A69,'Data shares'!$C:$FA,3)</f>
        <v>922.7</v>
      </c>
      <c r="D69" s="144">
        <f>VLOOKUP($A69,'Data shares'!$C:$FA,23)</f>
        <v>1.75</v>
      </c>
      <c r="E69" s="145">
        <f>VLOOKUP($A69,'Data shares'!$C:$FA,26)*100</f>
        <v>0.19</v>
      </c>
      <c r="F69" s="144">
        <f>VLOOKUP($A69,'Data shares'!$C:$FA,24)</f>
        <v>4.05</v>
      </c>
      <c r="G69" s="144">
        <f>VLOOKUP($A69,'Data shares'!$C:$FA,25)</f>
        <v>-2.2999999999999998</v>
      </c>
    </row>
    <row r="70" spans="1:7" x14ac:dyDescent="0.25">
      <c r="A70" s="101" t="str">
        <f>'Data Vlaue (Cr)'!C66</f>
        <v>GAIL</v>
      </c>
      <c r="B70" s="144">
        <f>VLOOKUP($A70,'Data shares'!$C:$FA,7)</f>
        <v>156.72999999999999</v>
      </c>
      <c r="C70" s="144">
        <f>VLOOKUP($A70,'Data shares'!$C:$FA,3)</f>
        <v>156.94</v>
      </c>
      <c r="D70" s="144">
        <f>VLOOKUP($A70,'Data shares'!$C:$FA,23)</f>
        <v>0.21</v>
      </c>
      <c r="E70" s="145">
        <f>VLOOKUP($A70,'Data shares'!$C:$FA,26)*100</f>
        <v>0.13</v>
      </c>
      <c r="F70" s="144">
        <f>VLOOKUP($A70,'Data shares'!$C:$FA,24)</f>
        <v>0.37</v>
      </c>
      <c r="G70" s="144">
        <f>VLOOKUP($A70,'Data shares'!$C:$FA,25)</f>
        <v>-0.16</v>
      </c>
    </row>
    <row r="71" spans="1:7" x14ac:dyDescent="0.25">
      <c r="A71" s="101" t="str">
        <f>'Data Vlaue (Cr)'!C67</f>
        <v>GLENMARK</v>
      </c>
      <c r="B71" s="144">
        <f>VLOOKUP($A71,'Data shares'!$C:$FA,7)</f>
        <v>2108.9</v>
      </c>
      <c r="C71" s="144">
        <f>VLOOKUP($A71,'Data shares'!$C:$FA,3)</f>
        <v>2111.9</v>
      </c>
      <c r="D71" s="144">
        <f>VLOOKUP($A71,'Data shares'!$C:$FA,23)</f>
        <v>3</v>
      </c>
      <c r="E71" s="145">
        <f>VLOOKUP($A71,'Data shares'!$C:$FA,26)*100</f>
        <v>0.13999999999999999</v>
      </c>
      <c r="F71" s="144">
        <f>VLOOKUP($A71,'Data shares'!$C:$FA,24)</f>
        <v>9.1</v>
      </c>
      <c r="G71" s="144">
        <f>VLOOKUP($A71,'Data shares'!$C:$FA,25)</f>
        <v>-6.1</v>
      </c>
    </row>
    <row r="72" spans="1:7" x14ac:dyDescent="0.25">
      <c r="A72" s="101" t="str">
        <f>'Data Vlaue (Cr)'!C68</f>
        <v>GMRAIRPORT</v>
      </c>
      <c r="B72" s="144">
        <f>VLOOKUP($A72,'Data shares'!$C:$FA,7)</f>
        <v>97.98</v>
      </c>
      <c r="C72" s="144">
        <f>VLOOKUP($A72,'Data shares'!$C:$FA,3)</f>
        <v>98.33</v>
      </c>
      <c r="D72" s="144">
        <f>VLOOKUP($A72,'Data shares'!$C:$FA,23)</f>
        <v>0.35</v>
      </c>
      <c r="E72" s="145">
        <f>VLOOKUP($A72,'Data shares'!$C:$FA,26)*100</f>
        <v>0.36</v>
      </c>
      <c r="F72" s="144">
        <f>VLOOKUP($A72,'Data shares'!$C:$FA,24)</f>
        <v>0.18</v>
      </c>
      <c r="G72" s="144">
        <f>VLOOKUP($A72,'Data shares'!$C:$FA,25)</f>
        <v>0.17</v>
      </c>
    </row>
    <row r="73" spans="1:7" x14ac:dyDescent="0.25">
      <c r="A73" s="101" t="str">
        <f>'Data Vlaue (Cr)'!C69</f>
        <v>GODREJCP</v>
      </c>
      <c r="B73" s="144">
        <f>VLOOKUP($A73,'Data shares'!$C:$FA,7)</f>
        <v>1132.4000000000001</v>
      </c>
      <c r="C73" s="144">
        <f>VLOOKUP($A73,'Data shares'!$C:$FA,3)</f>
        <v>1138.4000000000001</v>
      </c>
      <c r="D73" s="144">
        <f>VLOOKUP($A73,'Data shares'!$C:$FA,23)</f>
        <v>6</v>
      </c>
      <c r="E73" s="145">
        <f>VLOOKUP($A73,'Data shares'!$C:$FA,26)*100</f>
        <v>0.53</v>
      </c>
      <c r="F73" s="144">
        <f>VLOOKUP($A73,'Data shares'!$C:$FA,24)</f>
        <v>5.3</v>
      </c>
      <c r="G73" s="144">
        <f>VLOOKUP($A73,'Data shares'!$C:$FA,25)</f>
        <v>0.7</v>
      </c>
    </row>
    <row r="74" spans="1:7" x14ac:dyDescent="0.25">
      <c r="A74" s="101" t="str">
        <f>'Data Vlaue (Cr)'!C70</f>
        <v>GODREJPROP</v>
      </c>
      <c r="B74" s="144">
        <f>VLOOKUP($A74,'Data shares'!$C:$FA,7)</f>
        <v>1743.8</v>
      </c>
      <c r="C74" s="144">
        <f>VLOOKUP($A74,'Data shares'!$C:$FA,3)</f>
        <v>1745.5</v>
      </c>
      <c r="D74" s="144">
        <f>VLOOKUP($A74,'Data shares'!$C:$FA,23)</f>
        <v>1.7</v>
      </c>
      <c r="E74" s="145">
        <f>VLOOKUP($A74,'Data shares'!$C:$FA,26)*100</f>
        <v>0.1</v>
      </c>
      <c r="F74" s="144">
        <f>VLOOKUP($A74,'Data shares'!$C:$FA,24)</f>
        <v>2.2000000000000002</v>
      </c>
      <c r="G74" s="144">
        <f>VLOOKUP($A74,'Data shares'!$C:$FA,25)</f>
        <v>-0.5</v>
      </c>
    </row>
    <row r="75" spans="1:7" x14ac:dyDescent="0.25">
      <c r="A75" s="101" t="str">
        <f>'Data Vlaue (Cr)'!C71</f>
        <v>GRASIM</v>
      </c>
      <c r="B75" s="144">
        <f>VLOOKUP($A75,'Data shares'!$C:$FA,7)</f>
        <v>2724.1</v>
      </c>
      <c r="C75" s="144">
        <f>VLOOKUP($A75,'Data shares'!$C:$FA,3)</f>
        <v>2730</v>
      </c>
      <c r="D75" s="144">
        <f>VLOOKUP($A75,'Data shares'!$C:$FA,23)</f>
        <v>5.9</v>
      </c>
      <c r="E75" s="145">
        <f>VLOOKUP($A75,'Data shares'!$C:$FA,26)*100</f>
        <v>0.22</v>
      </c>
      <c r="F75" s="144">
        <f>VLOOKUP($A75,'Data shares'!$C:$FA,24)</f>
        <v>5.0999999999999996</v>
      </c>
      <c r="G75" s="144">
        <f>VLOOKUP($A75,'Data shares'!$C:$FA,25)</f>
        <v>0.8</v>
      </c>
    </row>
    <row r="76" spans="1:7" x14ac:dyDescent="0.25">
      <c r="A76" s="101" t="str">
        <f>'Data Vlaue (Cr)'!C72</f>
        <v>HAL</v>
      </c>
      <c r="B76" s="144">
        <f>VLOOKUP($A76,'Data shares'!$C:$FA,7)</f>
        <v>3891.8</v>
      </c>
      <c r="C76" s="144">
        <f>VLOOKUP($A76,'Data shares'!$C:$FA,3)</f>
        <v>3910.3</v>
      </c>
      <c r="D76" s="144">
        <f>VLOOKUP($A76,'Data shares'!$C:$FA,23)</f>
        <v>18.5</v>
      </c>
      <c r="E76" s="145">
        <f>VLOOKUP($A76,'Data shares'!$C:$FA,26)*100</f>
        <v>0.48</v>
      </c>
      <c r="F76" s="144">
        <f>VLOOKUP($A76,'Data shares'!$C:$FA,24)</f>
        <v>13.1</v>
      </c>
      <c r="G76" s="144">
        <f>VLOOKUP($A76,'Data shares'!$C:$FA,25)</f>
        <v>5.4</v>
      </c>
    </row>
    <row r="77" spans="1:7" x14ac:dyDescent="0.25">
      <c r="A77" s="101" t="str">
        <f>'Data Vlaue (Cr)'!C73</f>
        <v>HAVELLS</v>
      </c>
      <c r="B77" s="144">
        <f>VLOOKUP($A77,'Data shares'!$C:$FA,7)</f>
        <v>1352.5</v>
      </c>
      <c r="C77" s="144">
        <f>VLOOKUP($A77,'Data shares'!$C:$FA,3)</f>
        <v>1355.4</v>
      </c>
      <c r="D77" s="144">
        <f>VLOOKUP($A77,'Data shares'!$C:$FA,23)</f>
        <v>2.9</v>
      </c>
      <c r="E77" s="145">
        <f>VLOOKUP($A77,'Data shares'!$C:$FA,26)*100</f>
        <v>0.21</v>
      </c>
      <c r="F77" s="144">
        <f>VLOOKUP($A77,'Data shares'!$C:$FA,24)</f>
        <v>5.5</v>
      </c>
      <c r="G77" s="144">
        <f>VLOOKUP($A77,'Data shares'!$C:$FA,25)</f>
        <v>-2.6</v>
      </c>
    </row>
    <row r="78" spans="1:7" x14ac:dyDescent="0.25">
      <c r="A78" s="101" t="str">
        <f>'Data Vlaue (Cr)'!C74</f>
        <v>HCLTECH</v>
      </c>
      <c r="B78" s="144">
        <f>VLOOKUP($A78,'Data shares'!$C:$FA,7)</f>
        <v>1354.1</v>
      </c>
      <c r="C78" s="144">
        <f>VLOOKUP($A78,'Data shares'!$C:$FA,3)</f>
        <v>1355.9</v>
      </c>
      <c r="D78" s="144">
        <f>VLOOKUP($A78,'Data shares'!$C:$FA,23)</f>
        <v>1.8</v>
      </c>
      <c r="E78" s="145">
        <f>VLOOKUP($A78,'Data shares'!$C:$FA,26)*100</f>
        <v>0.13</v>
      </c>
      <c r="F78" s="144">
        <f>VLOOKUP($A78,'Data shares'!$C:$FA,24)</f>
        <v>2.8</v>
      </c>
      <c r="G78" s="144">
        <f>VLOOKUP($A78,'Data shares'!$C:$FA,25)</f>
        <v>-1</v>
      </c>
    </row>
    <row r="79" spans="1:7" x14ac:dyDescent="0.25">
      <c r="A79" s="101" t="str">
        <f>'Data Vlaue (Cr)'!C75</f>
        <v>HDFCAMC</v>
      </c>
      <c r="B79" s="144">
        <f>VLOOKUP($A79,'Data shares'!$C:$FA,7)</f>
        <v>2559</v>
      </c>
      <c r="C79" s="144">
        <f>VLOOKUP($A79,'Data shares'!$C:$FA,3)</f>
        <v>2570.1</v>
      </c>
      <c r="D79" s="144">
        <f>VLOOKUP($A79,'Data shares'!$C:$FA,23)</f>
        <v>11.1</v>
      </c>
      <c r="E79" s="145">
        <f>VLOOKUP($A79,'Data shares'!$C:$FA,26)*100</f>
        <v>0.43</v>
      </c>
      <c r="F79" s="144">
        <f>VLOOKUP($A79,'Data shares'!$C:$FA,24)</f>
        <v>12.9</v>
      </c>
      <c r="G79" s="144">
        <f>VLOOKUP($A79,'Data shares'!$C:$FA,25)</f>
        <v>-1.8</v>
      </c>
    </row>
    <row r="80" spans="1:7" x14ac:dyDescent="0.25">
      <c r="A80" s="101" t="str">
        <f>'Data Vlaue (Cr)'!C76</f>
        <v>HDFCBANK</v>
      </c>
      <c r="B80" s="144">
        <f>VLOOKUP($A80,'Data shares'!$C:$FA,7)</f>
        <v>877.75</v>
      </c>
      <c r="C80" s="144">
        <f>VLOOKUP($A80,'Data shares'!$C:$FA,3)</f>
        <v>882.2</v>
      </c>
      <c r="D80" s="144">
        <f>VLOOKUP($A80,'Data shares'!$C:$FA,23)</f>
        <v>4.45</v>
      </c>
      <c r="E80" s="145">
        <f>VLOOKUP($A80,'Data shares'!$C:$FA,26)*100</f>
        <v>0.51</v>
      </c>
      <c r="F80" s="144">
        <f>VLOOKUP($A80,'Data shares'!$C:$FA,24)</f>
        <v>5.4</v>
      </c>
      <c r="G80" s="144">
        <f>VLOOKUP($A80,'Data shares'!$C:$FA,25)</f>
        <v>-0.95</v>
      </c>
    </row>
    <row r="81" spans="1:7" x14ac:dyDescent="0.25">
      <c r="A81" s="101" t="str">
        <f>'Data Vlaue (Cr)'!C77</f>
        <v>HDFCLIFE</v>
      </c>
      <c r="B81" s="144">
        <f>VLOOKUP($A81,'Data shares'!$C:$FA,7)</f>
        <v>684.3</v>
      </c>
      <c r="C81" s="144">
        <f>VLOOKUP($A81,'Data shares'!$C:$FA,3)</f>
        <v>686.35</v>
      </c>
      <c r="D81" s="144">
        <f>VLOOKUP($A81,'Data shares'!$C:$FA,23)</f>
        <v>2.0499999999999998</v>
      </c>
      <c r="E81" s="145">
        <f>VLOOKUP($A81,'Data shares'!$C:$FA,26)*100</f>
        <v>0.3</v>
      </c>
      <c r="F81" s="144">
        <f>VLOOKUP($A81,'Data shares'!$C:$FA,24)</f>
        <v>3.05</v>
      </c>
      <c r="G81" s="144">
        <f>VLOOKUP($A81,'Data shares'!$C:$FA,25)</f>
        <v>-1</v>
      </c>
    </row>
    <row r="82" spans="1:7" x14ac:dyDescent="0.25">
      <c r="A82" s="101" t="str">
        <f>'Data Vlaue (Cr)'!C78</f>
        <v>HEROMOTOCO</v>
      </c>
      <c r="B82" s="144">
        <f>VLOOKUP($A82,'Data shares'!$C:$FA,7)</f>
        <v>5588.5</v>
      </c>
      <c r="C82" s="144">
        <f>VLOOKUP($A82,'Data shares'!$C:$FA,3)</f>
        <v>5600.5</v>
      </c>
      <c r="D82" s="144">
        <f>VLOOKUP($A82,'Data shares'!$C:$FA,23)</f>
        <v>12</v>
      </c>
      <c r="E82" s="145">
        <f>VLOOKUP($A82,'Data shares'!$C:$FA,26)*100</f>
        <v>0.21</v>
      </c>
      <c r="F82" s="144">
        <f>VLOOKUP($A82,'Data shares'!$C:$FA,24)</f>
        <v>11.5</v>
      </c>
      <c r="G82" s="144">
        <f>VLOOKUP($A82,'Data shares'!$C:$FA,25)</f>
        <v>0.5</v>
      </c>
    </row>
    <row r="83" spans="1:7" x14ac:dyDescent="0.25">
      <c r="A83" s="101" t="str">
        <f>'Data Vlaue (Cr)'!C79</f>
        <v>HINDALCO</v>
      </c>
      <c r="B83" s="144">
        <f>VLOOKUP($A83,'Data shares'!$C:$FA,7)</f>
        <v>954.95</v>
      </c>
      <c r="C83" s="144">
        <f>VLOOKUP($A83,'Data shares'!$C:$FA,3)</f>
        <v>956.75</v>
      </c>
      <c r="D83" s="144">
        <f>VLOOKUP($A83,'Data shares'!$C:$FA,23)</f>
        <v>1.8</v>
      </c>
      <c r="E83" s="145">
        <f>VLOOKUP($A83,'Data shares'!$C:$FA,26)*100</f>
        <v>0.19</v>
      </c>
      <c r="F83" s="144">
        <f>VLOOKUP($A83,'Data shares'!$C:$FA,24)</f>
        <v>4.1500000000000004</v>
      </c>
      <c r="G83" s="144">
        <f>VLOOKUP($A83,'Data shares'!$C:$FA,25)</f>
        <v>-2.35</v>
      </c>
    </row>
    <row r="84" spans="1:7" x14ac:dyDescent="0.25">
      <c r="A84" s="101" t="str">
        <f>'Data Vlaue (Cr)'!C80</f>
        <v>HINDPETRO</v>
      </c>
      <c r="B84" s="144">
        <f>VLOOKUP($A84,'Data shares'!$C:$FA,7)</f>
        <v>418.4</v>
      </c>
      <c r="C84" s="144">
        <f>VLOOKUP($A84,'Data shares'!$C:$FA,3)</f>
        <v>417.9</v>
      </c>
      <c r="D84" s="144">
        <f>VLOOKUP($A84,'Data shares'!$C:$FA,23)</f>
        <v>-0.5</v>
      </c>
      <c r="E84" s="145">
        <f>VLOOKUP($A84,'Data shares'!$C:$FA,26)*100</f>
        <v>-0.12</v>
      </c>
      <c r="F84" s="144">
        <f>VLOOKUP($A84,'Data shares'!$C:$FA,24)</f>
        <v>1.45</v>
      </c>
      <c r="G84" s="144">
        <f>VLOOKUP($A84,'Data shares'!$C:$FA,25)</f>
        <v>-1.95</v>
      </c>
    </row>
    <row r="85" spans="1:7" x14ac:dyDescent="0.25">
      <c r="A85" s="101" t="str">
        <f>'Data Vlaue (Cr)'!C81</f>
        <v>HINDUNILVR</v>
      </c>
      <c r="B85" s="144">
        <f>VLOOKUP($A85,'Data shares'!$C:$FA,7)</f>
        <v>2255</v>
      </c>
      <c r="C85" s="144">
        <f>VLOOKUP($A85,'Data shares'!$C:$FA,3)</f>
        <v>2266.6</v>
      </c>
      <c r="D85" s="144">
        <f>VLOOKUP($A85,'Data shares'!$C:$FA,23)</f>
        <v>11.6</v>
      </c>
      <c r="E85" s="145">
        <f>VLOOKUP($A85,'Data shares'!$C:$FA,26)*100</f>
        <v>0.51</v>
      </c>
      <c r="F85" s="144">
        <f>VLOOKUP($A85,'Data shares'!$C:$FA,24)</f>
        <v>8.4</v>
      </c>
      <c r="G85" s="144">
        <f>VLOOKUP($A85,'Data shares'!$C:$FA,25)</f>
        <v>3.2</v>
      </c>
    </row>
    <row r="86" spans="1:7" x14ac:dyDescent="0.25">
      <c r="A86" s="101" t="str">
        <f>'Data Vlaue (Cr)'!C82</f>
        <v>HINDZINC</v>
      </c>
      <c r="B86" s="144">
        <f>VLOOKUP($A86,'Data shares'!$C:$FA,7)</f>
        <v>595.65</v>
      </c>
      <c r="C86" s="144">
        <f>VLOOKUP($A86,'Data shares'!$C:$FA,3)</f>
        <v>596.6</v>
      </c>
      <c r="D86" s="144">
        <f>VLOOKUP($A86,'Data shares'!$C:$FA,23)</f>
        <v>0.95</v>
      </c>
      <c r="E86" s="145">
        <f>VLOOKUP($A86,'Data shares'!$C:$FA,26)*100</f>
        <v>0.16</v>
      </c>
      <c r="F86" s="144">
        <f>VLOOKUP($A86,'Data shares'!$C:$FA,24)</f>
        <v>1.7</v>
      </c>
      <c r="G86" s="144">
        <f>VLOOKUP($A86,'Data shares'!$C:$FA,25)</f>
        <v>-0.75</v>
      </c>
    </row>
    <row r="87" spans="1:7" x14ac:dyDescent="0.25">
      <c r="A87" s="101" t="str">
        <f>'Data Vlaue (Cr)'!C83</f>
        <v>HUDCO</v>
      </c>
      <c r="B87" s="144">
        <f>VLOOKUP($A87,'Data shares'!$C:$FA,7)</f>
        <v>178.27</v>
      </c>
      <c r="C87" s="144">
        <f>VLOOKUP($A87,'Data shares'!$C:$FA,3)</f>
        <v>179.01</v>
      </c>
      <c r="D87" s="144">
        <f>VLOOKUP($A87,'Data shares'!$C:$FA,23)</f>
        <v>0.74</v>
      </c>
      <c r="E87" s="145">
        <f>VLOOKUP($A87,'Data shares'!$C:$FA,26)*100</f>
        <v>0.42</v>
      </c>
      <c r="F87" s="144">
        <f>VLOOKUP($A87,'Data shares'!$C:$FA,24)</f>
        <v>0.39</v>
      </c>
      <c r="G87" s="144">
        <f>VLOOKUP($A87,'Data shares'!$C:$FA,25)</f>
        <v>0.35</v>
      </c>
    </row>
    <row r="88" spans="1:7" x14ac:dyDescent="0.25">
      <c r="A88" s="101" t="str">
        <f>'Data Vlaue (Cr)'!C84</f>
        <v>ICICIBANK</v>
      </c>
      <c r="B88" s="144">
        <f>VLOOKUP($A88,'Data shares'!$C:$FA,7)</f>
        <v>1357.6</v>
      </c>
      <c r="C88" s="144">
        <f>VLOOKUP($A88,'Data shares'!$C:$FA,3)</f>
        <v>1361.3</v>
      </c>
      <c r="D88" s="144">
        <f>VLOOKUP($A88,'Data shares'!$C:$FA,23)</f>
        <v>3.7</v>
      </c>
      <c r="E88" s="145">
        <f>VLOOKUP($A88,'Data shares'!$C:$FA,26)*100</f>
        <v>0.27</v>
      </c>
      <c r="F88" s="144">
        <f>VLOOKUP($A88,'Data shares'!$C:$FA,24)</f>
        <v>4.0999999999999996</v>
      </c>
      <c r="G88" s="144">
        <f>VLOOKUP($A88,'Data shares'!$C:$FA,25)</f>
        <v>-0.4</v>
      </c>
    </row>
    <row r="89" spans="1:7" x14ac:dyDescent="0.25">
      <c r="A89" s="101" t="str">
        <f>'Data Vlaue (Cr)'!C85</f>
        <v>ICICIGI</v>
      </c>
      <c r="B89" s="144">
        <f>VLOOKUP($A89,'Data shares'!$C:$FA,7)</f>
        <v>1875.2</v>
      </c>
      <c r="C89" s="144">
        <f>VLOOKUP($A89,'Data shares'!$C:$FA,3)</f>
        <v>1879.9</v>
      </c>
      <c r="D89" s="144">
        <f>VLOOKUP($A89,'Data shares'!$C:$FA,23)</f>
        <v>4.7</v>
      </c>
      <c r="E89" s="145">
        <f>VLOOKUP($A89,'Data shares'!$C:$FA,26)*100</f>
        <v>0.25</v>
      </c>
      <c r="F89" s="144">
        <f>VLOOKUP($A89,'Data shares'!$C:$FA,24)</f>
        <v>5.3</v>
      </c>
      <c r="G89" s="144">
        <f>VLOOKUP($A89,'Data shares'!$C:$FA,25)</f>
        <v>-0.6</v>
      </c>
    </row>
    <row r="90" spans="1:7" x14ac:dyDescent="0.25">
      <c r="A90" s="101" t="str">
        <f>'Data Vlaue (Cr)'!C86</f>
        <v>ICICIPRULI</v>
      </c>
      <c r="B90" s="144">
        <f>VLOOKUP($A90,'Data shares'!$C:$FA,7)</f>
        <v>627.45000000000005</v>
      </c>
      <c r="C90" s="144">
        <f>VLOOKUP($A90,'Data shares'!$C:$FA,3)</f>
        <v>629.85</v>
      </c>
      <c r="D90" s="144">
        <f>VLOOKUP($A90,'Data shares'!$C:$FA,23)</f>
        <v>2.4</v>
      </c>
      <c r="E90" s="145">
        <f>VLOOKUP($A90,'Data shares'!$C:$FA,26)*100</f>
        <v>0.38</v>
      </c>
      <c r="F90" s="144">
        <f>VLOOKUP($A90,'Data shares'!$C:$FA,24)</f>
        <v>2.25</v>
      </c>
      <c r="G90" s="144">
        <f>VLOOKUP($A90,'Data shares'!$C:$FA,25)</f>
        <v>0.15</v>
      </c>
    </row>
    <row r="91" spans="1:7" x14ac:dyDescent="0.25">
      <c r="A91" s="101" t="str">
        <f>'Data Vlaue (Cr)'!C87</f>
        <v>IDEA</v>
      </c>
      <c r="B91" s="144">
        <f>VLOOKUP($A91,'Data shares'!$C:$FA,7)</f>
        <v>10.220000000000001</v>
      </c>
      <c r="C91" s="144">
        <f>VLOOKUP($A91,'Data shares'!$C:$FA,3)</f>
        <v>10.28</v>
      </c>
      <c r="D91" s="144">
        <f>VLOOKUP($A91,'Data shares'!$C:$FA,23)</f>
        <v>0.06</v>
      </c>
      <c r="E91" s="145">
        <f>VLOOKUP($A91,'Data shares'!$C:$FA,26)*100</f>
        <v>0.59</v>
      </c>
      <c r="F91" s="144">
        <f>VLOOKUP($A91,'Data shares'!$C:$FA,24)</f>
        <v>0.05</v>
      </c>
      <c r="G91" s="144">
        <f>VLOOKUP($A91,'Data shares'!$C:$FA,25)</f>
        <v>0.01</v>
      </c>
    </row>
    <row r="92" spans="1:7" x14ac:dyDescent="0.25">
      <c r="A92" s="101" t="str">
        <f>'Data Vlaue (Cr)'!C88</f>
        <v>IDFCFIRSTB</v>
      </c>
      <c r="B92" s="144">
        <f>VLOOKUP($A92,'Data shares'!$C:$FA,7)</f>
        <v>70.400000000000006</v>
      </c>
      <c r="C92" s="144">
        <f>VLOOKUP($A92,'Data shares'!$C:$FA,3)</f>
        <v>70.75</v>
      </c>
      <c r="D92" s="144">
        <f>VLOOKUP($A92,'Data shares'!$C:$FA,23)</f>
        <v>0.35</v>
      </c>
      <c r="E92" s="145">
        <f>VLOOKUP($A92,'Data shares'!$C:$FA,26)*100</f>
        <v>0.5</v>
      </c>
      <c r="F92" s="144">
        <f>VLOOKUP($A92,'Data shares'!$C:$FA,24)</f>
        <v>0.2</v>
      </c>
      <c r="G92" s="144">
        <f>VLOOKUP($A92,'Data shares'!$C:$FA,25)</f>
        <v>0.15</v>
      </c>
    </row>
    <row r="93" spans="1:7" x14ac:dyDescent="0.25">
      <c r="A93" s="101" t="str">
        <f>'Data Vlaue (Cr)'!C89</f>
        <v>IEX</v>
      </c>
      <c r="B93" s="144">
        <f>VLOOKUP($A93,'Data shares'!$C:$FA,7)</f>
        <v>121.63</v>
      </c>
      <c r="C93" s="144">
        <f>VLOOKUP($A93,'Data shares'!$C:$FA,3)</f>
        <v>121.97</v>
      </c>
      <c r="D93" s="144">
        <f>VLOOKUP($A93,'Data shares'!$C:$FA,23)</f>
        <v>0.34</v>
      </c>
      <c r="E93" s="145">
        <f>VLOOKUP($A93,'Data shares'!$C:$FA,26)*100</f>
        <v>0.27999999999999997</v>
      </c>
      <c r="F93" s="144">
        <f>VLOOKUP($A93,'Data shares'!$C:$FA,24)</f>
        <v>0.38</v>
      </c>
      <c r="G93" s="144">
        <f>VLOOKUP($A93,'Data shares'!$C:$FA,25)</f>
        <v>-0.04</v>
      </c>
    </row>
    <row r="94" spans="1:7" x14ac:dyDescent="0.25">
      <c r="A94" s="101" t="str">
        <f>'Data Vlaue (Cr)'!C90</f>
        <v>INDHOTEL</v>
      </c>
      <c r="B94" s="144">
        <f>VLOOKUP($A94,'Data shares'!$C:$FA,7)</f>
        <v>629.70000000000005</v>
      </c>
      <c r="C94" s="144">
        <f>VLOOKUP($A94,'Data shares'!$C:$FA,3)</f>
        <v>632.70000000000005</v>
      </c>
      <c r="D94" s="144">
        <f>VLOOKUP($A94,'Data shares'!$C:$FA,23)</f>
        <v>3</v>
      </c>
      <c r="E94" s="145">
        <f>VLOOKUP($A94,'Data shares'!$C:$FA,26)*100</f>
        <v>0.48</v>
      </c>
      <c r="F94" s="144">
        <f>VLOOKUP($A94,'Data shares'!$C:$FA,24)</f>
        <v>2.9</v>
      </c>
      <c r="G94" s="144">
        <f>VLOOKUP($A94,'Data shares'!$C:$FA,25)</f>
        <v>0.1</v>
      </c>
    </row>
    <row r="95" spans="1:7" x14ac:dyDescent="0.25">
      <c r="A95" s="101" t="str">
        <f>'Data Vlaue (Cr)'!C91</f>
        <v>INDIANB</v>
      </c>
      <c r="B95" s="144">
        <f>VLOOKUP($A95,'Data shares'!$C:$FA,7)</f>
        <v>951.75</v>
      </c>
      <c r="C95" s="144">
        <f>VLOOKUP($A95,'Data shares'!$C:$FA,3)</f>
        <v>950.65</v>
      </c>
      <c r="D95" s="144">
        <f>VLOOKUP($A95,'Data shares'!$C:$FA,23)</f>
        <v>-1.1000000000000001</v>
      </c>
      <c r="E95" s="145">
        <f>VLOOKUP($A95,'Data shares'!$C:$FA,26)*100</f>
        <v>-0.12</v>
      </c>
      <c r="F95" s="144">
        <f>VLOOKUP($A95,'Data shares'!$C:$FA,24)</f>
        <v>3.35</v>
      </c>
      <c r="G95" s="144">
        <f>VLOOKUP($A95,'Data shares'!$C:$FA,25)</f>
        <v>-4.45</v>
      </c>
    </row>
    <row r="96" spans="1:7" x14ac:dyDescent="0.25">
      <c r="A96" s="101" t="str">
        <f>'Data Vlaue (Cr)'!C92</f>
        <v>INDIAVIX</v>
      </c>
      <c r="B96" s="144">
        <f>VLOOKUP($A96,'Data shares'!$C:$FA,7)</f>
        <v>17.86</v>
      </c>
      <c r="C96" s="144">
        <f>VLOOKUP($A96,'Data shares'!$C:$FA,3)</f>
        <v>17.86</v>
      </c>
      <c r="D96" s="144">
        <f>VLOOKUP($A96,'Data shares'!$C:$FA,23)</f>
        <v>0</v>
      </c>
      <c r="E96" s="145">
        <f>VLOOKUP($A96,'Data shares'!$C:$FA,26)*100</f>
        <v>0</v>
      </c>
      <c r="F96" s="144">
        <f>VLOOKUP($A96,'Data shares'!$C:$FA,24)</f>
        <v>0</v>
      </c>
      <c r="G96" s="144">
        <f>VLOOKUP($A96,'Data shares'!$C:$FA,25)</f>
        <v>0</v>
      </c>
    </row>
    <row r="97" spans="1:7" x14ac:dyDescent="0.25">
      <c r="A97" s="101" t="str">
        <f>'Data Vlaue (Cr)'!C93</f>
        <v>INDIGO</v>
      </c>
      <c r="B97" s="144">
        <f>VLOOKUP($A97,'Data shares'!$C:$FA,7)</f>
        <v>4512.8</v>
      </c>
      <c r="C97" s="144">
        <f>VLOOKUP($A97,'Data shares'!$C:$FA,3)</f>
        <v>4520.1000000000004</v>
      </c>
      <c r="D97" s="144">
        <f>VLOOKUP($A97,'Data shares'!$C:$FA,23)</f>
        <v>7.3</v>
      </c>
      <c r="E97" s="145">
        <f>VLOOKUP($A97,'Data shares'!$C:$FA,26)*100</f>
        <v>0.16</v>
      </c>
      <c r="F97" s="144">
        <f>VLOOKUP($A97,'Data shares'!$C:$FA,24)</f>
        <v>19.399999999999999</v>
      </c>
      <c r="G97" s="144">
        <f>VLOOKUP($A97,'Data shares'!$C:$FA,25)</f>
        <v>-12.1</v>
      </c>
    </row>
    <row r="98" spans="1:7" x14ac:dyDescent="0.25">
      <c r="A98" s="101" t="str">
        <f>'Data Vlaue (Cr)'!C94</f>
        <v>INDUSINDBK</v>
      </c>
      <c r="B98" s="144">
        <f>VLOOKUP($A98,'Data shares'!$C:$FA,7)</f>
        <v>937.2</v>
      </c>
      <c r="C98" s="144">
        <f>VLOOKUP($A98,'Data shares'!$C:$FA,3)</f>
        <v>940.45</v>
      </c>
      <c r="D98" s="144">
        <f>VLOOKUP($A98,'Data shares'!$C:$FA,23)</f>
        <v>3.25</v>
      </c>
      <c r="E98" s="145">
        <f>VLOOKUP($A98,'Data shares'!$C:$FA,26)*100</f>
        <v>0.35000000000000003</v>
      </c>
      <c r="F98" s="144">
        <f>VLOOKUP($A98,'Data shares'!$C:$FA,24)</f>
        <v>2.4</v>
      </c>
      <c r="G98" s="144">
        <f>VLOOKUP($A98,'Data shares'!$C:$FA,25)</f>
        <v>0.85</v>
      </c>
    </row>
    <row r="99" spans="1:7" x14ac:dyDescent="0.25">
      <c r="A99" s="101" t="str">
        <f>'Data Vlaue (Cr)'!C95</f>
        <v>INDUSTOWER</v>
      </c>
      <c r="B99" s="144">
        <f>VLOOKUP($A99,'Data shares'!$C:$FA,7)</f>
        <v>451.4</v>
      </c>
      <c r="C99" s="144">
        <f>VLOOKUP($A99,'Data shares'!$C:$FA,3)</f>
        <v>453.6</v>
      </c>
      <c r="D99" s="144">
        <f>VLOOKUP($A99,'Data shares'!$C:$FA,23)</f>
        <v>2.2000000000000002</v>
      </c>
      <c r="E99" s="145">
        <f>VLOOKUP($A99,'Data shares'!$C:$FA,26)*100</f>
        <v>0.49</v>
      </c>
      <c r="F99" s="144">
        <f>VLOOKUP($A99,'Data shares'!$C:$FA,24)</f>
        <v>1.1000000000000001</v>
      </c>
      <c r="G99" s="144">
        <f>VLOOKUP($A99,'Data shares'!$C:$FA,25)</f>
        <v>1.1000000000000001</v>
      </c>
    </row>
    <row r="100" spans="1:7" x14ac:dyDescent="0.25">
      <c r="A100" s="101" t="str">
        <f>'Data Vlaue (Cr)'!C96</f>
        <v>INFY</v>
      </c>
      <c r="B100" s="144">
        <f>VLOOKUP($A100,'Data shares'!$C:$FA,7)</f>
        <v>1305.8</v>
      </c>
      <c r="C100" s="144">
        <f>VLOOKUP($A100,'Data shares'!$C:$FA,3)</f>
        <v>1309.3</v>
      </c>
      <c r="D100" s="144">
        <f>VLOOKUP($A100,'Data shares'!$C:$FA,23)</f>
        <v>3.5</v>
      </c>
      <c r="E100" s="145">
        <f>VLOOKUP($A100,'Data shares'!$C:$FA,26)*100</f>
        <v>0.27</v>
      </c>
      <c r="F100" s="144">
        <f>VLOOKUP($A100,'Data shares'!$C:$FA,24)</f>
        <v>4.3</v>
      </c>
      <c r="G100" s="144">
        <f>VLOOKUP($A100,'Data shares'!$C:$FA,25)</f>
        <v>-0.8</v>
      </c>
    </row>
    <row r="101" spans="1:7" x14ac:dyDescent="0.25">
      <c r="A101" s="101" t="str">
        <f>'Data Vlaue (Cr)'!C97</f>
        <v>INOXWIND</v>
      </c>
      <c r="B101" s="144">
        <f>VLOOKUP($A101,'Data shares'!$C:$FA,7)</f>
        <v>86.32</v>
      </c>
      <c r="C101" s="144">
        <f>VLOOKUP($A101,'Data shares'!$C:$FA,3)</f>
        <v>86.57</v>
      </c>
      <c r="D101" s="144">
        <f>VLOOKUP($A101,'Data shares'!$C:$FA,23)</f>
        <v>0.25</v>
      </c>
      <c r="E101" s="145">
        <f>VLOOKUP($A101,'Data shares'!$C:$FA,26)*100</f>
        <v>0.28999999999999998</v>
      </c>
      <c r="F101" s="144">
        <f>VLOOKUP($A101,'Data shares'!$C:$FA,24)</f>
        <v>0.37</v>
      </c>
      <c r="G101" s="144">
        <f>VLOOKUP($A101,'Data shares'!$C:$FA,25)</f>
        <v>-0.12</v>
      </c>
    </row>
    <row r="102" spans="1:7" x14ac:dyDescent="0.25">
      <c r="A102" s="101" t="str">
        <f>'Data Vlaue (Cr)'!C98</f>
        <v>IOC</v>
      </c>
      <c r="B102" s="144">
        <f>VLOOKUP($A102,'Data shares'!$C:$FA,7)</f>
        <v>171.54</v>
      </c>
      <c r="C102" s="144">
        <f>VLOOKUP($A102,'Data shares'!$C:$FA,3)</f>
        <v>170.99</v>
      </c>
      <c r="D102" s="144">
        <f>VLOOKUP($A102,'Data shares'!$C:$FA,23)</f>
        <v>-0.55000000000000004</v>
      </c>
      <c r="E102" s="145">
        <f>VLOOKUP($A102,'Data shares'!$C:$FA,26)*100</f>
        <v>-0.32</v>
      </c>
      <c r="F102" s="144">
        <f>VLOOKUP($A102,'Data shares'!$C:$FA,24)</f>
        <v>-0.67</v>
      </c>
      <c r="G102" s="144">
        <f>VLOOKUP($A102,'Data shares'!$C:$FA,25)</f>
        <v>0.12</v>
      </c>
    </row>
    <row r="103" spans="1:7" x14ac:dyDescent="0.25">
      <c r="A103" s="101" t="str">
        <f>'Data Vlaue (Cr)'!C99</f>
        <v>IREDA</v>
      </c>
      <c r="B103" s="144">
        <f>VLOOKUP($A103,'Data shares'!$C:$FA,7)</f>
        <v>115.65</v>
      </c>
      <c r="C103" s="144">
        <f>VLOOKUP($A103,'Data shares'!$C:$FA,3)</f>
        <v>115.85</v>
      </c>
      <c r="D103" s="144">
        <f>VLOOKUP($A103,'Data shares'!$C:$FA,23)</f>
        <v>0.2</v>
      </c>
      <c r="E103" s="145">
        <f>VLOOKUP($A103,'Data shares'!$C:$FA,26)*100</f>
        <v>0.16999999999999998</v>
      </c>
      <c r="F103" s="144">
        <f>VLOOKUP($A103,'Data shares'!$C:$FA,24)</f>
        <v>0.09</v>
      </c>
      <c r="G103" s="144">
        <f>VLOOKUP($A103,'Data shares'!$C:$FA,25)</f>
        <v>0.11</v>
      </c>
    </row>
    <row r="104" spans="1:7" x14ac:dyDescent="0.25">
      <c r="A104" s="101" t="str">
        <f>'Data Vlaue (Cr)'!C100</f>
        <v>IRFC</v>
      </c>
      <c r="B104" s="144">
        <f>VLOOKUP($A104,'Data shares'!$C:$FA,7)</f>
        <v>98.85</v>
      </c>
      <c r="C104" s="144">
        <f>VLOOKUP($A104,'Data shares'!$C:$FA,3)</f>
        <v>98.04</v>
      </c>
      <c r="D104" s="144">
        <f>VLOOKUP($A104,'Data shares'!$C:$FA,23)</f>
        <v>-0.81</v>
      </c>
      <c r="E104" s="145">
        <f>VLOOKUP($A104,'Data shares'!$C:$FA,26)*100</f>
        <v>-0.82000000000000006</v>
      </c>
      <c r="F104" s="144">
        <f>VLOOKUP($A104,'Data shares'!$C:$FA,24)</f>
        <v>-0.91</v>
      </c>
      <c r="G104" s="144">
        <f>VLOOKUP($A104,'Data shares'!$C:$FA,25)</f>
        <v>0.1</v>
      </c>
    </row>
    <row r="105" spans="1:7" x14ac:dyDescent="0.25">
      <c r="A105" s="101" t="str">
        <f>'Data Vlaue (Cr)'!C101</f>
        <v>ITC</v>
      </c>
      <c r="B105" s="144">
        <f>VLOOKUP($A105,'Data shares'!$C:$FA,7)</f>
        <v>311.5</v>
      </c>
      <c r="C105" s="144">
        <f>VLOOKUP($A105,'Data shares'!$C:$FA,3)</f>
        <v>312.89999999999998</v>
      </c>
      <c r="D105" s="144">
        <f>VLOOKUP($A105,'Data shares'!$C:$FA,23)</f>
        <v>1.4</v>
      </c>
      <c r="E105" s="145">
        <f>VLOOKUP($A105,'Data shares'!$C:$FA,26)*100</f>
        <v>0.44999999999999996</v>
      </c>
      <c r="F105" s="144">
        <f>VLOOKUP($A105,'Data shares'!$C:$FA,24)</f>
        <v>0.65</v>
      </c>
      <c r="G105" s="144">
        <f>VLOOKUP($A105,'Data shares'!$C:$FA,25)</f>
        <v>0.75</v>
      </c>
    </row>
    <row r="106" spans="1:7" x14ac:dyDescent="0.25">
      <c r="A106" s="101" t="str">
        <f>'Data Vlaue (Cr)'!C102</f>
        <v>JINDALSTEL</v>
      </c>
      <c r="B106" s="144">
        <f>VLOOKUP($A106,'Data shares'!$C:$FA,7)</f>
        <v>1184</v>
      </c>
      <c r="C106" s="144">
        <f>VLOOKUP($A106,'Data shares'!$C:$FA,3)</f>
        <v>1189</v>
      </c>
      <c r="D106" s="144">
        <f>VLOOKUP($A106,'Data shares'!$C:$FA,23)</f>
        <v>5</v>
      </c>
      <c r="E106" s="145">
        <f>VLOOKUP($A106,'Data shares'!$C:$FA,26)*100</f>
        <v>0.42</v>
      </c>
      <c r="F106" s="144">
        <f>VLOOKUP($A106,'Data shares'!$C:$FA,24)</f>
        <v>4.7</v>
      </c>
      <c r="G106" s="144">
        <f>VLOOKUP($A106,'Data shares'!$C:$FA,25)</f>
        <v>0.3</v>
      </c>
    </row>
    <row r="107" spans="1:7" x14ac:dyDescent="0.25">
      <c r="A107" s="101" t="str">
        <f>'Data Vlaue (Cr)'!C103</f>
        <v>JIOFIN</v>
      </c>
      <c r="B107" s="144">
        <f>VLOOKUP($A107,'Data shares'!$C:$FA,7)</f>
        <v>243.1</v>
      </c>
      <c r="C107" s="144">
        <f>VLOOKUP($A107,'Data shares'!$C:$FA,3)</f>
        <v>244.1</v>
      </c>
      <c r="D107" s="144">
        <f>VLOOKUP($A107,'Data shares'!$C:$FA,23)</f>
        <v>1</v>
      </c>
      <c r="E107" s="145">
        <f>VLOOKUP($A107,'Data shares'!$C:$FA,26)*100</f>
        <v>0.41000000000000003</v>
      </c>
      <c r="F107" s="144">
        <f>VLOOKUP($A107,'Data shares'!$C:$FA,24)</f>
        <v>0.7</v>
      </c>
      <c r="G107" s="144">
        <f>VLOOKUP($A107,'Data shares'!$C:$FA,25)</f>
        <v>0.3</v>
      </c>
    </row>
    <row r="108" spans="1:7" x14ac:dyDescent="0.25">
      <c r="A108" s="101" t="str">
        <f>'Data Vlaue (Cr)'!C104</f>
        <v>JSWENERGY</v>
      </c>
      <c r="B108" s="144">
        <f>VLOOKUP($A108,'Data shares'!$C:$FA,7)</f>
        <v>479.5</v>
      </c>
      <c r="C108" s="144">
        <f>VLOOKUP($A108,'Data shares'!$C:$FA,3)</f>
        <v>480.35</v>
      </c>
      <c r="D108" s="144">
        <f>VLOOKUP($A108,'Data shares'!$C:$FA,23)</f>
        <v>0.85</v>
      </c>
      <c r="E108" s="145">
        <f>VLOOKUP($A108,'Data shares'!$C:$FA,26)*100</f>
        <v>0.18</v>
      </c>
      <c r="F108" s="144">
        <f>VLOOKUP($A108,'Data shares'!$C:$FA,24)</f>
        <v>1</v>
      </c>
      <c r="G108" s="144">
        <f>VLOOKUP($A108,'Data shares'!$C:$FA,25)</f>
        <v>-0.15</v>
      </c>
    </row>
    <row r="109" spans="1:7" x14ac:dyDescent="0.25">
      <c r="A109" s="101" t="str">
        <f>'Data Vlaue (Cr)'!C105</f>
        <v>JSWSTEEL</v>
      </c>
      <c r="B109" s="144">
        <f>VLOOKUP($A109,'Data shares'!$C:$FA,7)</f>
        <v>1248.0999999999999</v>
      </c>
      <c r="C109" s="144">
        <f>VLOOKUP($A109,'Data shares'!$C:$FA,3)</f>
        <v>1251.2</v>
      </c>
      <c r="D109" s="144">
        <f>VLOOKUP($A109,'Data shares'!$C:$FA,23)</f>
        <v>3.1</v>
      </c>
      <c r="E109" s="145">
        <f>VLOOKUP($A109,'Data shares'!$C:$FA,26)*100</f>
        <v>0.25</v>
      </c>
      <c r="F109" s="144">
        <f>VLOOKUP($A109,'Data shares'!$C:$FA,24)</f>
        <v>3.9</v>
      </c>
      <c r="G109" s="144">
        <f>VLOOKUP($A109,'Data shares'!$C:$FA,25)</f>
        <v>-0.8</v>
      </c>
    </row>
    <row r="110" spans="1:7" x14ac:dyDescent="0.25">
      <c r="A110" s="101" t="str">
        <f>'Data Vlaue (Cr)'!C106</f>
        <v>JUBLFOOD</v>
      </c>
      <c r="B110" s="144">
        <f>VLOOKUP($A110,'Data shares'!$C:$FA,7)</f>
        <v>500.5</v>
      </c>
      <c r="C110" s="144">
        <f>VLOOKUP($A110,'Data shares'!$C:$FA,3)</f>
        <v>501.55</v>
      </c>
      <c r="D110" s="144">
        <f>VLOOKUP($A110,'Data shares'!$C:$FA,23)</f>
        <v>1.05</v>
      </c>
      <c r="E110" s="145">
        <f>VLOOKUP($A110,'Data shares'!$C:$FA,26)*100</f>
        <v>0.21</v>
      </c>
      <c r="F110" s="144">
        <f>VLOOKUP($A110,'Data shares'!$C:$FA,24)</f>
        <v>0.8</v>
      </c>
      <c r="G110" s="144">
        <f>VLOOKUP($A110,'Data shares'!$C:$FA,25)</f>
        <v>0.25</v>
      </c>
    </row>
    <row r="111" spans="1:7" x14ac:dyDescent="0.25">
      <c r="A111" s="101" t="str">
        <f>'Data Vlaue (Cr)'!C107</f>
        <v>KALYANKJIL</v>
      </c>
      <c r="B111" s="144">
        <f>VLOOKUP($A111,'Data shares'!$C:$FA,7)</f>
        <v>399.8</v>
      </c>
      <c r="C111" s="144">
        <f>VLOOKUP($A111,'Data shares'!$C:$FA,3)</f>
        <v>400.8</v>
      </c>
      <c r="D111" s="144">
        <f>VLOOKUP($A111,'Data shares'!$C:$FA,23)</f>
        <v>1</v>
      </c>
      <c r="E111" s="145">
        <f>VLOOKUP($A111,'Data shares'!$C:$FA,26)*100</f>
        <v>0.25</v>
      </c>
      <c r="F111" s="144">
        <f>VLOOKUP($A111,'Data shares'!$C:$FA,24)</f>
        <v>1.1499999999999999</v>
      </c>
      <c r="G111" s="144">
        <f>VLOOKUP($A111,'Data shares'!$C:$FA,25)</f>
        <v>-0.15</v>
      </c>
    </row>
    <row r="112" spans="1:7" x14ac:dyDescent="0.25">
      <c r="A112" s="101" t="str">
        <f>'Data Vlaue (Cr)'!C108</f>
        <v>KAYNES</v>
      </c>
      <c r="B112" s="144">
        <f>VLOOKUP($A112,'Data shares'!$C:$FA,7)</f>
        <v>3814.5</v>
      </c>
      <c r="C112" s="144">
        <f>VLOOKUP($A112,'Data shares'!$C:$FA,3)</f>
        <v>3826.7</v>
      </c>
      <c r="D112" s="144">
        <f>VLOOKUP($A112,'Data shares'!$C:$FA,23)</f>
        <v>12.2</v>
      </c>
      <c r="E112" s="145">
        <f>VLOOKUP($A112,'Data shares'!$C:$FA,26)*100</f>
        <v>0.32</v>
      </c>
      <c r="F112" s="144">
        <f>VLOOKUP($A112,'Data shares'!$C:$FA,24)</f>
        <v>16.5</v>
      </c>
      <c r="G112" s="144">
        <f>VLOOKUP($A112,'Data shares'!$C:$FA,25)</f>
        <v>-4.3</v>
      </c>
    </row>
    <row r="113" spans="1:7" x14ac:dyDescent="0.25">
      <c r="A113" s="101" t="str">
        <f>'Data Vlaue (Cr)'!C109</f>
        <v>KEI</v>
      </c>
      <c r="B113" s="144">
        <f>VLOOKUP($A113,'Data shares'!$C:$FA,7)</f>
        <v>4920.5</v>
      </c>
      <c r="C113" s="144">
        <f>VLOOKUP($A113,'Data shares'!$C:$FA,3)</f>
        <v>4939</v>
      </c>
      <c r="D113" s="144">
        <f>VLOOKUP($A113,'Data shares'!$C:$FA,23)</f>
        <v>18.5</v>
      </c>
      <c r="E113" s="145">
        <f>VLOOKUP($A113,'Data shares'!$C:$FA,26)*100</f>
        <v>0.38</v>
      </c>
      <c r="F113" s="144">
        <f>VLOOKUP($A113,'Data shares'!$C:$FA,24)</f>
        <v>-0.5</v>
      </c>
      <c r="G113" s="144">
        <f>VLOOKUP($A113,'Data shares'!$C:$FA,25)</f>
        <v>19</v>
      </c>
    </row>
    <row r="114" spans="1:7" x14ac:dyDescent="0.25">
      <c r="A114" s="101" t="str">
        <f>'Data Vlaue (Cr)'!C110</f>
        <v>KFINTECH</v>
      </c>
      <c r="B114" s="144">
        <f>VLOOKUP($A114,'Data shares'!$C:$FA,7)</f>
        <v>927.9</v>
      </c>
      <c r="C114" s="144">
        <f>VLOOKUP($A114,'Data shares'!$C:$FA,3)</f>
        <v>926.45</v>
      </c>
      <c r="D114" s="144">
        <f>VLOOKUP($A114,'Data shares'!$C:$FA,23)</f>
        <v>-1.45</v>
      </c>
      <c r="E114" s="145">
        <f>VLOOKUP($A114,'Data shares'!$C:$FA,26)*100</f>
        <v>-0.16</v>
      </c>
      <c r="F114" s="144">
        <f>VLOOKUP($A114,'Data shares'!$C:$FA,24)</f>
        <v>1.7</v>
      </c>
      <c r="G114" s="144">
        <f>VLOOKUP($A114,'Data shares'!$C:$FA,25)</f>
        <v>-3.15</v>
      </c>
    </row>
    <row r="115" spans="1:7" x14ac:dyDescent="0.25">
      <c r="A115" s="101" t="str">
        <f>'Data Vlaue (Cr)'!C111</f>
        <v>KOTAKBANK</v>
      </c>
      <c r="B115" s="144">
        <f>VLOOKUP($A115,'Data shares'!$C:$FA,7)</f>
        <v>407.3</v>
      </c>
      <c r="C115" s="144">
        <f>VLOOKUP($A115,'Data shares'!$C:$FA,3)</f>
        <v>409.15</v>
      </c>
      <c r="D115" s="144">
        <f>VLOOKUP($A115,'Data shares'!$C:$FA,23)</f>
        <v>1.85</v>
      </c>
      <c r="E115" s="145">
        <f>VLOOKUP($A115,'Data shares'!$C:$FA,26)*100</f>
        <v>0.44999999999999996</v>
      </c>
      <c r="F115" s="144">
        <f>VLOOKUP($A115,'Data shares'!$C:$FA,24)</f>
        <v>1.95</v>
      </c>
      <c r="G115" s="144">
        <f>VLOOKUP($A115,'Data shares'!$C:$FA,25)</f>
        <v>-0.1</v>
      </c>
    </row>
    <row r="116" spans="1:7" x14ac:dyDescent="0.25">
      <c r="A116" s="101" t="str">
        <f>'Data Vlaue (Cr)'!C112</f>
        <v>KPITTECH</v>
      </c>
      <c r="B116" s="144">
        <f>VLOOKUP($A116,'Data shares'!$C:$FA,7)</f>
        <v>717.5</v>
      </c>
      <c r="C116" s="144">
        <f>VLOOKUP($A116,'Data shares'!$C:$FA,3)</f>
        <v>721.2</v>
      </c>
      <c r="D116" s="144">
        <f>VLOOKUP($A116,'Data shares'!$C:$FA,23)</f>
        <v>3.7</v>
      </c>
      <c r="E116" s="145">
        <f>VLOOKUP($A116,'Data shares'!$C:$FA,26)*100</f>
        <v>0.52</v>
      </c>
      <c r="F116" s="144">
        <f>VLOOKUP($A116,'Data shares'!$C:$FA,24)</f>
        <v>3.25</v>
      </c>
      <c r="G116" s="144">
        <f>VLOOKUP($A116,'Data shares'!$C:$FA,25)</f>
        <v>0.45</v>
      </c>
    </row>
    <row r="117" spans="1:7" x14ac:dyDescent="0.25">
      <c r="A117" s="101" t="str">
        <f>'Data Vlaue (Cr)'!C113</f>
        <v>LAURUSLABS</v>
      </c>
      <c r="B117" s="144">
        <f>VLOOKUP($A117,'Data shares'!$C:$FA,7)</f>
        <v>1045.9000000000001</v>
      </c>
      <c r="C117" s="144">
        <f>VLOOKUP($A117,'Data shares'!$C:$FA,3)</f>
        <v>1050.2</v>
      </c>
      <c r="D117" s="144">
        <f>VLOOKUP($A117,'Data shares'!$C:$FA,23)</f>
        <v>4.3</v>
      </c>
      <c r="E117" s="145">
        <f>VLOOKUP($A117,'Data shares'!$C:$FA,26)*100</f>
        <v>0.41000000000000003</v>
      </c>
      <c r="F117" s="144">
        <f>VLOOKUP($A117,'Data shares'!$C:$FA,24)</f>
        <v>5.0999999999999996</v>
      </c>
      <c r="G117" s="144">
        <f>VLOOKUP($A117,'Data shares'!$C:$FA,25)</f>
        <v>-0.8</v>
      </c>
    </row>
    <row r="118" spans="1:7" x14ac:dyDescent="0.25">
      <c r="A118" s="101" t="str">
        <f>'Data Vlaue (Cr)'!C114</f>
        <v>LICHSGFIN</v>
      </c>
      <c r="B118" s="144">
        <f>VLOOKUP($A118,'Data shares'!$C:$FA,7)</f>
        <v>521.4</v>
      </c>
      <c r="C118" s="144">
        <f>VLOOKUP($A118,'Data shares'!$C:$FA,3)</f>
        <v>523.65</v>
      </c>
      <c r="D118" s="144">
        <f>VLOOKUP($A118,'Data shares'!$C:$FA,23)</f>
        <v>2.25</v>
      </c>
      <c r="E118" s="145">
        <f>VLOOKUP($A118,'Data shares'!$C:$FA,26)*100</f>
        <v>0.43</v>
      </c>
      <c r="F118" s="144">
        <f>VLOOKUP($A118,'Data shares'!$C:$FA,24)</f>
        <v>0.85</v>
      </c>
      <c r="G118" s="144">
        <f>VLOOKUP($A118,'Data shares'!$C:$FA,25)</f>
        <v>1.4</v>
      </c>
    </row>
    <row r="119" spans="1:7" x14ac:dyDescent="0.25">
      <c r="A119" s="101" t="str">
        <f>'Data Vlaue (Cr)'!C115</f>
        <v>LICI</v>
      </c>
      <c r="B119" s="144">
        <f>VLOOKUP($A119,'Data shares'!$C:$FA,7)</f>
        <v>832.95</v>
      </c>
      <c r="C119" s="144">
        <f>VLOOKUP($A119,'Data shares'!$C:$FA,3)</f>
        <v>832.2</v>
      </c>
      <c r="D119" s="144">
        <f>VLOOKUP($A119,'Data shares'!$C:$FA,23)</f>
        <v>-0.75</v>
      </c>
      <c r="E119" s="145">
        <f>VLOOKUP($A119,'Data shares'!$C:$FA,26)*100</f>
        <v>-0.09</v>
      </c>
      <c r="F119" s="144">
        <f>VLOOKUP($A119,'Data shares'!$C:$FA,24)</f>
        <v>-1.05</v>
      </c>
      <c r="G119" s="144">
        <f>VLOOKUP($A119,'Data shares'!$C:$FA,25)</f>
        <v>0.3</v>
      </c>
    </row>
    <row r="120" spans="1:7" x14ac:dyDescent="0.25">
      <c r="A120" s="101" t="str">
        <f>'Data Vlaue (Cr)'!C116</f>
        <v>LODHA</v>
      </c>
      <c r="B120" s="144">
        <f>VLOOKUP($A120,'Data shares'!$C:$FA,7)</f>
        <v>916.25</v>
      </c>
      <c r="C120" s="144">
        <f>VLOOKUP($A120,'Data shares'!$C:$FA,3)</f>
        <v>920.85</v>
      </c>
      <c r="D120" s="144">
        <f>VLOOKUP($A120,'Data shares'!$C:$FA,23)</f>
        <v>4.5999999999999996</v>
      </c>
      <c r="E120" s="145">
        <f>VLOOKUP($A120,'Data shares'!$C:$FA,26)*100</f>
        <v>0.5</v>
      </c>
      <c r="F120" s="144">
        <f>VLOOKUP($A120,'Data shares'!$C:$FA,24)</f>
        <v>4.75</v>
      </c>
      <c r="G120" s="144">
        <f>VLOOKUP($A120,'Data shares'!$C:$FA,25)</f>
        <v>-0.15</v>
      </c>
    </row>
    <row r="121" spans="1:7" x14ac:dyDescent="0.25">
      <c r="A121" s="101" t="str">
        <f>'Data Vlaue (Cr)'!C117</f>
        <v>LT</v>
      </c>
      <c r="B121" s="144">
        <f>VLOOKUP($A121,'Data shares'!$C:$FA,7)</f>
        <v>4038.7</v>
      </c>
      <c r="C121" s="144">
        <f>VLOOKUP($A121,'Data shares'!$C:$FA,3)</f>
        <v>4039.9</v>
      </c>
      <c r="D121" s="144">
        <f>VLOOKUP($A121,'Data shares'!$C:$FA,23)</f>
        <v>1.2</v>
      </c>
      <c r="E121" s="145">
        <f>VLOOKUP($A121,'Data shares'!$C:$FA,26)*100</f>
        <v>0.03</v>
      </c>
      <c r="F121" s="144">
        <f>VLOOKUP($A121,'Data shares'!$C:$FA,24)</f>
        <v>6.2</v>
      </c>
      <c r="G121" s="144">
        <f>VLOOKUP($A121,'Data shares'!$C:$FA,25)</f>
        <v>-5</v>
      </c>
    </row>
    <row r="122" spans="1:7" x14ac:dyDescent="0.25">
      <c r="A122" s="101" t="str">
        <f>'Data Vlaue (Cr)'!C118</f>
        <v>LTF</v>
      </c>
      <c r="B122" s="144">
        <f>VLOOKUP($A122,'Data shares'!$C:$FA,7)</f>
        <v>275.5</v>
      </c>
      <c r="C122" s="144">
        <f>VLOOKUP($A122,'Data shares'!$C:$FA,3)</f>
        <v>275.14999999999998</v>
      </c>
      <c r="D122" s="144">
        <f>VLOOKUP($A122,'Data shares'!$C:$FA,23)</f>
        <v>-0.35</v>
      </c>
      <c r="E122" s="145">
        <f>VLOOKUP($A122,'Data shares'!$C:$FA,26)*100</f>
        <v>-0.13</v>
      </c>
      <c r="F122" s="144">
        <f>VLOOKUP($A122,'Data shares'!$C:$FA,24)</f>
        <v>-2.15</v>
      </c>
      <c r="G122" s="144">
        <f>VLOOKUP($A122,'Data shares'!$C:$FA,25)</f>
        <v>1.8</v>
      </c>
    </row>
    <row r="123" spans="1:7" x14ac:dyDescent="0.25">
      <c r="A123" s="101" t="str">
        <f>'Data Vlaue (Cr)'!C119</f>
        <v>LTM</v>
      </c>
      <c r="B123" s="144">
        <f>VLOOKUP($A123,'Data shares'!$C:$FA,7)</f>
        <v>4306.3999999999996</v>
      </c>
      <c r="C123" s="144">
        <f>VLOOKUP($A123,'Data shares'!$C:$FA,3)</f>
        <v>4316.8</v>
      </c>
      <c r="D123" s="144">
        <f>VLOOKUP($A123,'Data shares'!$C:$FA,23)</f>
        <v>10.4</v>
      </c>
      <c r="E123" s="145">
        <f>VLOOKUP($A123,'Data shares'!$C:$FA,26)*100</f>
        <v>0.24</v>
      </c>
      <c r="F123" s="144">
        <f>VLOOKUP($A123,'Data shares'!$C:$FA,24)</f>
        <v>3.3</v>
      </c>
      <c r="G123" s="144">
        <f>VLOOKUP($A123,'Data shares'!$C:$FA,25)</f>
        <v>7.1</v>
      </c>
    </row>
    <row r="124" spans="1:7" x14ac:dyDescent="0.25">
      <c r="A124" s="101" t="str">
        <f>'Data Vlaue (Cr)'!C120</f>
        <v>LUPIN</v>
      </c>
      <c r="B124" s="144">
        <f>VLOOKUP($A124,'Data shares'!$C:$FA,7)</f>
        <v>2332.9</v>
      </c>
      <c r="C124" s="144">
        <f>VLOOKUP($A124,'Data shares'!$C:$FA,3)</f>
        <v>2343.5</v>
      </c>
      <c r="D124" s="144">
        <f>VLOOKUP($A124,'Data shares'!$C:$FA,23)</f>
        <v>10.6</v>
      </c>
      <c r="E124" s="145">
        <f>VLOOKUP($A124,'Data shares'!$C:$FA,26)*100</f>
        <v>0.44999999999999996</v>
      </c>
      <c r="F124" s="144">
        <f>VLOOKUP($A124,'Data shares'!$C:$FA,24)</f>
        <v>3.1</v>
      </c>
      <c r="G124" s="144">
        <f>VLOOKUP($A124,'Data shares'!$C:$FA,25)</f>
        <v>7.5</v>
      </c>
    </row>
    <row r="125" spans="1:7" x14ac:dyDescent="0.25">
      <c r="A125" s="101" t="str">
        <f>'Data Vlaue (Cr)'!C121</f>
        <v>M&amp;M</v>
      </c>
      <c r="B125" s="144">
        <f>VLOOKUP($A125,'Data shares'!$C:$FA,7)</f>
        <v>3348</v>
      </c>
      <c r="C125" s="144">
        <f>VLOOKUP($A125,'Data shares'!$C:$FA,3)</f>
        <v>3352.8</v>
      </c>
      <c r="D125" s="144">
        <f>VLOOKUP($A125,'Data shares'!$C:$FA,23)</f>
        <v>4.8</v>
      </c>
      <c r="E125" s="145">
        <f>VLOOKUP($A125,'Data shares'!$C:$FA,26)*100</f>
        <v>0.13999999999999999</v>
      </c>
      <c r="F125" s="144">
        <f>VLOOKUP($A125,'Data shares'!$C:$FA,24)</f>
        <v>13.9</v>
      </c>
      <c r="G125" s="144">
        <f>VLOOKUP($A125,'Data shares'!$C:$FA,25)</f>
        <v>-9.1</v>
      </c>
    </row>
    <row r="126" spans="1:7" x14ac:dyDescent="0.25">
      <c r="A126" s="101" t="str">
        <f>'Data Vlaue (Cr)'!C122</f>
        <v>MANAPPURAM</v>
      </c>
      <c r="B126" s="144">
        <f>VLOOKUP($A126,'Data shares'!$C:$FA,7)</f>
        <v>267.3</v>
      </c>
      <c r="C126" s="144">
        <f>VLOOKUP($A126,'Data shares'!$C:$FA,3)</f>
        <v>268.60000000000002</v>
      </c>
      <c r="D126" s="144">
        <f>VLOOKUP($A126,'Data shares'!$C:$FA,23)</f>
        <v>1.3</v>
      </c>
      <c r="E126" s="145">
        <f>VLOOKUP($A126,'Data shares'!$C:$FA,26)*100</f>
        <v>0.49</v>
      </c>
      <c r="F126" s="144">
        <f>VLOOKUP($A126,'Data shares'!$C:$FA,24)</f>
        <v>1.3</v>
      </c>
      <c r="G126" s="144">
        <f>VLOOKUP($A126,'Data shares'!$C:$FA,25)</f>
        <v>0</v>
      </c>
    </row>
    <row r="127" spans="1:7" x14ac:dyDescent="0.25">
      <c r="A127" s="101" t="str">
        <f>'Data Vlaue (Cr)'!C123</f>
        <v>MANKIND</v>
      </c>
      <c r="B127" s="144">
        <f>VLOOKUP($A127,'Data shares'!$C:$FA,7)</f>
        <v>2226.4</v>
      </c>
      <c r="C127" s="144">
        <f>VLOOKUP($A127,'Data shares'!$C:$FA,3)</f>
        <v>2234</v>
      </c>
      <c r="D127" s="144">
        <f>VLOOKUP($A127,'Data shares'!$C:$FA,23)</f>
        <v>7.6</v>
      </c>
      <c r="E127" s="145">
        <f>VLOOKUP($A127,'Data shares'!$C:$FA,26)*100</f>
        <v>0.33999999999999997</v>
      </c>
      <c r="F127" s="144">
        <f>VLOOKUP($A127,'Data shares'!$C:$FA,24)</f>
        <v>1.8</v>
      </c>
      <c r="G127" s="144">
        <f>VLOOKUP($A127,'Data shares'!$C:$FA,25)</f>
        <v>5.8</v>
      </c>
    </row>
    <row r="128" spans="1:7" x14ac:dyDescent="0.25">
      <c r="A128" s="101" t="str">
        <f>'Data Vlaue (Cr)'!C124</f>
        <v>MARICO</v>
      </c>
      <c r="B128" s="144">
        <f>VLOOKUP($A128,'Data shares'!$C:$FA,7)</f>
        <v>778.85</v>
      </c>
      <c r="C128" s="144">
        <f>VLOOKUP($A128,'Data shares'!$C:$FA,3)</f>
        <v>780.35</v>
      </c>
      <c r="D128" s="144">
        <f>VLOOKUP($A128,'Data shares'!$C:$FA,23)</f>
        <v>1.5</v>
      </c>
      <c r="E128" s="145">
        <f>VLOOKUP($A128,'Data shares'!$C:$FA,26)*100</f>
        <v>0.19</v>
      </c>
      <c r="F128" s="144">
        <f>VLOOKUP($A128,'Data shares'!$C:$FA,24)</f>
        <v>3.45</v>
      </c>
      <c r="G128" s="144">
        <f>VLOOKUP($A128,'Data shares'!$C:$FA,25)</f>
        <v>-1.95</v>
      </c>
    </row>
    <row r="129" spans="1:7" x14ac:dyDescent="0.25">
      <c r="A129" s="101" t="str">
        <f>'Data Vlaue (Cr)'!C125</f>
        <v>MARUTI</v>
      </c>
      <c r="B129" s="144">
        <f>VLOOKUP($A129,'Data shares'!$C:$FA,7)</f>
        <v>14415</v>
      </c>
      <c r="C129" s="144">
        <f>VLOOKUP($A129,'Data shares'!$C:$FA,3)</f>
        <v>14439</v>
      </c>
      <c r="D129" s="144">
        <f>VLOOKUP($A129,'Data shares'!$C:$FA,23)</f>
        <v>24</v>
      </c>
      <c r="E129" s="145">
        <f>VLOOKUP($A129,'Data shares'!$C:$FA,26)*100</f>
        <v>0.16999999999999998</v>
      </c>
      <c r="F129" s="144">
        <f>VLOOKUP($A129,'Data shares'!$C:$FA,24)</f>
        <v>27</v>
      </c>
      <c r="G129" s="144">
        <f>VLOOKUP($A129,'Data shares'!$C:$FA,25)</f>
        <v>-3</v>
      </c>
    </row>
    <row r="130" spans="1:7" x14ac:dyDescent="0.25">
      <c r="A130" s="101" t="str">
        <f>'Data Vlaue (Cr)'!C126</f>
        <v>MAXHEALTH</v>
      </c>
      <c r="B130" s="144">
        <f>VLOOKUP($A130,'Data shares'!$C:$FA,7)</f>
        <v>1058.2</v>
      </c>
      <c r="C130" s="144">
        <f>VLOOKUP($A130,'Data shares'!$C:$FA,3)</f>
        <v>1063</v>
      </c>
      <c r="D130" s="144">
        <f>VLOOKUP($A130,'Data shares'!$C:$FA,23)</f>
        <v>4.8</v>
      </c>
      <c r="E130" s="145">
        <f>VLOOKUP($A130,'Data shares'!$C:$FA,26)*100</f>
        <v>0.44999999999999996</v>
      </c>
      <c r="F130" s="144">
        <f>VLOOKUP($A130,'Data shares'!$C:$FA,24)</f>
        <v>4.8</v>
      </c>
      <c r="G130" s="144">
        <f>VLOOKUP($A130,'Data shares'!$C:$FA,25)</f>
        <v>0</v>
      </c>
    </row>
    <row r="131" spans="1:7" x14ac:dyDescent="0.25">
      <c r="A131" s="101" t="str">
        <f>'Data Vlaue (Cr)'!C127</f>
        <v>MAZDOCK</v>
      </c>
      <c r="B131" s="144">
        <f>VLOOKUP($A131,'Data shares'!$C:$FA,7)</f>
        <v>2352.5</v>
      </c>
      <c r="C131" s="144">
        <f>VLOOKUP($A131,'Data shares'!$C:$FA,3)</f>
        <v>2359.4</v>
      </c>
      <c r="D131" s="144">
        <f>VLOOKUP($A131,'Data shares'!$C:$FA,23)</f>
        <v>6.9</v>
      </c>
      <c r="E131" s="145">
        <f>VLOOKUP($A131,'Data shares'!$C:$FA,26)*100</f>
        <v>0.28999999999999998</v>
      </c>
      <c r="F131" s="144">
        <f>VLOOKUP($A131,'Data shares'!$C:$FA,24)</f>
        <v>7</v>
      </c>
      <c r="G131" s="144">
        <f>VLOOKUP($A131,'Data shares'!$C:$FA,25)</f>
        <v>-0.1</v>
      </c>
    </row>
    <row r="132" spans="1:7" x14ac:dyDescent="0.25">
      <c r="A132" s="101" t="str">
        <f>'Data Vlaue (Cr)'!C128</f>
        <v>MCX</v>
      </c>
      <c r="B132" s="144">
        <f>VLOOKUP($A132,'Data shares'!$C:$FA,7)</f>
        <v>2553.5</v>
      </c>
      <c r="C132" s="144">
        <f>VLOOKUP($A132,'Data shares'!$C:$FA,3)</f>
        <v>2561</v>
      </c>
      <c r="D132" s="144">
        <f>VLOOKUP($A132,'Data shares'!$C:$FA,23)</f>
        <v>7.5</v>
      </c>
      <c r="E132" s="145">
        <f>VLOOKUP($A132,'Data shares'!$C:$FA,26)*100</f>
        <v>0.28999999999999998</v>
      </c>
      <c r="F132" s="144">
        <f>VLOOKUP($A132,'Data shares'!$C:$FA,24)</f>
        <v>10.4</v>
      </c>
      <c r="G132" s="144">
        <f>VLOOKUP($A132,'Data shares'!$C:$FA,25)</f>
        <v>-2.9</v>
      </c>
    </row>
    <row r="133" spans="1:7" x14ac:dyDescent="0.25">
      <c r="A133" s="101" t="str">
        <f>'Data Vlaue (Cr)'!C129</f>
        <v>MFSL</v>
      </c>
      <c r="B133" s="144">
        <f>VLOOKUP($A133,'Data shares'!$C:$FA,7)</f>
        <v>1748.6</v>
      </c>
      <c r="C133" s="144">
        <f>VLOOKUP($A133,'Data shares'!$C:$FA,3)</f>
        <v>1753.3</v>
      </c>
      <c r="D133" s="144">
        <f>VLOOKUP($A133,'Data shares'!$C:$FA,23)</f>
        <v>4.7</v>
      </c>
      <c r="E133" s="145">
        <f>VLOOKUP($A133,'Data shares'!$C:$FA,26)*100</f>
        <v>0.27</v>
      </c>
      <c r="F133" s="144">
        <f>VLOOKUP($A133,'Data shares'!$C:$FA,24)</f>
        <v>4.2</v>
      </c>
      <c r="G133" s="144">
        <f>VLOOKUP($A133,'Data shares'!$C:$FA,25)</f>
        <v>0.5</v>
      </c>
    </row>
    <row r="134" spans="1:7" x14ac:dyDescent="0.25">
      <c r="A134" s="101" t="str">
        <f>'Data Vlaue (Cr)'!C130</f>
        <v>MIDCPNIFTY</v>
      </c>
      <c r="B134" s="144">
        <f>VLOOKUP($A134,'Data shares'!$C:$FA,7)</f>
        <v>13260.5</v>
      </c>
      <c r="C134" s="144">
        <f>VLOOKUP($A134,'Data shares'!$C:$FA,3)</f>
        <v>13298.85</v>
      </c>
      <c r="D134" s="144">
        <f>VLOOKUP($A134,'Data shares'!$C:$FA,23)</f>
        <v>38.35</v>
      </c>
      <c r="E134" s="145">
        <f>VLOOKUP($A134,'Data shares'!$C:$FA,26)*100</f>
        <v>0.28999999999999998</v>
      </c>
      <c r="F134" s="144">
        <f>VLOOKUP($A134,'Data shares'!$C:$FA,24)</f>
        <v>36.299999999999997</v>
      </c>
      <c r="G134" s="144">
        <f>VLOOKUP($A134,'Data shares'!$C:$FA,25)</f>
        <v>2.0499999999999998</v>
      </c>
    </row>
    <row r="135" spans="1:7" x14ac:dyDescent="0.25">
      <c r="A135" s="101" t="str">
        <f>'Data Vlaue (Cr)'!C131</f>
        <v>MOTHERSON</v>
      </c>
      <c r="B135" s="144">
        <f>VLOOKUP($A135,'Data shares'!$C:$FA,7)</f>
        <v>126.34</v>
      </c>
      <c r="C135" s="144">
        <f>VLOOKUP($A135,'Data shares'!$C:$FA,3)</f>
        <v>126.52</v>
      </c>
      <c r="D135" s="144">
        <f>VLOOKUP($A135,'Data shares'!$C:$FA,23)</f>
        <v>0.18</v>
      </c>
      <c r="E135" s="145">
        <f>VLOOKUP($A135,'Data shares'!$C:$FA,26)*100</f>
        <v>0.13999999999999999</v>
      </c>
      <c r="F135" s="144">
        <f>VLOOKUP($A135,'Data shares'!$C:$FA,24)</f>
        <v>0.56000000000000005</v>
      </c>
      <c r="G135" s="144">
        <f>VLOOKUP($A135,'Data shares'!$C:$FA,25)</f>
        <v>-0.38</v>
      </c>
    </row>
    <row r="136" spans="1:7" x14ac:dyDescent="0.25">
      <c r="A136" s="101" t="str">
        <f>'Data Vlaue (Cr)'!C132</f>
        <v>MPHASIS</v>
      </c>
      <c r="B136" s="144">
        <f>VLOOKUP($A136,'Data shares'!$C:$FA,7)</f>
        <v>2231.6</v>
      </c>
      <c r="C136" s="144">
        <f>VLOOKUP($A136,'Data shares'!$C:$FA,3)</f>
        <v>2242.4</v>
      </c>
      <c r="D136" s="144">
        <f>VLOOKUP($A136,'Data shares'!$C:$FA,23)</f>
        <v>10.8</v>
      </c>
      <c r="E136" s="145">
        <f>VLOOKUP($A136,'Data shares'!$C:$FA,26)*100</f>
        <v>0.48</v>
      </c>
      <c r="F136" s="144">
        <f>VLOOKUP($A136,'Data shares'!$C:$FA,24)</f>
        <v>10.1</v>
      </c>
      <c r="G136" s="144">
        <f>VLOOKUP($A136,'Data shares'!$C:$FA,25)</f>
        <v>0.7</v>
      </c>
    </row>
    <row r="137" spans="1:7" x14ac:dyDescent="0.25">
      <c r="A137" s="101" t="str">
        <f>'Data Vlaue (Cr)'!C133</f>
        <v>MUTHOOTFIN</v>
      </c>
      <c r="B137" s="144">
        <f>VLOOKUP($A137,'Data shares'!$C:$FA,7)</f>
        <v>3306.4</v>
      </c>
      <c r="C137" s="144">
        <f>VLOOKUP($A137,'Data shares'!$C:$FA,3)</f>
        <v>3318.5</v>
      </c>
      <c r="D137" s="144">
        <f>VLOOKUP($A137,'Data shares'!$C:$FA,23)</f>
        <v>12.1</v>
      </c>
      <c r="E137" s="145">
        <f>VLOOKUP($A137,'Data shares'!$C:$FA,26)*100</f>
        <v>0.37</v>
      </c>
      <c r="F137" s="144">
        <f>VLOOKUP($A137,'Data shares'!$C:$FA,24)</f>
        <v>14.8</v>
      </c>
      <c r="G137" s="144">
        <f>VLOOKUP($A137,'Data shares'!$C:$FA,25)</f>
        <v>-2.7</v>
      </c>
    </row>
    <row r="138" spans="1:7" x14ac:dyDescent="0.25">
      <c r="A138" s="101" t="str">
        <f>'Data Vlaue (Cr)'!C134</f>
        <v>NATIONALUM</v>
      </c>
      <c r="B138" s="144">
        <f>VLOOKUP($A138,'Data shares'!$C:$FA,7)</f>
        <v>395.95</v>
      </c>
      <c r="C138" s="144">
        <f>VLOOKUP($A138,'Data shares'!$C:$FA,3)</f>
        <v>396.65</v>
      </c>
      <c r="D138" s="144">
        <f>VLOOKUP($A138,'Data shares'!$C:$FA,23)</f>
        <v>0.7</v>
      </c>
      <c r="E138" s="145">
        <f>VLOOKUP($A138,'Data shares'!$C:$FA,26)*100</f>
        <v>0.18</v>
      </c>
      <c r="F138" s="144">
        <f>VLOOKUP($A138,'Data shares'!$C:$FA,24)</f>
        <v>0.9</v>
      </c>
      <c r="G138" s="144">
        <f>VLOOKUP($A138,'Data shares'!$C:$FA,25)</f>
        <v>-0.2</v>
      </c>
    </row>
    <row r="139" spans="1:7" x14ac:dyDescent="0.25">
      <c r="A139" s="101" t="str">
        <f>'Data Vlaue (Cr)'!C135</f>
        <v>NAUKRI</v>
      </c>
      <c r="B139" s="144">
        <f>VLOOKUP($A139,'Data shares'!$C:$FA,7)</f>
        <v>1015.3</v>
      </c>
      <c r="C139" s="144">
        <f>VLOOKUP($A139,'Data shares'!$C:$FA,3)</f>
        <v>1016.8</v>
      </c>
      <c r="D139" s="144">
        <f>VLOOKUP($A139,'Data shares'!$C:$FA,23)</f>
        <v>1.5</v>
      </c>
      <c r="E139" s="145">
        <f>VLOOKUP($A139,'Data shares'!$C:$FA,26)*100</f>
        <v>0.15</v>
      </c>
      <c r="F139" s="144">
        <f>VLOOKUP($A139,'Data shares'!$C:$FA,24)</f>
        <v>2.7</v>
      </c>
      <c r="G139" s="144">
        <f>VLOOKUP($A139,'Data shares'!$C:$FA,25)</f>
        <v>-1.2</v>
      </c>
    </row>
    <row r="140" spans="1:7" x14ac:dyDescent="0.25">
      <c r="A140" s="101" t="str">
        <f>'Data Vlaue (Cr)'!C136</f>
        <v>NBCC</v>
      </c>
      <c r="B140" s="144">
        <f>VLOOKUP($A140,'Data shares'!$C:$FA,7)</f>
        <v>86.85</v>
      </c>
      <c r="C140" s="144">
        <f>VLOOKUP($A140,'Data shares'!$C:$FA,3)</f>
        <v>87.21</v>
      </c>
      <c r="D140" s="144">
        <f>VLOOKUP($A140,'Data shares'!$C:$FA,23)</f>
        <v>0.36</v>
      </c>
      <c r="E140" s="145">
        <f>VLOOKUP($A140,'Data shares'!$C:$FA,26)*100</f>
        <v>0.41000000000000003</v>
      </c>
      <c r="F140" s="144">
        <f>VLOOKUP($A140,'Data shares'!$C:$FA,24)</f>
        <v>0.09</v>
      </c>
      <c r="G140" s="144">
        <f>VLOOKUP($A140,'Data shares'!$C:$FA,25)</f>
        <v>0.27</v>
      </c>
    </row>
    <row r="141" spans="1:7" x14ac:dyDescent="0.25">
      <c r="A141" s="101" t="str">
        <f>'Data Vlaue (Cr)'!C137</f>
        <v>NESTLEIND</v>
      </c>
      <c r="B141" s="144">
        <f>VLOOKUP($A141,'Data shares'!$C:$FA,7)</f>
        <v>1250.9000000000001</v>
      </c>
      <c r="C141" s="144">
        <f>VLOOKUP($A141,'Data shares'!$C:$FA,3)</f>
        <v>1256.3</v>
      </c>
      <c r="D141" s="144">
        <f>VLOOKUP($A141,'Data shares'!$C:$FA,23)</f>
        <v>5.4</v>
      </c>
      <c r="E141" s="145">
        <f>VLOOKUP($A141,'Data shares'!$C:$FA,26)*100</f>
        <v>0.43</v>
      </c>
      <c r="F141" s="144">
        <f>VLOOKUP($A141,'Data shares'!$C:$FA,24)</f>
        <v>5.4</v>
      </c>
      <c r="G141" s="144">
        <f>VLOOKUP($A141,'Data shares'!$C:$FA,25)</f>
        <v>0</v>
      </c>
    </row>
    <row r="142" spans="1:7" x14ac:dyDescent="0.25">
      <c r="A142" s="101" t="str">
        <f>'Data Vlaue (Cr)'!C138</f>
        <v>NHPC</v>
      </c>
      <c r="B142" s="144">
        <f>VLOOKUP($A142,'Data shares'!$C:$FA,7)</f>
        <v>74.150000000000006</v>
      </c>
      <c r="C142" s="144">
        <f>VLOOKUP($A142,'Data shares'!$C:$FA,3)</f>
        <v>74.489999999999995</v>
      </c>
      <c r="D142" s="144">
        <f>VLOOKUP($A142,'Data shares'!$C:$FA,23)</f>
        <v>0.34</v>
      </c>
      <c r="E142" s="145">
        <f>VLOOKUP($A142,'Data shares'!$C:$FA,26)*100</f>
        <v>0.45999999999999996</v>
      </c>
      <c r="F142" s="144">
        <f>VLOOKUP($A142,'Data shares'!$C:$FA,24)</f>
        <v>0.22</v>
      </c>
      <c r="G142" s="144">
        <f>VLOOKUP($A142,'Data shares'!$C:$FA,25)</f>
        <v>0.12</v>
      </c>
    </row>
    <row r="143" spans="1:7" x14ac:dyDescent="0.25">
      <c r="A143" s="101" t="str">
        <f>'Data Vlaue (Cr)'!C139</f>
        <v>NIFTY</v>
      </c>
      <c r="B143" s="144">
        <f>VLOOKUP($A143,'Data shares'!$C:$FA,7)</f>
        <v>24765.9</v>
      </c>
      <c r="C143" s="144">
        <f>VLOOKUP($A143,'Data shares'!$C:$FA,3)</f>
        <v>24854.3</v>
      </c>
      <c r="D143" s="144">
        <f>VLOOKUP($A143,'Data shares'!$C:$FA,23)</f>
        <v>88.4</v>
      </c>
      <c r="E143" s="145">
        <f>VLOOKUP($A143,'Data shares'!$C:$FA,26)*100</f>
        <v>0.36</v>
      </c>
      <c r="F143" s="144">
        <f>VLOOKUP($A143,'Data shares'!$C:$FA,24)</f>
        <v>104.2</v>
      </c>
      <c r="G143" s="144">
        <f>VLOOKUP($A143,'Data shares'!$C:$FA,25)</f>
        <v>-15.8</v>
      </c>
    </row>
    <row r="144" spans="1:7" x14ac:dyDescent="0.25">
      <c r="A144" s="101" t="str">
        <f>'Data Vlaue (Cr)'!C140</f>
        <v>NIFTYNXT50</v>
      </c>
      <c r="B144" s="144">
        <f>VLOOKUP($A144,'Data shares'!$C:$FA,7)</f>
        <v>67722.2</v>
      </c>
      <c r="C144" s="144">
        <f>VLOOKUP($A144,'Data shares'!$C:$FA,3)</f>
        <v>67928.399999999994</v>
      </c>
      <c r="D144" s="144">
        <f>VLOOKUP($A144,'Data shares'!$C:$FA,23)</f>
        <v>206.2</v>
      </c>
      <c r="E144" s="145">
        <f>VLOOKUP($A144,'Data shares'!$C:$FA,26)*100</f>
        <v>0.3</v>
      </c>
      <c r="F144" s="144">
        <f>VLOOKUP($A144,'Data shares'!$C:$FA,24)</f>
        <v>209.4</v>
      </c>
      <c r="G144" s="144">
        <f>VLOOKUP($A144,'Data shares'!$C:$FA,25)</f>
        <v>-3.2</v>
      </c>
    </row>
    <row r="145" spans="1:7" x14ac:dyDescent="0.25">
      <c r="A145" s="101" t="str">
        <f>'Data Vlaue (Cr)'!C141</f>
        <v>NMDC</v>
      </c>
      <c r="B145" s="144">
        <f>VLOOKUP($A145,'Data shares'!$C:$FA,7)</f>
        <v>78.44</v>
      </c>
      <c r="C145" s="144">
        <f>VLOOKUP($A145,'Data shares'!$C:$FA,3)</f>
        <v>78.69</v>
      </c>
      <c r="D145" s="144">
        <f>VLOOKUP($A145,'Data shares'!$C:$FA,23)</f>
        <v>0.25</v>
      </c>
      <c r="E145" s="145">
        <f>VLOOKUP($A145,'Data shares'!$C:$FA,26)*100</f>
        <v>0.32</v>
      </c>
      <c r="F145" s="144">
        <f>VLOOKUP($A145,'Data shares'!$C:$FA,24)</f>
        <v>0.24</v>
      </c>
      <c r="G145" s="144">
        <f>VLOOKUP($A145,'Data shares'!$C:$FA,25)</f>
        <v>0.01</v>
      </c>
    </row>
    <row r="146" spans="1:7" x14ac:dyDescent="0.25">
      <c r="A146" s="101" t="str">
        <f>'Data Vlaue (Cr)'!C142</f>
        <v>NTPC</v>
      </c>
      <c r="B146" s="144">
        <f>VLOOKUP($A146,'Data shares'!$C:$FA,7)</f>
        <v>378.05</v>
      </c>
      <c r="C146" s="144">
        <f>VLOOKUP($A146,'Data shares'!$C:$FA,3)</f>
        <v>378.65</v>
      </c>
      <c r="D146" s="144">
        <f>VLOOKUP($A146,'Data shares'!$C:$FA,23)</f>
        <v>0.6</v>
      </c>
      <c r="E146" s="145">
        <f>VLOOKUP($A146,'Data shares'!$C:$FA,26)*100</f>
        <v>0.16</v>
      </c>
      <c r="F146" s="144">
        <f>VLOOKUP($A146,'Data shares'!$C:$FA,24)</f>
        <v>1.1499999999999999</v>
      </c>
      <c r="G146" s="144">
        <f>VLOOKUP($A146,'Data shares'!$C:$FA,25)</f>
        <v>-0.55000000000000004</v>
      </c>
    </row>
    <row r="147" spans="1:7" x14ac:dyDescent="0.25">
      <c r="A147" s="101" t="str">
        <f>'Data Vlaue (Cr)'!C143</f>
        <v>NUVAMA</v>
      </c>
      <c r="B147" s="144">
        <f>VLOOKUP($A147,'Data shares'!$C:$FA,7)</f>
        <v>1238.0999999999999</v>
      </c>
      <c r="C147" s="144">
        <f>VLOOKUP($A147,'Data shares'!$C:$FA,3)</f>
        <v>1231.8</v>
      </c>
      <c r="D147" s="144">
        <f>VLOOKUP($A147,'Data shares'!$C:$FA,23)</f>
        <v>-6.3</v>
      </c>
      <c r="E147" s="145">
        <f>VLOOKUP($A147,'Data shares'!$C:$FA,26)*100</f>
        <v>-0.51</v>
      </c>
      <c r="F147" s="144">
        <f>VLOOKUP($A147,'Data shares'!$C:$FA,24)</f>
        <v>-3.9</v>
      </c>
      <c r="G147" s="144">
        <f>VLOOKUP($A147,'Data shares'!$C:$FA,25)</f>
        <v>-2.4</v>
      </c>
    </row>
    <row r="148" spans="1:7" x14ac:dyDescent="0.25">
      <c r="A148" s="101" t="str">
        <f>'Data Vlaue (Cr)'!C144</f>
        <v>NYKAA</v>
      </c>
      <c r="B148" s="144">
        <f>VLOOKUP($A148,'Data shares'!$C:$FA,7)</f>
        <v>260.8</v>
      </c>
      <c r="C148" s="144">
        <f>VLOOKUP($A148,'Data shares'!$C:$FA,3)</f>
        <v>261.3</v>
      </c>
      <c r="D148" s="144">
        <f>VLOOKUP($A148,'Data shares'!$C:$FA,23)</f>
        <v>0.5</v>
      </c>
      <c r="E148" s="145">
        <f>VLOOKUP($A148,'Data shares'!$C:$FA,26)*100</f>
        <v>0.19</v>
      </c>
      <c r="F148" s="144">
        <f>VLOOKUP($A148,'Data shares'!$C:$FA,24)</f>
        <v>0.55000000000000004</v>
      </c>
      <c r="G148" s="144">
        <f>VLOOKUP($A148,'Data shares'!$C:$FA,25)</f>
        <v>-0.05</v>
      </c>
    </row>
    <row r="149" spans="1:7" x14ac:dyDescent="0.25">
      <c r="A149" s="101" t="str">
        <f>'Data Vlaue (Cr)'!C145</f>
        <v>OBEROIRLTY</v>
      </c>
      <c r="B149" s="144">
        <f>VLOOKUP($A149,'Data shares'!$C:$FA,7)</f>
        <v>1482.1</v>
      </c>
      <c r="C149" s="144">
        <f>VLOOKUP($A149,'Data shares'!$C:$FA,3)</f>
        <v>1475.1</v>
      </c>
      <c r="D149" s="144">
        <f>VLOOKUP($A149,'Data shares'!$C:$FA,23)</f>
        <v>-7</v>
      </c>
      <c r="E149" s="145">
        <f>VLOOKUP($A149,'Data shares'!$C:$FA,26)*100</f>
        <v>-0.47000000000000003</v>
      </c>
      <c r="F149" s="144">
        <f>VLOOKUP($A149,'Data shares'!$C:$FA,24)</f>
        <v>-17.5</v>
      </c>
      <c r="G149" s="144">
        <f>VLOOKUP($A149,'Data shares'!$C:$FA,25)</f>
        <v>10.5</v>
      </c>
    </row>
    <row r="150" spans="1:7" x14ac:dyDescent="0.25">
      <c r="A150" s="101" t="str">
        <f>'Data Vlaue (Cr)'!C146</f>
        <v>OFSS</v>
      </c>
      <c r="B150" s="144">
        <f>VLOOKUP($A150,'Data shares'!$C:$FA,7)</f>
        <v>6789.5</v>
      </c>
      <c r="C150" s="144">
        <f>VLOOKUP($A150,'Data shares'!$C:$FA,3)</f>
        <v>6789</v>
      </c>
      <c r="D150" s="144">
        <f>VLOOKUP($A150,'Data shares'!$C:$FA,23)</f>
        <v>-0.5</v>
      </c>
      <c r="E150" s="145">
        <f>VLOOKUP($A150,'Data shares'!$C:$FA,26)*100</f>
        <v>-0.01</v>
      </c>
      <c r="F150" s="144">
        <f>VLOOKUP($A150,'Data shares'!$C:$FA,24)</f>
        <v>-6.5</v>
      </c>
      <c r="G150" s="144">
        <f>VLOOKUP($A150,'Data shares'!$C:$FA,25)</f>
        <v>6</v>
      </c>
    </row>
    <row r="151" spans="1:7" x14ac:dyDescent="0.25">
      <c r="A151" s="101" t="str">
        <f>'Data Vlaue (Cr)'!C147</f>
        <v>OIL</v>
      </c>
      <c r="B151" s="144">
        <f>VLOOKUP($A151,'Data shares'!$C:$FA,7)</f>
        <v>479.1</v>
      </c>
      <c r="C151" s="144">
        <f>VLOOKUP($A151,'Data shares'!$C:$FA,3)</f>
        <v>481.25</v>
      </c>
      <c r="D151" s="144">
        <f>VLOOKUP($A151,'Data shares'!$C:$FA,23)</f>
        <v>2.15</v>
      </c>
      <c r="E151" s="145">
        <f>VLOOKUP($A151,'Data shares'!$C:$FA,26)*100</f>
        <v>0.44999999999999996</v>
      </c>
      <c r="F151" s="144">
        <f>VLOOKUP($A151,'Data shares'!$C:$FA,24)</f>
        <v>-1.9</v>
      </c>
      <c r="G151" s="144">
        <f>VLOOKUP($A151,'Data shares'!$C:$FA,25)</f>
        <v>4.05</v>
      </c>
    </row>
    <row r="152" spans="1:7" x14ac:dyDescent="0.25">
      <c r="A152" s="101" t="str">
        <f>'Data Vlaue (Cr)'!C148</f>
        <v>ONGC</v>
      </c>
      <c r="B152" s="144">
        <f>VLOOKUP($A152,'Data shares'!$C:$FA,7)</f>
        <v>276.35000000000002</v>
      </c>
      <c r="C152" s="144">
        <f>VLOOKUP($A152,'Data shares'!$C:$FA,3)</f>
        <v>277.3</v>
      </c>
      <c r="D152" s="144">
        <f>VLOOKUP($A152,'Data shares'!$C:$FA,23)</f>
        <v>0.95</v>
      </c>
      <c r="E152" s="145">
        <f>VLOOKUP($A152,'Data shares'!$C:$FA,26)*100</f>
        <v>0.33999999999999997</v>
      </c>
      <c r="F152" s="144">
        <f>VLOOKUP($A152,'Data shares'!$C:$FA,24)</f>
        <v>0.55000000000000004</v>
      </c>
      <c r="G152" s="144">
        <f>VLOOKUP($A152,'Data shares'!$C:$FA,25)</f>
        <v>0.4</v>
      </c>
    </row>
    <row r="153" spans="1:7" x14ac:dyDescent="0.25">
      <c r="A153" s="101" t="str">
        <f>'Data Vlaue (Cr)'!C149</f>
        <v>PAGEIND</v>
      </c>
      <c r="B153" s="144">
        <f>VLOOKUP($A153,'Data shares'!$C:$FA,7)</f>
        <v>31525</v>
      </c>
      <c r="C153" s="144">
        <f>VLOOKUP($A153,'Data shares'!$C:$FA,3)</f>
        <v>31680</v>
      </c>
      <c r="D153" s="144">
        <f>VLOOKUP($A153,'Data shares'!$C:$FA,23)</f>
        <v>155</v>
      </c>
      <c r="E153" s="145">
        <f>VLOOKUP($A153,'Data shares'!$C:$FA,26)*100</f>
        <v>0.49</v>
      </c>
      <c r="F153" s="144">
        <f>VLOOKUP($A153,'Data shares'!$C:$FA,24)</f>
        <v>150</v>
      </c>
      <c r="G153" s="144">
        <f>VLOOKUP($A153,'Data shares'!$C:$FA,25)</f>
        <v>5</v>
      </c>
    </row>
    <row r="154" spans="1:7" x14ac:dyDescent="0.25">
      <c r="A154" s="101" t="str">
        <f>'Data Vlaue (Cr)'!C150</f>
        <v>PATANJALI</v>
      </c>
      <c r="B154" s="144">
        <f>VLOOKUP($A154,'Data shares'!$C:$FA,7)</f>
        <v>499.8</v>
      </c>
      <c r="C154" s="144">
        <f>VLOOKUP($A154,'Data shares'!$C:$FA,3)</f>
        <v>501.4</v>
      </c>
      <c r="D154" s="144">
        <f>VLOOKUP($A154,'Data shares'!$C:$FA,23)</f>
        <v>1.6</v>
      </c>
      <c r="E154" s="145">
        <f>VLOOKUP($A154,'Data shares'!$C:$FA,26)*100</f>
        <v>0.32</v>
      </c>
      <c r="F154" s="144">
        <f>VLOOKUP($A154,'Data shares'!$C:$FA,24)</f>
        <v>-0.1</v>
      </c>
      <c r="G154" s="144">
        <f>VLOOKUP($A154,'Data shares'!$C:$FA,25)</f>
        <v>1.7</v>
      </c>
    </row>
    <row r="155" spans="1:7" x14ac:dyDescent="0.25">
      <c r="A155" s="101" t="str">
        <f>'Data Vlaue (Cr)'!C151</f>
        <v>PAYTM</v>
      </c>
      <c r="B155" s="144">
        <f>VLOOKUP($A155,'Data shares'!$C:$FA,7)</f>
        <v>1052.9000000000001</v>
      </c>
      <c r="C155" s="144">
        <f>VLOOKUP($A155,'Data shares'!$C:$FA,3)</f>
        <v>1057.4000000000001</v>
      </c>
      <c r="D155" s="144">
        <f>VLOOKUP($A155,'Data shares'!$C:$FA,23)</f>
        <v>4.5</v>
      </c>
      <c r="E155" s="145">
        <f>VLOOKUP($A155,'Data shares'!$C:$FA,26)*100</f>
        <v>0.43</v>
      </c>
      <c r="F155" s="144">
        <f>VLOOKUP($A155,'Data shares'!$C:$FA,24)</f>
        <v>2.5</v>
      </c>
      <c r="G155" s="144">
        <f>VLOOKUP($A155,'Data shares'!$C:$FA,25)</f>
        <v>2</v>
      </c>
    </row>
    <row r="156" spans="1:7" x14ac:dyDescent="0.25">
      <c r="A156" s="101" t="str">
        <f>'Data Vlaue (Cr)'!C152</f>
        <v>PERSISTENT</v>
      </c>
      <c r="B156" s="144">
        <f>VLOOKUP($A156,'Data shares'!$C:$FA,7)</f>
        <v>4641.7</v>
      </c>
      <c r="C156" s="144">
        <f>VLOOKUP($A156,'Data shares'!$C:$FA,3)</f>
        <v>4650.2</v>
      </c>
      <c r="D156" s="144">
        <f>VLOOKUP($A156,'Data shares'!$C:$FA,23)</f>
        <v>8.5</v>
      </c>
      <c r="E156" s="145">
        <f>VLOOKUP($A156,'Data shares'!$C:$FA,26)*100</f>
        <v>0.18</v>
      </c>
      <c r="F156" s="144">
        <f>VLOOKUP($A156,'Data shares'!$C:$FA,24)</f>
        <v>7.1</v>
      </c>
      <c r="G156" s="144">
        <f>VLOOKUP($A156,'Data shares'!$C:$FA,25)</f>
        <v>1.4</v>
      </c>
    </row>
    <row r="157" spans="1:7" x14ac:dyDescent="0.25">
      <c r="A157" s="101" t="str">
        <f>'Data Vlaue (Cr)'!C153</f>
        <v>PETRONET</v>
      </c>
      <c r="B157" s="144">
        <f>VLOOKUP($A157,'Data shares'!$C:$FA,7)</f>
        <v>293.05</v>
      </c>
      <c r="C157" s="144">
        <f>VLOOKUP($A157,'Data shares'!$C:$FA,3)</f>
        <v>292.45</v>
      </c>
      <c r="D157" s="144">
        <f>VLOOKUP($A157,'Data shares'!$C:$FA,23)</f>
        <v>-0.6</v>
      </c>
      <c r="E157" s="145">
        <f>VLOOKUP($A157,'Data shares'!$C:$FA,26)*100</f>
        <v>-0.2</v>
      </c>
      <c r="F157" s="144">
        <f>VLOOKUP($A157,'Data shares'!$C:$FA,24)</f>
        <v>0.15</v>
      </c>
      <c r="G157" s="144">
        <f>VLOOKUP($A157,'Data shares'!$C:$FA,25)</f>
        <v>-0.75</v>
      </c>
    </row>
    <row r="158" spans="1:7" x14ac:dyDescent="0.25">
      <c r="A158" s="101" t="str">
        <f>'Data Vlaue (Cr)'!C154</f>
        <v>PFC</v>
      </c>
      <c r="B158" s="144">
        <f>VLOOKUP($A158,'Data shares'!$C:$FA,7)</f>
        <v>413.65</v>
      </c>
      <c r="C158" s="144">
        <f>VLOOKUP($A158,'Data shares'!$C:$FA,3)</f>
        <v>414.3</v>
      </c>
      <c r="D158" s="144">
        <f>VLOOKUP($A158,'Data shares'!$C:$FA,23)</f>
        <v>0.65</v>
      </c>
      <c r="E158" s="145">
        <f>VLOOKUP($A158,'Data shares'!$C:$FA,26)*100</f>
        <v>0.16</v>
      </c>
      <c r="F158" s="144">
        <f>VLOOKUP($A158,'Data shares'!$C:$FA,24)</f>
        <v>-1.5</v>
      </c>
      <c r="G158" s="144">
        <f>VLOOKUP($A158,'Data shares'!$C:$FA,25)</f>
        <v>2.15</v>
      </c>
    </row>
    <row r="159" spans="1:7" x14ac:dyDescent="0.25">
      <c r="A159" s="101" t="str">
        <f>'Data Vlaue (Cr)'!C155</f>
        <v>PGEL</v>
      </c>
      <c r="B159" s="144">
        <f>VLOOKUP($A159,'Data shares'!$C:$FA,7)</f>
        <v>614.45000000000005</v>
      </c>
      <c r="C159" s="144">
        <f>VLOOKUP($A159,'Data shares'!$C:$FA,3)</f>
        <v>616.95000000000005</v>
      </c>
      <c r="D159" s="144">
        <f>VLOOKUP($A159,'Data shares'!$C:$FA,23)</f>
        <v>2.5</v>
      </c>
      <c r="E159" s="145">
        <f>VLOOKUP($A159,'Data shares'!$C:$FA,26)*100</f>
        <v>0.41000000000000003</v>
      </c>
      <c r="F159" s="144">
        <f>VLOOKUP($A159,'Data shares'!$C:$FA,24)</f>
        <v>2.9</v>
      </c>
      <c r="G159" s="144">
        <f>VLOOKUP($A159,'Data shares'!$C:$FA,25)</f>
        <v>-0.4</v>
      </c>
    </row>
    <row r="160" spans="1:7" x14ac:dyDescent="0.25">
      <c r="A160" s="101" t="str">
        <f>'Data Vlaue (Cr)'!C156</f>
        <v>PHOENIXLTD</v>
      </c>
      <c r="B160" s="144">
        <f>VLOOKUP($A160,'Data shares'!$C:$FA,7)</f>
        <v>1633.6</v>
      </c>
      <c r="C160" s="144">
        <f>VLOOKUP($A160,'Data shares'!$C:$FA,3)</f>
        <v>1637.3</v>
      </c>
      <c r="D160" s="144">
        <f>VLOOKUP($A160,'Data shares'!$C:$FA,23)</f>
        <v>3.7</v>
      </c>
      <c r="E160" s="145">
        <f>VLOOKUP($A160,'Data shares'!$C:$FA,26)*100</f>
        <v>0.22999999999999998</v>
      </c>
      <c r="F160" s="144">
        <f>VLOOKUP($A160,'Data shares'!$C:$FA,24)</f>
        <v>6.1</v>
      </c>
      <c r="G160" s="144">
        <f>VLOOKUP($A160,'Data shares'!$C:$FA,25)</f>
        <v>-2.4</v>
      </c>
    </row>
    <row r="161" spans="1:7" x14ac:dyDescent="0.25">
      <c r="A161" s="101" t="str">
        <f>'Data Vlaue (Cr)'!C157</f>
        <v>PIDILITIND</v>
      </c>
      <c r="B161" s="144">
        <f>VLOOKUP($A161,'Data shares'!$C:$FA,7)</f>
        <v>1445.9</v>
      </c>
      <c r="C161" s="144">
        <f>VLOOKUP($A161,'Data shares'!$C:$FA,3)</f>
        <v>1446.6</v>
      </c>
      <c r="D161" s="144">
        <f>VLOOKUP($A161,'Data shares'!$C:$FA,23)</f>
        <v>0.7</v>
      </c>
      <c r="E161" s="145">
        <f>VLOOKUP($A161,'Data shares'!$C:$FA,26)*100</f>
        <v>0.05</v>
      </c>
      <c r="F161" s="144">
        <f>VLOOKUP($A161,'Data shares'!$C:$FA,24)</f>
        <v>1.7</v>
      </c>
      <c r="G161" s="144">
        <f>VLOOKUP($A161,'Data shares'!$C:$FA,25)</f>
        <v>-1</v>
      </c>
    </row>
    <row r="162" spans="1:7" x14ac:dyDescent="0.25">
      <c r="A162" s="101" t="str">
        <f>'Data Vlaue (Cr)'!C158</f>
        <v>PIIND</v>
      </c>
      <c r="B162" s="144">
        <f>VLOOKUP($A162,'Data shares'!$C:$FA,7)</f>
        <v>3089</v>
      </c>
      <c r="C162" s="144">
        <f>VLOOKUP($A162,'Data shares'!$C:$FA,3)</f>
        <v>3080.4</v>
      </c>
      <c r="D162" s="144">
        <f>VLOOKUP($A162,'Data shares'!$C:$FA,23)</f>
        <v>-8.6</v>
      </c>
      <c r="E162" s="145">
        <f>VLOOKUP($A162,'Data shares'!$C:$FA,26)*100</f>
        <v>-0.27999999999999997</v>
      </c>
      <c r="F162" s="144">
        <f>VLOOKUP($A162,'Data shares'!$C:$FA,24)</f>
        <v>-24.9</v>
      </c>
      <c r="G162" s="144">
        <f>VLOOKUP($A162,'Data shares'!$C:$FA,25)</f>
        <v>16.3</v>
      </c>
    </row>
    <row r="163" spans="1:7" x14ac:dyDescent="0.25">
      <c r="A163" s="101" t="str">
        <f>'Data Vlaue (Cr)'!C159</f>
        <v>PNB</v>
      </c>
      <c r="B163" s="144">
        <f>VLOOKUP($A163,'Data shares'!$C:$FA,7)</f>
        <v>122.2</v>
      </c>
      <c r="C163" s="144">
        <f>VLOOKUP($A163,'Data shares'!$C:$FA,3)</f>
        <v>122.79</v>
      </c>
      <c r="D163" s="144">
        <f>VLOOKUP($A163,'Data shares'!$C:$FA,23)</f>
        <v>0.59</v>
      </c>
      <c r="E163" s="145">
        <f>VLOOKUP($A163,'Data shares'!$C:$FA,26)*100</f>
        <v>0.48</v>
      </c>
      <c r="F163" s="144">
        <f>VLOOKUP($A163,'Data shares'!$C:$FA,24)</f>
        <v>0.61</v>
      </c>
      <c r="G163" s="144">
        <f>VLOOKUP($A163,'Data shares'!$C:$FA,25)</f>
        <v>-0.02</v>
      </c>
    </row>
    <row r="164" spans="1:7" x14ac:dyDescent="0.25">
      <c r="A164" s="101" t="str">
        <f>'Data Vlaue (Cr)'!C160</f>
        <v>PNBHOUSING</v>
      </c>
      <c r="B164" s="144">
        <f>VLOOKUP($A164,'Data shares'!$C:$FA,7)</f>
        <v>790.65</v>
      </c>
      <c r="C164" s="144">
        <f>VLOOKUP($A164,'Data shares'!$C:$FA,3)</f>
        <v>795.35</v>
      </c>
      <c r="D164" s="144">
        <f>VLOOKUP($A164,'Data shares'!$C:$FA,23)</f>
        <v>4.7</v>
      </c>
      <c r="E164" s="145">
        <f>VLOOKUP($A164,'Data shares'!$C:$FA,26)*100</f>
        <v>0.59</v>
      </c>
      <c r="F164" s="144">
        <f>VLOOKUP($A164,'Data shares'!$C:$FA,24)</f>
        <v>3.15</v>
      </c>
      <c r="G164" s="144">
        <f>VLOOKUP($A164,'Data shares'!$C:$FA,25)</f>
        <v>1.55</v>
      </c>
    </row>
    <row r="165" spans="1:7" x14ac:dyDescent="0.25">
      <c r="A165" s="101" t="str">
        <f>'Data Vlaue (Cr)'!C161</f>
        <v>POLICYBZR</v>
      </c>
      <c r="B165" s="144">
        <f>VLOOKUP($A165,'Data shares'!$C:$FA,7)</f>
        <v>1472.8</v>
      </c>
      <c r="C165" s="144">
        <f>VLOOKUP($A165,'Data shares'!$C:$FA,3)</f>
        <v>1478.8</v>
      </c>
      <c r="D165" s="144">
        <f>VLOOKUP($A165,'Data shares'!$C:$FA,23)</f>
        <v>6</v>
      </c>
      <c r="E165" s="145">
        <f>VLOOKUP($A165,'Data shares'!$C:$FA,26)*100</f>
        <v>0.41000000000000003</v>
      </c>
      <c r="F165" s="144">
        <f>VLOOKUP($A165,'Data shares'!$C:$FA,24)</f>
        <v>3</v>
      </c>
      <c r="G165" s="144">
        <f>VLOOKUP($A165,'Data shares'!$C:$FA,25)</f>
        <v>3</v>
      </c>
    </row>
    <row r="166" spans="1:7" x14ac:dyDescent="0.25">
      <c r="A166" s="101" t="str">
        <f>'Data Vlaue (Cr)'!C162</f>
        <v>POLYCAB</v>
      </c>
      <c r="B166" s="144">
        <f>VLOOKUP($A166,'Data shares'!$C:$FA,7)</f>
        <v>8564</v>
      </c>
      <c r="C166" s="144">
        <f>VLOOKUP($A166,'Data shares'!$C:$FA,3)</f>
        <v>8575.5</v>
      </c>
      <c r="D166" s="144">
        <f>VLOOKUP($A166,'Data shares'!$C:$FA,23)</f>
        <v>11.5</v>
      </c>
      <c r="E166" s="145">
        <f>VLOOKUP($A166,'Data shares'!$C:$FA,26)*100</f>
        <v>0.13</v>
      </c>
      <c r="F166" s="144">
        <f>VLOOKUP($A166,'Data shares'!$C:$FA,24)</f>
        <v>33.5</v>
      </c>
      <c r="G166" s="144">
        <f>VLOOKUP($A166,'Data shares'!$C:$FA,25)</f>
        <v>-22</v>
      </c>
    </row>
    <row r="167" spans="1:7" x14ac:dyDescent="0.25">
      <c r="A167" s="101" t="str">
        <f>'Data Vlaue (Cr)'!C163</f>
        <v>POWERGRID</v>
      </c>
      <c r="B167" s="144">
        <f>VLOOKUP($A167,'Data shares'!$C:$FA,7)</f>
        <v>299.45</v>
      </c>
      <c r="C167" s="144">
        <f>VLOOKUP($A167,'Data shares'!$C:$FA,3)</f>
        <v>299.89999999999998</v>
      </c>
      <c r="D167" s="144">
        <f>VLOOKUP($A167,'Data shares'!$C:$FA,23)</f>
        <v>0.45</v>
      </c>
      <c r="E167" s="145">
        <f>VLOOKUP($A167,'Data shares'!$C:$FA,26)*100</f>
        <v>0.15</v>
      </c>
      <c r="F167" s="144">
        <f>VLOOKUP($A167,'Data shares'!$C:$FA,24)</f>
        <v>1.1499999999999999</v>
      </c>
      <c r="G167" s="144">
        <f>VLOOKUP($A167,'Data shares'!$C:$FA,25)</f>
        <v>-0.7</v>
      </c>
    </row>
    <row r="168" spans="1:7" s="175" customFormat="1" x14ac:dyDescent="0.25">
      <c r="A168" s="101" t="str">
        <f>'Data Vlaue (Cr)'!C164</f>
        <v>POWERINDIA</v>
      </c>
      <c r="B168" s="144">
        <f>VLOOKUP($A168,'Data shares'!$C:$FA,7)</f>
        <v>25305</v>
      </c>
      <c r="C168" s="144">
        <f>VLOOKUP($A168,'Data shares'!$C:$FA,3)</f>
        <v>25390</v>
      </c>
      <c r="D168" s="144">
        <f>VLOOKUP($A168,'Data shares'!$C:$FA,23)</f>
        <v>85</v>
      </c>
      <c r="E168" s="145">
        <f>VLOOKUP($A168,'Data shares'!$C:$FA,26)*100</f>
        <v>0.33999999999999997</v>
      </c>
      <c r="F168" s="144">
        <f>VLOOKUP($A168,'Data shares'!$C:$FA,24)</f>
        <v>100</v>
      </c>
      <c r="G168" s="144">
        <f>VLOOKUP($A168,'Data shares'!$C:$FA,25)</f>
        <v>-15</v>
      </c>
    </row>
    <row r="169" spans="1:7" x14ac:dyDescent="0.25">
      <c r="A169" s="101" t="str">
        <f>'Data Vlaue (Cr)'!C165</f>
        <v>PPLPHARMA</v>
      </c>
      <c r="B169" s="144">
        <f>VLOOKUP($A169,'Data shares'!$C:$FA,7)</f>
        <v>153.30000000000001</v>
      </c>
      <c r="C169" s="144">
        <f>VLOOKUP($A169,'Data shares'!$C:$FA,3)</f>
        <v>153.93</v>
      </c>
      <c r="D169" s="144">
        <f>VLOOKUP($A169,'Data shares'!$C:$FA,23)</f>
        <v>0.63</v>
      </c>
      <c r="E169" s="145">
        <f>VLOOKUP($A169,'Data shares'!$C:$FA,26)*100</f>
        <v>0.41000000000000003</v>
      </c>
      <c r="F169" s="144">
        <f>VLOOKUP($A169,'Data shares'!$C:$FA,24)</f>
        <v>0.36</v>
      </c>
      <c r="G169" s="144">
        <f>VLOOKUP($A169,'Data shares'!$C:$FA,25)</f>
        <v>0.27</v>
      </c>
    </row>
    <row r="170" spans="1:7" x14ac:dyDescent="0.25">
      <c r="A170" s="101" t="str">
        <f>'Data Vlaue (Cr)'!C166</f>
        <v>PREMIERENE</v>
      </c>
      <c r="B170" s="144">
        <f>VLOOKUP($A170,'Data shares'!$C:$FA,7)</f>
        <v>720.1</v>
      </c>
      <c r="C170" s="144">
        <f>VLOOKUP($A170,'Data shares'!$C:$FA,3)</f>
        <v>719.85</v>
      </c>
      <c r="D170" s="144">
        <f>VLOOKUP($A170,'Data shares'!$C:$FA,23)</f>
        <v>-0.25</v>
      </c>
      <c r="E170" s="145">
        <f>VLOOKUP($A170,'Data shares'!$C:$FA,26)*100</f>
        <v>-0.03</v>
      </c>
      <c r="F170" s="144">
        <f>VLOOKUP($A170,'Data shares'!$C:$FA,24)</f>
        <v>3.4</v>
      </c>
      <c r="G170" s="144">
        <f>VLOOKUP($A170,'Data shares'!$C:$FA,25)</f>
        <v>-3.65</v>
      </c>
    </row>
    <row r="171" spans="1:7" x14ac:dyDescent="0.25">
      <c r="A171" s="101" t="str">
        <f>'Data Vlaue (Cr)'!C167</f>
        <v>PRESTIGE</v>
      </c>
      <c r="B171" s="144">
        <f>VLOOKUP($A171,'Data shares'!$C:$FA,7)</f>
        <v>1375.6</v>
      </c>
      <c r="C171" s="144">
        <f>VLOOKUP($A171,'Data shares'!$C:$FA,3)</f>
        <v>1380.1</v>
      </c>
      <c r="D171" s="144">
        <f>VLOOKUP($A171,'Data shares'!$C:$FA,23)</f>
        <v>4.5</v>
      </c>
      <c r="E171" s="145">
        <f>VLOOKUP($A171,'Data shares'!$C:$FA,26)*100</f>
        <v>0.33</v>
      </c>
      <c r="F171" s="144">
        <f>VLOOKUP($A171,'Data shares'!$C:$FA,24)</f>
        <v>2.8</v>
      </c>
      <c r="G171" s="144">
        <f>VLOOKUP($A171,'Data shares'!$C:$FA,25)</f>
        <v>1.7</v>
      </c>
    </row>
    <row r="172" spans="1:7" x14ac:dyDescent="0.25">
      <c r="A172" s="101" t="str">
        <f>'Data Vlaue (Cr)'!C168</f>
        <v>RBLBANK</v>
      </c>
      <c r="B172" s="144">
        <f>VLOOKUP($A172,'Data shares'!$C:$FA,7)</f>
        <v>310.10000000000002</v>
      </c>
      <c r="C172" s="144">
        <f>VLOOKUP($A172,'Data shares'!$C:$FA,3)</f>
        <v>311.64999999999998</v>
      </c>
      <c r="D172" s="144">
        <f>VLOOKUP($A172,'Data shares'!$C:$FA,23)</f>
        <v>1.55</v>
      </c>
      <c r="E172" s="145">
        <f>VLOOKUP($A172,'Data shares'!$C:$FA,26)*100</f>
        <v>0.5</v>
      </c>
      <c r="F172" s="144">
        <f>VLOOKUP($A172,'Data shares'!$C:$FA,24)</f>
        <v>1.65</v>
      </c>
      <c r="G172" s="144">
        <f>VLOOKUP($A172,'Data shares'!$C:$FA,25)</f>
        <v>-0.1</v>
      </c>
    </row>
    <row r="173" spans="1:7" x14ac:dyDescent="0.25">
      <c r="A173" s="101" t="str">
        <f>'Data Vlaue (Cr)'!C169</f>
        <v>RECLTD</v>
      </c>
      <c r="B173" s="144">
        <f>VLOOKUP($A173,'Data shares'!$C:$FA,7)</f>
        <v>341.85</v>
      </c>
      <c r="C173" s="144">
        <f>VLOOKUP($A173,'Data shares'!$C:$FA,3)</f>
        <v>342.2</v>
      </c>
      <c r="D173" s="144">
        <f>VLOOKUP($A173,'Data shares'!$C:$FA,23)</f>
        <v>0.35</v>
      </c>
      <c r="E173" s="145">
        <f>VLOOKUP($A173,'Data shares'!$C:$FA,26)*100</f>
        <v>0.1</v>
      </c>
      <c r="F173" s="144">
        <f>VLOOKUP($A173,'Data shares'!$C:$FA,24)</f>
        <v>-1.05</v>
      </c>
      <c r="G173" s="144">
        <f>VLOOKUP($A173,'Data shares'!$C:$FA,25)</f>
        <v>1.4</v>
      </c>
    </row>
    <row r="174" spans="1:7" x14ac:dyDescent="0.25">
      <c r="A174" s="101" t="str">
        <f>'Data Vlaue (Cr)'!C170</f>
        <v>RELIANCE</v>
      </c>
      <c r="B174" s="144">
        <f>VLOOKUP($A174,'Data shares'!$C:$FA,7)</f>
        <v>1389.4</v>
      </c>
      <c r="C174" s="144">
        <f>VLOOKUP($A174,'Data shares'!$C:$FA,3)</f>
        <v>1393</v>
      </c>
      <c r="D174" s="144">
        <f>VLOOKUP($A174,'Data shares'!$C:$FA,23)</f>
        <v>3.6</v>
      </c>
      <c r="E174" s="145">
        <f>VLOOKUP($A174,'Data shares'!$C:$FA,26)*100</f>
        <v>0.26</v>
      </c>
      <c r="F174" s="144">
        <f>VLOOKUP($A174,'Data shares'!$C:$FA,24)</f>
        <v>4.5</v>
      </c>
      <c r="G174" s="144">
        <f>VLOOKUP($A174,'Data shares'!$C:$FA,25)</f>
        <v>-0.9</v>
      </c>
    </row>
    <row r="175" spans="1:7" x14ac:dyDescent="0.25">
      <c r="A175" s="101" t="str">
        <f>'Data Vlaue (Cr)'!C171</f>
        <v>RVNL</v>
      </c>
      <c r="B175" s="144">
        <f>VLOOKUP($A175,'Data shares'!$C:$FA,7)</f>
        <v>279.25</v>
      </c>
      <c r="C175" s="144">
        <f>VLOOKUP($A175,'Data shares'!$C:$FA,3)</f>
        <v>275.5</v>
      </c>
      <c r="D175" s="144">
        <f>VLOOKUP($A175,'Data shares'!$C:$FA,23)</f>
        <v>-3.75</v>
      </c>
      <c r="E175" s="145">
        <f>VLOOKUP($A175,'Data shares'!$C:$FA,26)*100</f>
        <v>-1.34</v>
      </c>
      <c r="F175" s="144">
        <f>VLOOKUP($A175,'Data shares'!$C:$FA,24)</f>
        <v>-11</v>
      </c>
      <c r="G175" s="144">
        <f>VLOOKUP($A175,'Data shares'!$C:$FA,25)</f>
        <v>7.25</v>
      </c>
    </row>
    <row r="176" spans="1:7" x14ac:dyDescent="0.25">
      <c r="A176" s="101" t="str">
        <f>'Data Vlaue (Cr)'!C172</f>
        <v>SAIL</v>
      </c>
      <c r="B176" s="144">
        <f>VLOOKUP($A176,'Data shares'!$C:$FA,7)</f>
        <v>156.15</v>
      </c>
      <c r="C176" s="144">
        <f>VLOOKUP($A176,'Data shares'!$C:$FA,3)</f>
        <v>157.69</v>
      </c>
      <c r="D176" s="144">
        <f>VLOOKUP($A176,'Data shares'!$C:$FA,23)</f>
        <v>1.54</v>
      </c>
      <c r="E176" s="145">
        <f>VLOOKUP($A176,'Data shares'!$C:$FA,26)*100</f>
        <v>0.9900000000000001</v>
      </c>
      <c r="F176" s="144">
        <f>VLOOKUP($A176,'Data shares'!$C:$FA,24)</f>
        <v>0.99</v>
      </c>
      <c r="G176" s="144">
        <f>VLOOKUP($A176,'Data shares'!$C:$FA,25)</f>
        <v>0.55000000000000004</v>
      </c>
    </row>
    <row r="177" spans="1:7" x14ac:dyDescent="0.25">
      <c r="A177" s="101" t="str">
        <f>'Data Vlaue (Cr)'!C173</f>
        <v>SAMMAANCAP</v>
      </c>
      <c r="B177" s="144">
        <f>VLOOKUP($A177,'Data shares'!$C:$FA,7)</f>
        <v>145.21</v>
      </c>
      <c r="C177" s="144">
        <f>VLOOKUP($A177,'Data shares'!$C:$FA,3)</f>
        <v>145.79</v>
      </c>
      <c r="D177" s="144">
        <f>VLOOKUP($A177,'Data shares'!$C:$FA,23)</f>
        <v>0.57999999999999996</v>
      </c>
      <c r="E177" s="145">
        <f>VLOOKUP($A177,'Data shares'!$C:$FA,26)*100</f>
        <v>0.4</v>
      </c>
      <c r="F177" s="144">
        <f>VLOOKUP($A177,'Data shares'!$C:$FA,24)</f>
        <v>0.19</v>
      </c>
      <c r="G177" s="144">
        <f>VLOOKUP($A177,'Data shares'!$C:$FA,25)</f>
        <v>0.39</v>
      </c>
    </row>
    <row r="178" spans="1:7" x14ac:dyDescent="0.25">
      <c r="A178" s="101" t="str">
        <f>'Data Vlaue (Cr)'!C174</f>
        <v>SBICARD</v>
      </c>
      <c r="B178" s="144">
        <f>VLOOKUP($A178,'Data shares'!$C:$FA,7)</f>
        <v>730.55</v>
      </c>
      <c r="C178" s="144">
        <f>VLOOKUP($A178,'Data shares'!$C:$FA,3)</f>
        <v>731.5</v>
      </c>
      <c r="D178" s="144">
        <f>VLOOKUP($A178,'Data shares'!$C:$FA,23)</f>
        <v>0.95</v>
      </c>
      <c r="E178" s="145">
        <f>VLOOKUP($A178,'Data shares'!$C:$FA,26)*100</f>
        <v>0.13</v>
      </c>
      <c r="F178" s="144">
        <f>VLOOKUP($A178,'Data shares'!$C:$FA,24)</f>
        <v>-1.1499999999999999</v>
      </c>
      <c r="G178" s="144">
        <f>VLOOKUP($A178,'Data shares'!$C:$FA,25)</f>
        <v>2.1</v>
      </c>
    </row>
    <row r="179" spans="1:7" x14ac:dyDescent="0.25">
      <c r="A179" s="101" t="str">
        <f>'Data Vlaue (Cr)'!C175</f>
        <v>SBILIFE</v>
      </c>
      <c r="B179" s="144">
        <f>VLOOKUP($A179,'Data shares'!$C:$FA,7)</f>
        <v>1945</v>
      </c>
      <c r="C179" s="144">
        <f>VLOOKUP($A179,'Data shares'!$C:$FA,3)</f>
        <v>1946.2</v>
      </c>
      <c r="D179" s="144">
        <f>VLOOKUP($A179,'Data shares'!$C:$FA,23)</f>
        <v>1.2</v>
      </c>
      <c r="E179" s="145">
        <f>VLOOKUP($A179,'Data shares'!$C:$FA,26)*100</f>
        <v>0.06</v>
      </c>
      <c r="F179" s="144">
        <f>VLOOKUP($A179,'Data shares'!$C:$FA,24)</f>
        <v>5.9</v>
      </c>
      <c r="G179" s="144">
        <f>VLOOKUP($A179,'Data shares'!$C:$FA,25)</f>
        <v>-4.7</v>
      </c>
    </row>
    <row r="180" spans="1:7" x14ac:dyDescent="0.25">
      <c r="A180" s="101" t="str">
        <f>'Data Vlaue (Cr)'!C176</f>
        <v>SBIN</v>
      </c>
      <c r="B180" s="144">
        <f>VLOOKUP($A180,'Data shares'!$C:$FA,7)</f>
        <v>1169.5</v>
      </c>
      <c r="C180" s="144">
        <f>VLOOKUP($A180,'Data shares'!$C:$FA,3)</f>
        <v>1174.5</v>
      </c>
      <c r="D180" s="144">
        <f>VLOOKUP($A180,'Data shares'!$C:$FA,23)</f>
        <v>5</v>
      </c>
      <c r="E180" s="145">
        <f>VLOOKUP($A180,'Data shares'!$C:$FA,26)*100</f>
        <v>0.43</v>
      </c>
      <c r="F180" s="144">
        <f>VLOOKUP($A180,'Data shares'!$C:$FA,24)</f>
        <v>5.3</v>
      </c>
      <c r="G180" s="144">
        <f>VLOOKUP($A180,'Data shares'!$C:$FA,25)</f>
        <v>-0.3</v>
      </c>
    </row>
    <row r="181" spans="1:7" x14ac:dyDescent="0.25">
      <c r="A181" s="101" t="str">
        <f>'Data Vlaue (Cr)'!C177</f>
        <v>SHREECEM</v>
      </c>
      <c r="B181" s="144">
        <f>VLOOKUP($A181,'Data shares'!$C:$FA,7)</f>
        <v>25200</v>
      </c>
      <c r="C181" s="144">
        <f>VLOOKUP($A181,'Data shares'!$C:$FA,3)</f>
        <v>25175</v>
      </c>
      <c r="D181" s="144">
        <f>VLOOKUP($A181,'Data shares'!$C:$FA,23)</f>
        <v>-25</v>
      </c>
      <c r="E181" s="145">
        <f>VLOOKUP($A181,'Data shares'!$C:$FA,26)*100</f>
        <v>-0.1</v>
      </c>
      <c r="F181" s="144">
        <f>VLOOKUP($A181,'Data shares'!$C:$FA,24)</f>
        <v>-345</v>
      </c>
      <c r="G181" s="144">
        <f>VLOOKUP($A181,'Data shares'!$C:$FA,25)</f>
        <v>320</v>
      </c>
    </row>
    <row r="182" spans="1:7" x14ac:dyDescent="0.25">
      <c r="A182" s="101" t="str">
        <f>'Data Vlaue (Cr)'!C178</f>
        <v>SHRIRAMFIN</v>
      </c>
      <c r="B182" s="144">
        <f>VLOOKUP($A182,'Data shares'!$C:$FA,7)</f>
        <v>1039.5</v>
      </c>
      <c r="C182" s="144">
        <f>VLOOKUP($A182,'Data shares'!$C:$FA,3)</f>
        <v>1041.2</v>
      </c>
      <c r="D182" s="144">
        <f>VLOOKUP($A182,'Data shares'!$C:$FA,23)</f>
        <v>1.7</v>
      </c>
      <c r="E182" s="145">
        <f>VLOOKUP($A182,'Data shares'!$C:$FA,26)*100</f>
        <v>0.16</v>
      </c>
      <c r="F182" s="144">
        <f>VLOOKUP($A182,'Data shares'!$C:$FA,24)</f>
        <v>2.7</v>
      </c>
      <c r="G182" s="144">
        <f>VLOOKUP($A182,'Data shares'!$C:$FA,25)</f>
        <v>-1</v>
      </c>
    </row>
    <row r="183" spans="1:7" x14ac:dyDescent="0.25">
      <c r="A183" s="101" t="str">
        <f>'Data Vlaue (Cr)'!C179</f>
        <v>SIEMENS</v>
      </c>
      <c r="B183" s="144">
        <f>VLOOKUP($A183,'Data shares'!$C:$FA,7)</f>
        <v>3215.7</v>
      </c>
      <c r="C183" s="144">
        <f>VLOOKUP($A183,'Data shares'!$C:$FA,3)</f>
        <v>3230.6</v>
      </c>
      <c r="D183" s="144">
        <f>VLOOKUP($A183,'Data shares'!$C:$FA,23)</f>
        <v>14.9</v>
      </c>
      <c r="E183" s="145">
        <f>VLOOKUP($A183,'Data shares'!$C:$FA,26)*100</f>
        <v>0.45999999999999996</v>
      </c>
      <c r="F183" s="144">
        <f>VLOOKUP($A183,'Data shares'!$C:$FA,24)</f>
        <v>14.8</v>
      </c>
      <c r="G183" s="144">
        <f>VLOOKUP($A183,'Data shares'!$C:$FA,25)</f>
        <v>0.1</v>
      </c>
    </row>
    <row r="184" spans="1:7" x14ac:dyDescent="0.25">
      <c r="A184" s="101" t="str">
        <f>'Data Vlaue (Cr)'!C180</f>
        <v>SOLARINDS</v>
      </c>
      <c r="B184" s="144">
        <f>VLOOKUP($A184,'Data shares'!$C:$FA,7)</f>
        <v>14671</v>
      </c>
      <c r="C184" s="144">
        <f>VLOOKUP($A184,'Data shares'!$C:$FA,3)</f>
        <v>14729</v>
      </c>
      <c r="D184" s="144">
        <f>VLOOKUP($A184,'Data shares'!$C:$FA,23)</f>
        <v>58</v>
      </c>
      <c r="E184" s="145">
        <f>VLOOKUP($A184,'Data shares'!$C:$FA,26)*100</f>
        <v>0.4</v>
      </c>
      <c r="F184" s="144">
        <f>VLOOKUP($A184,'Data shares'!$C:$FA,24)</f>
        <v>27</v>
      </c>
      <c r="G184" s="144">
        <f>VLOOKUP($A184,'Data shares'!$C:$FA,25)</f>
        <v>31</v>
      </c>
    </row>
    <row r="185" spans="1:7" x14ac:dyDescent="0.25">
      <c r="A185" s="101" t="str">
        <f>'Data Vlaue (Cr)'!C181</f>
        <v>SONACOMS</v>
      </c>
      <c r="B185" s="144">
        <f>VLOOKUP($A185,'Data shares'!$C:$FA,7)</f>
        <v>510.95</v>
      </c>
      <c r="C185" s="144">
        <f>VLOOKUP($A185,'Data shares'!$C:$FA,3)</f>
        <v>512.65</v>
      </c>
      <c r="D185" s="144">
        <f>VLOOKUP($A185,'Data shares'!$C:$FA,23)</f>
        <v>1.7</v>
      </c>
      <c r="E185" s="145">
        <f>VLOOKUP($A185,'Data shares'!$C:$FA,26)*100</f>
        <v>0.33</v>
      </c>
      <c r="F185" s="144">
        <f>VLOOKUP($A185,'Data shares'!$C:$FA,24)</f>
        <v>0.95</v>
      </c>
      <c r="G185" s="144">
        <f>VLOOKUP($A185,'Data shares'!$C:$FA,25)</f>
        <v>0.75</v>
      </c>
    </row>
    <row r="186" spans="1:7" x14ac:dyDescent="0.25">
      <c r="A186" s="101" t="str">
        <f>'Data Vlaue (Cr)'!C182</f>
        <v>SRF</v>
      </c>
      <c r="B186" s="144">
        <f>VLOOKUP($A186,'Data shares'!$C:$FA,7)</f>
        <v>2563.1</v>
      </c>
      <c r="C186" s="144">
        <f>VLOOKUP($A186,'Data shares'!$C:$FA,3)</f>
        <v>2575.6</v>
      </c>
      <c r="D186" s="144">
        <f>VLOOKUP($A186,'Data shares'!$C:$FA,23)</f>
        <v>12.5</v>
      </c>
      <c r="E186" s="145">
        <f>VLOOKUP($A186,'Data shares'!$C:$FA,26)*100</f>
        <v>0.49</v>
      </c>
      <c r="F186" s="144">
        <f>VLOOKUP($A186,'Data shares'!$C:$FA,24)</f>
        <v>5.0999999999999996</v>
      </c>
      <c r="G186" s="144">
        <f>VLOOKUP($A186,'Data shares'!$C:$FA,25)</f>
        <v>7.4</v>
      </c>
    </row>
    <row r="187" spans="1:7" x14ac:dyDescent="0.25">
      <c r="A187" s="101" t="str">
        <f>'Data Vlaue (Cr)'!C183</f>
        <v>SUNPHARMA</v>
      </c>
      <c r="B187" s="144">
        <f>VLOOKUP($A187,'Data shares'!$C:$FA,7)</f>
        <v>1784.5</v>
      </c>
      <c r="C187" s="144">
        <f>VLOOKUP($A187,'Data shares'!$C:$FA,3)</f>
        <v>1790.1</v>
      </c>
      <c r="D187" s="144">
        <f>VLOOKUP($A187,'Data shares'!$C:$FA,23)</f>
        <v>5.6</v>
      </c>
      <c r="E187" s="145">
        <f>VLOOKUP($A187,'Data shares'!$C:$FA,26)*100</f>
        <v>0.31</v>
      </c>
      <c r="F187" s="144">
        <f>VLOOKUP($A187,'Data shares'!$C:$FA,24)</f>
        <v>4.5</v>
      </c>
      <c r="G187" s="144">
        <f>VLOOKUP($A187,'Data shares'!$C:$FA,25)</f>
        <v>1.1000000000000001</v>
      </c>
    </row>
    <row r="188" spans="1:7" x14ac:dyDescent="0.25">
      <c r="A188" s="101" t="str">
        <f>'Data Vlaue (Cr)'!C184</f>
        <v>SUPREMEIND</v>
      </c>
      <c r="B188" s="144">
        <f>VLOOKUP($A188,'Data shares'!$C:$FA,7)</f>
        <v>3950.2</v>
      </c>
      <c r="C188" s="144">
        <f>VLOOKUP($A188,'Data shares'!$C:$FA,3)</f>
        <v>3961.9</v>
      </c>
      <c r="D188" s="144">
        <f>VLOOKUP($A188,'Data shares'!$C:$FA,23)</f>
        <v>11.7</v>
      </c>
      <c r="E188" s="145">
        <f>VLOOKUP($A188,'Data shares'!$C:$FA,26)*100</f>
        <v>0.3</v>
      </c>
      <c r="F188" s="144">
        <f>VLOOKUP($A188,'Data shares'!$C:$FA,24)</f>
        <v>11.8</v>
      </c>
      <c r="G188" s="144">
        <f>VLOOKUP($A188,'Data shares'!$C:$FA,25)</f>
        <v>-0.1</v>
      </c>
    </row>
    <row r="189" spans="1:7" x14ac:dyDescent="0.25">
      <c r="A189" s="101" t="str">
        <f>'Data Vlaue (Cr)'!C185</f>
        <v>SUZLON</v>
      </c>
      <c r="B189" s="144">
        <f>VLOOKUP($A189,'Data shares'!$C:$FA,7)</f>
        <v>40.25</v>
      </c>
      <c r="C189" s="144">
        <f>VLOOKUP($A189,'Data shares'!$C:$FA,3)</f>
        <v>40.42</v>
      </c>
      <c r="D189" s="144">
        <f>VLOOKUP($A189,'Data shares'!$C:$FA,23)</f>
        <v>0.17</v>
      </c>
      <c r="E189" s="145">
        <f>VLOOKUP($A189,'Data shares'!$C:$FA,26)*100</f>
        <v>0.42</v>
      </c>
      <c r="F189" s="144">
        <f>VLOOKUP($A189,'Data shares'!$C:$FA,24)</f>
        <v>0.17</v>
      </c>
      <c r="G189" s="144">
        <f>VLOOKUP($A189,'Data shares'!$C:$FA,25)</f>
        <v>0</v>
      </c>
    </row>
    <row r="190" spans="1:7" x14ac:dyDescent="0.25">
      <c r="A190" s="101" t="str">
        <f>'Data Vlaue (Cr)'!C186</f>
        <v>SWIGGY</v>
      </c>
      <c r="B190" s="144">
        <f>VLOOKUP($A190,'Data shares'!$C:$FA,7)</f>
        <v>298.39999999999998</v>
      </c>
      <c r="C190" s="144">
        <f>VLOOKUP($A190,'Data shares'!$C:$FA,3)</f>
        <v>298.05</v>
      </c>
      <c r="D190" s="144">
        <f>VLOOKUP($A190,'Data shares'!$C:$FA,23)</f>
        <v>-0.35</v>
      </c>
      <c r="E190" s="145">
        <f>VLOOKUP($A190,'Data shares'!$C:$FA,26)*100</f>
        <v>-0.12</v>
      </c>
      <c r="F190" s="144">
        <f>VLOOKUP($A190,'Data shares'!$C:$FA,24)</f>
        <v>-3.05</v>
      </c>
      <c r="G190" s="144">
        <f>VLOOKUP($A190,'Data shares'!$C:$FA,25)</f>
        <v>2.7</v>
      </c>
    </row>
    <row r="191" spans="1:7" x14ac:dyDescent="0.25">
      <c r="A191" s="101" t="str">
        <f>'Data Vlaue (Cr)'!C187</f>
        <v>SYNGENE</v>
      </c>
      <c r="B191" s="144">
        <f>VLOOKUP($A191,'Data shares'!$C:$FA,7)</f>
        <v>403.7</v>
      </c>
      <c r="C191" s="144">
        <f>VLOOKUP($A191,'Data shares'!$C:$FA,3)</f>
        <v>405.8</v>
      </c>
      <c r="D191" s="144">
        <f>VLOOKUP($A191,'Data shares'!$C:$FA,23)</f>
        <v>2.1</v>
      </c>
      <c r="E191" s="145">
        <f>VLOOKUP($A191,'Data shares'!$C:$FA,26)*100</f>
        <v>0.52</v>
      </c>
      <c r="F191" s="144">
        <f>VLOOKUP($A191,'Data shares'!$C:$FA,24)</f>
        <v>0.85</v>
      </c>
      <c r="G191" s="144">
        <f>VLOOKUP($A191,'Data shares'!$C:$FA,25)</f>
        <v>1.25</v>
      </c>
    </row>
    <row r="192" spans="1:7" x14ac:dyDescent="0.25">
      <c r="A192" s="101" t="str">
        <f>'Data Vlaue (Cr)'!C188</f>
        <v>TATACONSUM</v>
      </c>
      <c r="B192" s="144">
        <f>VLOOKUP($A192,'Data shares'!$C:$FA,7)</f>
        <v>1119.0999999999999</v>
      </c>
      <c r="C192" s="144">
        <f>VLOOKUP($A192,'Data shares'!$C:$FA,3)</f>
        <v>1121.7</v>
      </c>
      <c r="D192" s="144">
        <f>VLOOKUP($A192,'Data shares'!$C:$FA,23)</f>
        <v>2.6</v>
      </c>
      <c r="E192" s="145">
        <f>VLOOKUP($A192,'Data shares'!$C:$FA,26)*100</f>
        <v>0.22999999999999998</v>
      </c>
      <c r="F192" s="144">
        <f>VLOOKUP($A192,'Data shares'!$C:$FA,24)</f>
        <v>4.4000000000000004</v>
      </c>
      <c r="G192" s="144">
        <f>VLOOKUP($A192,'Data shares'!$C:$FA,25)</f>
        <v>-1.8</v>
      </c>
    </row>
    <row r="193" spans="1:7" x14ac:dyDescent="0.25">
      <c r="A193" s="101" t="str">
        <f>'Data Vlaue (Cr)'!C189</f>
        <v>TATAELXSI</v>
      </c>
      <c r="B193" s="144">
        <f>VLOOKUP($A193,'Data shares'!$C:$FA,7)</f>
        <v>4400</v>
      </c>
      <c r="C193" s="144">
        <f>VLOOKUP($A193,'Data shares'!$C:$FA,3)</f>
        <v>4380</v>
      </c>
      <c r="D193" s="144">
        <f>VLOOKUP($A193,'Data shares'!$C:$FA,23)</f>
        <v>-20</v>
      </c>
      <c r="E193" s="145">
        <f>VLOOKUP($A193,'Data shares'!$C:$FA,26)*100</f>
        <v>-0.44999999999999996</v>
      </c>
      <c r="F193" s="144">
        <f>VLOOKUP($A193,'Data shares'!$C:$FA,24)</f>
        <v>7.3</v>
      </c>
      <c r="G193" s="144">
        <f>VLOOKUP($A193,'Data shares'!$C:$FA,25)</f>
        <v>-27.3</v>
      </c>
    </row>
    <row r="194" spans="1:7" x14ac:dyDescent="0.25">
      <c r="A194" s="101" t="str">
        <f>'Data Vlaue (Cr)'!C190</f>
        <v>TATAPOWER</v>
      </c>
      <c r="B194" s="144">
        <f>VLOOKUP($A194,'Data shares'!$C:$FA,7)</f>
        <v>376.85</v>
      </c>
      <c r="C194" s="144">
        <f>VLOOKUP($A194,'Data shares'!$C:$FA,3)</f>
        <v>378.65</v>
      </c>
      <c r="D194" s="144">
        <f>VLOOKUP($A194,'Data shares'!$C:$FA,23)</f>
        <v>1.8</v>
      </c>
      <c r="E194" s="145">
        <f>VLOOKUP($A194,'Data shares'!$C:$FA,26)*100</f>
        <v>0.48</v>
      </c>
      <c r="F194" s="144">
        <f>VLOOKUP($A194,'Data shares'!$C:$FA,24)</f>
        <v>1.65</v>
      </c>
      <c r="G194" s="144">
        <f>VLOOKUP($A194,'Data shares'!$C:$FA,25)</f>
        <v>0.15</v>
      </c>
    </row>
    <row r="195" spans="1:7" x14ac:dyDescent="0.25">
      <c r="A195" s="101" t="str">
        <f>'Data Vlaue (Cr)'!C191</f>
        <v>TATASTEEL</v>
      </c>
      <c r="B195" s="144">
        <f>VLOOKUP($A195,'Data shares'!$C:$FA,7)</f>
        <v>200.57</v>
      </c>
      <c r="C195" s="144">
        <f>VLOOKUP($A195,'Data shares'!$C:$FA,3)</f>
        <v>200.9</v>
      </c>
      <c r="D195" s="144">
        <f>VLOOKUP($A195,'Data shares'!$C:$FA,23)</f>
        <v>0.33</v>
      </c>
      <c r="E195" s="145">
        <f>VLOOKUP($A195,'Data shares'!$C:$FA,26)*100</f>
        <v>0.16</v>
      </c>
      <c r="F195" s="144">
        <f>VLOOKUP($A195,'Data shares'!$C:$FA,24)</f>
        <v>0.33</v>
      </c>
      <c r="G195" s="144">
        <f>VLOOKUP($A195,'Data shares'!$C:$FA,25)</f>
        <v>0</v>
      </c>
    </row>
    <row r="196" spans="1:7" x14ac:dyDescent="0.25">
      <c r="A196" s="101" t="str">
        <f>'Data Vlaue (Cr)'!C192</f>
        <v>TATATECH</v>
      </c>
      <c r="B196" s="144">
        <f>VLOOKUP($A196,'Data shares'!$C:$FA,7)</f>
        <v>576.1</v>
      </c>
      <c r="C196" s="144">
        <f>VLOOKUP($A196,'Data shares'!$C:$FA,3)</f>
        <v>578.85</v>
      </c>
      <c r="D196" s="144">
        <f>VLOOKUP($A196,'Data shares'!$C:$FA,23)</f>
        <v>2.75</v>
      </c>
      <c r="E196" s="145">
        <f>VLOOKUP($A196,'Data shares'!$C:$FA,26)*100</f>
        <v>0.48</v>
      </c>
      <c r="F196" s="144">
        <f>VLOOKUP($A196,'Data shares'!$C:$FA,24)</f>
        <v>2.85</v>
      </c>
      <c r="G196" s="144">
        <f>VLOOKUP($A196,'Data shares'!$C:$FA,25)</f>
        <v>-0.1</v>
      </c>
    </row>
    <row r="197" spans="1:7" x14ac:dyDescent="0.25">
      <c r="A197" s="101" t="str">
        <f>'Data Vlaue (Cr)'!C193</f>
        <v>TCS</v>
      </c>
      <c r="B197" s="144">
        <f>VLOOKUP($A197,'Data shares'!$C:$FA,7)</f>
        <v>2578.8000000000002</v>
      </c>
      <c r="C197" s="144">
        <f>VLOOKUP($A197,'Data shares'!$C:$FA,3)</f>
        <v>2589.5</v>
      </c>
      <c r="D197" s="144">
        <f>VLOOKUP($A197,'Data shares'!$C:$FA,23)</f>
        <v>10.7</v>
      </c>
      <c r="E197" s="145">
        <f>VLOOKUP($A197,'Data shares'!$C:$FA,26)*100</f>
        <v>0.41000000000000003</v>
      </c>
      <c r="F197" s="144">
        <f>VLOOKUP($A197,'Data shares'!$C:$FA,24)</f>
        <v>9.1999999999999993</v>
      </c>
      <c r="G197" s="144">
        <f>VLOOKUP($A197,'Data shares'!$C:$FA,25)</f>
        <v>1.5</v>
      </c>
    </row>
    <row r="198" spans="1:7" x14ac:dyDescent="0.25">
      <c r="A198" s="101" t="str">
        <f>'Data Vlaue (Cr)'!C194</f>
        <v>TECHM</v>
      </c>
      <c r="B198" s="144">
        <f>VLOOKUP($A198,'Data shares'!$C:$FA,7)</f>
        <v>1333.3</v>
      </c>
      <c r="C198" s="144">
        <f>VLOOKUP($A198,'Data shares'!$C:$FA,3)</f>
        <v>1336.5</v>
      </c>
      <c r="D198" s="144">
        <f>VLOOKUP($A198,'Data shares'!$C:$FA,23)</f>
        <v>3.2</v>
      </c>
      <c r="E198" s="145">
        <f>VLOOKUP($A198,'Data shares'!$C:$FA,26)*100</f>
        <v>0.24</v>
      </c>
      <c r="F198" s="144">
        <f>VLOOKUP($A198,'Data shares'!$C:$FA,24)</f>
        <v>3</v>
      </c>
      <c r="G198" s="144">
        <f>VLOOKUP($A198,'Data shares'!$C:$FA,25)</f>
        <v>0.2</v>
      </c>
    </row>
    <row r="199" spans="1:7" x14ac:dyDescent="0.25">
      <c r="A199" s="101" t="str">
        <f>'Data Vlaue (Cr)'!C195</f>
        <v>TIINDIA</v>
      </c>
      <c r="B199" s="144">
        <f>VLOOKUP($A199,'Data shares'!$C:$FA,7)</f>
        <v>2781.9</v>
      </c>
      <c r="C199" s="144">
        <f>VLOOKUP($A199,'Data shares'!$C:$FA,3)</f>
        <v>2768.4</v>
      </c>
      <c r="D199" s="144">
        <f>VLOOKUP($A199,'Data shares'!$C:$FA,23)</f>
        <v>-13.5</v>
      </c>
      <c r="E199" s="145">
        <f>VLOOKUP($A199,'Data shares'!$C:$FA,26)*100</f>
        <v>-0.49</v>
      </c>
      <c r="F199" s="144">
        <f>VLOOKUP($A199,'Data shares'!$C:$FA,24)</f>
        <v>-3.5</v>
      </c>
      <c r="G199" s="144">
        <f>VLOOKUP($A199,'Data shares'!$C:$FA,25)</f>
        <v>-10</v>
      </c>
    </row>
    <row r="200" spans="1:7" x14ac:dyDescent="0.25">
      <c r="A200" s="101" t="str">
        <f>'Data Vlaue (Cr)'!C196</f>
        <v>TITAN</v>
      </c>
      <c r="B200" s="144">
        <f>VLOOKUP($A200,'Data shares'!$C:$FA,7)</f>
        <v>4275.2</v>
      </c>
      <c r="C200" s="144">
        <f>VLOOKUP($A200,'Data shares'!$C:$FA,3)</f>
        <v>4288.3</v>
      </c>
      <c r="D200" s="144">
        <f>VLOOKUP($A200,'Data shares'!$C:$FA,23)</f>
        <v>13.1</v>
      </c>
      <c r="E200" s="145">
        <f>VLOOKUP($A200,'Data shares'!$C:$FA,26)*100</f>
        <v>0.31</v>
      </c>
      <c r="F200" s="144">
        <f>VLOOKUP($A200,'Data shares'!$C:$FA,24)</f>
        <v>15.2</v>
      </c>
      <c r="G200" s="144">
        <f>VLOOKUP($A200,'Data shares'!$C:$FA,25)</f>
        <v>-2.1</v>
      </c>
    </row>
    <row r="201" spans="1:7" x14ac:dyDescent="0.25">
      <c r="A201" s="101" t="str">
        <f>'Data Vlaue (Cr)'!C197</f>
        <v>TMPV</v>
      </c>
      <c r="B201" s="144">
        <f>VLOOKUP($A201,'Data shares'!$C:$FA,7)</f>
        <v>355.15</v>
      </c>
      <c r="C201" s="144">
        <f>VLOOKUP($A201,'Data shares'!$C:$FA,3)</f>
        <v>356.55</v>
      </c>
      <c r="D201" s="144">
        <f>VLOOKUP($A201,'Data shares'!$C:$FA,23)</f>
        <v>1.4</v>
      </c>
      <c r="E201" s="145">
        <f>VLOOKUP($A201,'Data shares'!$C:$FA,26)*100</f>
        <v>0.38999999999999996</v>
      </c>
      <c r="F201" s="144">
        <f>VLOOKUP($A201,'Data shares'!$C:$FA,24)</f>
        <v>1.1499999999999999</v>
      </c>
      <c r="G201" s="144">
        <f>VLOOKUP($A201,'Data shares'!$C:$FA,25)</f>
        <v>0.25</v>
      </c>
    </row>
    <row r="202" spans="1:7" x14ac:dyDescent="0.25">
      <c r="A202" s="101" t="str">
        <f>'Data Vlaue (Cr)'!C198</f>
        <v>TORNTPHARM</v>
      </c>
      <c r="B202" s="144">
        <f>VLOOKUP($A202,'Data shares'!$C:$FA,7)</f>
        <v>4353.3999999999996</v>
      </c>
      <c r="C202" s="144">
        <f>VLOOKUP($A202,'Data shares'!$C:$FA,3)</f>
        <v>4372.3</v>
      </c>
      <c r="D202" s="144">
        <f>VLOOKUP($A202,'Data shares'!$C:$FA,23)</f>
        <v>18.899999999999999</v>
      </c>
      <c r="E202" s="145">
        <f>VLOOKUP($A202,'Data shares'!$C:$FA,26)*100</f>
        <v>0.43</v>
      </c>
      <c r="F202" s="144">
        <f>VLOOKUP($A202,'Data shares'!$C:$FA,24)</f>
        <v>13.7</v>
      </c>
      <c r="G202" s="144">
        <f>VLOOKUP($A202,'Data shares'!$C:$FA,25)</f>
        <v>5.2</v>
      </c>
    </row>
    <row r="203" spans="1:7" x14ac:dyDescent="0.25">
      <c r="A203" s="101" t="str">
        <f>'Data Vlaue (Cr)'!C199</f>
        <v>TORNTPOWER</v>
      </c>
      <c r="B203" s="144">
        <f>VLOOKUP($A203,'Data shares'!$C:$FA,7)</f>
        <v>1503.9</v>
      </c>
      <c r="C203" s="144">
        <f>VLOOKUP($A203,'Data shares'!$C:$FA,3)</f>
        <v>1507.3</v>
      </c>
      <c r="D203" s="144">
        <f>VLOOKUP($A203,'Data shares'!$C:$FA,23)</f>
        <v>3.4</v>
      </c>
      <c r="E203" s="145">
        <f>VLOOKUP($A203,'Data shares'!$C:$FA,26)*100</f>
        <v>0.22999999999999998</v>
      </c>
      <c r="F203" s="144">
        <f>VLOOKUP($A203,'Data shares'!$C:$FA,24)</f>
        <v>-10.199999999999999</v>
      </c>
      <c r="G203" s="144">
        <f>VLOOKUP($A203,'Data shares'!$C:$FA,25)</f>
        <v>13.6</v>
      </c>
    </row>
    <row r="204" spans="1:7" x14ac:dyDescent="0.25">
      <c r="A204" s="101" t="str">
        <f>'Data Vlaue (Cr)'!C200</f>
        <v>TRENT</v>
      </c>
      <c r="B204" s="144">
        <f>VLOOKUP($A204,'Data shares'!$C:$FA,7)</f>
        <v>3790.9</v>
      </c>
      <c r="C204" s="144">
        <f>VLOOKUP($A204,'Data shares'!$C:$FA,3)</f>
        <v>3796.1</v>
      </c>
      <c r="D204" s="144">
        <f>VLOOKUP($A204,'Data shares'!$C:$FA,23)</f>
        <v>5.2</v>
      </c>
      <c r="E204" s="145">
        <f>VLOOKUP($A204,'Data shares'!$C:$FA,26)*100</f>
        <v>0.13999999999999999</v>
      </c>
      <c r="F204" s="144">
        <f>VLOOKUP($A204,'Data shares'!$C:$FA,24)</f>
        <v>7</v>
      </c>
      <c r="G204" s="144">
        <f>VLOOKUP($A204,'Data shares'!$C:$FA,25)</f>
        <v>-1.8</v>
      </c>
    </row>
    <row r="205" spans="1:7" x14ac:dyDescent="0.25">
      <c r="A205" s="101" t="str">
        <f>'Data Vlaue (Cr)'!C201</f>
        <v>TVSMOTOR</v>
      </c>
      <c r="B205" s="144">
        <f>VLOOKUP($A205,'Data shares'!$C:$FA,7)</f>
        <v>3818.4</v>
      </c>
      <c r="C205" s="144">
        <f>VLOOKUP($A205,'Data shares'!$C:$FA,3)</f>
        <v>3814.6</v>
      </c>
      <c r="D205" s="144">
        <f>VLOOKUP($A205,'Data shares'!$C:$FA,23)</f>
        <v>-3.8</v>
      </c>
      <c r="E205" s="145">
        <f>VLOOKUP($A205,'Data shares'!$C:$FA,26)*100</f>
        <v>-0.1</v>
      </c>
      <c r="F205" s="144">
        <f>VLOOKUP($A205,'Data shares'!$C:$FA,24)</f>
        <v>-3.7</v>
      </c>
      <c r="G205" s="144">
        <f>VLOOKUP($A205,'Data shares'!$C:$FA,25)</f>
        <v>-0.1</v>
      </c>
    </row>
    <row r="206" spans="1:7" x14ac:dyDescent="0.25">
      <c r="A206" s="101" t="str">
        <f>'Data Vlaue (Cr)'!C202</f>
        <v>ULTRACEMCO</v>
      </c>
      <c r="B206" s="144">
        <f>VLOOKUP($A206,'Data shares'!$C:$FA,7)</f>
        <v>12288</v>
      </c>
      <c r="C206" s="144">
        <f>VLOOKUP($A206,'Data shares'!$C:$FA,3)</f>
        <v>12303</v>
      </c>
      <c r="D206" s="144">
        <f>VLOOKUP($A206,'Data shares'!$C:$FA,23)</f>
        <v>15</v>
      </c>
      <c r="E206" s="145">
        <f>VLOOKUP($A206,'Data shares'!$C:$FA,26)*100</f>
        <v>0.12</v>
      </c>
      <c r="F206" s="144">
        <f>VLOOKUP($A206,'Data shares'!$C:$FA,24)</f>
        <v>35</v>
      </c>
      <c r="G206" s="144">
        <f>VLOOKUP($A206,'Data shares'!$C:$FA,25)</f>
        <v>-20</v>
      </c>
    </row>
    <row r="207" spans="1:7" x14ac:dyDescent="0.25">
      <c r="A207" s="101" t="str">
        <f>'Data Vlaue (Cr)'!C203</f>
        <v>UNIONBANK</v>
      </c>
      <c r="B207" s="144">
        <f>VLOOKUP($A207,'Data shares'!$C:$FA,7)</f>
        <v>191.2</v>
      </c>
      <c r="C207" s="144">
        <f>VLOOKUP($A207,'Data shares'!$C:$FA,3)</f>
        <v>192.04</v>
      </c>
      <c r="D207" s="144">
        <f>VLOOKUP($A207,'Data shares'!$C:$FA,23)</f>
        <v>0.84</v>
      </c>
      <c r="E207" s="145">
        <f>VLOOKUP($A207,'Data shares'!$C:$FA,26)*100</f>
        <v>0.44</v>
      </c>
      <c r="F207" s="144">
        <f>VLOOKUP($A207,'Data shares'!$C:$FA,24)</f>
        <v>0.9</v>
      </c>
      <c r="G207" s="144">
        <f>VLOOKUP($A207,'Data shares'!$C:$FA,25)</f>
        <v>-0.06</v>
      </c>
    </row>
    <row r="208" spans="1:7" x14ac:dyDescent="0.25">
      <c r="A208" s="101" t="str">
        <f>'Data Vlaue (Cr)'!C204</f>
        <v>UNITDSPR</v>
      </c>
      <c r="B208" s="144">
        <f>VLOOKUP($A208,'Data shares'!$C:$FA,7)</f>
        <v>1325.8</v>
      </c>
      <c r="C208" s="144">
        <f>VLOOKUP($A208,'Data shares'!$C:$FA,3)</f>
        <v>1329.5</v>
      </c>
      <c r="D208" s="144">
        <f>VLOOKUP($A208,'Data shares'!$C:$FA,23)</f>
        <v>3.7</v>
      </c>
      <c r="E208" s="145">
        <f>VLOOKUP($A208,'Data shares'!$C:$FA,26)*100</f>
        <v>0.27999999999999997</v>
      </c>
      <c r="F208" s="144">
        <f>VLOOKUP($A208,'Data shares'!$C:$FA,24)</f>
        <v>2.5</v>
      </c>
      <c r="G208" s="144">
        <f>VLOOKUP($A208,'Data shares'!$C:$FA,25)</f>
        <v>1.2</v>
      </c>
    </row>
    <row r="209" spans="1:7" x14ac:dyDescent="0.25">
      <c r="A209" s="101" t="str">
        <f>'Data Vlaue (Cr)'!C205</f>
        <v>UNOMINDA</v>
      </c>
      <c r="B209" s="144">
        <f>VLOOKUP($A209,'Data shares'!$C:$FA,7)</f>
        <v>1118.3</v>
      </c>
      <c r="C209" s="144">
        <f>VLOOKUP($A209,'Data shares'!$C:$FA,3)</f>
        <v>1121.4000000000001</v>
      </c>
      <c r="D209" s="144">
        <f>VLOOKUP($A209,'Data shares'!$C:$FA,23)</f>
        <v>3.1</v>
      </c>
      <c r="E209" s="145">
        <f>VLOOKUP($A209,'Data shares'!$C:$FA,26)*100</f>
        <v>0.27999999999999997</v>
      </c>
      <c r="F209" s="144">
        <f>VLOOKUP($A209,'Data shares'!$C:$FA,24)</f>
        <v>2.2000000000000002</v>
      </c>
      <c r="G209" s="144">
        <f>VLOOKUP($A209,'Data shares'!$C:$FA,25)</f>
        <v>0.9</v>
      </c>
    </row>
    <row r="210" spans="1:7" x14ac:dyDescent="0.25">
      <c r="A210" s="101" t="str">
        <f>'Data Vlaue (Cr)'!C206</f>
        <v>UPL</v>
      </c>
      <c r="B210" s="144">
        <f>VLOOKUP($A210,'Data shares'!$C:$FA,7)</f>
        <v>629.6</v>
      </c>
      <c r="C210" s="144">
        <f>VLOOKUP($A210,'Data shares'!$C:$FA,3)</f>
        <v>631</v>
      </c>
      <c r="D210" s="144">
        <f>VLOOKUP($A210,'Data shares'!$C:$FA,23)</f>
        <v>1.4</v>
      </c>
      <c r="E210" s="145">
        <f>VLOOKUP($A210,'Data shares'!$C:$FA,26)*100</f>
        <v>0.22</v>
      </c>
      <c r="F210" s="144">
        <f>VLOOKUP($A210,'Data shares'!$C:$FA,24)</f>
        <v>1.2</v>
      </c>
      <c r="G210" s="144">
        <f>VLOOKUP($A210,'Data shares'!$C:$FA,25)</f>
        <v>0.2</v>
      </c>
    </row>
    <row r="211" spans="1:7" x14ac:dyDescent="0.25">
      <c r="A211" s="101" t="str">
        <f>'Data Vlaue (Cr)'!C207</f>
        <v>VBL</v>
      </c>
      <c r="B211" s="144">
        <f>VLOOKUP($A211,'Data shares'!$C:$FA,7)</f>
        <v>445.75</v>
      </c>
      <c r="C211" s="144">
        <f>VLOOKUP($A211,'Data shares'!$C:$FA,3)</f>
        <v>446.25</v>
      </c>
      <c r="D211" s="144">
        <f>VLOOKUP($A211,'Data shares'!$C:$FA,23)</f>
        <v>0.5</v>
      </c>
      <c r="E211" s="145">
        <f>VLOOKUP($A211,'Data shares'!$C:$FA,26)*100</f>
        <v>0.11</v>
      </c>
      <c r="F211" s="144">
        <f>VLOOKUP($A211,'Data shares'!$C:$FA,24)</f>
        <v>0.95</v>
      </c>
      <c r="G211" s="144">
        <f>VLOOKUP($A211,'Data shares'!$C:$FA,25)</f>
        <v>-0.45</v>
      </c>
    </row>
    <row r="212" spans="1:7" x14ac:dyDescent="0.25">
      <c r="A212" s="101" t="str">
        <f>'Data Vlaue (Cr)'!C208</f>
        <v>VEDL</v>
      </c>
      <c r="B212" s="144">
        <f>VLOOKUP($A212,'Data shares'!$C:$FA,7)</f>
        <v>711.25</v>
      </c>
      <c r="C212" s="144">
        <f>VLOOKUP($A212,'Data shares'!$C:$FA,3)</f>
        <v>712.4</v>
      </c>
      <c r="D212" s="144">
        <f>VLOOKUP($A212,'Data shares'!$C:$FA,23)</f>
        <v>1.1499999999999999</v>
      </c>
      <c r="E212" s="145">
        <f>VLOOKUP($A212,'Data shares'!$C:$FA,26)*100</f>
        <v>0.16</v>
      </c>
      <c r="F212" s="144">
        <f>VLOOKUP($A212,'Data shares'!$C:$FA,24)</f>
        <v>2.5499999999999998</v>
      </c>
      <c r="G212" s="144">
        <f>VLOOKUP($A212,'Data shares'!$C:$FA,25)</f>
        <v>-1.4</v>
      </c>
    </row>
    <row r="213" spans="1:7" x14ac:dyDescent="0.25">
      <c r="A213" s="101" t="str">
        <f>'Data Vlaue (Cr)'!C209</f>
        <v>VOLTAS</v>
      </c>
      <c r="B213" s="144">
        <f>VLOOKUP($A213,'Data shares'!$C:$FA,7)</f>
        <v>1485.3</v>
      </c>
      <c r="C213" s="144">
        <f>VLOOKUP($A213,'Data shares'!$C:$FA,3)</f>
        <v>1488.4</v>
      </c>
      <c r="D213" s="144">
        <f>VLOOKUP($A213,'Data shares'!$C:$FA,23)</f>
        <v>3.1</v>
      </c>
      <c r="E213" s="145">
        <f>VLOOKUP($A213,'Data shares'!$C:$FA,26)*100</f>
        <v>0.21</v>
      </c>
      <c r="F213" s="144">
        <f>VLOOKUP($A213,'Data shares'!$C:$FA,24)</f>
        <v>-2.5</v>
      </c>
      <c r="G213" s="144">
        <f>VLOOKUP($A213,'Data shares'!$C:$FA,25)</f>
        <v>5.6</v>
      </c>
    </row>
    <row r="214" spans="1:7" x14ac:dyDescent="0.25">
      <c r="A214" s="101" t="str">
        <f>'Data Vlaue (Cr)'!C210</f>
        <v>WAAREEENER</v>
      </c>
      <c r="B214" s="144">
        <f>VLOOKUP($A214,'Data shares'!$C:$FA,7)</f>
        <v>2646.2</v>
      </c>
      <c r="C214" s="144">
        <f>VLOOKUP($A214,'Data shares'!$C:$FA,3)</f>
        <v>2658.8</v>
      </c>
      <c r="D214" s="144">
        <f>VLOOKUP($A214,'Data shares'!$C:$FA,23)</f>
        <v>12.6</v>
      </c>
      <c r="E214" s="145">
        <f>VLOOKUP($A214,'Data shares'!$C:$FA,26)*100</f>
        <v>0.48</v>
      </c>
      <c r="F214" s="144">
        <f>VLOOKUP($A214,'Data shares'!$C:$FA,24)</f>
        <v>12.2</v>
      </c>
      <c r="G214" s="144">
        <f>VLOOKUP($A214,'Data shares'!$C:$FA,25)</f>
        <v>0.4</v>
      </c>
    </row>
    <row r="215" spans="1:7" x14ac:dyDescent="0.25">
      <c r="A215" s="101" t="str">
        <f>'Data Vlaue (Cr)'!C211</f>
        <v>WIPRO</v>
      </c>
      <c r="B215" s="144">
        <f>VLOOKUP($A215,'Data shares'!$C:$FA,7)</f>
        <v>195.68</v>
      </c>
      <c r="C215" s="144">
        <f>VLOOKUP($A215,'Data shares'!$C:$FA,3)</f>
        <v>196.02</v>
      </c>
      <c r="D215" s="144">
        <f>VLOOKUP($A215,'Data shares'!$C:$FA,23)</f>
        <v>0.34</v>
      </c>
      <c r="E215" s="145">
        <f>VLOOKUP($A215,'Data shares'!$C:$FA,26)*100</f>
        <v>0.16999999999999998</v>
      </c>
      <c r="F215" s="144">
        <f>VLOOKUP($A215,'Data shares'!$C:$FA,24)</f>
        <v>0.31</v>
      </c>
      <c r="G215" s="144">
        <f>VLOOKUP($A215,'Data shares'!$C:$FA,25)</f>
        <v>0.03</v>
      </c>
    </row>
    <row r="216" spans="1:7" x14ac:dyDescent="0.25">
      <c r="A216" s="101" t="str">
        <f>'Data Vlaue (Cr)'!C213</f>
        <v>ZYDUSLIFE</v>
      </c>
      <c r="B216" s="144">
        <f>VLOOKUP($A216,'Data shares'!$C:$FA,7)</f>
        <v>914.65</v>
      </c>
      <c r="C216" s="144">
        <f>VLOOKUP($A216,'Data shares'!$C:$FA,3)</f>
        <v>916.4</v>
      </c>
      <c r="D216" s="144">
        <f>VLOOKUP($A216,'Data shares'!$C:$FA,23)</f>
        <v>1.75</v>
      </c>
      <c r="E216" s="145">
        <f>VLOOKUP($A216,'Data shares'!$C:$FA,26)*100</f>
        <v>0.19</v>
      </c>
      <c r="F216" s="144">
        <f>VLOOKUP($A216,'Data shares'!$C:$FA,24)</f>
        <v>3.75</v>
      </c>
      <c r="G216" s="144">
        <f>VLOOKUP($A216,'Data shares'!$C:$FA,25)</f>
        <v>-2</v>
      </c>
    </row>
    <row r="217" spans="1:7" x14ac:dyDescent="0.25">
      <c r="A217" s="101"/>
      <c r="B217" s="144"/>
      <c r="C217" s="144"/>
      <c r="D217" s="144"/>
      <c r="E217" s="145"/>
      <c r="F217" s="144"/>
      <c r="G217" s="144"/>
    </row>
    <row r="218" spans="1:7" x14ac:dyDescent="0.25">
      <c r="A218" s="101"/>
      <c r="B218" s="144"/>
      <c r="C218" s="144"/>
      <c r="D218" s="144"/>
      <c r="E218" s="145"/>
      <c r="F218" s="144"/>
      <c r="G218" s="144"/>
    </row>
    <row r="219" spans="1:7" x14ac:dyDescent="0.25">
      <c r="A219" s="101"/>
      <c r="B219" s="144"/>
      <c r="C219" s="144"/>
      <c r="D219" s="144"/>
      <c r="E219" s="145"/>
      <c r="F219" s="144"/>
      <c r="G219" s="144"/>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20"/>
  <sheetViews>
    <sheetView workbookViewId="0">
      <pane ySplit="6" topLeftCell="A209" activePane="bottomLeft" state="frozen"/>
      <selection pane="bottomLeft" activeCell="A218" sqref="A218:G220"/>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4" t="s">
        <v>370</v>
      </c>
      <c r="B3" s="315"/>
      <c r="C3" s="315"/>
      <c r="D3" s="315"/>
      <c r="E3" s="315"/>
      <c r="F3" s="315"/>
      <c r="G3" s="316"/>
    </row>
    <row r="4" spans="1:7" x14ac:dyDescent="0.25">
      <c r="A4" s="318" t="s">
        <v>318</v>
      </c>
      <c r="B4" s="252" t="s">
        <v>371</v>
      </c>
      <c r="C4" s="252"/>
      <c r="D4" s="252"/>
      <c r="E4" s="252"/>
      <c r="F4" s="252"/>
      <c r="G4" s="252"/>
    </row>
    <row r="5" spans="1:7" x14ac:dyDescent="0.25">
      <c r="A5" s="319"/>
      <c r="B5" s="317" t="s">
        <v>372</v>
      </c>
      <c r="C5" s="317"/>
      <c r="D5" s="317"/>
      <c r="E5" s="317" t="s">
        <v>373</v>
      </c>
      <c r="F5" s="317"/>
      <c r="G5" s="317"/>
    </row>
    <row r="6" spans="1:7" x14ac:dyDescent="0.25">
      <c r="A6" s="252"/>
      <c r="B6" s="2" t="s">
        <v>374</v>
      </c>
      <c r="C6" s="2" t="s">
        <v>375</v>
      </c>
      <c r="D6" s="2" t="s">
        <v>376</v>
      </c>
      <c r="E6" s="2" t="s">
        <v>377</v>
      </c>
      <c r="F6" s="2" t="s">
        <v>378</v>
      </c>
      <c r="G6" s="2" t="s">
        <v>379</v>
      </c>
    </row>
    <row r="7" spans="1:7" x14ac:dyDescent="0.25">
      <c r="A7" s="49" t="str">
        <f>'Data Vlaue (Cr)'!C2</f>
        <v>360ONE</v>
      </c>
      <c r="B7" s="50">
        <f>VLOOKUP($A7,'Data shares'!$C:$FM,102)</f>
        <v>29.79</v>
      </c>
      <c r="C7" s="50">
        <f>VLOOKUP($A7,'Data shares'!$C:$FM,110)</f>
        <v>28.93</v>
      </c>
      <c r="D7" s="50">
        <f>VLOOKUP($A7,'Data shares'!$C:$FM,114)</f>
        <v>33.46</v>
      </c>
      <c r="E7" s="50">
        <f>VLOOKUP($A7,'Data shares'!$C:$FM,106)</f>
        <v>41.63</v>
      </c>
      <c r="F7" s="50">
        <f>VLOOKUP($A7,'Data shares'!$C:$FM,108)</f>
        <v>-11.84</v>
      </c>
      <c r="G7" s="50">
        <f t="shared" ref="G7:G38" si="0">B7/E7</f>
        <v>0.71558971895267831</v>
      </c>
    </row>
    <row r="8" spans="1:7" x14ac:dyDescent="0.25">
      <c r="A8" s="49" t="str">
        <f>'Data Vlaue (Cr)'!C3</f>
        <v>ABB</v>
      </c>
      <c r="B8" s="50">
        <f>VLOOKUP($A8,'Data shares'!$C:$FM,102)</f>
        <v>29.81</v>
      </c>
      <c r="C8" s="50">
        <f>VLOOKUP($A8,'Data shares'!$C:$FM,110)</f>
        <v>28.52</v>
      </c>
      <c r="D8" s="50">
        <f>VLOOKUP($A8,'Data shares'!$C:$FM,114)</f>
        <v>31.77</v>
      </c>
      <c r="E8" s="50">
        <f>VLOOKUP($A8,'Data shares'!$C:$FM,106)</f>
        <v>36.54</v>
      </c>
      <c r="F8" s="50">
        <f>VLOOKUP($A8,'Data shares'!$C:$FM,108)</f>
        <v>-6.73</v>
      </c>
      <c r="G8" s="50">
        <f t="shared" si="0"/>
        <v>0.8158182813355227</v>
      </c>
    </row>
    <row r="9" spans="1:7" x14ac:dyDescent="0.25">
      <c r="A9" s="49" t="str">
        <f>'Data Vlaue (Cr)'!C4</f>
        <v>ABCAPITAL</v>
      </c>
      <c r="B9" s="50">
        <f>VLOOKUP($A9,'Data shares'!$C:$FM,102)</f>
        <v>34.39</v>
      </c>
      <c r="C9" s="50">
        <f>VLOOKUP($A9,'Data shares'!$C:$FM,110)</f>
        <v>33.799999999999997</v>
      </c>
      <c r="D9" s="50">
        <f>VLOOKUP($A9,'Data shares'!$C:$FM,114)</f>
        <v>35.51</v>
      </c>
      <c r="E9" s="50">
        <f>VLOOKUP($A9,'Data shares'!$C:$FM,106)</f>
        <v>37.61</v>
      </c>
      <c r="F9" s="50">
        <f>VLOOKUP($A9,'Data shares'!$C:$FM,108)</f>
        <v>-3.22</v>
      </c>
      <c r="G9" s="50">
        <f t="shared" si="0"/>
        <v>0.91438447221483654</v>
      </c>
    </row>
    <row r="10" spans="1:7" x14ac:dyDescent="0.25">
      <c r="A10" s="49" t="str">
        <f>'Data Vlaue (Cr)'!C5</f>
        <v>ADANIENSOL</v>
      </c>
      <c r="B10" s="50">
        <f>VLOOKUP($A10,'Data shares'!$C:$FM,102)</f>
        <v>37.49</v>
      </c>
      <c r="C10" s="50">
        <f>VLOOKUP($A10,'Data shares'!$C:$FM,110)</f>
        <v>36.64</v>
      </c>
      <c r="D10" s="50">
        <f>VLOOKUP($A10,'Data shares'!$C:$FM,114)</f>
        <v>38.770000000000003</v>
      </c>
      <c r="E10" s="50">
        <f>VLOOKUP($A10,'Data shares'!$C:$FM,106)</f>
        <v>54.29</v>
      </c>
      <c r="F10" s="50">
        <f>VLOOKUP($A10,'Data shares'!$C:$FM,108)</f>
        <v>-16.8</v>
      </c>
      <c r="G10" s="50">
        <f t="shared" si="0"/>
        <v>0.69055074599373734</v>
      </c>
    </row>
    <row r="11" spans="1:7" x14ac:dyDescent="0.25">
      <c r="A11" s="49" t="str">
        <f>'Data Vlaue (Cr)'!C6</f>
        <v>ADANIENT</v>
      </c>
      <c r="B11" s="50">
        <f>VLOOKUP($A11,'Data shares'!$C:$FM,102)</f>
        <v>35.85</v>
      </c>
      <c r="C11" s="50">
        <f>VLOOKUP($A11,'Data shares'!$C:$FM,110)</f>
        <v>35.1</v>
      </c>
      <c r="D11" s="50">
        <f>VLOOKUP($A11,'Data shares'!$C:$FM,114)</f>
        <v>36.97</v>
      </c>
      <c r="E11" s="50">
        <f>VLOOKUP($A11,'Data shares'!$C:$FM,106)</f>
        <v>48.48</v>
      </c>
      <c r="F11" s="50">
        <f>VLOOKUP($A11,'Data shares'!$C:$FM,108)</f>
        <v>-12.63</v>
      </c>
      <c r="G11" s="50">
        <f t="shared" si="0"/>
        <v>0.73948019801980203</v>
      </c>
    </row>
    <row r="12" spans="1:7" x14ac:dyDescent="0.25">
      <c r="A12" s="49" t="str">
        <f>'Data Vlaue (Cr)'!C7</f>
        <v>ADANIGREEN</v>
      </c>
      <c r="B12" s="50">
        <f>VLOOKUP($A12,'Data shares'!$C:$FM,102)</f>
        <v>43.53</v>
      </c>
      <c r="C12" s="50">
        <f>VLOOKUP($A12,'Data shares'!$C:$FM,110)</f>
        <v>43.45</v>
      </c>
      <c r="D12" s="50">
        <f>VLOOKUP($A12,'Data shares'!$C:$FM,114)</f>
        <v>43.76</v>
      </c>
      <c r="E12" s="50">
        <f>VLOOKUP($A12,'Data shares'!$C:$FM,106)</f>
        <v>58.24</v>
      </c>
      <c r="F12" s="50">
        <f>VLOOKUP($A12,'Data shares'!$C:$FM,108)</f>
        <v>-14.71</v>
      </c>
      <c r="G12" s="50">
        <f t="shared" si="0"/>
        <v>0.7474244505494505</v>
      </c>
    </row>
    <row r="13" spans="1:7" x14ac:dyDescent="0.25">
      <c r="A13" s="49" t="str">
        <f>'Data Vlaue (Cr)'!C8</f>
        <v>ADANIPORTS</v>
      </c>
      <c r="B13" s="50">
        <f>VLOOKUP($A13,'Data shares'!$C:$FM,102)</f>
        <v>32.64</v>
      </c>
      <c r="C13" s="50">
        <f>VLOOKUP($A13,'Data shares'!$C:$FM,110)</f>
        <v>31.17</v>
      </c>
      <c r="D13" s="50">
        <f>VLOOKUP($A13,'Data shares'!$C:$FM,114)</f>
        <v>34.409999999999997</v>
      </c>
      <c r="E13" s="50">
        <f>VLOOKUP($A13,'Data shares'!$C:$FM,106)</f>
        <v>39.04</v>
      </c>
      <c r="F13" s="50">
        <f>VLOOKUP($A13,'Data shares'!$C:$FM,108)</f>
        <v>-6.4</v>
      </c>
      <c r="G13" s="50">
        <f t="shared" si="0"/>
        <v>0.83606557377049184</v>
      </c>
    </row>
    <row r="14" spans="1:7" x14ac:dyDescent="0.25">
      <c r="A14" s="49" t="str">
        <f>'Data Vlaue (Cr)'!C9</f>
        <v>ALKEM</v>
      </c>
      <c r="B14" s="50">
        <f>VLOOKUP($A14,'Data shares'!$C:$FM,102)</f>
        <v>23.53</v>
      </c>
      <c r="C14" s="50">
        <f>VLOOKUP($A14,'Data shares'!$C:$FM,110)</f>
        <v>23.38</v>
      </c>
      <c r="D14" s="50">
        <f>VLOOKUP($A14,'Data shares'!$C:$FM,114)</f>
        <v>24.2</v>
      </c>
      <c r="E14" s="50">
        <f>VLOOKUP($A14,'Data shares'!$C:$FM,106)</f>
        <v>28</v>
      </c>
      <c r="F14" s="50">
        <f>VLOOKUP($A14,'Data shares'!$C:$FM,108)</f>
        <v>-4.47</v>
      </c>
      <c r="G14" s="50">
        <f t="shared" si="0"/>
        <v>0.84035714285714291</v>
      </c>
    </row>
    <row r="15" spans="1:7" x14ac:dyDescent="0.25">
      <c r="A15" s="49" t="str">
        <f>'Data Vlaue (Cr)'!C10</f>
        <v>AMBER</v>
      </c>
      <c r="B15" s="50">
        <f>VLOOKUP($A15,'Data shares'!$C:$FM,102)</f>
        <v>35.71</v>
      </c>
      <c r="C15" s="50">
        <f>VLOOKUP($A15,'Data shares'!$C:$FM,110)</f>
        <v>34.94</v>
      </c>
      <c r="D15" s="50">
        <f>VLOOKUP($A15,'Data shares'!$C:$FM,114)</f>
        <v>37.56</v>
      </c>
      <c r="E15" s="50">
        <f>VLOOKUP($A15,'Data shares'!$C:$FM,106)</f>
        <v>50.61</v>
      </c>
      <c r="F15" s="50">
        <f>VLOOKUP($A15,'Data shares'!$C:$FM,108)</f>
        <v>-14.9</v>
      </c>
      <c r="G15" s="50">
        <f t="shared" si="0"/>
        <v>0.70559178028057701</v>
      </c>
    </row>
    <row r="16" spans="1:7" x14ac:dyDescent="0.25">
      <c r="A16" s="49" t="str">
        <f>'Data Vlaue (Cr)'!C11</f>
        <v>AMBUJACEM</v>
      </c>
      <c r="B16" s="50">
        <f>VLOOKUP($A16,'Data shares'!$C:$FM,102)</f>
        <v>28.17</v>
      </c>
      <c r="C16" s="50">
        <f>VLOOKUP($A16,'Data shares'!$C:$FM,110)</f>
        <v>27.78</v>
      </c>
      <c r="D16" s="50">
        <f>VLOOKUP($A16,'Data shares'!$C:$FM,114)</f>
        <v>29.12</v>
      </c>
      <c r="E16" s="50">
        <f>VLOOKUP($A16,'Data shares'!$C:$FM,106)</f>
        <v>32.5</v>
      </c>
      <c r="F16" s="50">
        <f>VLOOKUP($A16,'Data shares'!$C:$FM,108)</f>
        <v>-4.33</v>
      </c>
      <c r="G16" s="50">
        <f t="shared" si="0"/>
        <v>0.86676923076923085</v>
      </c>
    </row>
    <row r="17" spans="1:7" x14ac:dyDescent="0.25">
      <c r="A17" s="49" t="str">
        <f>'Data Vlaue (Cr)'!C12</f>
        <v>ANGELONE</v>
      </c>
      <c r="B17" s="50">
        <f>VLOOKUP($A17,'Data shares'!$C:$FM,102)</f>
        <v>43.51</v>
      </c>
      <c r="C17" s="50">
        <f>VLOOKUP($A17,'Data shares'!$C:$FM,110)</f>
        <v>43.2</v>
      </c>
      <c r="D17" s="50">
        <f>VLOOKUP($A17,'Data shares'!$C:$FM,114)</f>
        <v>44.55</v>
      </c>
      <c r="E17" s="50">
        <f>VLOOKUP($A17,'Data shares'!$C:$FM,106)</f>
        <v>53.95</v>
      </c>
      <c r="F17" s="50">
        <f>VLOOKUP($A17,'Data shares'!$C:$FM,108)</f>
        <v>-10.44</v>
      </c>
      <c r="G17" s="50">
        <f t="shared" si="0"/>
        <v>0.80648748841519913</v>
      </c>
    </row>
    <row r="18" spans="1:7" x14ac:dyDescent="0.25">
      <c r="A18" s="49" t="str">
        <f>'Data Vlaue (Cr)'!C13</f>
        <v>APLAPOLLO</v>
      </c>
      <c r="B18" s="50">
        <f>VLOOKUP($A18,'Data shares'!$C:$FM,102)</f>
        <v>24.5</v>
      </c>
      <c r="C18" s="50">
        <f>VLOOKUP($A18,'Data shares'!$C:$FM,110)</f>
        <v>23.89</v>
      </c>
      <c r="D18" s="50">
        <f>VLOOKUP($A18,'Data shares'!$C:$FM,114)</f>
        <v>25.17</v>
      </c>
      <c r="E18" s="50">
        <f>VLOOKUP($A18,'Data shares'!$C:$FM,106)</f>
        <v>32.049999999999997</v>
      </c>
      <c r="F18" s="50">
        <f>VLOOKUP($A18,'Data shares'!$C:$FM,108)</f>
        <v>-7.55</v>
      </c>
      <c r="G18" s="50">
        <f t="shared" si="0"/>
        <v>0.76443057722308894</v>
      </c>
    </row>
    <row r="19" spans="1:7" x14ac:dyDescent="0.25">
      <c r="A19" s="49" t="str">
        <f>'Data Vlaue (Cr)'!C14</f>
        <v>APOLLOHOSP</v>
      </c>
      <c r="B19" s="50">
        <f>VLOOKUP($A19,'Data shares'!$C:$FM,102)</f>
        <v>20.87</v>
      </c>
      <c r="C19" s="50">
        <f>VLOOKUP($A19,'Data shares'!$C:$FM,110)</f>
        <v>20.28</v>
      </c>
      <c r="D19" s="50">
        <f>VLOOKUP($A19,'Data shares'!$C:$FM,114)</f>
        <v>21.9</v>
      </c>
      <c r="E19" s="50">
        <f>VLOOKUP($A19,'Data shares'!$C:$FM,106)</f>
        <v>24.65</v>
      </c>
      <c r="F19" s="50">
        <f>VLOOKUP($A19,'Data shares'!$C:$FM,108)</f>
        <v>-3.78</v>
      </c>
      <c r="G19" s="50">
        <f t="shared" si="0"/>
        <v>0.84665314401622727</v>
      </c>
    </row>
    <row r="20" spans="1:7" x14ac:dyDescent="0.25">
      <c r="A20" s="49" t="str">
        <f>'Data Vlaue (Cr)'!C15</f>
        <v>ASHOKLEY</v>
      </c>
      <c r="B20" s="50">
        <f>VLOOKUP($A20,'Data shares'!$C:$FM,102)</f>
        <v>31.53</v>
      </c>
      <c r="C20" s="50">
        <f>VLOOKUP($A20,'Data shares'!$C:$FM,110)</f>
        <v>30.63</v>
      </c>
      <c r="D20" s="50">
        <f>VLOOKUP($A20,'Data shares'!$C:$FM,114)</f>
        <v>33.1</v>
      </c>
      <c r="E20" s="50">
        <f>VLOOKUP($A20,'Data shares'!$C:$FM,106)</f>
        <v>35.25</v>
      </c>
      <c r="F20" s="50">
        <f>VLOOKUP($A20,'Data shares'!$C:$FM,108)</f>
        <v>-3.72</v>
      </c>
      <c r="G20" s="50">
        <f t="shared" si="0"/>
        <v>0.89446808510638298</v>
      </c>
    </row>
    <row r="21" spans="1:7" x14ac:dyDescent="0.25">
      <c r="A21" s="49" t="str">
        <f>'Data Vlaue (Cr)'!C16</f>
        <v>ASIANPAINT</v>
      </c>
      <c r="B21" s="50">
        <f>VLOOKUP($A21,'Data shares'!$C:$FM,102)</f>
        <v>25.33</v>
      </c>
      <c r="C21" s="50">
        <f>VLOOKUP($A21,'Data shares'!$C:$FM,110)</f>
        <v>23.6</v>
      </c>
      <c r="D21" s="50">
        <f>VLOOKUP($A21,'Data shares'!$C:$FM,114)</f>
        <v>27.29</v>
      </c>
      <c r="E21" s="50">
        <f>VLOOKUP($A21,'Data shares'!$C:$FM,106)</f>
        <v>26.34</v>
      </c>
      <c r="F21" s="50">
        <f>VLOOKUP($A21,'Data shares'!$C:$FM,108)</f>
        <v>-1.01</v>
      </c>
      <c r="G21" s="50">
        <f t="shared" si="0"/>
        <v>0.96165527714502652</v>
      </c>
    </row>
    <row r="22" spans="1:7" x14ac:dyDescent="0.25">
      <c r="A22" s="49" t="str">
        <f>'Data Vlaue (Cr)'!C17</f>
        <v>ASTRAL</v>
      </c>
      <c r="B22" s="50">
        <f>VLOOKUP($A22,'Data shares'!$C:$FM,102)</f>
        <v>25.84</v>
      </c>
      <c r="C22" s="50">
        <f>VLOOKUP($A22,'Data shares'!$C:$FM,110)</f>
        <v>25.09</v>
      </c>
      <c r="D22" s="50">
        <f>VLOOKUP($A22,'Data shares'!$C:$FM,114)</f>
        <v>27.81</v>
      </c>
      <c r="E22" s="50">
        <f>VLOOKUP($A22,'Data shares'!$C:$FM,106)</f>
        <v>34.020000000000003</v>
      </c>
      <c r="F22" s="50">
        <f>VLOOKUP($A22,'Data shares'!$C:$FM,108)</f>
        <v>-8.18</v>
      </c>
      <c r="G22" s="50">
        <f t="shared" si="0"/>
        <v>0.75955320399764836</v>
      </c>
    </row>
    <row r="23" spans="1:7" x14ac:dyDescent="0.25">
      <c r="A23" s="49" t="str">
        <f>'Data Vlaue (Cr)'!C18</f>
        <v>AUBANK</v>
      </c>
      <c r="B23" s="50">
        <f>VLOOKUP($A23,'Data shares'!$C:$FM,102)</f>
        <v>27.94</v>
      </c>
      <c r="C23" s="50">
        <f>VLOOKUP($A23,'Data shares'!$C:$FM,110)</f>
        <v>27.11</v>
      </c>
      <c r="D23" s="50">
        <f>VLOOKUP($A23,'Data shares'!$C:$FM,114)</f>
        <v>28.87</v>
      </c>
      <c r="E23" s="50">
        <f>VLOOKUP($A23,'Data shares'!$C:$FM,106)</f>
        <v>34.92</v>
      </c>
      <c r="F23" s="50">
        <f>VLOOKUP($A23,'Data shares'!$C:$FM,108)</f>
        <v>-6.98</v>
      </c>
      <c r="G23" s="50">
        <f t="shared" si="0"/>
        <v>0.80011454753722799</v>
      </c>
    </row>
    <row r="24" spans="1:7" x14ac:dyDescent="0.25">
      <c r="A24" s="49" t="str">
        <f>'Data Vlaue (Cr)'!C19</f>
        <v>AUROPHARMA</v>
      </c>
      <c r="B24" s="50">
        <f>VLOOKUP($A24,'Data shares'!$C:$FM,102)</f>
        <v>29.04</v>
      </c>
      <c r="C24" s="50">
        <f>VLOOKUP($A24,'Data shares'!$C:$FM,110)</f>
        <v>28.6</v>
      </c>
      <c r="D24" s="50">
        <f>VLOOKUP($A24,'Data shares'!$C:$FM,114)</f>
        <v>30.48</v>
      </c>
      <c r="E24" s="50">
        <f>VLOOKUP($A24,'Data shares'!$C:$FM,106)</f>
        <v>34.07</v>
      </c>
      <c r="F24" s="50">
        <f>VLOOKUP($A24,'Data shares'!$C:$FM,108)</f>
        <v>-5.03</v>
      </c>
      <c r="G24" s="50">
        <f t="shared" si="0"/>
        <v>0.85236278250660402</v>
      </c>
    </row>
    <row r="25" spans="1:7" x14ac:dyDescent="0.25">
      <c r="A25" s="49" t="str">
        <f>'Data Vlaue (Cr)'!C20</f>
        <v>AXISBANK</v>
      </c>
      <c r="B25" s="50">
        <f>VLOOKUP($A25,'Data shares'!$C:$FM,102)</f>
        <v>19.13</v>
      </c>
      <c r="C25" s="50">
        <f>VLOOKUP($A25,'Data shares'!$C:$FM,110)</f>
        <v>18.03</v>
      </c>
      <c r="D25" s="50">
        <f>VLOOKUP($A25,'Data shares'!$C:$FM,114)</f>
        <v>20.56</v>
      </c>
      <c r="E25" s="50">
        <f>VLOOKUP($A25,'Data shares'!$C:$FM,106)</f>
        <v>26.35</v>
      </c>
      <c r="F25" s="50">
        <f>VLOOKUP($A25,'Data shares'!$C:$FM,108)</f>
        <v>-7.22</v>
      </c>
      <c r="G25" s="50">
        <f t="shared" si="0"/>
        <v>0.7259962049335863</v>
      </c>
    </row>
    <row r="26" spans="1:7" x14ac:dyDescent="0.25">
      <c r="A26" s="49" t="str">
        <f>'Data Vlaue (Cr)'!C21</f>
        <v>BAJAJ-AUTO</v>
      </c>
      <c r="B26" s="50">
        <f>VLOOKUP($A26,'Data shares'!$C:$FM,102)</f>
        <v>24.66</v>
      </c>
      <c r="C26" s="50">
        <f>VLOOKUP($A26,'Data shares'!$C:$FM,110)</f>
        <v>22.79</v>
      </c>
      <c r="D26" s="50">
        <f>VLOOKUP($A26,'Data shares'!$C:$FM,114)</f>
        <v>27.43</v>
      </c>
      <c r="E26" s="50">
        <f>VLOOKUP($A26,'Data shares'!$C:$FM,106)</f>
        <v>27.41</v>
      </c>
      <c r="F26" s="50">
        <f>VLOOKUP($A26,'Data shares'!$C:$FM,108)</f>
        <v>-2.75</v>
      </c>
      <c r="G26" s="50">
        <f t="shared" si="0"/>
        <v>0.89967165268150306</v>
      </c>
    </row>
    <row r="27" spans="1:7" x14ac:dyDescent="0.25">
      <c r="A27" s="49" t="str">
        <f>'Data Vlaue (Cr)'!C22</f>
        <v>BAJAJFINSV</v>
      </c>
      <c r="B27" s="50">
        <f>VLOOKUP($A27,'Data shares'!$C:$FM,102)</f>
        <v>20.79</v>
      </c>
      <c r="C27" s="50">
        <f>VLOOKUP($A27,'Data shares'!$C:$FM,110)</f>
        <v>19.84</v>
      </c>
      <c r="D27" s="50">
        <f>VLOOKUP($A27,'Data shares'!$C:$FM,114)</f>
        <v>23.19</v>
      </c>
      <c r="E27" s="50">
        <f>VLOOKUP($A27,'Data shares'!$C:$FM,106)</f>
        <v>27.93</v>
      </c>
      <c r="F27" s="50">
        <f>VLOOKUP($A27,'Data shares'!$C:$FM,108)</f>
        <v>-7.14</v>
      </c>
      <c r="G27" s="50">
        <f t="shared" si="0"/>
        <v>0.74436090225563911</v>
      </c>
    </row>
    <row r="28" spans="1:7" x14ac:dyDescent="0.25">
      <c r="A28" s="49" t="str">
        <f>'Data Vlaue (Cr)'!C23</f>
        <v>BAJAJHLDNG</v>
      </c>
      <c r="B28" s="50">
        <f>VLOOKUP($A28,'Data shares'!$C:$FM,102)</f>
        <v>30.32</v>
      </c>
      <c r="C28" s="50">
        <f>VLOOKUP($A28,'Data shares'!$C:$FM,110)</f>
        <v>29.86</v>
      </c>
      <c r="D28" s="50">
        <f>VLOOKUP($A28,'Data shares'!$C:$FM,114)</f>
        <v>31.28</v>
      </c>
      <c r="E28" s="50">
        <f>VLOOKUP($A28,'Data shares'!$C:$FM,106)</f>
        <v>37.020000000000003</v>
      </c>
      <c r="F28" s="50">
        <f>VLOOKUP($A28,'Data shares'!$C:$FM,108)</f>
        <v>-6.7</v>
      </c>
      <c r="G28" s="50">
        <f t="shared" si="0"/>
        <v>0.81901674770394373</v>
      </c>
    </row>
    <row r="29" spans="1:7" x14ac:dyDescent="0.25">
      <c r="A29" s="49" t="str">
        <f>'Data Vlaue (Cr)'!C24</f>
        <v>BAJFINANCE</v>
      </c>
      <c r="B29" s="50">
        <f>VLOOKUP($A29,'Data shares'!$C:$FM,102)</f>
        <v>25.74</v>
      </c>
      <c r="C29" s="50">
        <f>VLOOKUP($A29,'Data shares'!$C:$FM,110)</f>
        <v>24.84</v>
      </c>
      <c r="D29" s="50">
        <f>VLOOKUP($A29,'Data shares'!$C:$FM,114)</f>
        <v>27</v>
      </c>
      <c r="E29" s="50">
        <f>VLOOKUP($A29,'Data shares'!$C:$FM,106)</f>
        <v>31.64</v>
      </c>
      <c r="F29" s="50">
        <f>VLOOKUP($A29,'Data shares'!$C:$FM,108)</f>
        <v>-5.9</v>
      </c>
      <c r="G29" s="50">
        <f t="shared" si="0"/>
        <v>0.81352718078381792</v>
      </c>
    </row>
    <row r="30" spans="1:7" x14ac:dyDescent="0.25">
      <c r="A30" s="49" t="str">
        <f>'Data Vlaue (Cr)'!C25</f>
        <v>BANDHANBNK</v>
      </c>
      <c r="B30" s="50">
        <f>VLOOKUP($A30,'Data shares'!$C:$FM,102)</f>
        <v>34.76</v>
      </c>
      <c r="C30" s="50">
        <f>VLOOKUP($A30,'Data shares'!$C:$FM,110)</f>
        <v>34.08</v>
      </c>
      <c r="D30" s="50">
        <f>VLOOKUP($A30,'Data shares'!$C:$FM,114)</f>
        <v>36.35</v>
      </c>
      <c r="E30" s="50">
        <f>VLOOKUP($A30,'Data shares'!$C:$FM,106)</f>
        <v>41.11</v>
      </c>
      <c r="F30" s="50">
        <f>VLOOKUP($A30,'Data shares'!$C:$FM,108)</f>
        <v>-6.35</v>
      </c>
      <c r="G30" s="50">
        <f t="shared" si="0"/>
        <v>0.84553636584772562</v>
      </c>
    </row>
    <row r="31" spans="1:7" x14ac:dyDescent="0.25">
      <c r="A31" s="49" t="str">
        <f>'Data Vlaue (Cr)'!C26</f>
        <v>BANKBARODA</v>
      </c>
      <c r="B31" s="50">
        <f>VLOOKUP($A31,'Data shares'!$C:$FM,102)</f>
        <v>29.36</v>
      </c>
      <c r="C31" s="50">
        <f>VLOOKUP($A31,'Data shares'!$C:$FM,110)</f>
        <v>28.75</v>
      </c>
      <c r="D31" s="50">
        <f>VLOOKUP($A31,'Data shares'!$C:$FM,114)</f>
        <v>30.11</v>
      </c>
      <c r="E31" s="50">
        <f>VLOOKUP($A31,'Data shares'!$C:$FM,106)</f>
        <v>34.33</v>
      </c>
      <c r="F31" s="50">
        <f>VLOOKUP($A31,'Data shares'!$C:$FM,108)</f>
        <v>-4.97</v>
      </c>
      <c r="G31" s="50">
        <f t="shared" si="0"/>
        <v>0.85522866297698807</v>
      </c>
    </row>
    <row r="32" spans="1:7" x14ac:dyDescent="0.25">
      <c r="A32" s="49" t="str">
        <f>'Data Vlaue (Cr)'!C27</f>
        <v>BANKINDIA</v>
      </c>
      <c r="B32" s="50">
        <f>VLOOKUP($A32,'Data shares'!$C:$FM,102)</f>
        <v>36.89</v>
      </c>
      <c r="C32" s="50">
        <f>VLOOKUP($A32,'Data shares'!$C:$FM,110)</f>
        <v>36.22</v>
      </c>
      <c r="D32" s="50">
        <f>VLOOKUP($A32,'Data shares'!$C:$FM,114)</f>
        <v>37.909999999999997</v>
      </c>
      <c r="E32" s="50">
        <f>VLOOKUP($A32,'Data shares'!$C:$FM,106)</f>
        <v>40.450000000000003</v>
      </c>
      <c r="F32" s="50">
        <f>VLOOKUP($A32,'Data shares'!$C:$FM,108)</f>
        <v>-3.56</v>
      </c>
      <c r="G32" s="50">
        <f t="shared" si="0"/>
        <v>0.91199011124845486</v>
      </c>
    </row>
    <row r="33" spans="1:7" x14ac:dyDescent="0.25">
      <c r="A33" s="49" t="str">
        <f>'Data Vlaue (Cr)'!C28</f>
        <v>BANKNIFTY</v>
      </c>
      <c r="B33" s="50">
        <f>VLOOKUP($A33,'Data shares'!$C:$FM,102)</f>
        <v>16.45</v>
      </c>
      <c r="C33" s="50">
        <f>VLOOKUP($A33,'Data shares'!$C:$FM,110)</f>
        <v>14.95</v>
      </c>
      <c r="D33" s="50">
        <f>VLOOKUP($A33,'Data shares'!$C:$FM,114)</f>
        <v>18.2</v>
      </c>
      <c r="E33" s="50">
        <f>VLOOKUP($A33,'Data shares'!$C:$FM,106)</f>
        <v>15.83</v>
      </c>
      <c r="F33" s="50">
        <f>VLOOKUP($A33,'Data shares'!$C:$FM,108)</f>
        <v>0.62</v>
      </c>
      <c r="G33" s="50">
        <f t="shared" si="0"/>
        <v>1.0391661402400505</v>
      </c>
    </row>
    <row r="34" spans="1:7" x14ac:dyDescent="0.25">
      <c r="A34" s="49" t="str">
        <f>'Data Vlaue (Cr)'!C29</f>
        <v>BDL</v>
      </c>
      <c r="B34" s="50">
        <f>VLOOKUP($A34,'Data shares'!$C:$FM,102)</f>
        <v>39.1</v>
      </c>
      <c r="C34" s="50">
        <f>VLOOKUP($A34,'Data shares'!$C:$FM,110)</f>
        <v>38.79</v>
      </c>
      <c r="D34" s="50">
        <f>VLOOKUP($A34,'Data shares'!$C:$FM,114)</f>
        <v>40.56</v>
      </c>
      <c r="E34" s="50">
        <f>VLOOKUP($A34,'Data shares'!$C:$FM,106)</f>
        <v>51.27</v>
      </c>
      <c r="F34" s="50">
        <f>VLOOKUP($A34,'Data shares'!$C:$FM,108)</f>
        <v>-12.17</v>
      </c>
      <c r="G34" s="50">
        <f t="shared" si="0"/>
        <v>0.76262921786619853</v>
      </c>
    </row>
    <row r="35" spans="1:7" x14ac:dyDescent="0.25">
      <c r="A35" s="49" t="str">
        <f>'Data Vlaue (Cr)'!C30</f>
        <v>BEL</v>
      </c>
      <c r="B35" s="50">
        <f>VLOOKUP($A35,'Data shares'!$C:$FM,102)</f>
        <v>29.01</v>
      </c>
      <c r="C35" s="50">
        <f>VLOOKUP($A35,'Data shares'!$C:$FM,110)</f>
        <v>28.68</v>
      </c>
      <c r="D35" s="50">
        <f>VLOOKUP($A35,'Data shares'!$C:$FM,114)</f>
        <v>29.72</v>
      </c>
      <c r="E35" s="50">
        <f>VLOOKUP($A35,'Data shares'!$C:$FM,106)</f>
        <v>36.93</v>
      </c>
      <c r="F35" s="50">
        <f>VLOOKUP($A35,'Data shares'!$C:$FM,108)</f>
        <v>-7.92</v>
      </c>
      <c r="G35" s="50">
        <f t="shared" si="0"/>
        <v>0.78554021121039808</v>
      </c>
    </row>
    <row r="36" spans="1:7" x14ac:dyDescent="0.25">
      <c r="A36" s="49" t="str">
        <f>'Data Vlaue (Cr)'!C31</f>
        <v>BHARATFORG</v>
      </c>
      <c r="B36" s="50">
        <f>VLOOKUP($A36,'Data shares'!$C:$FM,102)</f>
        <v>31.4</v>
      </c>
      <c r="C36" s="50">
        <f>VLOOKUP($A36,'Data shares'!$C:$FM,110)</f>
        <v>31.06</v>
      </c>
      <c r="D36" s="50">
        <f>VLOOKUP($A36,'Data shares'!$C:$FM,114)</f>
        <v>32.47</v>
      </c>
      <c r="E36" s="50">
        <f>VLOOKUP($A36,'Data shares'!$C:$FM,106)</f>
        <v>37.659999999999997</v>
      </c>
      <c r="F36" s="50">
        <f>VLOOKUP($A36,'Data shares'!$C:$FM,108)</f>
        <v>-6.26</v>
      </c>
      <c r="G36" s="50">
        <f t="shared" si="0"/>
        <v>0.83377588953797133</v>
      </c>
    </row>
    <row r="37" spans="1:7" x14ac:dyDescent="0.25">
      <c r="A37" s="49" t="str">
        <f>'Data Vlaue (Cr)'!C32</f>
        <v>BHARTIARTL</v>
      </c>
      <c r="B37" s="50">
        <f>VLOOKUP($A37,'Data shares'!$C:$FM,102)</f>
        <v>21.21</v>
      </c>
      <c r="C37" s="50">
        <f>VLOOKUP($A37,'Data shares'!$C:$FM,110)</f>
        <v>20.79</v>
      </c>
      <c r="D37" s="50">
        <f>VLOOKUP($A37,'Data shares'!$C:$FM,114)</f>
        <v>21.87</v>
      </c>
      <c r="E37" s="50">
        <f>VLOOKUP($A37,'Data shares'!$C:$FM,106)</f>
        <v>23.84</v>
      </c>
      <c r="F37" s="50">
        <f>VLOOKUP($A37,'Data shares'!$C:$FM,108)</f>
        <v>-2.63</v>
      </c>
      <c r="G37" s="50">
        <f t="shared" si="0"/>
        <v>0.88968120805369133</v>
      </c>
    </row>
    <row r="38" spans="1:7" x14ac:dyDescent="0.25">
      <c r="A38" s="49" t="str">
        <f>'Data Vlaue (Cr)'!C33</f>
        <v>BHEL</v>
      </c>
      <c r="B38" s="50">
        <f>VLOOKUP($A38,'Data shares'!$C:$FM,102)</f>
        <v>34.75</v>
      </c>
      <c r="C38" s="50">
        <f>VLOOKUP($A38,'Data shares'!$C:$FM,110)</f>
        <v>33.47</v>
      </c>
      <c r="D38" s="50">
        <f>VLOOKUP($A38,'Data shares'!$C:$FM,114)</f>
        <v>37.44</v>
      </c>
      <c r="E38" s="50">
        <f>VLOOKUP($A38,'Data shares'!$C:$FM,106)</f>
        <v>46.07</v>
      </c>
      <c r="F38" s="50">
        <f>VLOOKUP($A38,'Data shares'!$C:$FM,108)</f>
        <v>-11.32</v>
      </c>
      <c r="G38" s="50">
        <f t="shared" si="0"/>
        <v>0.75428695463425222</v>
      </c>
    </row>
    <row r="39" spans="1:7" x14ac:dyDescent="0.25">
      <c r="A39" s="49" t="str">
        <f>'Data Vlaue (Cr)'!C34</f>
        <v>BIOCON</v>
      </c>
      <c r="B39" s="50">
        <f>VLOOKUP($A39,'Data shares'!$C:$FM,102)</f>
        <v>27.58</v>
      </c>
      <c r="C39" s="50">
        <f>VLOOKUP($A39,'Data shares'!$C:$FM,110)</f>
        <v>26.67</v>
      </c>
      <c r="D39" s="50">
        <f>VLOOKUP($A39,'Data shares'!$C:$FM,114)</f>
        <v>29.83</v>
      </c>
      <c r="E39" s="50">
        <f>VLOOKUP($A39,'Data shares'!$C:$FM,106)</f>
        <v>35.51</v>
      </c>
      <c r="F39" s="50">
        <f>VLOOKUP($A39,'Data shares'!$C:$FM,108)</f>
        <v>-7.93</v>
      </c>
      <c r="G39" s="50">
        <f t="shared" ref="G39:G70" si="1">B39/E39</f>
        <v>0.77668262461278514</v>
      </c>
    </row>
    <row r="40" spans="1:7" x14ac:dyDescent="0.25">
      <c r="A40" s="49" t="str">
        <f>'Data Vlaue (Cr)'!C35</f>
        <v>BLUESTARCO</v>
      </c>
      <c r="B40" s="50">
        <f>VLOOKUP($A40,'Data shares'!$C:$FM,102)</f>
        <v>33.47</v>
      </c>
      <c r="C40" s="50">
        <f>VLOOKUP($A40,'Data shares'!$C:$FM,110)</f>
        <v>33.43</v>
      </c>
      <c r="D40" s="50">
        <f>VLOOKUP($A40,'Data shares'!$C:$FM,114)</f>
        <v>33.74</v>
      </c>
      <c r="E40" s="50">
        <f>VLOOKUP($A40,'Data shares'!$C:$FM,106)</f>
        <v>39.14</v>
      </c>
      <c r="F40" s="50">
        <f>VLOOKUP($A40,'Data shares'!$C:$FM,108)</f>
        <v>-5.67</v>
      </c>
      <c r="G40" s="50">
        <f t="shared" si="1"/>
        <v>0.8551354113438937</v>
      </c>
    </row>
    <row r="41" spans="1:7" x14ac:dyDescent="0.25">
      <c r="A41" s="49" t="str">
        <f>'Data Vlaue (Cr)'!C36</f>
        <v>BOSCHLTD</v>
      </c>
      <c r="B41" s="50">
        <f>VLOOKUP($A41,'Data shares'!$C:$FM,102)</f>
        <v>30.11</v>
      </c>
      <c r="C41" s="50">
        <f>VLOOKUP($A41,'Data shares'!$C:$FM,110)</f>
        <v>29.96</v>
      </c>
      <c r="D41" s="50">
        <f>VLOOKUP($A41,'Data shares'!$C:$FM,114)</f>
        <v>30.39</v>
      </c>
      <c r="E41" s="50">
        <f>VLOOKUP($A41,'Data shares'!$C:$FM,106)</f>
        <v>30.21</v>
      </c>
      <c r="F41" s="50">
        <f>VLOOKUP($A41,'Data shares'!$C:$FM,108)</f>
        <v>-0.1</v>
      </c>
      <c r="G41" s="50">
        <f t="shared" si="1"/>
        <v>0.99668983780205223</v>
      </c>
    </row>
    <row r="42" spans="1:7" x14ac:dyDescent="0.25">
      <c r="A42" s="49" t="str">
        <f>'Data Vlaue (Cr)'!C37</f>
        <v>BPCL</v>
      </c>
      <c r="B42" s="50">
        <f>VLOOKUP($A42,'Data shares'!$C:$FM,102)</f>
        <v>34.03</v>
      </c>
      <c r="C42" s="50">
        <f>VLOOKUP($A42,'Data shares'!$C:$FM,110)</f>
        <v>31.77</v>
      </c>
      <c r="D42" s="50">
        <f>VLOOKUP($A42,'Data shares'!$C:$FM,114)</f>
        <v>36.270000000000003</v>
      </c>
      <c r="E42" s="50">
        <f>VLOOKUP($A42,'Data shares'!$C:$FM,106)</f>
        <v>33.03</v>
      </c>
      <c r="F42" s="50">
        <f>VLOOKUP($A42,'Data shares'!$C:$FM,108)</f>
        <v>1</v>
      </c>
      <c r="G42" s="50">
        <f t="shared" si="1"/>
        <v>1.0302755071147442</v>
      </c>
    </row>
    <row r="43" spans="1:7" x14ac:dyDescent="0.25">
      <c r="A43" s="49" t="str">
        <f>'Data Vlaue (Cr)'!C38</f>
        <v>BRITANNIA</v>
      </c>
      <c r="B43" s="50">
        <f>VLOOKUP($A43,'Data shares'!$C:$FM,102)</f>
        <v>20.54</v>
      </c>
      <c r="C43" s="50">
        <f>VLOOKUP($A43,'Data shares'!$C:$FM,110)</f>
        <v>19.649999999999999</v>
      </c>
      <c r="D43" s="50">
        <f>VLOOKUP($A43,'Data shares'!$C:$FM,114)</f>
        <v>21.88</v>
      </c>
      <c r="E43" s="50">
        <f>VLOOKUP($A43,'Data shares'!$C:$FM,106)</f>
        <v>23.9</v>
      </c>
      <c r="F43" s="50">
        <f>VLOOKUP($A43,'Data shares'!$C:$FM,108)</f>
        <v>-3.36</v>
      </c>
      <c r="G43" s="50">
        <f t="shared" si="1"/>
        <v>0.85941422594142258</v>
      </c>
    </row>
    <row r="44" spans="1:7" x14ac:dyDescent="0.25">
      <c r="A44" s="49" t="str">
        <f>'Data Vlaue (Cr)'!C39</f>
        <v>BSE</v>
      </c>
      <c r="B44" s="50">
        <f>VLOOKUP($A44,'Data shares'!$C:$FM,102)</f>
        <v>39.74</v>
      </c>
      <c r="C44" s="50">
        <f>VLOOKUP($A44,'Data shares'!$C:$FM,110)</f>
        <v>38.64</v>
      </c>
      <c r="D44" s="50">
        <f>VLOOKUP($A44,'Data shares'!$C:$FM,114)</f>
        <v>41.87</v>
      </c>
      <c r="E44" s="50">
        <f>VLOOKUP($A44,'Data shares'!$C:$FM,106)</f>
        <v>59.26</v>
      </c>
      <c r="F44" s="50">
        <f>VLOOKUP($A44,'Data shares'!$C:$FM,108)</f>
        <v>-19.52</v>
      </c>
      <c r="G44" s="50">
        <f t="shared" si="1"/>
        <v>0.67060411744853199</v>
      </c>
    </row>
    <row r="45" spans="1:7" x14ac:dyDescent="0.25">
      <c r="A45" s="49" t="str">
        <f>'Data Vlaue (Cr)'!C40</f>
        <v>CAMS</v>
      </c>
      <c r="B45" s="50">
        <f>VLOOKUP($A45,'Data shares'!$C:$FM,102)</f>
        <v>32.61</v>
      </c>
      <c r="C45" s="50">
        <f>VLOOKUP($A45,'Data shares'!$C:$FM,110)</f>
        <v>31.43</v>
      </c>
      <c r="D45" s="50">
        <f>VLOOKUP($A45,'Data shares'!$C:$FM,114)</f>
        <v>34.68</v>
      </c>
      <c r="E45" s="50">
        <f>VLOOKUP($A45,'Data shares'!$C:$FM,106)</f>
        <v>40.18</v>
      </c>
      <c r="F45" s="50">
        <f>VLOOKUP($A45,'Data shares'!$C:$FM,108)</f>
        <v>-7.57</v>
      </c>
      <c r="G45" s="50">
        <f t="shared" si="1"/>
        <v>0.81159780985564955</v>
      </c>
    </row>
    <row r="46" spans="1:7" x14ac:dyDescent="0.25">
      <c r="A46" s="49" t="str">
        <f>'Data Vlaue (Cr)'!C41</f>
        <v>CANBK</v>
      </c>
      <c r="B46" s="50">
        <f>VLOOKUP($A46,'Data shares'!$C:$FM,102)</f>
        <v>30.86</v>
      </c>
      <c r="C46" s="50">
        <f>VLOOKUP($A46,'Data shares'!$C:$FM,110)</f>
        <v>30.45</v>
      </c>
      <c r="D46" s="50">
        <f>VLOOKUP($A46,'Data shares'!$C:$FM,114)</f>
        <v>31.54</v>
      </c>
      <c r="E46" s="50">
        <f>VLOOKUP($A46,'Data shares'!$C:$FM,106)</f>
        <v>35.94</v>
      </c>
      <c r="F46" s="50">
        <f>VLOOKUP($A46,'Data shares'!$C:$FM,108)</f>
        <v>-5.08</v>
      </c>
      <c r="G46" s="50">
        <f t="shared" si="1"/>
        <v>0.85865331107401233</v>
      </c>
    </row>
    <row r="47" spans="1:7" x14ac:dyDescent="0.25">
      <c r="A47" s="49" t="str">
        <f>'Data Vlaue (Cr)'!C42</f>
        <v>CDSL</v>
      </c>
      <c r="B47" s="50">
        <f>VLOOKUP($A47,'Data shares'!$C:$FM,102)</f>
        <v>33.76</v>
      </c>
      <c r="C47" s="50">
        <f>VLOOKUP($A47,'Data shares'!$C:$FM,110)</f>
        <v>33.19</v>
      </c>
      <c r="D47" s="50">
        <f>VLOOKUP($A47,'Data shares'!$C:$FM,114)</f>
        <v>35.14</v>
      </c>
      <c r="E47" s="50">
        <f>VLOOKUP($A47,'Data shares'!$C:$FM,106)</f>
        <v>45.02</v>
      </c>
      <c r="F47" s="50">
        <f>VLOOKUP($A47,'Data shares'!$C:$FM,108)</f>
        <v>-11.26</v>
      </c>
      <c r="G47" s="50">
        <f t="shared" si="1"/>
        <v>0.74988893824966674</v>
      </c>
    </row>
    <row r="48" spans="1:7" x14ac:dyDescent="0.25">
      <c r="A48" s="49" t="str">
        <f>'Data Vlaue (Cr)'!C43</f>
        <v>CGPOWER</v>
      </c>
      <c r="B48" s="50">
        <f>VLOOKUP($A48,'Data shares'!$C:$FM,102)</f>
        <v>33.29</v>
      </c>
      <c r="C48" s="50">
        <f>VLOOKUP($A48,'Data shares'!$C:$FM,110)</f>
        <v>32.68</v>
      </c>
      <c r="D48" s="50">
        <f>VLOOKUP($A48,'Data shares'!$C:$FM,114)</f>
        <v>34.659999999999997</v>
      </c>
      <c r="E48" s="50">
        <f>VLOOKUP($A48,'Data shares'!$C:$FM,106)</f>
        <v>41.63</v>
      </c>
      <c r="F48" s="50">
        <f>VLOOKUP($A48,'Data shares'!$C:$FM,108)</f>
        <v>-8.34</v>
      </c>
      <c r="G48" s="50">
        <f t="shared" si="1"/>
        <v>0.79966370405957232</v>
      </c>
    </row>
    <row r="49" spans="1:7" x14ac:dyDescent="0.25">
      <c r="A49" s="49" t="str">
        <f>'Data Vlaue (Cr)'!C44</f>
        <v>CHOLAFIN</v>
      </c>
      <c r="B49" s="50">
        <f>VLOOKUP($A49,'Data shares'!$C:$FM,102)</f>
        <v>28.96</v>
      </c>
      <c r="C49" s="50">
        <f>VLOOKUP($A49,'Data shares'!$C:$FM,110)</f>
        <v>27.48</v>
      </c>
      <c r="D49" s="50">
        <f>VLOOKUP($A49,'Data shares'!$C:$FM,114)</f>
        <v>30.74</v>
      </c>
      <c r="E49" s="50">
        <f>VLOOKUP($A49,'Data shares'!$C:$FM,106)</f>
        <v>36.89</v>
      </c>
      <c r="F49" s="50">
        <f>VLOOKUP($A49,'Data shares'!$C:$FM,108)</f>
        <v>-7.93</v>
      </c>
      <c r="G49" s="50">
        <f t="shared" si="1"/>
        <v>0.78503659528327463</v>
      </c>
    </row>
    <row r="50" spans="1:7" x14ac:dyDescent="0.25">
      <c r="A50" s="49" t="str">
        <f>'Data Vlaue (Cr)'!C45</f>
        <v>CIPLA</v>
      </c>
      <c r="B50" s="50">
        <f>VLOOKUP($A50,'Data shares'!$C:$FM,102)</f>
        <v>21.47</v>
      </c>
      <c r="C50" s="50">
        <f>VLOOKUP($A50,'Data shares'!$C:$FM,110)</f>
        <v>20.62</v>
      </c>
      <c r="D50" s="50">
        <f>VLOOKUP($A50,'Data shares'!$C:$FM,114)</f>
        <v>23.26</v>
      </c>
      <c r="E50" s="50">
        <f>VLOOKUP($A50,'Data shares'!$C:$FM,106)</f>
        <v>25.27</v>
      </c>
      <c r="F50" s="50">
        <f>VLOOKUP($A50,'Data shares'!$C:$FM,108)</f>
        <v>-3.8</v>
      </c>
      <c r="G50" s="50">
        <f t="shared" si="1"/>
        <v>0.84962406015037595</v>
      </c>
    </row>
    <row r="51" spans="1:7" x14ac:dyDescent="0.25">
      <c r="A51" s="49" t="str">
        <f>'Data Vlaue (Cr)'!C46</f>
        <v>COALINDIA</v>
      </c>
      <c r="B51" s="50">
        <f>VLOOKUP($A51,'Data shares'!$C:$FM,102)</f>
        <v>27.29</v>
      </c>
      <c r="C51" s="50">
        <f>VLOOKUP($A51,'Data shares'!$C:$FM,110)</f>
        <v>27.1</v>
      </c>
      <c r="D51" s="50">
        <f>VLOOKUP($A51,'Data shares'!$C:$FM,114)</f>
        <v>27.72</v>
      </c>
      <c r="E51" s="50">
        <f>VLOOKUP($A51,'Data shares'!$C:$FM,106)</f>
        <v>30.01</v>
      </c>
      <c r="F51" s="50">
        <f>VLOOKUP($A51,'Data shares'!$C:$FM,108)</f>
        <v>-2.72</v>
      </c>
      <c r="G51" s="50">
        <f t="shared" si="1"/>
        <v>0.90936354548483833</v>
      </c>
    </row>
    <row r="52" spans="1:7" x14ac:dyDescent="0.25">
      <c r="A52" s="49" t="str">
        <f>'Data Vlaue (Cr)'!C47</f>
        <v>COFORGE</v>
      </c>
      <c r="B52" s="50">
        <f>VLOOKUP($A52,'Data shares'!$C:$FM,102)</f>
        <v>44.17</v>
      </c>
      <c r="C52" s="50">
        <f>VLOOKUP($A52,'Data shares'!$C:$FM,110)</f>
        <v>43.97</v>
      </c>
      <c r="D52" s="50">
        <f>VLOOKUP($A52,'Data shares'!$C:$FM,114)</f>
        <v>44.61</v>
      </c>
      <c r="E52" s="50">
        <f>VLOOKUP($A52,'Data shares'!$C:$FM,106)</f>
        <v>42.35</v>
      </c>
      <c r="F52" s="50">
        <f>VLOOKUP($A52,'Data shares'!$C:$FM,108)</f>
        <v>1.82</v>
      </c>
      <c r="G52" s="50">
        <f t="shared" si="1"/>
        <v>1.0429752066115703</v>
      </c>
    </row>
    <row r="53" spans="1:7" x14ac:dyDescent="0.25">
      <c r="A53" s="49" t="str">
        <f>'Data Vlaue (Cr)'!C48</f>
        <v>COLPAL</v>
      </c>
      <c r="B53" s="50">
        <f>VLOOKUP($A53,'Data shares'!$C:$FM,102)</f>
        <v>22.43</v>
      </c>
      <c r="C53" s="50">
        <f>VLOOKUP($A53,'Data shares'!$C:$FM,110)</f>
        <v>22.01</v>
      </c>
      <c r="D53" s="50">
        <f>VLOOKUP($A53,'Data shares'!$C:$FM,114)</f>
        <v>23.58</v>
      </c>
      <c r="E53" s="50">
        <f>VLOOKUP($A53,'Data shares'!$C:$FM,106)</f>
        <v>26.59</v>
      </c>
      <c r="F53" s="50">
        <f>VLOOKUP($A53,'Data shares'!$C:$FM,108)</f>
        <v>-4.16</v>
      </c>
      <c r="G53" s="50">
        <f t="shared" si="1"/>
        <v>0.84355020684467841</v>
      </c>
    </row>
    <row r="54" spans="1:7" x14ac:dyDescent="0.25">
      <c r="A54" s="49" t="str">
        <f>'Data Vlaue (Cr)'!C49</f>
        <v>CONCOR</v>
      </c>
      <c r="B54" s="50">
        <f>VLOOKUP($A54,'Data shares'!$C:$FM,102)</f>
        <v>27.73</v>
      </c>
      <c r="C54" s="50">
        <f>VLOOKUP($A54,'Data shares'!$C:$FM,110)</f>
        <v>26.71</v>
      </c>
      <c r="D54" s="50">
        <f>VLOOKUP($A54,'Data shares'!$C:$FM,114)</f>
        <v>29.68</v>
      </c>
      <c r="E54" s="50">
        <f>VLOOKUP($A54,'Data shares'!$C:$FM,106)</f>
        <v>33.200000000000003</v>
      </c>
      <c r="F54" s="50">
        <f>VLOOKUP($A54,'Data shares'!$C:$FM,108)</f>
        <v>-5.47</v>
      </c>
      <c r="G54" s="50">
        <f t="shared" si="1"/>
        <v>0.83524096385542168</v>
      </c>
    </row>
    <row r="55" spans="1:7" x14ac:dyDescent="0.25">
      <c r="A55" s="49" t="str">
        <f>'Data Vlaue (Cr)'!C50</f>
        <v>CROMPTON</v>
      </c>
      <c r="B55" s="50">
        <f>VLOOKUP($A55,'Data shares'!$C:$FM,102)</f>
        <v>31.48</v>
      </c>
      <c r="C55" s="50">
        <f>VLOOKUP($A55,'Data shares'!$C:$FM,110)</f>
        <v>30.79</v>
      </c>
      <c r="D55" s="50">
        <f>VLOOKUP($A55,'Data shares'!$C:$FM,114)</f>
        <v>33.39</v>
      </c>
      <c r="E55" s="50">
        <f>VLOOKUP($A55,'Data shares'!$C:$FM,106)</f>
        <v>32.51</v>
      </c>
      <c r="F55" s="50">
        <f>VLOOKUP($A55,'Data shares'!$C:$FM,108)</f>
        <v>-1.03</v>
      </c>
      <c r="G55" s="50">
        <f t="shared" si="1"/>
        <v>0.96831744078745008</v>
      </c>
    </row>
    <row r="56" spans="1:7" x14ac:dyDescent="0.25">
      <c r="A56" s="49" t="str">
        <f>'Data Vlaue (Cr)'!C51</f>
        <v>CUMMINSIND</v>
      </c>
      <c r="B56" s="50">
        <f>VLOOKUP($A56,'Data shares'!$C:$FM,102)</f>
        <v>30.29</v>
      </c>
      <c r="C56" s="50">
        <f>VLOOKUP($A56,'Data shares'!$C:$FM,110)</f>
        <v>29.51</v>
      </c>
      <c r="D56" s="50">
        <f>VLOOKUP($A56,'Data shares'!$C:$FM,114)</f>
        <v>32.270000000000003</v>
      </c>
      <c r="E56" s="50">
        <f>VLOOKUP($A56,'Data shares'!$C:$FM,106)</f>
        <v>34.83</v>
      </c>
      <c r="F56" s="50">
        <f>VLOOKUP($A56,'Data shares'!$C:$FM,108)</f>
        <v>-4.54</v>
      </c>
      <c r="G56" s="50">
        <f t="shared" si="1"/>
        <v>0.86965259833476893</v>
      </c>
    </row>
    <row r="57" spans="1:7" x14ac:dyDescent="0.25">
      <c r="A57" s="49" t="str">
        <f>'Data Vlaue (Cr)'!C52</f>
        <v>DABUR</v>
      </c>
      <c r="B57" s="50">
        <f>VLOOKUP($A57,'Data shares'!$C:$FM,102)</f>
        <v>23.21</v>
      </c>
      <c r="C57" s="50">
        <f>VLOOKUP($A57,'Data shares'!$C:$FM,110)</f>
        <v>23.04</v>
      </c>
      <c r="D57" s="50">
        <f>VLOOKUP($A57,'Data shares'!$C:$FM,114)</f>
        <v>23.5</v>
      </c>
      <c r="E57" s="50">
        <f>VLOOKUP($A57,'Data shares'!$C:$FM,106)</f>
        <v>24.51</v>
      </c>
      <c r="F57" s="50">
        <f>VLOOKUP($A57,'Data shares'!$C:$FM,108)</f>
        <v>-1.3</v>
      </c>
      <c r="G57" s="50">
        <f t="shared" si="1"/>
        <v>0.94696042431660543</v>
      </c>
    </row>
    <row r="58" spans="1:7" x14ac:dyDescent="0.25">
      <c r="A58" s="49" t="str">
        <f>'Data Vlaue (Cr)'!C53</f>
        <v>DALBHARAT</v>
      </c>
      <c r="B58" s="50">
        <f>VLOOKUP($A58,'Data shares'!$C:$FM,102)</f>
        <v>32.42</v>
      </c>
      <c r="C58" s="50">
        <f>VLOOKUP($A58,'Data shares'!$C:$FM,110)</f>
        <v>30.47</v>
      </c>
      <c r="D58" s="50">
        <f>VLOOKUP($A58,'Data shares'!$C:$FM,114)</f>
        <v>33.799999999999997</v>
      </c>
      <c r="E58" s="50">
        <f>VLOOKUP($A58,'Data shares'!$C:$FM,106)</f>
        <v>30.68</v>
      </c>
      <c r="F58" s="50">
        <f>VLOOKUP($A58,'Data shares'!$C:$FM,108)</f>
        <v>1.74</v>
      </c>
      <c r="G58" s="50">
        <f t="shared" si="1"/>
        <v>1.0567144719687094</v>
      </c>
    </row>
    <row r="59" spans="1:7" x14ac:dyDescent="0.25">
      <c r="A59" s="49" t="str">
        <f>'Data Vlaue (Cr)'!C54</f>
        <v>DELHIVERY</v>
      </c>
      <c r="B59" s="50">
        <f>VLOOKUP($A59,'Data shares'!$C:$FM,102)</f>
        <v>29.81</v>
      </c>
      <c r="C59" s="50">
        <f>VLOOKUP($A59,'Data shares'!$C:$FM,110)</f>
        <v>29.03</v>
      </c>
      <c r="D59" s="50">
        <f>VLOOKUP($A59,'Data shares'!$C:$FM,114)</f>
        <v>33.1</v>
      </c>
      <c r="E59" s="50">
        <f>VLOOKUP($A59,'Data shares'!$C:$FM,106)</f>
        <v>39.049999999999997</v>
      </c>
      <c r="F59" s="50">
        <f>VLOOKUP($A59,'Data shares'!$C:$FM,108)</f>
        <v>-9.24</v>
      </c>
      <c r="G59" s="50">
        <f t="shared" si="1"/>
        <v>0.76338028169014083</v>
      </c>
    </row>
    <row r="60" spans="1:7" x14ac:dyDescent="0.25">
      <c r="A60" s="49" t="str">
        <f>'Data Vlaue (Cr)'!C55</f>
        <v>DIVISLAB</v>
      </c>
      <c r="B60" s="50">
        <f>VLOOKUP($A60,'Data shares'!$C:$FM,102)</f>
        <v>24.73</v>
      </c>
      <c r="C60" s="50">
        <f>VLOOKUP($A60,'Data shares'!$C:$FM,110)</f>
        <v>24.3</v>
      </c>
      <c r="D60" s="50">
        <f>VLOOKUP($A60,'Data shares'!$C:$FM,114)</f>
        <v>26.27</v>
      </c>
      <c r="E60" s="50">
        <f>VLOOKUP($A60,'Data shares'!$C:$FM,106)</f>
        <v>30.28</v>
      </c>
      <c r="F60" s="50">
        <f>VLOOKUP($A60,'Data shares'!$C:$FM,108)</f>
        <v>-5.55</v>
      </c>
      <c r="G60" s="50">
        <f t="shared" si="1"/>
        <v>0.81671070013210034</v>
      </c>
    </row>
    <row r="61" spans="1:7" x14ac:dyDescent="0.25">
      <c r="A61" s="49" t="str">
        <f>'Data Vlaue (Cr)'!C56</f>
        <v>DIXON</v>
      </c>
      <c r="B61" s="50">
        <f>VLOOKUP($A61,'Data shares'!$C:$FM,102)</f>
        <v>41.79</v>
      </c>
      <c r="C61" s="50">
        <f>VLOOKUP($A61,'Data shares'!$C:$FM,110)</f>
        <v>41.63</v>
      </c>
      <c r="D61" s="50">
        <f>VLOOKUP($A61,'Data shares'!$C:$FM,114)</f>
        <v>42.14</v>
      </c>
      <c r="E61" s="50">
        <f>VLOOKUP($A61,'Data shares'!$C:$FM,106)</f>
        <v>45.17</v>
      </c>
      <c r="F61" s="50">
        <f>VLOOKUP($A61,'Data shares'!$C:$FM,108)</f>
        <v>-3.38</v>
      </c>
      <c r="G61" s="50">
        <f t="shared" si="1"/>
        <v>0.92517157405357531</v>
      </c>
    </row>
    <row r="62" spans="1:7" x14ac:dyDescent="0.25">
      <c r="A62" s="49" t="str">
        <f>'Data Vlaue (Cr)'!C57</f>
        <v>DLF</v>
      </c>
      <c r="B62" s="50">
        <f>VLOOKUP($A62,'Data shares'!$C:$FM,102)</f>
        <v>34.06</v>
      </c>
      <c r="C62" s="50">
        <f>VLOOKUP($A62,'Data shares'!$C:$FM,110)</f>
        <v>32.94</v>
      </c>
      <c r="D62" s="50">
        <f>VLOOKUP($A62,'Data shares'!$C:$FM,114)</f>
        <v>36.22</v>
      </c>
      <c r="E62" s="50">
        <f>VLOOKUP($A62,'Data shares'!$C:$FM,106)</f>
        <v>35.89</v>
      </c>
      <c r="F62" s="50">
        <f>VLOOKUP($A62,'Data shares'!$C:$FM,108)</f>
        <v>-1.83</v>
      </c>
      <c r="G62" s="50">
        <f t="shared" si="1"/>
        <v>0.9490108665366398</v>
      </c>
    </row>
    <row r="63" spans="1:7" x14ac:dyDescent="0.25">
      <c r="A63" s="49" t="str">
        <f>'Data Vlaue (Cr)'!C58</f>
        <v>DMART</v>
      </c>
      <c r="B63" s="50">
        <f>VLOOKUP($A63,'Data shares'!$C:$FM,102)</f>
        <v>24.92</v>
      </c>
      <c r="C63" s="50">
        <f>VLOOKUP($A63,'Data shares'!$C:$FM,110)</f>
        <v>24.23</v>
      </c>
      <c r="D63" s="50">
        <f>VLOOKUP($A63,'Data shares'!$C:$FM,114)</f>
        <v>26.65</v>
      </c>
      <c r="E63" s="50">
        <f>VLOOKUP($A63,'Data shares'!$C:$FM,106)</f>
        <v>30.03</v>
      </c>
      <c r="F63" s="50">
        <f>VLOOKUP($A63,'Data shares'!$C:$FM,108)</f>
        <v>-5.1100000000000003</v>
      </c>
      <c r="G63" s="50">
        <f t="shared" si="1"/>
        <v>0.82983682983682983</v>
      </c>
    </row>
    <row r="64" spans="1:7" x14ac:dyDescent="0.25">
      <c r="A64" s="49" t="str">
        <f>'Data Vlaue (Cr)'!C59</f>
        <v>DRREDDY</v>
      </c>
      <c r="B64" s="50">
        <f>VLOOKUP($A64,'Data shares'!$C:$FM,102)</f>
        <v>22.06</v>
      </c>
      <c r="C64" s="50">
        <f>VLOOKUP($A64,'Data shares'!$C:$FM,110)</f>
        <v>21.35</v>
      </c>
      <c r="D64" s="50">
        <f>VLOOKUP($A64,'Data shares'!$C:$FM,114)</f>
        <v>24.06</v>
      </c>
      <c r="E64" s="50">
        <f>VLOOKUP($A64,'Data shares'!$C:$FM,106)</f>
        <v>25.01</v>
      </c>
      <c r="F64" s="50">
        <f>VLOOKUP($A64,'Data shares'!$C:$FM,108)</f>
        <v>-2.95</v>
      </c>
      <c r="G64" s="50">
        <f t="shared" si="1"/>
        <v>0.88204718112754887</v>
      </c>
    </row>
    <row r="65" spans="1:7" x14ac:dyDescent="0.25">
      <c r="A65" s="49" t="str">
        <f>'Data Vlaue (Cr)'!C60</f>
        <v>EICHERMOT</v>
      </c>
      <c r="B65" s="50">
        <f>VLOOKUP($A65,'Data shares'!$C:$FM,102)</f>
        <v>25.9</v>
      </c>
      <c r="C65" s="50">
        <f>VLOOKUP($A65,'Data shares'!$C:$FM,110)</f>
        <v>24.86</v>
      </c>
      <c r="D65" s="50">
        <f>VLOOKUP($A65,'Data shares'!$C:$FM,114)</f>
        <v>28.12</v>
      </c>
      <c r="E65" s="50">
        <f>VLOOKUP($A65,'Data shares'!$C:$FM,106)</f>
        <v>28.24</v>
      </c>
      <c r="F65" s="50">
        <f>VLOOKUP($A65,'Data shares'!$C:$FM,108)</f>
        <v>-2.34</v>
      </c>
      <c r="G65" s="50">
        <f t="shared" si="1"/>
        <v>0.91713881019830024</v>
      </c>
    </row>
    <row r="66" spans="1:7" x14ac:dyDescent="0.25">
      <c r="A66" s="49" t="str">
        <f>'Data Vlaue (Cr)'!C61</f>
        <v>ETERNAL</v>
      </c>
      <c r="B66" s="50">
        <f>VLOOKUP($A66,'Data shares'!$C:$FM,102)</f>
        <v>38.75</v>
      </c>
      <c r="C66" s="50">
        <f>VLOOKUP($A66,'Data shares'!$C:$FM,110)</f>
        <v>38.659999999999997</v>
      </c>
      <c r="D66" s="50">
        <f>VLOOKUP($A66,'Data shares'!$C:$FM,114)</f>
        <v>38.950000000000003</v>
      </c>
      <c r="E66" s="50">
        <f>VLOOKUP($A66,'Data shares'!$C:$FM,106)</f>
        <v>44.69</v>
      </c>
      <c r="F66" s="50">
        <f>VLOOKUP($A66,'Data shares'!$C:$FM,108)</f>
        <v>-5.94</v>
      </c>
      <c r="G66" s="50">
        <f t="shared" si="1"/>
        <v>0.86708435891698366</v>
      </c>
    </row>
    <row r="67" spans="1:7" x14ac:dyDescent="0.25">
      <c r="A67" s="49" t="str">
        <f>'Data Vlaue (Cr)'!C62</f>
        <v>EXIDEIND</v>
      </c>
      <c r="B67" s="50">
        <f>VLOOKUP($A67,'Data shares'!$C:$FM,102)</f>
        <v>28.82</v>
      </c>
      <c r="C67" s="50">
        <f>VLOOKUP($A67,'Data shares'!$C:$FM,110)</f>
        <v>28.47</v>
      </c>
      <c r="D67" s="50">
        <f>VLOOKUP($A67,'Data shares'!$C:$FM,114)</f>
        <v>29.47</v>
      </c>
      <c r="E67" s="50">
        <f>VLOOKUP($A67,'Data shares'!$C:$FM,106)</f>
        <v>32.729999999999997</v>
      </c>
      <c r="F67" s="50">
        <f>VLOOKUP($A67,'Data shares'!$C:$FM,108)</f>
        <v>-3.91</v>
      </c>
      <c r="G67" s="50">
        <f t="shared" si="1"/>
        <v>0.88053773296669735</v>
      </c>
    </row>
    <row r="68" spans="1:7" x14ac:dyDescent="0.25">
      <c r="A68" s="49" t="str">
        <f>'Data Vlaue (Cr)'!C63</f>
        <v>FEDERALBNK</v>
      </c>
      <c r="B68" s="50">
        <f>VLOOKUP($A68,'Data shares'!$C:$FM,102)</f>
        <v>24.11</v>
      </c>
      <c r="C68" s="50">
        <f>VLOOKUP($A68,'Data shares'!$C:$FM,110)</f>
        <v>23.18</v>
      </c>
      <c r="D68" s="50">
        <f>VLOOKUP($A68,'Data shares'!$C:$FM,114)</f>
        <v>25.43</v>
      </c>
      <c r="E68" s="50">
        <f>VLOOKUP($A68,'Data shares'!$C:$FM,106)</f>
        <v>29.86</v>
      </c>
      <c r="F68" s="50">
        <f>VLOOKUP($A68,'Data shares'!$C:$FM,108)</f>
        <v>-5.75</v>
      </c>
      <c r="G68" s="50">
        <f t="shared" si="1"/>
        <v>0.8074346952444742</v>
      </c>
    </row>
    <row r="69" spans="1:7" x14ac:dyDescent="0.25">
      <c r="A69" s="49" t="str">
        <f>'Data Vlaue (Cr)'!C64</f>
        <v>FINNIFTY</v>
      </c>
      <c r="B69" s="50">
        <f>VLOOKUP($A69,'Data shares'!$C:$FM,102)</f>
        <v>18.440000000000001</v>
      </c>
      <c r="C69" s="50">
        <f>VLOOKUP($A69,'Data shares'!$C:$FM,110)</f>
        <v>16.62</v>
      </c>
      <c r="D69" s="50">
        <f>VLOOKUP($A69,'Data shares'!$C:$FM,114)</f>
        <v>20.13</v>
      </c>
      <c r="E69" s="50">
        <f>VLOOKUP($A69,'Data shares'!$C:$FM,106)</f>
        <v>16.809999999999999</v>
      </c>
      <c r="F69" s="50">
        <f>VLOOKUP($A69,'Data shares'!$C:$FM,108)</f>
        <v>1.63</v>
      </c>
      <c r="G69" s="50">
        <f t="shared" si="1"/>
        <v>1.0969660916121358</v>
      </c>
    </row>
    <row r="70" spans="1:7" x14ac:dyDescent="0.25">
      <c r="A70" s="49" t="str">
        <f>'Data Vlaue (Cr)'!C65</f>
        <v>FORTIS</v>
      </c>
      <c r="B70" s="50">
        <f>VLOOKUP($A70,'Data shares'!$C:$FM,102)</f>
        <v>27.93</v>
      </c>
      <c r="C70" s="50">
        <f>VLOOKUP($A70,'Data shares'!$C:$FM,110)</f>
        <v>27.61</v>
      </c>
      <c r="D70" s="50">
        <f>VLOOKUP($A70,'Data shares'!$C:$FM,114)</f>
        <v>28.58</v>
      </c>
      <c r="E70" s="50">
        <f>VLOOKUP($A70,'Data shares'!$C:$FM,106)</f>
        <v>34.56</v>
      </c>
      <c r="F70" s="50">
        <f>VLOOKUP($A70,'Data shares'!$C:$FM,108)</f>
        <v>-6.63</v>
      </c>
      <c r="G70" s="50">
        <f t="shared" si="1"/>
        <v>0.80815972222222221</v>
      </c>
    </row>
    <row r="71" spans="1:7" x14ac:dyDescent="0.25">
      <c r="A71" s="49" t="str">
        <f>'Data Vlaue (Cr)'!C66</f>
        <v>GAIL</v>
      </c>
      <c r="B71" s="50">
        <f>VLOOKUP($A71,'Data shares'!$C:$FM,102)</f>
        <v>35.020000000000003</v>
      </c>
      <c r="C71" s="50">
        <f>VLOOKUP($A71,'Data shares'!$C:$FM,110)</f>
        <v>33.24</v>
      </c>
      <c r="D71" s="50">
        <f>VLOOKUP($A71,'Data shares'!$C:$FM,114)</f>
        <v>36.94</v>
      </c>
      <c r="E71" s="50">
        <f>VLOOKUP($A71,'Data shares'!$C:$FM,106)</f>
        <v>34.03</v>
      </c>
      <c r="F71" s="50">
        <f>VLOOKUP($A71,'Data shares'!$C:$FM,108)</f>
        <v>0.99</v>
      </c>
      <c r="G71" s="50">
        <f t="shared" ref="G71:G102" si="2">B71/E71</f>
        <v>1.0290919776667646</v>
      </c>
    </row>
    <row r="72" spans="1:7" x14ac:dyDescent="0.25">
      <c r="A72" s="49" t="str">
        <f>'Data Vlaue (Cr)'!C67</f>
        <v>GLENMARK</v>
      </c>
      <c r="B72" s="50">
        <f>VLOOKUP($A72,'Data shares'!$C:$FM,102)</f>
        <v>28.71</v>
      </c>
      <c r="C72" s="50">
        <f>VLOOKUP($A72,'Data shares'!$C:$FM,110)</f>
        <v>28.23</v>
      </c>
      <c r="D72" s="50">
        <f>VLOOKUP($A72,'Data shares'!$C:$FM,114)</f>
        <v>30.19</v>
      </c>
      <c r="E72" s="50">
        <f>VLOOKUP($A72,'Data shares'!$C:$FM,106)</f>
        <v>34.97</v>
      </c>
      <c r="F72" s="50">
        <f>VLOOKUP($A72,'Data shares'!$C:$FM,108)</f>
        <v>-6.26</v>
      </c>
      <c r="G72" s="50">
        <f t="shared" si="2"/>
        <v>0.82098941950243065</v>
      </c>
    </row>
    <row r="73" spans="1:7" x14ac:dyDescent="0.25">
      <c r="A73" s="49" t="str">
        <f>'Data Vlaue (Cr)'!C68</f>
        <v>GMRAIRPORT</v>
      </c>
      <c r="B73" s="50">
        <f>VLOOKUP($A73,'Data shares'!$C:$FM,102)</f>
        <v>31.78</v>
      </c>
      <c r="C73" s="50">
        <f>VLOOKUP($A73,'Data shares'!$C:$FM,110)</f>
        <v>30.96</v>
      </c>
      <c r="D73" s="50">
        <f>VLOOKUP($A73,'Data shares'!$C:$FM,114)</f>
        <v>32.96</v>
      </c>
      <c r="E73" s="50">
        <f>VLOOKUP($A73,'Data shares'!$C:$FM,106)</f>
        <v>37.85</v>
      </c>
      <c r="F73" s="50">
        <f>VLOOKUP($A73,'Data shares'!$C:$FM,108)</f>
        <v>-6.07</v>
      </c>
      <c r="G73" s="50">
        <f t="shared" si="2"/>
        <v>0.83963011889035666</v>
      </c>
    </row>
    <row r="74" spans="1:7" x14ac:dyDescent="0.25">
      <c r="A74" s="49" t="str">
        <f>'Data Vlaue (Cr)'!C69</f>
        <v>GODREJCP</v>
      </c>
      <c r="B74" s="50">
        <f>VLOOKUP($A74,'Data shares'!$C:$FM,102)</f>
        <v>24.05</v>
      </c>
      <c r="C74" s="50">
        <f>VLOOKUP($A74,'Data shares'!$C:$FM,110)</f>
        <v>24.28</v>
      </c>
      <c r="D74" s="50">
        <f>VLOOKUP($A74,'Data shares'!$C:$FM,114)</f>
        <v>23.73</v>
      </c>
      <c r="E74" s="50">
        <f>VLOOKUP($A74,'Data shares'!$C:$FM,106)</f>
        <v>28.35</v>
      </c>
      <c r="F74" s="50">
        <f>VLOOKUP($A74,'Data shares'!$C:$FM,108)</f>
        <v>-4.3</v>
      </c>
      <c r="G74" s="50">
        <f t="shared" si="2"/>
        <v>0.84832451499118167</v>
      </c>
    </row>
    <row r="75" spans="1:7" x14ac:dyDescent="0.25">
      <c r="A75" s="49" t="str">
        <f>'Data Vlaue (Cr)'!C70</f>
        <v>GODREJPROP</v>
      </c>
      <c r="B75" s="50">
        <f>VLOOKUP($A75,'Data shares'!$C:$FM,102)</f>
        <v>38.270000000000003</v>
      </c>
      <c r="C75" s="50">
        <f>VLOOKUP($A75,'Data shares'!$C:$FM,110)</f>
        <v>36.97</v>
      </c>
      <c r="D75" s="50">
        <f>VLOOKUP($A75,'Data shares'!$C:$FM,114)</f>
        <v>40.44</v>
      </c>
      <c r="E75" s="50">
        <f>VLOOKUP($A75,'Data shares'!$C:$FM,106)</f>
        <v>44.5</v>
      </c>
      <c r="F75" s="50">
        <f>VLOOKUP($A75,'Data shares'!$C:$FM,108)</f>
        <v>-6.23</v>
      </c>
      <c r="G75" s="50">
        <f t="shared" si="2"/>
        <v>0.8600000000000001</v>
      </c>
    </row>
    <row r="76" spans="1:7" x14ac:dyDescent="0.25">
      <c r="A76" s="49" t="str">
        <f>'Data Vlaue (Cr)'!C71</f>
        <v>GRASIM</v>
      </c>
      <c r="B76" s="50">
        <f>VLOOKUP($A76,'Data shares'!$C:$FM,102)</f>
        <v>21.99</v>
      </c>
      <c r="C76" s="50">
        <f>VLOOKUP($A76,'Data shares'!$C:$FM,110)</f>
        <v>21.53</v>
      </c>
      <c r="D76" s="50">
        <f>VLOOKUP($A76,'Data shares'!$C:$FM,114)</f>
        <v>23.11</v>
      </c>
      <c r="E76" s="50">
        <f>VLOOKUP($A76,'Data shares'!$C:$FM,106)</f>
        <v>25.85</v>
      </c>
      <c r="F76" s="50">
        <f>VLOOKUP($A76,'Data shares'!$C:$FM,108)</f>
        <v>-3.86</v>
      </c>
      <c r="G76" s="50">
        <f t="shared" si="2"/>
        <v>0.85067698259187607</v>
      </c>
    </row>
    <row r="77" spans="1:7" x14ac:dyDescent="0.25">
      <c r="A77" s="49" t="str">
        <f>'Data Vlaue (Cr)'!C72</f>
        <v>HAL</v>
      </c>
      <c r="B77" s="50">
        <f>VLOOKUP($A77,'Data shares'!$C:$FM,102)</f>
        <v>34.85</v>
      </c>
      <c r="C77" s="50">
        <f>VLOOKUP($A77,'Data shares'!$C:$FM,110)</f>
        <v>34.880000000000003</v>
      </c>
      <c r="D77" s="50">
        <f>VLOOKUP($A77,'Data shares'!$C:$FM,114)</f>
        <v>34.78</v>
      </c>
      <c r="E77" s="50">
        <f>VLOOKUP($A77,'Data shares'!$C:$FM,106)</f>
        <v>38.32</v>
      </c>
      <c r="F77" s="50">
        <f>VLOOKUP($A77,'Data shares'!$C:$FM,108)</f>
        <v>-3.47</v>
      </c>
      <c r="G77" s="50">
        <f t="shared" si="2"/>
        <v>0.9094467640918581</v>
      </c>
    </row>
    <row r="78" spans="1:7" x14ac:dyDescent="0.25">
      <c r="A78" s="49" t="str">
        <f>'Data Vlaue (Cr)'!C73</f>
        <v>HAVELLS</v>
      </c>
      <c r="B78" s="50">
        <f>VLOOKUP($A78,'Data shares'!$C:$FM,102)</f>
        <v>24.62</v>
      </c>
      <c r="C78" s="50">
        <f>VLOOKUP($A78,'Data shares'!$C:$FM,110)</f>
        <v>24.46</v>
      </c>
      <c r="D78" s="50">
        <f>VLOOKUP($A78,'Data shares'!$C:$FM,114)</f>
        <v>25.12</v>
      </c>
      <c r="E78" s="50">
        <f>VLOOKUP($A78,'Data shares'!$C:$FM,106)</f>
        <v>28.26</v>
      </c>
      <c r="F78" s="50">
        <f>VLOOKUP($A78,'Data shares'!$C:$FM,108)</f>
        <v>-3.64</v>
      </c>
      <c r="G78" s="50">
        <f t="shared" si="2"/>
        <v>0.87119603680113233</v>
      </c>
    </row>
    <row r="79" spans="1:7" x14ac:dyDescent="0.25">
      <c r="A79" s="49" t="str">
        <f>'Data Vlaue (Cr)'!C74</f>
        <v>HCLTECH</v>
      </c>
      <c r="B79" s="50">
        <f>VLOOKUP($A79,'Data shares'!$C:$FM,102)</f>
        <v>31.48</v>
      </c>
      <c r="C79" s="50">
        <f>VLOOKUP($A79,'Data shares'!$C:$FM,110)</f>
        <v>30.64</v>
      </c>
      <c r="D79" s="50">
        <f>VLOOKUP($A79,'Data shares'!$C:$FM,114)</f>
        <v>32.57</v>
      </c>
      <c r="E79" s="50">
        <f>VLOOKUP($A79,'Data shares'!$C:$FM,106)</f>
        <v>29.25</v>
      </c>
      <c r="F79" s="50">
        <f>VLOOKUP($A79,'Data shares'!$C:$FM,108)</f>
        <v>2.23</v>
      </c>
      <c r="G79" s="50">
        <f t="shared" si="2"/>
        <v>1.0762393162393162</v>
      </c>
    </row>
    <row r="80" spans="1:7" x14ac:dyDescent="0.25">
      <c r="A80" s="49" t="str">
        <f>'Data Vlaue (Cr)'!C75</f>
        <v>HDFCAMC</v>
      </c>
      <c r="B80" s="50">
        <f>VLOOKUP($A80,'Data shares'!$C:$FM,102)</f>
        <v>28.09</v>
      </c>
      <c r="C80" s="50">
        <f>VLOOKUP($A80,'Data shares'!$C:$FM,110)</f>
        <v>27.47</v>
      </c>
      <c r="D80" s="50">
        <f>VLOOKUP($A80,'Data shares'!$C:$FM,114)</f>
        <v>29.19</v>
      </c>
      <c r="E80" s="50">
        <f>VLOOKUP($A80,'Data shares'!$C:$FM,106)</f>
        <v>34.340000000000003</v>
      </c>
      <c r="F80" s="50">
        <f>VLOOKUP($A80,'Data shares'!$C:$FM,108)</f>
        <v>-6.25</v>
      </c>
      <c r="G80" s="50">
        <f t="shared" si="2"/>
        <v>0.81799650553290615</v>
      </c>
    </row>
    <row r="81" spans="1:7" x14ac:dyDescent="0.25">
      <c r="A81" s="49" t="str">
        <f>'Data Vlaue (Cr)'!C76</f>
        <v>HDFCBANK</v>
      </c>
      <c r="B81" s="50">
        <f>VLOOKUP($A81,'Data shares'!$C:$FM,102)</f>
        <v>20.329999999999998</v>
      </c>
      <c r="C81" s="50">
        <f>VLOOKUP($A81,'Data shares'!$C:$FM,110)</f>
        <v>19.86</v>
      </c>
      <c r="D81" s="50">
        <f>VLOOKUP($A81,'Data shares'!$C:$FM,114)</f>
        <v>21.07</v>
      </c>
      <c r="E81" s="50">
        <f>VLOOKUP($A81,'Data shares'!$C:$FM,106)</f>
        <v>19.63</v>
      </c>
      <c r="F81" s="50">
        <f>VLOOKUP($A81,'Data shares'!$C:$FM,108)</f>
        <v>0.7</v>
      </c>
      <c r="G81" s="50">
        <f t="shared" si="2"/>
        <v>1.0356597045338767</v>
      </c>
    </row>
    <row r="82" spans="1:7" x14ac:dyDescent="0.25">
      <c r="A82" s="49" t="str">
        <f>'Data Vlaue (Cr)'!C77</f>
        <v>HDFCLIFE</v>
      </c>
      <c r="B82" s="50">
        <f>VLOOKUP($A82,'Data shares'!$C:$FM,102)</f>
        <v>23</v>
      </c>
      <c r="C82" s="50">
        <f>VLOOKUP($A82,'Data shares'!$C:$FM,110)</f>
        <v>22.64</v>
      </c>
      <c r="D82" s="50">
        <f>VLOOKUP($A82,'Data shares'!$C:$FM,114)</f>
        <v>23.52</v>
      </c>
      <c r="E82" s="50">
        <f>VLOOKUP($A82,'Data shares'!$C:$FM,106)</f>
        <v>24.91</v>
      </c>
      <c r="F82" s="50">
        <f>VLOOKUP($A82,'Data shares'!$C:$FM,108)</f>
        <v>-1.91</v>
      </c>
      <c r="G82" s="50">
        <f t="shared" si="2"/>
        <v>0.92332396627860291</v>
      </c>
    </row>
    <row r="83" spans="1:7" x14ac:dyDescent="0.25">
      <c r="A83" s="49" t="str">
        <f>'Data Vlaue (Cr)'!C78</f>
        <v>HEROMOTOCO</v>
      </c>
      <c r="B83" s="50">
        <f>VLOOKUP($A83,'Data shares'!$C:$FM,102)</f>
        <v>27.33</v>
      </c>
      <c r="C83" s="50">
        <f>VLOOKUP($A83,'Data shares'!$C:$FM,110)</f>
        <v>26.43</v>
      </c>
      <c r="D83" s="50">
        <f>VLOOKUP($A83,'Data shares'!$C:$FM,114)</f>
        <v>29.13</v>
      </c>
      <c r="E83" s="50">
        <f>VLOOKUP($A83,'Data shares'!$C:$FM,106)</f>
        <v>30.36</v>
      </c>
      <c r="F83" s="50">
        <f>VLOOKUP($A83,'Data shares'!$C:$FM,108)</f>
        <v>-3.03</v>
      </c>
      <c r="G83" s="50">
        <f t="shared" si="2"/>
        <v>0.90019762845849793</v>
      </c>
    </row>
    <row r="84" spans="1:7" x14ac:dyDescent="0.25">
      <c r="A84" s="49" t="str">
        <f>'Data Vlaue (Cr)'!C79</f>
        <v>HINDALCO</v>
      </c>
      <c r="B84" s="50">
        <f>VLOOKUP($A84,'Data shares'!$C:$FM,102)</f>
        <v>34.15</v>
      </c>
      <c r="C84" s="50">
        <f>VLOOKUP($A84,'Data shares'!$C:$FM,110)</f>
        <v>34.14</v>
      </c>
      <c r="D84" s="50">
        <f>VLOOKUP($A84,'Data shares'!$C:$FM,114)</f>
        <v>34.159999999999997</v>
      </c>
      <c r="E84" s="50">
        <f>VLOOKUP($A84,'Data shares'!$C:$FM,106)</f>
        <v>35.28</v>
      </c>
      <c r="F84" s="50">
        <f>VLOOKUP($A84,'Data shares'!$C:$FM,108)</f>
        <v>-1.1299999999999999</v>
      </c>
      <c r="G84" s="50">
        <f t="shared" si="2"/>
        <v>0.96797052154195007</v>
      </c>
    </row>
    <row r="85" spans="1:7" x14ac:dyDescent="0.25">
      <c r="A85" s="49" t="str">
        <f>'Data Vlaue (Cr)'!C80</f>
        <v>HINDPETRO</v>
      </c>
      <c r="B85" s="50">
        <f>VLOOKUP($A85,'Data shares'!$C:$FM,102)</f>
        <v>37.43</v>
      </c>
      <c r="C85" s="50">
        <f>VLOOKUP($A85,'Data shares'!$C:$FM,110)</f>
        <v>35.75</v>
      </c>
      <c r="D85" s="50">
        <f>VLOOKUP($A85,'Data shares'!$C:$FM,114)</f>
        <v>39.08</v>
      </c>
      <c r="E85" s="50">
        <f>VLOOKUP($A85,'Data shares'!$C:$FM,106)</f>
        <v>39.630000000000003</v>
      </c>
      <c r="F85" s="50">
        <f>VLOOKUP($A85,'Data shares'!$C:$FM,108)</f>
        <v>-2.2000000000000002</v>
      </c>
      <c r="G85" s="50">
        <f t="shared" si="2"/>
        <v>0.94448650012616697</v>
      </c>
    </row>
    <row r="86" spans="1:7" x14ac:dyDescent="0.25">
      <c r="A86" s="49" t="str">
        <f>'Data Vlaue (Cr)'!C81</f>
        <v>HINDUNILVR</v>
      </c>
      <c r="B86" s="50">
        <f>VLOOKUP($A86,'Data shares'!$C:$FM,102)</f>
        <v>19.920000000000002</v>
      </c>
      <c r="C86" s="50">
        <f>VLOOKUP($A86,'Data shares'!$C:$FM,110)</f>
        <v>19.63</v>
      </c>
      <c r="D86" s="50">
        <f>VLOOKUP($A86,'Data shares'!$C:$FM,114)</f>
        <v>20.45</v>
      </c>
      <c r="E86" s="50">
        <f>VLOOKUP($A86,'Data shares'!$C:$FM,106)</f>
        <v>22.71</v>
      </c>
      <c r="F86" s="50">
        <f>VLOOKUP($A86,'Data shares'!$C:$FM,108)</f>
        <v>-2.79</v>
      </c>
      <c r="G86" s="50">
        <f t="shared" si="2"/>
        <v>0.87714663143989435</v>
      </c>
    </row>
    <row r="87" spans="1:7" x14ac:dyDescent="0.25">
      <c r="A87" s="49" t="str">
        <f>'Data Vlaue (Cr)'!C82</f>
        <v>HINDZINC</v>
      </c>
      <c r="B87" s="50">
        <f>VLOOKUP($A87,'Data shares'!$C:$FM,102)</f>
        <v>38.6</v>
      </c>
      <c r="C87" s="50">
        <f>VLOOKUP($A87,'Data shares'!$C:$FM,110)</f>
        <v>38.380000000000003</v>
      </c>
      <c r="D87" s="50">
        <f>VLOOKUP($A87,'Data shares'!$C:$FM,114)</f>
        <v>39.11</v>
      </c>
      <c r="E87" s="50">
        <f>VLOOKUP($A87,'Data shares'!$C:$FM,106)</f>
        <v>50.02</v>
      </c>
      <c r="F87" s="50">
        <f>VLOOKUP($A87,'Data shares'!$C:$FM,108)</f>
        <v>-11.42</v>
      </c>
      <c r="G87" s="50">
        <f t="shared" si="2"/>
        <v>0.77169132347061176</v>
      </c>
    </row>
    <row r="88" spans="1:7" x14ac:dyDescent="0.25">
      <c r="A88" s="49" t="str">
        <f>'Data Vlaue (Cr)'!C83</f>
        <v>HUDCO</v>
      </c>
      <c r="B88" s="50">
        <f>VLOOKUP($A88,'Data shares'!$C:$FM,102)</f>
        <v>35.06</v>
      </c>
      <c r="C88" s="50">
        <f>VLOOKUP($A88,'Data shares'!$C:$FM,110)</f>
        <v>34.32</v>
      </c>
      <c r="D88" s="50">
        <f>VLOOKUP($A88,'Data shares'!$C:$FM,114)</f>
        <v>36.82</v>
      </c>
      <c r="E88" s="50">
        <f>VLOOKUP($A88,'Data shares'!$C:$FM,106)</f>
        <v>49.18</v>
      </c>
      <c r="F88" s="50">
        <f>VLOOKUP($A88,'Data shares'!$C:$FM,108)</f>
        <v>-14.12</v>
      </c>
      <c r="G88" s="50">
        <f t="shared" si="2"/>
        <v>0.71289141927612854</v>
      </c>
    </row>
    <row r="89" spans="1:7" x14ac:dyDescent="0.25">
      <c r="A89" s="49" t="str">
        <f>'Data Vlaue (Cr)'!C84</f>
        <v>ICICIBANK</v>
      </c>
      <c r="B89" s="50">
        <f>VLOOKUP($A89,'Data shares'!$C:$FM,102)</f>
        <v>16.920000000000002</v>
      </c>
      <c r="C89" s="50">
        <f>VLOOKUP($A89,'Data shares'!$C:$FM,110)</f>
        <v>16.45</v>
      </c>
      <c r="D89" s="50">
        <f>VLOOKUP($A89,'Data shares'!$C:$FM,114)</f>
        <v>17.829999999999998</v>
      </c>
      <c r="E89" s="50">
        <f>VLOOKUP($A89,'Data shares'!$C:$FM,106)</f>
        <v>20.85</v>
      </c>
      <c r="F89" s="50">
        <f>VLOOKUP($A89,'Data shares'!$C:$FM,108)</f>
        <v>-3.93</v>
      </c>
      <c r="G89" s="50">
        <f t="shared" si="2"/>
        <v>0.81151079136690651</v>
      </c>
    </row>
    <row r="90" spans="1:7" x14ac:dyDescent="0.25">
      <c r="A90" s="49" t="str">
        <f>'Data Vlaue (Cr)'!C85</f>
        <v>ICICIGI</v>
      </c>
      <c r="B90" s="50">
        <f>VLOOKUP($A90,'Data shares'!$C:$FM,102)</f>
        <v>21.72</v>
      </c>
      <c r="C90" s="50">
        <f>VLOOKUP($A90,'Data shares'!$C:$FM,110)</f>
        <v>21.19</v>
      </c>
      <c r="D90" s="50">
        <f>VLOOKUP($A90,'Data shares'!$C:$FM,114)</f>
        <v>22.61</v>
      </c>
      <c r="E90" s="50">
        <f>VLOOKUP($A90,'Data shares'!$C:$FM,106)</f>
        <v>27</v>
      </c>
      <c r="F90" s="50">
        <f>VLOOKUP($A90,'Data shares'!$C:$FM,108)</f>
        <v>-5.28</v>
      </c>
      <c r="G90" s="50">
        <f t="shared" si="2"/>
        <v>0.80444444444444441</v>
      </c>
    </row>
    <row r="91" spans="1:7" x14ac:dyDescent="0.25">
      <c r="A91" s="49" t="str">
        <f>'Data Vlaue (Cr)'!C86</f>
        <v>ICICIPRULI</v>
      </c>
      <c r="B91" s="50">
        <f>VLOOKUP($A91,'Data shares'!$C:$FM,102)</f>
        <v>25.34</v>
      </c>
      <c r="C91" s="50">
        <f>VLOOKUP($A91,'Data shares'!$C:$FM,110)</f>
        <v>24.47</v>
      </c>
      <c r="D91" s="50">
        <f>VLOOKUP($A91,'Data shares'!$C:$FM,114)</f>
        <v>26.24</v>
      </c>
      <c r="E91" s="50">
        <f>VLOOKUP($A91,'Data shares'!$C:$FM,106)</f>
        <v>26.95</v>
      </c>
      <c r="F91" s="50">
        <f>VLOOKUP($A91,'Data shares'!$C:$FM,108)</f>
        <v>-1.61</v>
      </c>
      <c r="G91" s="50">
        <f t="shared" si="2"/>
        <v>0.94025974025974024</v>
      </c>
    </row>
    <row r="92" spans="1:7" x14ac:dyDescent="0.25">
      <c r="A92" s="49" t="str">
        <f>'Data Vlaue (Cr)'!C87</f>
        <v>IDEA</v>
      </c>
      <c r="B92" s="50">
        <f>VLOOKUP($A92,'Data shares'!$C:$FM,102)</f>
        <v>57.86</v>
      </c>
      <c r="C92" s="50">
        <f>VLOOKUP($A92,'Data shares'!$C:$FM,110)</f>
        <v>59.15</v>
      </c>
      <c r="D92" s="50">
        <f>VLOOKUP($A92,'Data shares'!$C:$FM,114)</f>
        <v>53.97</v>
      </c>
      <c r="E92" s="50">
        <f>VLOOKUP($A92,'Data shares'!$C:$FM,106)</f>
        <v>65.95</v>
      </c>
      <c r="F92" s="50">
        <f>VLOOKUP($A92,'Data shares'!$C:$FM,108)</f>
        <v>-8.09</v>
      </c>
      <c r="G92" s="50">
        <f t="shared" si="2"/>
        <v>0.87733131159969668</v>
      </c>
    </row>
    <row r="93" spans="1:7" x14ac:dyDescent="0.25">
      <c r="A93" s="49" t="str">
        <f>'Data Vlaue (Cr)'!C88</f>
        <v>IDFCFIRSTB</v>
      </c>
      <c r="B93" s="50">
        <f>VLOOKUP($A93,'Data shares'!$C:$FM,102)</f>
        <v>37.909999999999997</v>
      </c>
      <c r="C93" s="50">
        <f>VLOOKUP($A93,'Data shares'!$C:$FM,110)</f>
        <v>37.32</v>
      </c>
      <c r="D93" s="50">
        <f>VLOOKUP($A93,'Data shares'!$C:$FM,114)</f>
        <v>38.97</v>
      </c>
      <c r="E93" s="50">
        <f>VLOOKUP($A93,'Data shares'!$C:$FM,106)</f>
        <v>39.4</v>
      </c>
      <c r="F93" s="50">
        <f>VLOOKUP($A93,'Data shares'!$C:$FM,108)</f>
        <v>-1.49</v>
      </c>
      <c r="G93" s="50">
        <f t="shared" si="2"/>
        <v>0.96218274111675117</v>
      </c>
    </row>
    <row r="94" spans="1:7" x14ac:dyDescent="0.25">
      <c r="A94" s="49" t="str">
        <f>'Data Vlaue (Cr)'!C89</f>
        <v>IEX</v>
      </c>
      <c r="B94" s="50">
        <f>VLOOKUP($A94,'Data shares'!$C:$FM,102)</f>
        <v>33.97</v>
      </c>
      <c r="C94" s="50">
        <f>VLOOKUP($A94,'Data shares'!$C:$FM,110)</f>
        <v>33.03</v>
      </c>
      <c r="D94" s="50">
        <f>VLOOKUP($A94,'Data shares'!$C:$FM,114)</f>
        <v>35.869999999999997</v>
      </c>
      <c r="E94" s="50">
        <f>VLOOKUP($A94,'Data shares'!$C:$FM,106)</f>
        <v>52.34</v>
      </c>
      <c r="F94" s="50">
        <f>VLOOKUP($A94,'Data shares'!$C:$FM,108)</f>
        <v>-18.37</v>
      </c>
      <c r="G94" s="50">
        <f t="shared" si="2"/>
        <v>0.64902560183416114</v>
      </c>
    </row>
    <row r="95" spans="1:7" x14ac:dyDescent="0.25">
      <c r="A95" s="49" t="str">
        <f>'Data Vlaue (Cr)'!C90</f>
        <v>INDHOTEL</v>
      </c>
      <c r="B95" s="50">
        <f>VLOOKUP($A95,'Data shares'!$C:$FM,102)</f>
        <v>27.51</v>
      </c>
      <c r="C95" s="50">
        <f>VLOOKUP($A95,'Data shares'!$C:$FM,110)</f>
        <v>26.85</v>
      </c>
      <c r="D95" s="50">
        <f>VLOOKUP($A95,'Data shares'!$C:$FM,114)</f>
        <v>28.36</v>
      </c>
      <c r="E95" s="50">
        <f>VLOOKUP($A95,'Data shares'!$C:$FM,106)</f>
        <v>32.68</v>
      </c>
      <c r="F95" s="50">
        <f>VLOOKUP($A95,'Data shares'!$C:$FM,108)</f>
        <v>-5.17</v>
      </c>
      <c r="G95" s="50">
        <f t="shared" si="2"/>
        <v>0.84179926560587526</v>
      </c>
    </row>
    <row r="96" spans="1:7" x14ac:dyDescent="0.25">
      <c r="A96" s="49" t="str">
        <f>'Data Vlaue (Cr)'!C91</f>
        <v>INDIANB</v>
      </c>
      <c r="B96" s="50">
        <f>VLOOKUP($A96,'Data shares'!$C:$FM,102)</f>
        <v>31.72</v>
      </c>
      <c r="C96" s="50">
        <f>VLOOKUP($A96,'Data shares'!$C:$FM,110)</f>
        <v>31.01</v>
      </c>
      <c r="D96" s="50">
        <f>VLOOKUP($A96,'Data shares'!$C:$FM,114)</f>
        <v>32.950000000000003</v>
      </c>
      <c r="E96" s="50">
        <f>VLOOKUP($A96,'Data shares'!$C:$FM,106)</f>
        <v>39.090000000000003</v>
      </c>
      <c r="F96" s="50">
        <f>VLOOKUP($A96,'Data shares'!$C:$FM,108)</f>
        <v>-7.37</v>
      </c>
      <c r="G96" s="50">
        <f t="shared" si="2"/>
        <v>0.81146073164492183</v>
      </c>
    </row>
    <row r="97" spans="1:7" x14ac:dyDescent="0.25">
      <c r="A97" s="49" t="str">
        <f>'Data Vlaue (Cr)'!C92</f>
        <v>INDIAVIX</v>
      </c>
      <c r="B97" s="50">
        <f>VLOOKUP($A97,'Data shares'!$C:$FM,102)</f>
        <v>0</v>
      </c>
      <c r="C97" s="50">
        <f>VLOOKUP($A97,'Data shares'!$C:$FM,110)</f>
        <v>0</v>
      </c>
      <c r="D97" s="50">
        <f>VLOOKUP($A97,'Data shares'!$C:$FM,114)</f>
        <v>0</v>
      </c>
      <c r="E97" s="50">
        <f>VLOOKUP($A97,'Data shares'!$C:$FM,106)</f>
        <v>0</v>
      </c>
      <c r="F97" s="50">
        <f>VLOOKUP($A97,'Data shares'!$C:$FM,108)</f>
        <v>0</v>
      </c>
      <c r="G97" s="50" t="e">
        <f t="shared" si="2"/>
        <v>#DIV/0!</v>
      </c>
    </row>
    <row r="98" spans="1:7" x14ac:dyDescent="0.25">
      <c r="A98" s="49" t="str">
        <f>'Data Vlaue (Cr)'!C93</f>
        <v>INDIGO</v>
      </c>
      <c r="B98" s="50">
        <f>VLOOKUP($A98,'Data shares'!$C:$FM,102)</f>
        <v>32.729999999999997</v>
      </c>
      <c r="C98" s="50">
        <f>VLOOKUP($A98,'Data shares'!$C:$FM,110)</f>
        <v>29.15</v>
      </c>
      <c r="D98" s="50">
        <f>VLOOKUP($A98,'Data shares'!$C:$FM,114)</f>
        <v>36.42</v>
      </c>
      <c r="E98" s="50">
        <f>VLOOKUP($A98,'Data shares'!$C:$FM,106)</f>
        <v>34.79</v>
      </c>
      <c r="F98" s="50">
        <f>VLOOKUP($A98,'Data shares'!$C:$FM,108)</f>
        <v>-2.06</v>
      </c>
      <c r="G98" s="50">
        <f t="shared" si="2"/>
        <v>0.94078758263868922</v>
      </c>
    </row>
    <row r="99" spans="1:7" x14ac:dyDescent="0.25">
      <c r="A99" s="49" t="str">
        <f>'Data Vlaue (Cr)'!C94</f>
        <v>INDUSINDBK</v>
      </c>
      <c r="B99" s="50">
        <f>VLOOKUP($A99,'Data shares'!$C:$FM,102)</f>
        <v>29.05</v>
      </c>
      <c r="C99" s="50">
        <f>VLOOKUP($A99,'Data shares'!$C:$FM,110)</f>
        <v>28.39</v>
      </c>
      <c r="D99" s="50">
        <f>VLOOKUP($A99,'Data shares'!$C:$FM,114)</f>
        <v>29.91</v>
      </c>
      <c r="E99" s="50">
        <f>VLOOKUP($A99,'Data shares'!$C:$FM,106)</f>
        <v>41.09</v>
      </c>
      <c r="F99" s="50">
        <f>VLOOKUP($A99,'Data shares'!$C:$FM,108)</f>
        <v>-12.04</v>
      </c>
      <c r="G99" s="50">
        <f t="shared" si="2"/>
        <v>0.706984667802385</v>
      </c>
    </row>
    <row r="100" spans="1:7" x14ac:dyDescent="0.25">
      <c r="A100" s="49" t="str">
        <f>'Data Vlaue (Cr)'!C95</f>
        <v>INDUSTOWER</v>
      </c>
      <c r="B100" s="50">
        <f>VLOOKUP($A100,'Data shares'!$C:$FM,102)</f>
        <v>30.45</v>
      </c>
      <c r="C100" s="50">
        <f>VLOOKUP($A100,'Data shares'!$C:$FM,110)</f>
        <v>29.62</v>
      </c>
      <c r="D100" s="50">
        <f>VLOOKUP($A100,'Data shares'!$C:$FM,114)</f>
        <v>32.56</v>
      </c>
      <c r="E100" s="50">
        <f>VLOOKUP($A100,'Data shares'!$C:$FM,106)</f>
        <v>37</v>
      </c>
      <c r="F100" s="50">
        <f>VLOOKUP($A100,'Data shares'!$C:$FM,108)</f>
        <v>-6.55</v>
      </c>
      <c r="G100" s="50">
        <f t="shared" si="2"/>
        <v>0.822972972972973</v>
      </c>
    </row>
    <row r="101" spans="1:7" x14ac:dyDescent="0.25">
      <c r="A101" s="49" t="str">
        <f>'Data Vlaue (Cr)'!C96</f>
        <v>INFY</v>
      </c>
      <c r="B101" s="50">
        <f>VLOOKUP($A101,'Data shares'!$C:$FM,102)</f>
        <v>32.81</v>
      </c>
      <c r="C101" s="50">
        <f>VLOOKUP($A101,'Data shares'!$C:$FM,110)</f>
        <v>31.45</v>
      </c>
      <c r="D101" s="50">
        <f>VLOOKUP($A101,'Data shares'!$C:$FM,114)</f>
        <v>34.770000000000003</v>
      </c>
      <c r="E101" s="50">
        <f>VLOOKUP($A101,'Data shares'!$C:$FM,106)</f>
        <v>30.77</v>
      </c>
      <c r="F101" s="50">
        <f>VLOOKUP($A101,'Data shares'!$C:$FM,108)</f>
        <v>2.04</v>
      </c>
      <c r="G101" s="50">
        <f t="shared" si="2"/>
        <v>1.0662983425414365</v>
      </c>
    </row>
    <row r="102" spans="1:7" x14ac:dyDescent="0.25">
      <c r="A102" s="49" t="str">
        <f>'Data Vlaue (Cr)'!C97</f>
        <v>INOXWIND</v>
      </c>
      <c r="B102" s="50">
        <f>VLOOKUP($A102,'Data shares'!$C:$FM,102)</f>
        <v>44.2</v>
      </c>
      <c r="C102" s="50">
        <f>VLOOKUP($A102,'Data shares'!$C:$FM,110)</f>
        <v>43.4</v>
      </c>
      <c r="D102" s="50">
        <f>VLOOKUP($A102,'Data shares'!$C:$FM,114)</f>
        <v>45.66</v>
      </c>
      <c r="E102" s="50">
        <f>VLOOKUP($A102,'Data shares'!$C:$FM,106)</f>
        <v>51.06</v>
      </c>
      <c r="F102" s="50">
        <f>VLOOKUP($A102,'Data shares'!$C:$FM,108)</f>
        <v>-6.86</v>
      </c>
      <c r="G102" s="50">
        <f t="shared" si="2"/>
        <v>0.86564825695260483</v>
      </c>
    </row>
    <row r="103" spans="1:7" x14ac:dyDescent="0.25">
      <c r="A103" s="49" t="str">
        <f>'Data Vlaue (Cr)'!C98</f>
        <v>IOC</v>
      </c>
      <c r="B103" s="50">
        <f>VLOOKUP($A103,'Data shares'!$C:$FM,102)</f>
        <v>32.619999999999997</v>
      </c>
      <c r="C103" s="50">
        <f>VLOOKUP($A103,'Data shares'!$C:$FM,110)</f>
        <v>31.55</v>
      </c>
      <c r="D103" s="50">
        <f>VLOOKUP($A103,'Data shares'!$C:$FM,114)</f>
        <v>33.729999999999997</v>
      </c>
      <c r="E103" s="50">
        <f>VLOOKUP($A103,'Data shares'!$C:$FM,106)</f>
        <v>31.71</v>
      </c>
      <c r="F103" s="50">
        <f>VLOOKUP($A103,'Data shares'!$C:$FM,108)</f>
        <v>0.91</v>
      </c>
      <c r="G103" s="50">
        <f t="shared" ref="G103:G134" si="3">B103/E103</f>
        <v>1.0286975717439293</v>
      </c>
    </row>
    <row r="104" spans="1:7" x14ac:dyDescent="0.25">
      <c r="A104" s="49" t="str">
        <f>'Data Vlaue (Cr)'!C99</f>
        <v>IREDA</v>
      </c>
      <c r="B104" s="50">
        <f>VLOOKUP($A104,'Data shares'!$C:$FM,102)</f>
        <v>37.159999999999997</v>
      </c>
      <c r="C104" s="50">
        <f>VLOOKUP($A104,'Data shares'!$C:$FM,110)</f>
        <v>36.96</v>
      </c>
      <c r="D104" s="50">
        <f>VLOOKUP($A104,'Data shares'!$C:$FM,114)</f>
        <v>37.74</v>
      </c>
      <c r="E104" s="50">
        <f>VLOOKUP($A104,'Data shares'!$C:$FM,106)</f>
        <v>47.75</v>
      </c>
      <c r="F104" s="50">
        <f>VLOOKUP($A104,'Data shares'!$C:$FM,108)</f>
        <v>-10.59</v>
      </c>
      <c r="G104" s="50">
        <f t="shared" si="3"/>
        <v>0.7782198952879581</v>
      </c>
    </row>
    <row r="105" spans="1:7" x14ac:dyDescent="0.25">
      <c r="A105" s="49" t="str">
        <f>'Data Vlaue (Cr)'!C100</f>
        <v>IRFC</v>
      </c>
      <c r="B105" s="50">
        <f>VLOOKUP($A105,'Data shares'!$C:$FM,102)</f>
        <v>34.61</v>
      </c>
      <c r="C105" s="50">
        <f>VLOOKUP($A105,'Data shares'!$C:$FM,110)</f>
        <v>34.590000000000003</v>
      </c>
      <c r="D105" s="50">
        <f>VLOOKUP($A105,'Data shares'!$C:$FM,114)</f>
        <v>34.700000000000003</v>
      </c>
      <c r="E105" s="50">
        <f>VLOOKUP($A105,'Data shares'!$C:$FM,106)</f>
        <v>44.75</v>
      </c>
      <c r="F105" s="50">
        <f>VLOOKUP($A105,'Data shares'!$C:$FM,108)</f>
        <v>-10.14</v>
      </c>
      <c r="G105" s="50">
        <f t="shared" si="3"/>
        <v>0.77340782122905027</v>
      </c>
    </row>
    <row r="106" spans="1:7" x14ac:dyDescent="0.25">
      <c r="A106" s="49" t="str">
        <f>'Data Vlaue (Cr)'!C101</f>
        <v>ITC</v>
      </c>
      <c r="B106" s="50">
        <f>VLOOKUP($A106,'Data shares'!$C:$FM,102)</f>
        <v>20.47</v>
      </c>
      <c r="C106" s="50">
        <f>VLOOKUP($A106,'Data shares'!$C:$FM,110)</f>
        <v>20.81</v>
      </c>
      <c r="D106" s="50">
        <f>VLOOKUP($A106,'Data shares'!$C:$FM,114)</f>
        <v>19.28</v>
      </c>
      <c r="E106" s="50">
        <f>VLOOKUP($A106,'Data shares'!$C:$FM,106)</f>
        <v>24.35</v>
      </c>
      <c r="F106" s="50">
        <f>VLOOKUP($A106,'Data shares'!$C:$FM,108)</f>
        <v>-3.88</v>
      </c>
      <c r="G106" s="50">
        <f t="shared" si="3"/>
        <v>0.84065708418891161</v>
      </c>
    </row>
    <row r="107" spans="1:7" x14ac:dyDescent="0.25">
      <c r="A107" s="49" t="str">
        <f>'Data Vlaue (Cr)'!C102</f>
        <v>JINDALSTEL</v>
      </c>
      <c r="B107" s="50">
        <f>VLOOKUP($A107,'Data shares'!$C:$FM,102)</f>
        <v>28.01</v>
      </c>
      <c r="C107" s="50">
        <f>VLOOKUP($A107,'Data shares'!$C:$FM,110)</f>
        <v>27.39</v>
      </c>
      <c r="D107" s="50">
        <f>VLOOKUP($A107,'Data shares'!$C:$FM,114)</f>
        <v>29.58</v>
      </c>
      <c r="E107" s="50">
        <f>VLOOKUP($A107,'Data shares'!$C:$FM,106)</f>
        <v>35.1</v>
      </c>
      <c r="F107" s="50">
        <f>VLOOKUP($A107,'Data shares'!$C:$FM,108)</f>
        <v>-7.09</v>
      </c>
      <c r="G107" s="50">
        <f t="shared" si="3"/>
        <v>0.79800569800569798</v>
      </c>
    </row>
    <row r="108" spans="1:7" x14ac:dyDescent="0.25">
      <c r="A108" s="49" t="str">
        <f>'Data Vlaue (Cr)'!C103</f>
        <v>JIOFIN</v>
      </c>
      <c r="B108" s="50">
        <f>VLOOKUP($A108,'Data shares'!$C:$FM,102)</f>
        <v>31.16</v>
      </c>
      <c r="C108" s="50">
        <f>VLOOKUP($A108,'Data shares'!$C:$FM,110)</f>
        <v>30.93</v>
      </c>
      <c r="D108" s="50">
        <f>VLOOKUP($A108,'Data shares'!$C:$FM,114)</f>
        <v>31.66</v>
      </c>
      <c r="E108" s="50">
        <f>VLOOKUP($A108,'Data shares'!$C:$FM,106)</f>
        <v>34.81</v>
      </c>
      <c r="F108" s="50">
        <f>VLOOKUP($A108,'Data shares'!$C:$FM,108)</f>
        <v>-3.65</v>
      </c>
      <c r="G108" s="50">
        <f t="shared" si="3"/>
        <v>0.89514507325481174</v>
      </c>
    </row>
    <row r="109" spans="1:7" x14ac:dyDescent="0.25">
      <c r="A109" s="49" t="str">
        <f>'Data Vlaue (Cr)'!C104</f>
        <v>JSWENERGY</v>
      </c>
      <c r="B109" s="50">
        <f>VLOOKUP($A109,'Data shares'!$C:$FM,102)</f>
        <v>30.28</v>
      </c>
      <c r="C109" s="50">
        <f>VLOOKUP($A109,'Data shares'!$C:$FM,110)</f>
        <v>29.33</v>
      </c>
      <c r="D109" s="50">
        <f>VLOOKUP($A109,'Data shares'!$C:$FM,114)</f>
        <v>33.159999999999997</v>
      </c>
      <c r="E109" s="50">
        <f>VLOOKUP($A109,'Data shares'!$C:$FM,106)</f>
        <v>42.37</v>
      </c>
      <c r="F109" s="50">
        <f>VLOOKUP($A109,'Data shares'!$C:$FM,108)</f>
        <v>-12.09</v>
      </c>
      <c r="G109" s="50">
        <f t="shared" si="3"/>
        <v>0.71465659664857217</v>
      </c>
    </row>
    <row r="110" spans="1:7" x14ac:dyDescent="0.25">
      <c r="A110" s="49" t="str">
        <f>'Data Vlaue (Cr)'!C105</f>
        <v>JSWSTEEL</v>
      </c>
      <c r="B110" s="50">
        <f>VLOOKUP($A110,'Data shares'!$C:$FM,102)</f>
        <v>26.62</v>
      </c>
      <c r="C110" s="50">
        <f>VLOOKUP($A110,'Data shares'!$C:$FM,110)</f>
        <v>25.83</v>
      </c>
      <c r="D110" s="50">
        <f>VLOOKUP($A110,'Data shares'!$C:$FM,114)</f>
        <v>28.06</v>
      </c>
      <c r="E110" s="50">
        <f>VLOOKUP($A110,'Data shares'!$C:$FM,106)</f>
        <v>29.59</v>
      </c>
      <c r="F110" s="50">
        <f>VLOOKUP($A110,'Data shares'!$C:$FM,108)</f>
        <v>-2.97</v>
      </c>
      <c r="G110" s="50">
        <f t="shared" si="3"/>
        <v>0.8996282527881041</v>
      </c>
    </row>
    <row r="111" spans="1:7" x14ac:dyDescent="0.25">
      <c r="A111" s="49" t="str">
        <f>'Data Vlaue (Cr)'!C106</f>
        <v>JUBLFOOD</v>
      </c>
      <c r="B111" s="50">
        <f>VLOOKUP($A111,'Data shares'!$C:$FM,102)</f>
        <v>28.67</v>
      </c>
      <c r="C111" s="50">
        <f>VLOOKUP($A111,'Data shares'!$C:$FM,110)</f>
        <v>28.4</v>
      </c>
      <c r="D111" s="50">
        <f>VLOOKUP($A111,'Data shares'!$C:$FM,114)</f>
        <v>29.63</v>
      </c>
      <c r="E111" s="50">
        <f>VLOOKUP($A111,'Data shares'!$C:$FM,106)</f>
        <v>32.58</v>
      </c>
      <c r="F111" s="50">
        <f>VLOOKUP($A111,'Data shares'!$C:$FM,108)</f>
        <v>-3.91</v>
      </c>
      <c r="G111" s="50">
        <f t="shared" si="3"/>
        <v>0.87998772252915913</v>
      </c>
    </row>
    <row r="112" spans="1:7" x14ac:dyDescent="0.25">
      <c r="A112" s="49" t="str">
        <f>'Data Vlaue (Cr)'!C107</f>
        <v>KALYANKJIL</v>
      </c>
      <c r="B112" s="50">
        <f>VLOOKUP($A112,'Data shares'!$C:$FM,102)</f>
        <v>36.17</v>
      </c>
      <c r="C112" s="50">
        <f>VLOOKUP($A112,'Data shares'!$C:$FM,110)</f>
        <v>35.619999999999997</v>
      </c>
      <c r="D112" s="50">
        <f>VLOOKUP($A112,'Data shares'!$C:$FM,114)</f>
        <v>37.299999999999997</v>
      </c>
      <c r="E112" s="50">
        <f>VLOOKUP($A112,'Data shares'!$C:$FM,106)</f>
        <v>51.82</v>
      </c>
      <c r="F112" s="50">
        <f>VLOOKUP($A112,'Data shares'!$C:$FM,108)</f>
        <v>-15.65</v>
      </c>
      <c r="G112" s="50">
        <f t="shared" si="3"/>
        <v>0.69799305287533775</v>
      </c>
    </row>
    <row r="113" spans="1:7" x14ac:dyDescent="0.25">
      <c r="A113" s="49" t="str">
        <f>'Data Vlaue (Cr)'!C108</f>
        <v>KAYNES</v>
      </c>
      <c r="B113" s="50">
        <f>VLOOKUP($A113,'Data shares'!$C:$FM,102)</f>
        <v>42.41</v>
      </c>
      <c r="C113" s="50">
        <f>VLOOKUP($A113,'Data shares'!$C:$FM,110)</f>
        <v>41.31</v>
      </c>
      <c r="D113" s="50">
        <f>VLOOKUP($A113,'Data shares'!$C:$FM,114)</f>
        <v>44.28</v>
      </c>
      <c r="E113" s="50">
        <f>VLOOKUP($A113,'Data shares'!$C:$FM,106)</f>
        <v>60.4</v>
      </c>
      <c r="F113" s="50">
        <f>VLOOKUP($A113,'Data shares'!$C:$FM,108)</f>
        <v>-17.989999999999998</v>
      </c>
      <c r="G113" s="50">
        <f t="shared" si="3"/>
        <v>0.70215231788079469</v>
      </c>
    </row>
    <row r="114" spans="1:7" x14ac:dyDescent="0.25">
      <c r="A114" s="49" t="str">
        <f>'Data Vlaue (Cr)'!C109</f>
        <v>KEI</v>
      </c>
      <c r="B114" s="50">
        <f>VLOOKUP($A114,'Data shares'!$C:$FM,102)</f>
        <v>33.659999999999997</v>
      </c>
      <c r="C114" s="50">
        <f>VLOOKUP($A114,'Data shares'!$C:$FM,110)</f>
        <v>32.950000000000003</v>
      </c>
      <c r="D114" s="50">
        <f>VLOOKUP($A114,'Data shares'!$C:$FM,114)</f>
        <v>34.49</v>
      </c>
      <c r="E114" s="50">
        <f>VLOOKUP($A114,'Data shares'!$C:$FM,106)</f>
        <v>44.82</v>
      </c>
      <c r="F114" s="50">
        <f>VLOOKUP($A114,'Data shares'!$C:$FM,108)</f>
        <v>-11.16</v>
      </c>
      <c r="G114" s="50">
        <f t="shared" si="3"/>
        <v>0.75100401606425693</v>
      </c>
    </row>
    <row r="115" spans="1:7" x14ac:dyDescent="0.25">
      <c r="A115" s="49" t="str">
        <f>'Data Vlaue (Cr)'!C110</f>
        <v>KFINTECH</v>
      </c>
      <c r="B115" s="50">
        <f>VLOOKUP($A115,'Data shares'!$C:$FM,102)</f>
        <v>36.39</v>
      </c>
      <c r="C115" s="50">
        <f>VLOOKUP($A115,'Data shares'!$C:$FM,110)</f>
        <v>36.06</v>
      </c>
      <c r="D115" s="50">
        <f>VLOOKUP($A115,'Data shares'!$C:$FM,114)</f>
        <v>37.03</v>
      </c>
      <c r="E115" s="50">
        <f>VLOOKUP($A115,'Data shares'!$C:$FM,106)</f>
        <v>49.88</v>
      </c>
      <c r="F115" s="50">
        <f>VLOOKUP($A115,'Data shares'!$C:$FM,108)</f>
        <v>-13.49</v>
      </c>
      <c r="G115" s="50">
        <f t="shared" si="3"/>
        <v>0.72955092221331197</v>
      </c>
    </row>
    <row r="116" spans="1:7" x14ac:dyDescent="0.25">
      <c r="A116" s="49" t="str">
        <f>'Data Vlaue (Cr)'!C111</f>
        <v>KOTAKBANK</v>
      </c>
      <c r="B116" s="50">
        <f>VLOOKUP($A116,'Data shares'!$C:$FM,102)</f>
        <v>20.09</v>
      </c>
      <c r="C116" s="50">
        <f>VLOOKUP($A116,'Data shares'!$C:$FM,110)</f>
        <v>19.920000000000002</v>
      </c>
      <c r="D116" s="50">
        <f>VLOOKUP($A116,'Data shares'!$C:$FM,114)</f>
        <v>20.34</v>
      </c>
      <c r="E116" s="50">
        <f>VLOOKUP($A116,'Data shares'!$C:$FM,106)</f>
        <v>25.39</v>
      </c>
      <c r="F116" s="50">
        <f>VLOOKUP($A116,'Data shares'!$C:$FM,108)</f>
        <v>-5.3</v>
      </c>
      <c r="G116" s="50">
        <f t="shared" si="3"/>
        <v>0.79125640015754228</v>
      </c>
    </row>
    <row r="117" spans="1:7" x14ac:dyDescent="0.25">
      <c r="A117" s="49" t="str">
        <f>'Data Vlaue (Cr)'!C112</f>
        <v>KPITTECH</v>
      </c>
      <c r="B117" s="50">
        <f>VLOOKUP($A117,'Data shares'!$C:$FM,102)</f>
        <v>42.88</v>
      </c>
      <c r="C117" s="50">
        <f>VLOOKUP($A117,'Data shares'!$C:$FM,110)</f>
        <v>42.79</v>
      </c>
      <c r="D117" s="50">
        <f>VLOOKUP($A117,'Data shares'!$C:$FM,114)</f>
        <v>43.11</v>
      </c>
      <c r="E117" s="50">
        <f>VLOOKUP($A117,'Data shares'!$C:$FM,106)</f>
        <v>44.36</v>
      </c>
      <c r="F117" s="50">
        <f>VLOOKUP($A117,'Data shares'!$C:$FM,108)</f>
        <v>-1.48</v>
      </c>
      <c r="G117" s="50">
        <f t="shared" si="3"/>
        <v>0.96663660955816055</v>
      </c>
    </row>
    <row r="118" spans="1:7" x14ac:dyDescent="0.25">
      <c r="A118" s="49" t="str">
        <f>'Data Vlaue (Cr)'!C113</f>
        <v>LAURUSLABS</v>
      </c>
      <c r="B118" s="50">
        <f>VLOOKUP($A118,'Data shares'!$C:$FM,102)</f>
        <v>33.090000000000003</v>
      </c>
      <c r="C118" s="50">
        <f>VLOOKUP($A118,'Data shares'!$C:$FM,110)</f>
        <v>32.82</v>
      </c>
      <c r="D118" s="50">
        <f>VLOOKUP($A118,'Data shares'!$C:$FM,114)</f>
        <v>34.06</v>
      </c>
      <c r="E118" s="50">
        <f>VLOOKUP($A118,'Data shares'!$C:$FM,106)</f>
        <v>38.549999999999997</v>
      </c>
      <c r="F118" s="50">
        <f>VLOOKUP($A118,'Data shares'!$C:$FM,108)</f>
        <v>-5.46</v>
      </c>
      <c r="G118" s="50">
        <f t="shared" si="3"/>
        <v>0.85836575875486398</v>
      </c>
    </row>
    <row r="119" spans="1:7" x14ac:dyDescent="0.25">
      <c r="A119" s="49" t="str">
        <f>'Data Vlaue (Cr)'!C114</f>
        <v>LICHSGFIN</v>
      </c>
      <c r="B119" s="50">
        <f>VLOOKUP($A119,'Data shares'!$C:$FM,102)</f>
        <v>25.26</v>
      </c>
      <c r="C119" s="50">
        <f>VLOOKUP($A119,'Data shares'!$C:$FM,110)</f>
        <v>24.13</v>
      </c>
      <c r="D119" s="50">
        <f>VLOOKUP($A119,'Data shares'!$C:$FM,114)</f>
        <v>27.05</v>
      </c>
      <c r="E119" s="50">
        <f>VLOOKUP($A119,'Data shares'!$C:$FM,106)</f>
        <v>31.6</v>
      </c>
      <c r="F119" s="50">
        <f>VLOOKUP($A119,'Data shares'!$C:$FM,108)</f>
        <v>-6.34</v>
      </c>
      <c r="G119" s="50">
        <f t="shared" si="3"/>
        <v>0.79936708860759498</v>
      </c>
    </row>
    <row r="120" spans="1:7" x14ac:dyDescent="0.25">
      <c r="A120" s="49" t="str">
        <f>'Data Vlaue (Cr)'!C115</f>
        <v>LICI</v>
      </c>
      <c r="B120" s="50">
        <f>VLOOKUP($A120,'Data shares'!$C:$FM,102)</f>
        <v>24.36</v>
      </c>
      <c r="C120" s="50">
        <f>VLOOKUP($A120,'Data shares'!$C:$FM,110)</f>
        <v>24.72</v>
      </c>
      <c r="D120" s="50">
        <f>VLOOKUP($A120,'Data shares'!$C:$FM,114)</f>
        <v>23.5</v>
      </c>
      <c r="E120" s="50">
        <f>VLOOKUP($A120,'Data shares'!$C:$FM,106)</f>
        <v>30.48</v>
      </c>
      <c r="F120" s="50">
        <f>VLOOKUP($A120,'Data shares'!$C:$FM,108)</f>
        <v>-6.12</v>
      </c>
      <c r="G120" s="50">
        <f t="shared" si="3"/>
        <v>0.79921259842519687</v>
      </c>
    </row>
    <row r="121" spans="1:7" x14ac:dyDescent="0.25">
      <c r="A121" s="49" t="str">
        <f>'Data Vlaue (Cr)'!C116</f>
        <v>LODHA</v>
      </c>
      <c r="B121" s="50">
        <f>VLOOKUP($A121,'Data shares'!$C:$FM,102)</f>
        <v>38.86</v>
      </c>
      <c r="C121" s="50">
        <f>VLOOKUP($A121,'Data shares'!$C:$FM,110)</f>
        <v>38.43</v>
      </c>
      <c r="D121" s="50">
        <f>VLOOKUP($A121,'Data shares'!$C:$FM,114)</f>
        <v>39.22</v>
      </c>
      <c r="E121" s="50">
        <f>VLOOKUP($A121,'Data shares'!$C:$FM,106)</f>
        <v>45.16</v>
      </c>
      <c r="F121" s="50">
        <f>VLOOKUP($A121,'Data shares'!$C:$FM,108)</f>
        <v>-6.3</v>
      </c>
      <c r="G121" s="50">
        <f t="shared" si="3"/>
        <v>0.86049601417183352</v>
      </c>
    </row>
    <row r="122" spans="1:7" x14ac:dyDescent="0.25">
      <c r="A122" s="49" t="str">
        <f>'Data Vlaue (Cr)'!C117</f>
        <v>LT</v>
      </c>
      <c r="B122" s="50">
        <f>VLOOKUP($A122,'Data shares'!$C:$FM,102)</f>
        <v>24.46</v>
      </c>
      <c r="C122" s="50">
        <f>VLOOKUP($A122,'Data shares'!$C:$FM,110)</f>
        <v>22.3</v>
      </c>
      <c r="D122" s="50">
        <f>VLOOKUP($A122,'Data shares'!$C:$FM,114)</f>
        <v>27.98</v>
      </c>
      <c r="E122" s="50">
        <f>VLOOKUP($A122,'Data shares'!$C:$FM,106)</f>
        <v>28.38</v>
      </c>
      <c r="F122" s="50">
        <f>VLOOKUP($A122,'Data shares'!$C:$FM,108)</f>
        <v>-3.92</v>
      </c>
      <c r="G122" s="50">
        <f t="shared" si="3"/>
        <v>0.86187455954897818</v>
      </c>
    </row>
    <row r="123" spans="1:7" x14ac:dyDescent="0.25">
      <c r="A123" s="49" t="str">
        <f>'Data Vlaue (Cr)'!C118</f>
        <v>LTF</v>
      </c>
      <c r="B123" s="50">
        <f>VLOOKUP($A123,'Data shares'!$C:$FM,102)</f>
        <v>36.35</v>
      </c>
      <c r="C123" s="50">
        <f>VLOOKUP($A123,'Data shares'!$C:$FM,110)</f>
        <v>36.5</v>
      </c>
      <c r="D123" s="50">
        <f>VLOOKUP($A123,'Data shares'!$C:$FM,114)</f>
        <v>35.82</v>
      </c>
      <c r="E123" s="50">
        <f>VLOOKUP($A123,'Data shares'!$C:$FM,106)</f>
        <v>38.58</v>
      </c>
      <c r="F123" s="50">
        <f>VLOOKUP($A123,'Data shares'!$C:$FM,108)</f>
        <v>-2.23</v>
      </c>
      <c r="G123" s="50">
        <f t="shared" si="3"/>
        <v>0.94219803006739256</v>
      </c>
    </row>
    <row r="124" spans="1:7" x14ac:dyDescent="0.25">
      <c r="A124" s="49" t="str">
        <f>'Data Vlaue (Cr)'!C119</f>
        <v>LTM</v>
      </c>
      <c r="B124" s="50">
        <f>VLOOKUP($A124,'Data shares'!$C:$FM,102)</f>
        <v>35.64</v>
      </c>
      <c r="C124" s="50">
        <f>VLOOKUP($A124,'Data shares'!$C:$FM,110)</f>
        <v>36.090000000000003</v>
      </c>
      <c r="D124" s="50">
        <f>VLOOKUP($A124,'Data shares'!$C:$FM,114)</f>
        <v>35.15</v>
      </c>
      <c r="E124" s="50">
        <f>VLOOKUP($A124,'Data shares'!$C:$FM,106)</f>
        <v>34.67</v>
      </c>
      <c r="F124" s="50">
        <f>VLOOKUP($A124,'Data shares'!$C:$FM,108)</f>
        <v>0.97</v>
      </c>
      <c r="G124" s="50">
        <f t="shared" si="3"/>
        <v>1.0279780790308624</v>
      </c>
    </row>
    <row r="125" spans="1:7" x14ac:dyDescent="0.25">
      <c r="A125" s="49" t="str">
        <f>'Data Vlaue (Cr)'!C120</f>
        <v>LUPIN</v>
      </c>
      <c r="B125" s="50">
        <f>VLOOKUP($A125,'Data shares'!$C:$FM,102)</f>
        <v>22.9</v>
      </c>
      <c r="C125" s="50">
        <f>VLOOKUP($A125,'Data shares'!$C:$FM,110)</f>
        <v>22.57</v>
      </c>
      <c r="D125" s="50">
        <f>VLOOKUP($A125,'Data shares'!$C:$FM,114)</f>
        <v>23.73</v>
      </c>
      <c r="E125" s="50">
        <f>VLOOKUP($A125,'Data shares'!$C:$FM,106)</f>
        <v>28.5</v>
      </c>
      <c r="F125" s="50">
        <f>VLOOKUP($A125,'Data shares'!$C:$FM,108)</f>
        <v>-5.6</v>
      </c>
      <c r="G125" s="50">
        <f t="shared" si="3"/>
        <v>0.80350877192982451</v>
      </c>
    </row>
    <row r="126" spans="1:7" x14ac:dyDescent="0.25">
      <c r="A126" s="49" t="str">
        <f>'Data Vlaue (Cr)'!C121</f>
        <v>M&amp;M</v>
      </c>
      <c r="B126" s="50">
        <f>VLOOKUP($A126,'Data shares'!$C:$FM,102)</f>
        <v>27.17</v>
      </c>
      <c r="C126" s="50">
        <f>VLOOKUP($A126,'Data shares'!$C:$FM,110)</f>
        <v>26.02</v>
      </c>
      <c r="D126" s="50">
        <f>VLOOKUP($A126,'Data shares'!$C:$FM,114)</f>
        <v>28.92</v>
      </c>
      <c r="E126" s="50">
        <f>VLOOKUP($A126,'Data shares'!$C:$FM,106)</f>
        <v>31.36</v>
      </c>
      <c r="F126" s="50">
        <f>VLOOKUP($A126,'Data shares'!$C:$FM,108)</f>
        <v>-4.1900000000000004</v>
      </c>
      <c r="G126" s="50">
        <f t="shared" si="3"/>
        <v>0.86639030612244905</v>
      </c>
    </row>
    <row r="127" spans="1:7" x14ac:dyDescent="0.25">
      <c r="A127" s="49" t="str">
        <f>'Data Vlaue (Cr)'!C122</f>
        <v>MANAPPURAM</v>
      </c>
      <c r="B127" s="50">
        <f>VLOOKUP($A127,'Data shares'!$C:$FM,102)</f>
        <v>37.36</v>
      </c>
      <c r="C127" s="50">
        <f>VLOOKUP($A127,'Data shares'!$C:$FM,110)</f>
        <v>37.82</v>
      </c>
      <c r="D127" s="50">
        <f>VLOOKUP($A127,'Data shares'!$C:$FM,114)</f>
        <v>36.29</v>
      </c>
      <c r="E127" s="50">
        <f>VLOOKUP($A127,'Data shares'!$C:$FM,106)</f>
        <v>42.59</v>
      </c>
      <c r="F127" s="50">
        <f>VLOOKUP($A127,'Data shares'!$C:$FM,108)</f>
        <v>-5.23</v>
      </c>
      <c r="G127" s="50">
        <f t="shared" si="3"/>
        <v>0.87720122094388342</v>
      </c>
    </row>
    <row r="128" spans="1:7" x14ac:dyDescent="0.25">
      <c r="A128" s="49" t="str">
        <f>'Data Vlaue (Cr)'!C123</f>
        <v>MANKIND</v>
      </c>
      <c r="B128" s="50">
        <f>VLOOKUP($A128,'Data shares'!$C:$FM,102)</f>
        <v>27.32</v>
      </c>
      <c r="C128" s="50">
        <f>VLOOKUP($A128,'Data shares'!$C:$FM,110)</f>
        <v>27.21</v>
      </c>
      <c r="D128" s="50">
        <f>VLOOKUP($A128,'Data shares'!$C:$FM,114)</f>
        <v>28</v>
      </c>
      <c r="E128" s="50">
        <f>VLOOKUP($A128,'Data shares'!$C:$FM,106)</f>
        <v>33.33</v>
      </c>
      <c r="F128" s="50">
        <f>VLOOKUP($A128,'Data shares'!$C:$FM,108)</f>
        <v>-6.01</v>
      </c>
      <c r="G128" s="50">
        <f t="shared" si="3"/>
        <v>0.81968196819681971</v>
      </c>
    </row>
    <row r="129" spans="1:7" x14ac:dyDescent="0.25">
      <c r="A129" s="49" t="str">
        <f>'Data Vlaue (Cr)'!C124</f>
        <v>MARICO</v>
      </c>
      <c r="B129" s="50">
        <f>VLOOKUP($A129,'Data shares'!$C:$FM,102)</f>
        <v>20.3</v>
      </c>
      <c r="C129" s="50">
        <f>VLOOKUP($A129,'Data shares'!$C:$FM,110)</f>
        <v>20.02</v>
      </c>
      <c r="D129" s="50">
        <f>VLOOKUP($A129,'Data shares'!$C:$FM,114)</f>
        <v>20.98</v>
      </c>
      <c r="E129" s="50">
        <f>VLOOKUP($A129,'Data shares'!$C:$FM,106)</f>
        <v>24.22</v>
      </c>
      <c r="F129" s="50">
        <f>VLOOKUP($A129,'Data shares'!$C:$FM,108)</f>
        <v>-3.92</v>
      </c>
      <c r="G129" s="50">
        <f t="shared" si="3"/>
        <v>0.83815028901734112</v>
      </c>
    </row>
    <row r="130" spans="1:7" x14ac:dyDescent="0.25">
      <c r="A130" s="49" t="str">
        <f>'Data Vlaue (Cr)'!C125</f>
        <v>MARUTI</v>
      </c>
      <c r="B130" s="50">
        <f>VLOOKUP($A130,'Data shares'!$C:$FM,102)</f>
        <v>22.97</v>
      </c>
      <c r="C130" s="50">
        <f>VLOOKUP($A130,'Data shares'!$C:$FM,110)</f>
        <v>21.81</v>
      </c>
      <c r="D130" s="50">
        <f>VLOOKUP($A130,'Data shares'!$C:$FM,114)</f>
        <v>24.87</v>
      </c>
      <c r="E130" s="50">
        <f>VLOOKUP($A130,'Data shares'!$C:$FM,106)</f>
        <v>25.32</v>
      </c>
      <c r="F130" s="50">
        <f>VLOOKUP($A130,'Data shares'!$C:$FM,108)</f>
        <v>-2.35</v>
      </c>
      <c r="G130" s="50">
        <f t="shared" si="3"/>
        <v>0.90718799368088465</v>
      </c>
    </row>
    <row r="131" spans="1:7" x14ac:dyDescent="0.25">
      <c r="A131" s="49" t="str">
        <f>'Data Vlaue (Cr)'!C126</f>
        <v>MAXHEALTH</v>
      </c>
      <c r="B131" s="50">
        <f>VLOOKUP($A131,'Data shares'!$C:$FM,102)</f>
        <v>28</v>
      </c>
      <c r="C131" s="50">
        <f>VLOOKUP($A131,'Data shares'!$C:$FM,110)</f>
        <v>26.84</v>
      </c>
      <c r="D131" s="50">
        <f>VLOOKUP($A131,'Data shares'!$C:$FM,114)</f>
        <v>29</v>
      </c>
      <c r="E131" s="50">
        <f>VLOOKUP($A131,'Data shares'!$C:$FM,106)</f>
        <v>37.22</v>
      </c>
      <c r="F131" s="50">
        <f>VLOOKUP($A131,'Data shares'!$C:$FM,108)</f>
        <v>-9.2200000000000006</v>
      </c>
      <c r="G131" s="50">
        <f t="shared" si="3"/>
        <v>0.7522837184309511</v>
      </c>
    </row>
    <row r="132" spans="1:7" x14ac:dyDescent="0.25">
      <c r="A132" s="49" t="str">
        <f>'Data Vlaue (Cr)'!C127</f>
        <v>MAZDOCK</v>
      </c>
      <c r="B132" s="50">
        <f>VLOOKUP($A132,'Data shares'!$C:$FM,102)</f>
        <v>41.77</v>
      </c>
      <c r="C132" s="50">
        <f>VLOOKUP($A132,'Data shares'!$C:$FM,110)</f>
        <v>41.61</v>
      </c>
      <c r="D132" s="50">
        <f>VLOOKUP($A132,'Data shares'!$C:$FM,114)</f>
        <v>42.44</v>
      </c>
      <c r="E132" s="50">
        <f>VLOOKUP($A132,'Data shares'!$C:$FM,106)</f>
        <v>53.71</v>
      </c>
      <c r="F132" s="50">
        <f>VLOOKUP($A132,'Data shares'!$C:$FM,108)</f>
        <v>-11.94</v>
      </c>
      <c r="G132" s="50">
        <f t="shared" si="3"/>
        <v>0.77769502885868558</v>
      </c>
    </row>
    <row r="133" spans="1:7" x14ac:dyDescent="0.25">
      <c r="A133" s="49" t="str">
        <f>'Data Vlaue (Cr)'!C128</f>
        <v>MCX</v>
      </c>
      <c r="B133" s="50">
        <f>VLOOKUP($A133,'Data shares'!$C:$FM,102)</f>
        <v>40.5</v>
      </c>
      <c r="C133" s="50">
        <f>VLOOKUP($A133,'Data shares'!$C:$FM,110)</f>
        <v>39.69</v>
      </c>
      <c r="D133" s="50">
        <f>VLOOKUP($A133,'Data shares'!$C:$FM,114)</f>
        <v>42.42</v>
      </c>
      <c r="E133" s="50">
        <f>VLOOKUP($A133,'Data shares'!$C:$FM,106)</f>
        <v>50</v>
      </c>
      <c r="F133" s="50">
        <f>VLOOKUP($A133,'Data shares'!$C:$FM,108)</f>
        <v>-9.5</v>
      </c>
      <c r="G133" s="50">
        <f t="shared" si="3"/>
        <v>0.81</v>
      </c>
    </row>
    <row r="134" spans="1:7" x14ac:dyDescent="0.25">
      <c r="A134" s="49" t="str">
        <f>'Data Vlaue (Cr)'!C129</f>
        <v>MFSL</v>
      </c>
      <c r="B134" s="50">
        <f>VLOOKUP($A134,'Data shares'!$C:$FM,102)</f>
        <v>26.33</v>
      </c>
      <c r="C134" s="50">
        <f>VLOOKUP($A134,'Data shares'!$C:$FM,110)</f>
        <v>25.46</v>
      </c>
      <c r="D134" s="50">
        <f>VLOOKUP($A134,'Data shares'!$C:$FM,114)</f>
        <v>28.02</v>
      </c>
      <c r="E134" s="50">
        <f>VLOOKUP($A134,'Data shares'!$C:$FM,106)</f>
        <v>29.57</v>
      </c>
      <c r="F134" s="50">
        <f>VLOOKUP($A134,'Data shares'!$C:$FM,108)</f>
        <v>-3.24</v>
      </c>
      <c r="G134" s="50">
        <f t="shared" si="3"/>
        <v>0.89042948934731136</v>
      </c>
    </row>
    <row r="135" spans="1:7" x14ac:dyDescent="0.25">
      <c r="A135" s="49" t="str">
        <f>'Data Vlaue (Cr)'!C130</f>
        <v>MIDCPNIFTY</v>
      </c>
      <c r="B135" s="50">
        <f>VLOOKUP($A135,'Data shares'!$C:$FM,102)</f>
        <v>24.28</v>
      </c>
      <c r="C135" s="50">
        <f>VLOOKUP($A135,'Data shares'!$C:$FM,110)</f>
        <v>21.67</v>
      </c>
      <c r="D135" s="50">
        <f>VLOOKUP($A135,'Data shares'!$C:$FM,114)</f>
        <v>26.9</v>
      </c>
      <c r="E135" s="50">
        <f>VLOOKUP($A135,'Data shares'!$C:$FM,106)</f>
        <v>22.26</v>
      </c>
      <c r="F135" s="50">
        <f>VLOOKUP($A135,'Data shares'!$C:$FM,108)</f>
        <v>2.02</v>
      </c>
      <c r="G135" s="50">
        <f t="shared" ref="G135:G166" si="4">B135/E135</f>
        <v>1.0907457322551661</v>
      </c>
    </row>
    <row r="136" spans="1:7" x14ac:dyDescent="0.25">
      <c r="A136" s="49" t="str">
        <f>'Data Vlaue (Cr)'!C131</f>
        <v>MOTHERSON</v>
      </c>
      <c r="B136" s="50">
        <f>VLOOKUP($A136,'Data shares'!$C:$FM,102)</f>
        <v>33.909999999999997</v>
      </c>
      <c r="C136" s="50">
        <f>VLOOKUP($A136,'Data shares'!$C:$FM,110)</f>
        <v>32.97</v>
      </c>
      <c r="D136" s="50">
        <f>VLOOKUP($A136,'Data shares'!$C:$FM,114)</f>
        <v>37.090000000000003</v>
      </c>
      <c r="E136" s="50">
        <f>VLOOKUP($A136,'Data shares'!$C:$FM,106)</f>
        <v>39.42</v>
      </c>
      <c r="F136" s="50">
        <f>VLOOKUP($A136,'Data shares'!$C:$FM,108)</f>
        <v>-5.51</v>
      </c>
      <c r="G136" s="50">
        <f t="shared" si="4"/>
        <v>0.86022323693556557</v>
      </c>
    </row>
    <row r="137" spans="1:7" x14ac:dyDescent="0.25">
      <c r="A137" s="49" t="str">
        <f>'Data Vlaue (Cr)'!C132</f>
        <v>MPHASIS</v>
      </c>
      <c r="B137" s="50">
        <f>VLOOKUP($A137,'Data shares'!$C:$FM,102)</f>
        <v>36.729999999999997</v>
      </c>
      <c r="C137" s="50">
        <f>VLOOKUP($A137,'Data shares'!$C:$FM,110)</f>
        <v>35.79</v>
      </c>
      <c r="D137" s="50">
        <f>VLOOKUP($A137,'Data shares'!$C:$FM,114)</f>
        <v>38.380000000000003</v>
      </c>
      <c r="E137" s="50">
        <f>VLOOKUP($A137,'Data shares'!$C:$FM,106)</f>
        <v>35.51</v>
      </c>
      <c r="F137" s="50">
        <f>VLOOKUP($A137,'Data shares'!$C:$FM,108)</f>
        <v>1.22</v>
      </c>
      <c r="G137" s="50">
        <f t="shared" si="4"/>
        <v>1.0343565192903408</v>
      </c>
    </row>
    <row r="138" spans="1:7" x14ac:dyDescent="0.25">
      <c r="A138" s="49" t="str">
        <f>'Data Vlaue (Cr)'!C133</f>
        <v>MUTHOOTFIN</v>
      </c>
      <c r="B138" s="50">
        <f>VLOOKUP($A138,'Data shares'!$C:$FM,102)</f>
        <v>35.549999999999997</v>
      </c>
      <c r="C138" s="50">
        <f>VLOOKUP($A138,'Data shares'!$C:$FM,110)</f>
        <v>35.119999999999997</v>
      </c>
      <c r="D138" s="50">
        <f>VLOOKUP($A138,'Data shares'!$C:$FM,114)</f>
        <v>36.31</v>
      </c>
      <c r="E138" s="50">
        <f>VLOOKUP($A138,'Data shares'!$C:$FM,106)</f>
        <v>42.14</v>
      </c>
      <c r="F138" s="50">
        <f>VLOOKUP($A138,'Data shares'!$C:$FM,108)</f>
        <v>-6.59</v>
      </c>
      <c r="G138" s="50">
        <f t="shared" si="4"/>
        <v>0.84361651637399138</v>
      </c>
    </row>
    <row r="139" spans="1:7" x14ac:dyDescent="0.25">
      <c r="A139" s="49" t="str">
        <f>'Data Vlaue (Cr)'!C134</f>
        <v>NATIONALUM</v>
      </c>
      <c r="B139" s="50">
        <f>VLOOKUP($A139,'Data shares'!$C:$FM,102)</f>
        <v>42.54</v>
      </c>
      <c r="C139" s="50">
        <f>VLOOKUP($A139,'Data shares'!$C:$FM,110)</f>
        <v>42.14</v>
      </c>
      <c r="D139" s="50">
        <f>VLOOKUP($A139,'Data shares'!$C:$FM,114)</f>
        <v>43.53</v>
      </c>
      <c r="E139" s="50">
        <f>VLOOKUP($A139,'Data shares'!$C:$FM,106)</f>
        <v>51.4</v>
      </c>
      <c r="F139" s="50">
        <f>VLOOKUP($A139,'Data shares'!$C:$FM,108)</f>
        <v>-8.86</v>
      </c>
      <c r="G139" s="50">
        <f t="shared" si="4"/>
        <v>0.82762645914396893</v>
      </c>
    </row>
    <row r="140" spans="1:7" x14ac:dyDescent="0.25">
      <c r="A140" s="49" t="str">
        <f>'Data Vlaue (Cr)'!C135</f>
        <v>NAUKRI</v>
      </c>
      <c r="B140" s="50">
        <f>VLOOKUP($A140,'Data shares'!$C:$FM,102)</f>
        <v>33.22</v>
      </c>
      <c r="C140" s="50">
        <f>VLOOKUP($A140,'Data shares'!$C:$FM,110)</f>
        <v>32.85</v>
      </c>
      <c r="D140" s="50">
        <f>VLOOKUP($A140,'Data shares'!$C:$FM,114)</f>
        <v>35</v>
      </c>
      <c r="E140" s="50">
        <f>VLOOKUP($A140,'Data shares'!$C:$FM,106)</f>
        <v>36.33</v>
      </c>
      <c r="F140" s="50">
        <f>VLOOKUP($A140,'Data shares'!$C:$FM,108)</f>
        <v>-3.11</v>
      </c>
      <c r="G140" s="50">
        <f t="shared" si="4"/>
        <v>0.91439581612992016</v>
      </c>
    </row>
    <row r="141" spans="1:7" x14ac:dyDescent="0.25">
      <c r="A141" s="49" t="str">
        <f>'Data Vlaue (Cr)'!C136</f>
        <v>NBCC</v>
      </c>
      <c r="B141" s="50">
        <f>VLOOKUP($A141,'Data shares'!$C:$FM,102)</f>
        <v>40.729999999999997</v>
      </c>
      <c r="C141" s="50">
        <f>VLOOKUP($A141,'Data shares'!$C:$FM,110)</f>
        <v>40.340000000000003</v>
      </c>
      <c r="D141" s="50">
        <f>VLOOKUP($A141,'Data shares'!$C:$FM,114)</f>
        <v>41.38</v>
      </c>
      <c r="E141" s="50">
        <f>VLOOKUP($A141,'Data shares'!$C:$FM,106)</f>
        <v>49.9</v>
      </c>
      <c r="F141" s="50">
        <f>VLOOKUP($A141,'Data shares'!$C:$FM,108)</f>
        <v>-9.17</v>
      </c>
      <c r="G141" s="50">
        <f t="shared" si="4"/>
        <v>0.81623246492985968</v>
      </c>
    </row>
    <row r="142" spans="1:7" x14ac:dyDescent="0.25">
      <c r="A142" s="49" t="str">
        <f>'Data Vlaue (Cr)'!C137</f>
        <v>NESTLEIND</v>
      </c>
      <c r="B142" s="50">
        <f>VLOOKUP($A142,'Data shares'!$C:$FM,102)</f>
        <v>20.45</v>
      </c>
      <c r="C142" s="50">
        <f>VLOOKUP($A142,'Data shares'!$C:$FM,110)</f>
        <v>19.559999999999999</v>
      </c>
      <c r="D142" s="50">
        <f>VLOOKUP($A142,'Data shares'!$C:$FM,114)</f>
        <v>21.89</v>
      </c>
      <c r="E142" s="50">
        <f>VLOOKUP($A142,'Data shares'!$C:$FM,106)</f>
        <v>23.33</v>
      </c>
      <c r="F142" s="50">
        <f>VLOOKUP($A142,'Data shares'!$C:$FM,108)</f>
        <v>-2.88</v>
      </c>
      <c r="G142" s="50">
        <f t="shared" si="4"/>
        <v>0.87655379339905704</v>
      </c>
    </row>
    <row r="143" spans="1:7" x14ac:dyDescent="0.25">
      <c r="A143" s="49" t="str">
        <f>'Data Vlaue (Cr)'!C138</f>
        <v>NHPC</v>
      </c>
      <c r="B143" s="50">
        <f>VLOOKUP($A143,'Data shares'!$C:$FM,102)</f>
        <v>29.06</v>
      </c>
      <c r="C143" s="50">
        <f>VLOOKUP($A143,'Data shares'!$C:$FM,110)</f>
        <v>27.96</v>
      </c>
      <c r="D143" s="50">
        <f>VLOOKUP($A143,'Data shares'!$C:$FM,114)</f>
        <v>30.74</v>
      </c>
      <c r="E143" s="50">
        <f>VLOOKUP($A143,'Data shares'!$C:$FM,106)</f>
        <v>35.549999999999997</v>
      </c>
      <c r="F143" s="50">
        <f>VLOOKUP($A143,'Data shares'!$C:$FM,108)</f>
        <v>-6.49</v>
      </c>
      <c r="G143" s="50">
        <f t="shared" si="4"/>
        <v>0.81744022503516178</v>
      </c>
    </row>
    <row r="144" spans="1:7" x14ac:dyDescent="0.25">
      <c r="A144" s="234" t="str">
        <f>'Data Vlaue (Cr)'!C139</f>
        <v>NIFTY</v>
      </c>
      <c r="B144" s="233">
        <f>VLOOKUP($A144,'Data shares'!$C:$FM,102)</f>
        <v>17.45</v>
      </c>
      <c r="C144" s="233">
        <f>VLOOKUP($A144,'Data shares'!$C:$FM,110)</f>
        <v>15.84</v>
      </c>
      <c r="D144" s="233">
        <f>VLOOKUP($A144,'Data shares'!$C:$FM,114)</f>
        <v>19.41</v>
      </c>
      <c r="E144" s="233">
        <f>VLOOKUP($A144,'Data shares'!$C:$FM,106)</f>
        <v>14.61</v>
      </c>
      <c r="F144" s="233">
        <f>VLOOKUP($A144,'Data shares'!$C:$FM,108)</f>
        <v>2.84</v>
      </c>
      <c r="G144" s="233">
        <f t="shared" si="4"/>
        <v>1.1943874058863793</v>
      </c>
    </row>
    <row r="145" spans="1:7" x14ac:dyDescent="0.25">
      <c r="A145" s="49" t="str">
        <f>'Data Vlaue (Cr)'!C140</f>
        <v>NIFTYNXT50</v>
      </c>
      <c r="B145" s="50">
        <f>VLOOKUP($A145,'Data shares'!$C:$FM,102)</f>
        <v>18.420000000000002</v>
      </c>
      <c r="C145" s="50">
        <f>VLOOKUP($A145,'Data shares'!$C:$FM,110)</f>
        <v>17.64</v>
      </c>
      <c r="D145" s="50">
        <f>VLOOKUP($A145,'Data shares'!$C:$FM,114)</f>
        <v>20.21</v>
      </c>
      <c r="E145" s="50">
        <f>VLOOKUP($A145,'Data shares'!$C:$FM,106)</f>
        <v>20.27</v>
      </c>
      <c r="F145" s="50">
        <f>VLOOKUP($A145,'Data shares'!$C:$FM,108)</f>
        <v>-1.85</v>
      </c>
      <c r="G145" s="50">
        <f t="shared" si="4"/>
        <v>0.90873211642821916</v>
      </c>
    </row>
    <row r="146" spans="1:7" x14ac:dyDescent="0.25">
      <c r="A146" s="49" t="str">
        <f>'Data Vlaue (Cr)'!C141</f>
        <v>NMDC</v>
      </c>
      <c r="B146" s="50">
        <f>VLOOKUP($A146,'Data shares'!$C:$FM,102)</f>
        <v>34.369999999999997</v>
      </c>
      <c r="C146" s="50">
        <f>VLOOKUP($A146,'Data shares'!$C:$FM,110)</f>
        <v>34.159999999999997</v>
      </c>
      <c r="D146" s="50">
        <f>VLOOKUP($A146,'Data shares'!$C:$FM,114)</f>
        <v>34.950000000000003</v>
      </c>
      <c r="E146" s="50">
        <f>VLOOKUP($A146,'Data shares'!$C:$FM,106)</f>
        <v>38.93</v>
      </c>
      <c r="F146" s="50">
        <f>VLOOKUP($A146,'Data shares'!$C:$FM,108)</f>
        <v>-4.5599999999999996</v>
      </c>
      <c r="G146" s="50">
        <f t="shared" si="4"/>
        <v>0.88286668379142041</v>
      </c>
    </row>
    <row r="147" spans="1:7" x14ac:dyDescent="0.25">
      <c r="A147" s="49" t="str">
        <f>'Data Vlaue (Cr)'!C142</f>
        <v>NTPC</v>
      </c>
      <c r="B147" s="50">
        <f>VLOOKUP($A147,'Data shares'!$C:$FM,102)</f>
        <v>19.5</v>
      </c>
      <c r="C147" s="50">
        <f>VLOOKUP($A147,'Data shares'!$C:$FM,110)</f>
        <v>18.57</v>
      </c>
      <c r="D147" s="50">
        <f>VLOOKUP($A147,'Data shares'!$C:$FM,114)</f>
        <v>21.51</v>
      </c>
      <c r="E147" s="50">
        <f>VLOOKUP($A147,'Data shares'!$C:$FM,106)</f>
        <v>27.78</v>
      </c>
      <c r="F147" s="50">
        <f>VLOOKUP($A147,'Data shares'!$C:$FM,108)</f>
        <v>-8.2799999999999994</v>
      </c>
      <c r="G147" s="50">
        <f t="shared" si="4"/>
        <v>0.70194384449244063</v>
      </c>
    </row>
    <row r="148" spans="1:7" x14ac:dyDescent="0.25">
      <c r="A148" s="49" t="str">
        <f>'Data Vlaue (Cr)'!C143</f>
        <v>NUVAMA</v>
      </c>
      <c r="B148" s="50">
        <f>VLOOKUP($A148,'Data shares'!$C:$FM,102)</f>
        <v>35.409999999999997</v>
      </c>
      <c r="C148" s="50">
        <f>VLOOKUP($A148,'Data shares'!$C:$FM,110)</f>
        <v>34.53</v>
      </c>
      <c r="D148" s="50">
        <f>VLOOKUP($A148,'Data shares'!$C:$FM,114)</f>
        <v>39.58</v>
      </c>
      <c r="E148" s="50">
        <f>VLOOKUP($A148,'Data shares'!$C:$FM,106)</f>
        <v>48.86</v>
      </c>
      <c r="F148" s="50">
        <f>VLOOKUP($A148,'Data shares'!$C:$FM,108)</f>
        <v>-13.45</v>
      </c>
      <c r="G148" s="50">
        <f t="shared" si="4"/>
        <v>0.72472370036839939</v>
      </c>
    </row>
    <row r="149" spans="1:7" x14ac:dyDescent="0.25">
      <c r="A149" s="49" t="str">
        <f>'Data Vlaue (Cr)'!C144</f>
        <v>NYKAA</v>
      </c>
      <c r="B149" s="50">
        <f>VLOOKUP($A149,'Data shares'!$C:$FM,102)</f>
        <v>30.68</v>
      </c>
      <c r="C149" s="50">
        <f>VLOOKUP($A149,'Data shares'!$C:$FM,110)</f>
        <v>29.96</v>
      </c>
      <c r="D149" s="50">
        <f>VLOOKUP($A149,'Data shares'!$C:$FM,114)</f>
        <v>32.799999999999997</v>
      </c>
      <c r="E149" s="50">
        <f>VLOOKUP($A149,'Data shares'!$C:$FM,106)</f>
        <v>35.75</v>
      </c>
      <c r="F149" s="50">
        <f>VLOOKUP($A149,'Data shares'!$C:$FM,108)</f>
        <v>-5.07</v>
      </c>
      <c r="G149" s="50">
        <f t="shared" si="4"/>
        <v>0.85818181818181816</v>
      </c>
    </row>
    <row r="150" spans="1:7" x14ac:dyDescent="0.25">
      <c r="A150" s="49" t="str">
        <f>'Data Vlaue (Cr)'!C145</f>
        <v>OBEROIRLTY</v>
      </c>
      <c r="B150" s="50">
        <f>VLOOKUP($A150,'Data shares'!$C:$FM,102)</f>
        <v>29.35</v>
      </c>
      <c r="C150" s="50">
        <f>VLOOKUP($A150,'Data shares'!$C:$FM,110)</f>
        <v>28.9</v>
      </c>
      <c r="D150" s="50">
        <f>VLOOKUP($A150,'Data shares'!$C:$FM,114)</f>
        <v>30.04</v>
      </c>
      <c r="E150" s="50">
        <f>VLOOKUP($A150,'Data shares'!$C:$FM,106)</f>
        <v>36.520000000000003</v>
      </c>
      <c r="F150" s="50">
        <f>VLOOKUP($A150,'Data shares'!$C:$FM,108)</f>
        <v>-7.17</v>
      </c>
      <c r="G150" s="50">
        <f t="shared" si="4"/>
        <v>0.80366922234392113</v>
      </c>
    </row>
    <row r="151" spans="1:7" x14ac:dyDescent="0.25">
      <c r="A151" s="49" t="str">
        <f>'Data Vlaue (Cr)'!C146</f>
        <v>OFSS</v>
      </c>
      <c r="B151" s="50">
        <f>VLOOKUP($A151,'Data shares'!$C:$FM,102)</f>
        <v>44.69</v>
      </c>
      <c r="C151" s="50">
        <f>VLOOKUP($A151,'Data shares'!$C:$FM,110)</f>
        <v>44.98</v>
      </c>
      <c r="D151" s="50">
        <f>VLOOKUP($A151,'Data shares'!$C:$FM,114)</f>
        <v>44.17</v>
      </c>
      <c r="E151" s="50">
        <f>VLOOKUP($A151,'Data shares'!$C:$FM,106)</f>
        <v>39.01</v>
      </c>
      <c r="F151" s="50">
        <f>VLOOKUP($A151,'Data shares'!$C:$FM,108)</f>
        <v>5.68</v>
      </c>
      <c r="G151" s="50">
        <f t="shared" si="4"/>
        <v>1.1456036913611893</v>
      </c>
    </row>
    <row r="152" spans="1:7" x14ac:dyDescent="0.25">
      <c r="A152" s="49" t="str">
        <f>'Data Vlaue (Cr)'!C147</f>
        <v>OIL</v>
      </c>
      <c r="B152" s="50">
        <f>VLOOKUP($A152,'Data shares'!$C:$FM,102)</f>
        <v>39.68</v>
      </c>
      <c r="C152" s="50">
        <f>VLOOKUP($A152,'Data shares'!$C:$FM,110)</f>
        <v>39.47</v>
      </c>
      <c r="D152" s="50">
        <f>VLOOKUP($A152,'Data shares'!$C:$FM,114)</f>
        <v>40.380000000000003</v>
      </c>
      <c r="E152" s="50">
        <f>VLOOKUP($A152,'Data shares'!$C:$FM,106)</f>
        <v>42.35</v>
      </c>
      <c r="F152" s="50">
        <f>VLOOKUP($A152,'Data shares'!$C:$FM,108)</f>
        <v>-2.67</v>
      </c>
      <c r="G152" s="50">
        <f t="shared" si="4"/>
        <v>0.93695395513577329</v>
      </c>
    </row>
    <row r="153" spans="1:7" x14ac:dyDescent="0.25">
      <c r="A153" s="49" t="str">
        <f>'Data Vlaue (Cr)'!C148</f>
        <v>ONGC</v>
      </c>
      <c r="B153" s="50">
        <f>VLOOKUP($A153,'Data shares'!$C:$FM,102)</f>
        <v>29.85</v>
      </c>
      <c r="C153" s="50">
        <f>VLOOKUP($A153,'Data shares'!$C:$FM,110)</f>
        <v>29.82</v>
      </c>
      <c r="D153" s="50">
        <f>VLOOKUP($A153,'Data shares'!$C:$FM,114)</f>
        <v>29.93</v>
      </c>
      <c r="E153" s="50">
        <f>VLOOKUP($A153,'Data shares'!$C:$FM,106)</f>
        <v>32.24</v>
      </c>
      <c r="F153" s="50">
        <f>VLOOKUP($A153,'Data shares'!$C:$FM,108)</f>
        <v>-2.39</v>
      </c>
      <c r="G153" s="50">
        <f t="shared" si="4"/>
        <v>0.9258684863523573</v>
      </c>
    </row>
    <row r="154" spans="1:7" x14ac:dyDescent="0.25">
      <c r="A154" s="49" t="str">
        <f>'Data Vlaue (Cr)'!C149</f>
        <v>PAGEIND</v>
      </c>
      <c r="B154" s="50">
        <f>VLOOKUP($A154,'Data shares'!$C:$FM,102)</f>
        <v>27.94</v>
      </c>
      <c r="C154" s="50">
        <f>VLOOKUP($A154,'Data shares'!$C:$FM,110)</f>
        <v>27.44</v>
      </c>
      <c r="D154" s="50">
        <f>VLOOKUP($A154,'Data shares'!$C:$FM,114)</f>
        <v>29.25</v>
      </c>
      <c r="E154" s="50">
        <f>VLOOKUP($A154,'Data shares'!$C:$FM,106)</f>
        <v>27.54</v>
      </c>
      <c r="F154" s="50">
        <f>VLOOKUP($A154,'Data shares'!$C:$FM,108)</f>
        <v>0.4</v>
      </c>
      <c r="G154" s="50">
        <f t="shared" si="4"/>
        <v>1.0145243282498184</v>
      </c>
    </row>
    <row r="155" spans="1:7" x14ac:dyDescent="0.25">
      <c r="A155" s="49" t="str">
        <f>'Data Vlaue (Cr)'!C150</f>
        <v>PATANJALI</v>
      </c>
      <c r="B155" s="50">
        <f>VLOOKUP($A155,'Data shares'!$C:$FM,102)</f>
        <v>29.08</v>
      </c>
      <c r="C155" s="50">
        <f>VLOOKUP($A155,'Data shares'!$C:$FM,110)</f>
        <v>28.81</v>
      </c>
      <c r="D155" s="50">
        <f>VLOOKUP($A155,'Data shares'!$C:$FM,114)</f>
        <v>29.88</v>
      </c>
      <c r="E155" s="50">
        <f>VLOOKUP($A155,'Data shares'!$C:$FM,106)</f>
        <v>31.96</v>
      </c>
      <c r="F155" s="50">
        <f>VLOOKUP($A155,'Data shares'!$C:$FM,108)</f>
        <v>-2.88</v>
      </c>
      <c r="G155" s="50">
        <f t="shared" si="4"/>
        <v>0.90988735919899866</v>
      </c>
    </row>
    <row r="156" spans="1:7" x14ac:dyDescent="0.25">
      <c r="A156" s="49" t="str">
        <f>'Data Vlaue (Cr)'!C151</f>
        <v>PAYTM</v>
      </c>
      <c r="B156" s="50">
        <f>VLOOKUP($A156,'Data shares'!$C:$FM,102)</f>
        <v>37.700000000000003</v>
      </c>
      <c r="C156" s="50">
        <f>VLOOKUP($A156,'Data shares'!$C:$FM,110)</f>
        <v>36.880000000000003</v>
      </c>
      <c r="D156" s="50">
        <f>VLOOKUP($A156,'Data shares'!$C:$FM,114)</f>
        <v>39.520000000000003</v>
      </c>
      <c r="E156" s="50">
        <f>VLOOKUP($A156,'Data shares'!$C:$FM,106)</f>
        <v>51.12</v>
      </c>
      <c r="F156" s="50">
        <f>VLOOKUP($A156,'Data shares'!$C:$FM,108)</f>
        <v>-13.42</v>
      </c>
      <c r="G156" s="50">
        <f t="shared" si="4"/>
        <v>0.73748043818466358</v>
      </c>
    </row>
    <row r="157" spans="1:7" x14ac:dyDescent="0.25">
      <c r="A157" s="49" t="str">
        <f>'Data Vlaue (Cr)'!C152</f>
        <v>PERSISTENT</v>
      </c>
      <c r="B157" s="50">
        <f>VLOOKUP($A157,'Data shares'!$C:$FM,102)</f>
        <v>41.26</v>
      </c>
      <c r="C157" s="50">
        <f>VLOOKUP($A157,'Data shares'!$C:$FM,110)</f>
        <v>40.44</v>
      </c>
      <c r="D157" s="50">
        <f>VLOOKUP($A157,'Data shares'!$C:$FM,114)</f>
        <v>42.26</v>
      </c>
      <c r="E157" s="50">
        <f>VLOOKUP($A157,'Data shares'!$C:$FM,106)</f>
        <v>40.43</v>
      </c>
      <c r="F157" s="50">
        <f>VLOOKUP($A157,'Data shares'!$C:$FM,108)</f>
        <v>0.83</v>
      </c>
      <c r="G157" s="50">
        <f t="shared" si="4"/>
        <v>1.0205293099183774</v>
      </c>
    </row>
    <row r="158" spans="1:7" x14ac:dyDescent="0.25">
      <c r="A158" s="49" t="str">
        <f>'Data Vlaue (Cr)'!C153</f>
        <v>PETRONET</v>
      </c>
      <c r="B158" s="50">
        <f>VLOOKUP($A158,'Data shares'!$C:$FM,102)</f>
        <v>37.950000000000003</v>
      </c>
      <c r="C158" s="50">
        <f>VLOOKUP($A158,'Data shares'!$C:$FM,110)</f>
        <v>35.270000000000003</v>
      </c>
      <c r="D158" s="50">
        <f>VLOOKUP($A158,'Data shares'!$C:$FM,114)</f>
        <v>40.89</v>
      </c>
      <c r="E158" s="50">
        <f>VLOOKUP($A158,'Data shares'!$C:$FM,106)</f>
        <v>34.909999999999997</v>
      </c>
      <c r="F158" s="50">
        <f>VLOOKUP($A158,'Data shares'!$C:$FM,108)</f>
        <v>3.04</v>
      </c>
      <c r="G158" s="50">
        <f t="shared" si="4"/>
        <v>1.0870810655972503</v>
      </c>
    </row>
    <row r="159" spans="1:7" x14ac:dyDescent="0.25">
      <c r="A159" s="49" t="str">
        <f>'Data Vlaue (Cr)'!C154</f>
        <v>PFC</v>
      </c>
      <c r="B159" s="50">
        <f>VLOOKUP($A159,'Data shares'!$C:$FM,102)</f>
        <v>33.19</v>
      </c>
      <c r="C159" s="50">
        <f>VLOOKUP($A159,'Data shares'!$C:$FM,110)</f>
        <v>32.549999999999997</v>
      </c>
      <c r="D159" s="50">
        <f>VLOOKUP($A159,'Data shares'!$C:$FM,114)</f>
        <v>34.450000000000003</v>
      </c>
      <c r="E159" s="50">
        <f>VLOOKUP($A159,'Data shares'!$C:$FM,106)</f>
        <v>41.03</v>
      </c>
      <c r="F159" s="50">
        <f>VLOOKUP($A159,'Data shares'!$C:$FM,108)</f>
        <v>-7.84</v>
      </c>
      <c r="G159" s="50">
        <f t="shared" si="4"/>
        <v>0.80892030221788924</v>
      </c>
    </row>
    <row r="160" spans="1:7" x14ac:dyDescent="0.25">
      <c r="A160" s="49" t="str">
        <f>'Data Vlaue (Cr)'!C155</f>
        <v>PGEL</v>
      </c>
      <c r="B160" s="50">
        <f>VLOOKUP($A160,'Data shares'!$C:$FM,102)</f>
        <v>38.22</v>
      </c>
      <c r="C160" s="50">
        <f>VLOOKUP($A160,'Data shares'!$C:$FM,110)</f>
        <v>37.49</v>
      </c>
      <c r="D160" s="50">
        <f>VLOOKUP($A160,'Data shares'!$C:$FM,114)</f>
        <v>39.83</v>
      </c>
      <c r="E160" s="50">
        <f>VLOOKUP($A160,'Data shares'!$C:$FM,106)</f>
        <v>61.67</v>
      </c>
      <c r="F160" s="50">
        <f>VLOOKUP($A160,'Data shares'!$C:$FM,108)</f>
        <v>-23.45</v>
      </c>
      <c r="G160" s="50">
        <f t="shared" si="4"/>
        <v>0.61975028376844488</v>
      </c>
    </row>
    <row r="161" spans="1:7" x14ac:dyDescent="0.25">
      <c r="A161" s="49" t="str">
        <f>'Data Vlaue (Cr)'!C156</f>
        <v>PHOENIXLTD</v>
      </c>
      <c r="B161" s="50">
        <f>VLOOKUP($A161,'Data shares'!$C:$FM,102)</f>
        <v>28.59</v>
      </c>
      <c r="C161" s="50">
        <f>VLOOKUP($A161,'Data shares'!$C:$FM,110)</f>
        <v>28.02</v>
      </c>
      <c r="D161" s="50">
        <f>VLOOKUP($A161,'Data shares'!$C:$FM,114)</f>
        <v>29.6</v>
      </c>
      <c r="E161" s="50">
        <f>VLOOKUP($A161,'Data shares'!$C:$FM,106)</f>
        <v>38.51</v>
      </c>
      <c r="F161" s="50">
        <f>VLOOKUP($A161,'Data shares'!$C:$FM,108)</f>
        <v>-9.92</v>
      </c>
      <c r="G161" s="50">
        <f t="shared" si="4"/>
        <v>0.74240457024149575</v>
      </c>
    </row>
    <row r="162" spans="1:7" x14ac:dyDescent="0.25">
      <c r="A162" s="49" t="str">
        <f>'Data Vlaue (Cr)'!C157</f>
        <v>PIDILITIND</v>
      </c>
      <c r="B162" s="50">
        <f>VLOOKUP($A162,'Data shares'!$C:$FM,102)</f>
        <v>20.94</v>
      </c>
      <c r="C162" s="50">
        <f>VLOOKUP($A162,'Data shares'!$C:$FM,110)</f>
        <v>20.38</v>
      </c>
      <c r="D162" s="50">
        <f>VLOOKUP($A162,'Data shares'!$C:$FM,114)</f>
        <v>22.19</v>
      </c>
      <c r="E162" s="50">
        <f>VLOOKUP($A162,'Data shares'!$C:$FM,106)</f>
        <v>21.4</v>
      </c>
      <c r="F162" s="50">
        <f>VLOOKUP($A162,'Data shares'!$C:$FM,108)</f>
        <v>-0.46</v>
      </c>
      <c r="G162" s="50">
        <f t="shared" si="4"/>
        <v>0.97850467289719634</v>
      </c>
    </row>
    <row r="163" spans="1:7" x14ac:dyDescent="0.25">
      <c r="A163" s="49" t="str">
        <f>'Data Vlaue (Cr)'!C158</f>
        <v>PIIND</v>
      </c>
      <c r="B163" s="50">
        <f>VLOOKUP($A163,'Data shares'!$C:$FM,102)</f>
        <v>26.9</v>
      </c>
      <c r="C163" s="50">
        <f>VLOOKUP($A163,'Data shares'!$C:$FM,110)</f>
        <v>26.47</v>
      </c>
      <c r="D163" s="50">
        <f>VLOOKUP($A163,'Data shares'!$C:$FM,114)</f>
        <v>28.02</v>
      </c>
      <c r="E163" s="50">
        <f>VLOOKUP($A163,'Data shares'!$C:$FM,106)</f>
        <v>29.2</v>
      </c>
      <c r="F163" s="50">
        <f>VLOOKUP($A163,'Data shares'!$C:$FM,108)</f>
        <v>-2.2999999999999998</v>
      </c>
      <c r="G163" s="50">
        <f t="shared" si="4"/>
        <v>0.92123287671232879</v>
      </c>
    </row>
    <row r="164" spans="1:7" x14ac:dyDescent="0.25">
      <c r="A164" s="49" t="str">
        <f>'Data Vlaue (Cr)'!C159</f>
        <v>PNB</v>
      </c>
      <c r="B164" s="50">
        <f>VLOOKUP($A164,'Data shares'!$C:$FM,102)</f>
        <v>31.16</v>
      </c>
      <c r="C164" s="50">
        <f>VLOOKUP($A164,'Data shares'!$C:$FM,110)</f>
        <v>30.9</v>
      </c>
      <c r="D164" s="50">
        <f>VLOOKUP($A164,'Data shares'!$C:$FM,114)</f>
        <v>31.5</v>
      </c>
      <c r="E164" s="50">
        <f>VLOOKUP($A164,'Data shares'!$C:$FM,106)</f>
        <v>35.159999999999997</v>
      </c>
      <c r="F164" s="50">
        <f>VLOOKUP($A164,'Data shares'!$C:$FM,108)</f>
        <v>-4</v>
      </c>
      <c r="G164" s="50">
        <f t="shared" si="4"/>
        <v>0.88623435722411836</v>
      </c>
    </row>
    <row r="165" spans="1:7" x14ac:dyDescent="0.25">
      <c r="A165" s="49" t="str">
        <f>'Data Vlaue (Cr)'!C160</f>
        <v>PNBHOUSING</v>
      </c>
      <c r="B165" s="50">
        <f>VLOOKUP($A165,'Data shares'!$C:$FM,102)</f>
        <v>30.61</v>
      </c>
      <c r="C165" s="50">
        <f>VLOOKUP($A165,'Data shares'!$C:$FM,110)</f>
        <v>29.05</v>
      </c>
      <c r="D165" s="50">
        <f>VLOOKUP($A165,'Data shares'!$C:$FM,114)</f>
        <v>32.659999999999997</v>
      </c>
      <c r="E165" s="50">
        <f>VLOOKUP($A165,'Data shares'!$C:$FM,106)</f>
        <v>45.22</v>
      </c>
      <c r="F165" s="50">
        <f>VLOOKUP($A165,'Data shares'!$C:$FM,108)</f>
        <v>-14.61</v>
      </c>
      <c r="G165" s="50">
        <f t="shared" si="4"/>
        <v>0.67691287041132242</v>
      </c>
    </row>
    <row r="166" spans="1:7" x14ac:dyDescent="0.25">
      <c r="A166" s="49" t="str">
        <f>'Data Vlaue (Cr)'!C161</f>
        <v>POLICYBZR</v>
      </c>
      <c r="B166" s="50">
        <f>VLOOKUP($A166,'Data shares'!$C:$FM,102)</f>
        <v>37.950000000000003</v>
      </c>
      <c r="C166" s="50">
        <f>VLOOKUP($A166,'Data shares'!$C:$FM,110)</f>
        <v>37.450000000000003</v>
      </c>
      <c r="D166" s="50">
        <f>VLOOKUP($A166,'Data shares'!$C:$FM,114)</f>
        <v>38.950000000000003</v>
      </c>
      <c r="E166" s="50">
        <f>VLOOKUP($A166,'Data shares'!$C:$FM,106)</f>
        <v>46.25</v>
      </c>
      <c r="F166" s="50">
        <f>VLOOKUP($A166,'Data shares'!$C:$FM,108)</f>
        <v>-8.3000000000000007</v>
      </c>
      <c r="G166" s="50">
        <f t="shared" si="4"/>
        <v>0.8205405405405406</v>
      </c>
    </row>
    <row r="167" spans="1:7" x14ac:dyDescent="0.25">
      <c r="A167" s="49" t="str">
        <f>'Data Vlaue (Cr)'!C162</f>
        <v>POLYCAB</v>
      </c>
      <c r="B167" s="50">
        <f>VLOOKUP($A167,'Data shares'!$C:$FM,102)</f>
        <v>33.58</v>
      </c>
      <c r="C167" s="50">
        <f>VLOOKUP($A167,'Data shares'!$C:$FM,110)</f>
        <v>30.24</v>
      </c>
      <c r="D167" s="50">
        <f>VLOOKUP($A167,'Data shares'!$C:$FM,114)</f>
        <v>37.28</v>
      </c>
      <c r="E167" s="50">
        <f>VLOOKUP($A167,'Data shares'!$C:$FM,106)</f>
        <v>39.36</v>
      </c>
      <c r="F167" s="50">
        <f>VLOOKUP($A167,'Data shares'!$C:$FM,108)</f>
        <v>-5.78</v>
      </c>
      <c r="G167" s="50">
        <f t="shared" ref="G167:G187" si="5">B167/E167</f>
        <v>0.85315040650406504</v>
      </c>
    </row>
    <row r="168" spans="1:7" x14ac:dyDescent="0.25">
      <c r="A168" s="49" t="str">
        <f>'Data Vlaue (Cr)'!C163</f>
        <v>POWERGRID</v>
      </c>
      <c r="B168" s="50">
        <f>VLOOKUP($A168,'Data shares'!$C:$FM,102)</f>
        <v>22.04</v>
      </c>
      <c r="C168" s="50">
        <f>VLOOKUP($A168,'Data shares'!$C:$FM,110)</f>
        <v>21.26</v>
      </c>
      <c r="D168" s="50">
        <f>VLOOKUP($A168,'Data shares'!$C:$FM,114)</f>
        <v>23.88</v>
      </c>
      <c r="E168" s="50">
        <f>VLOOKUP($A168,'Data shares'!$C:$FM,106)</f>
        <v>29.66</v>
      </c>
      <c r="F168" s="50">
        <f>VLOOKUP($A168,'Data shares'!$C:$FM,108)</f>
        <v>-7.62</v>
      </c>
      <c r="G168" s="50">
        <f t="shared" si="5"/>
        <v>0.74308833445718137</v>
      </c>
    </row>
    <row r="169" spans="1:7" x14ac:dyDescent="0.25">
      <c r="A169" s="49" t="str">
        <f>'Data Vlaue (Cr)'!C164</f>
        <v>POWERINDIA</v>
      </c>
      <c r="B169" s="50">
        <f>VLOOKUP($A169,'Data shares'!$C:$FM,102)</f>
        <v>39.53</v>
      </c>
      <c r="C169" s="50">
        <f>VLOOKUP($A169,'Data shares'!$C:$FM,110)</f>
        <v>38.590000000000003</v>
      </c>
      <c r="D169" s="50">
        <f>VLOOKUP($A169,'Data shares'!$C:$FM,114)</f>
        <v>42.02</v>
      </c>
      <c r="E169" s="50">
        <f>VLOOKUP($A169,'Data shares'!$C:$FM,106)</f>
        <v>59</v>
      </c>
      <c r="F169" s="50">
        <f>VLOOKUP($A169,'Data shares'!$C:$FM,108)</f>
        <v>-19.47</v>
      </c>
      <c r="G169" s="50">
        <f t="shared" si="5"/>
        <v>0.67</v>
      </c>
    </row>
    <row r="170" spans="1:7" x14ac:dyDescent="0.25">
      <c r="A170" s="49" t="str">
        <f>'Data Vlaue (Cr)'!C165</f>
        <v>PPLPHARMA</v>
      </c>
      <c r="B170" s="50">
        <f>VLOOKUP($A170,'Data shares'!$C:$FM,102)</f>
        <v>34.67</v>
      </c>
      <c r="C170" s="50">
        <f>VLOOKUP($A170,'Data shares'!$C:$FM,110)</f>
        <v>33.85</v>
      </c>
      <c r="D170" s="50">
        <f>VLOOKUP($A170,'Data shares'!$C:$FM,114)</f>
        <v>37.71</v>
      </c>
      <c r="E170" s="50">
        <f>VLOOKUP($A170,'Data shares'!$C:$FM,106)</f>
        <v>41.91</v>
      </c>
      <c r="F170" s="50">
        <f>VLOOKUP($A170,'Data shares'!$C:$FM,108)</f>
        <v>-7.24</v>
      </c>
      <c r="G170" s="50">
        <f t="shared" si="5"/>
        <v>0.82724886661894548</v>
      </c>
    </row>
    <row r="171" spans="1:7" x14ac:dyDescent="0.25">
      <c r="A171" s="49" t="str">
        <f>'Data Vlaue (Cr)'!C166</f>
        <v>PREMIERENE</v>
      </c>
      <c r="B171" s="50">
        <f>VLOOKUP($A171,'Data shares'!$C:$FM,102)</f>
        <v>43.28</v>
      </c>
      <c r="C171" s="50">
        <f>VLOOKUP($A171,'Data shares'!$C:$FM,110)</f>
        <v>41.91</v>
      </c>
      <c r="D171" s="50">
        <f>VLOOKUP($A171,'Data shares'!$C:$FM,114)</f>
        <v>45.44</v>
      </c>
      <c r="E171" s="50">
        <f>VLOOKUP($A171,'Data shares'!$C:$FM,106)</f>
        <v>48.26</v>
      </c>
      <c r="F171" s="50">
        <f>VLOOKUP($A171,'Data shares'!$C:$FM,108)</f>
        <v>-4.9800000000000004</v>
      </c>
      <c r="G171" s="50">
        <f t="shared" si="5"/>
        <v>0.89680895151263995</v>
      </c>
    </row>
    <row r="172" spans="1:7" x14ac:dyDescent="0.25">
      <c r="A172" s="49" t="str">
        <f>'Data Vlaue (Cr)'!C167</f>
        <v>PRESTIGE</v>
      </c>
      <c r="B172" s="50">
        <f>VLOOKUP($A172,'Data shares'!$C:$FM,102)</f>
        <v>35.86</v>
      </c>
      <c r="C172" s="50">
        <f>VLOOKUP($A172,'Data shares'!$C:$FM,110)</f>
        <v>35.11</v>
      </c>
      <c r="D172" s="50">
        <f>VLOOKUP($A172,'Data shares'!$C:$FM,114)</f>
        <v>37.64</v>
      </c>
      <c r="E172" s="50">
        <f>VLOOKUP($A172,'Data shares'!$C:$FM,106)</f>
        <v>43.06</v>
      </c>
      <c r="F172" s="50">
        <f>VLOOKUP($A172,'Data shares'!$C:$FM,108)</f>
        <v>-7.2</v>
      </c>
      <c r="G172" s="50">
        <f t="shared" si="5"/>
        <v>0.83279145378541564</v>
      </c>
    </row>
    <row r="173" spans="1:7" x14ac:dyDescent="0.25">
      <c r="A173" s="49" t="str">
        <f>'Data Vlaue (Cr)'!C168</f>
        <v>RBLBANK</v>
      </c>
      <c r="B173" s="50">
        <f>VLOOKUP($A173,'Data shares'!$C:$FM,102)</f>
        <v>32.369999999999997</v>
      </c>
      <c r="C173" s="50">
        <f>VLOOKUP($A173,'Data shares'!$C:$FM,110)</f>
        <v>32.51</v>
      </c>
      <c r="D173" s="50">
        <f>VLOOKUP($A173,'Data shares'!$C:$FM,114)</f>
        <v>32.06</v>
      </c>
      <c r="E173" s="50">
        <f>VLOOKUP($A173,'Data shares'!$C:$FM,106)</f>
        <v>42.86</v>
      </c>
      <c r="F173" s="50">
        <f>VLOOKUP($A173,'Data shares'!$C:$FM,108)</f>
        <v>-10.49</v>
      </c>
      <c r="G173" s="50">
        <f t="shared" si="5"/>
        <v>0.75524965002333178</v>
      </c>
    </row>
    <row r="174" spans="1:7" x14ac:dyDescent="0.25">
      <c r="A174" s="49" t="str">
        <f>'Data Vlaue (Cr)'!C169</f>
        <v>RECLTD</v>
      </c>
      <c r="B174" s="50">
        <f>VLOOKUP($A174,'Data shares'!$C:$FM,102)</f>
        <v>33.340000000000003</v>
      </c>
      <c r="C174" s="50">
        <f>VLOOKUP($A174,'Data shares'!$C:$FM,110)</f>
        <v>31.77</v>
      </c>
      <c r="D174" s="50">
        <f>VLOOKUP($A174,'Data shares'!$C:$FM,114)</f>
        <v>35.6</v>
      </c>
      <c r="E174" s="50">
        <f>VLOOKUP($A174,'Data shares'!$C:$FM,106)</f>
        <v>41.17</v>
      </c>
      <c r="F174" s="50">
        <f>VLOOKUP($A174,'Data shares'!$C:$FM,108)</f>
        <v>-7.83</v>
      </c>
      <c r="G174" s="50">
        <f t="shared" si="5"/>
        <v>0.80981297060966728</v>
      </c>
    </row>
    <row r="175" spans="1:7" x14ac:dyDescent="0.25">
      <c r="A175" s="49" t="str">
        <f>'Data Vlaue (Cr)'!C170</f>
        <v>RELIANCE</v>
      </c>
      <c r="B175" s="50">
        <f>VLOOKUP($A175,'Data shares'!$C:$FM,102)</f>
        <v>23.69</v>
      </c>
      <c r="C175" s="50">
        <f>VLOOKUP($A175,'Data shares'!$C:$FM,110)</f>
        <v>22.38</v>
      </c>
      <c r="D175" s="50">
        <f>VLOOKUP($A175,'Data shares'!$C:$FM,114)</f>
        <v>25.42</v>
      </c>
      <c r="E175" s="50">
        <f>VLOOKUP($A175,'Data shares'!$C:$FM,106)</f>
        <v>25.19</v>
      </c>
      <c r="F175" s="50">
        <f>VLOOKUP($A175,'Data shares'!$C:$FM,108)</f>
        <v>-1.5</v>
      </c>
      <c r="G175" s="50">
        <f t="shared" si="5"/>
        <v>0.94045256053989679</v>
      </c>
    </row>
    <row r="176" spans="1:7" x14ac:dyDescent="0.25">
      <c r="A176" s="49" t="str">
        <f>'Data Vlaue (Cr)'!C171</f>
        <v>RVNL</v>
      </c>
      <c r="B176" s="50">
        <f>VLOOKUP($A176,'Data shares'!$C:$FM,102)</f>
        <v>45.07</v>
      </c>
      <c r="C176" s="50">
        <f>VLOOKUP($A176,'Data shares'!$C:$FM,110)</f>
        <v>44.92</v>
      </c>
      <c r="D176" s="50">
        <f>VLOOKUP($A176,'Data shares'!$C:$FM,114)</f>
        <v>45.73</v>
      </c>
      <c r="E176" s="50">
        <f>VLOOKUP($A176,'Data shares'!$C:$FM,106)</f>
        <v>58.03</v>
      </c>
      <c r="F176" s="50">
        <f>VLOOKUP($A176,'Data shares'!$C:$FM,108)</f>
        <v>-12.96</v>
      </c>
      <c r="G176" s="50">
        <f t="shared" si="5"/>
        <v>0.77666724108219887</v>
      </c>
    </row>
    <row r="177" spans="1:7" x14ac:dyDescent="0.25">
      <c r="A177" s="49" t="str">
        <f>'Data Vlaue (Cr)'!C172</f>
        <v>SAIL</v>
      </c>
      <c r="B177" s="50">
        <f>VLOOKUP($A177,'Data shares'!$C:$FM,102)</f>
        <v>29.96</v>
      </c>
      <c r="C177" s="50">
        <f>VLOOKUP($A177,'Data shares'!$C:$FM,110)</f>
        <v>30.97</v>
      </c>
      <c r="D177" s="50">
        <f>VLOOKUP($A177,'Data shares'!$C:$FM,114)</f>
        <v>27.22</v>
      </c>
      <c r="E177" s="50">
        <f>VLOOKUP($A177,'Data shares'!$C:$FM,106)</f>
        <v>43.19</v>
      </c>
      <c r="F177" s="50">
        <f>VLOOKUP($A177,'Data shares'!$C:$FM,108)</f>
        <v>-13.23</v>
      </c>
      <c r="G177" s="50">
        <f t="shared" si="5"/>
        <v>0.69367909238249603</v>
      </c>
    </row>
    <row r="178" spans="1:7" x14ac:dyDescent="0.25">
      <c r="A178" s="49" t="str">
        <f>'Data Vlaue (Cr)'!C173</f>
        <v>SAMMAANCAP</v>
      </c>
      <c r="B178" s="50">
        <f>VLOOKUP($A178,'Data shares'!$C:$FM,102)</f>
        <v>39.200000000000003</v>
      </c>
      <c r="C178" s="50">
        <f>VLOOKUP($A178,'Data shares'!$C:$FM,110)</f>
        <v>39.020000000000003</v>
      </c>
      <c r="D178" s="50">
        <f>VLOOKUP($A178,'Data shares'!$C:$FM,114)</f>
        <v>46.42</v>
      </c>
      <c r="E178" s="50">
        <f>VLOOKUP($A178,'Data shares'!$C:$FM,106)</f>
        <v>53.82</v>
      </c>
      <c r="F178" s="50">
        <f>VLOOKUP($A178,'Data shares'!$C:$FM,108)</f>
        <v>-14.62</v>
      </c>
      <c r="G178" s="50">
        <f t="shared" si="5"/>
        <v>0.72835377183203276</v>
      </c>
    </row>
    <row r="179" spans="1:7" x14ac:dyDescent="0.25">
      <c r="A179" s="49" t="str">
        <f>'Data Vlaue (Cr)'!C174</f>
        <v>SBICARD</v>
      </c>
      <c r="B179" s="50">
        <f>VLOOKUP($A179,'Data shares'!$C:$FM,102)</f>
        <v>27.18</v>
      </c>
      <c r="C179" s="50">
        <f>VLOOKUP($A179,'Data shares'!$C:$FM,110)</f>
        <v>26.5</v>
      </c>
      <c r="D179" s="50">
        <f>VLOOKUP($A179,'Data shares'!$C:$FM,114)</f>
        <v>28.48</v>
      </c>
      <c r="E179" s="50">
        <f>VLOOKUP($A179,'Data shares'!$C:$FM,106)</f>
        <v>29.58</v>
      </c>
      <c r="F179" s="50">
        <f>VLOOKUP($A179,'Data shares'!$C:$FM,108)</f>
        <v>-2.4</v>
      </c>
      <c r="G179" s="50">
        <f t="shared" si="5"/>
        <v>0.91886409736308317</v>
      </c>
    </row>
    <row r="180" spans="1:7" x14ac:dyDescent="0.25">
      <c r="A180" s="49" t="str">
        <f>'Data Vlaue (Cr)'!C175</f>
        <v>SBILIFE</v>
      </c>
      <c r="B180" s="50">
        <f>VLOOKUP($A180,'Data shares'!$C:$FM,102)</f>
        <v>23.87</v>
      </c>
      <c r="C180" s="50">
        <f>VLOOKUP($A180,'Data shares'!$C:$FM,110)</f>
        <v>23.32</v>
      </c>
      <c r="D180" s="50">
        <f>VLOOKUP($A180,'Data shares'!$C:$FM,114)</f>
        <v>24.96</v>
      </c>
      <c r="E180" s="50">
        <f>VLOOKUP($A180,'Data shares'!$C:$FM,106)</f>
        <v>24.42</v>
      </c>
      <c r="F180" s="50">
        <f>VLOOKUP($A180,'Data shares'!$C:$FM,108)</f>
        <v>-0.55000000000000004</v>
      </c>
      <c r="G180" s="50">
        <f t="shared" si="5"/>
        <v>0.97747747747747749</v>
      </c>
    </row>
    <row r="181" spans="1:7" x14ac:dyDescent="0.25">
      <c r="A181" s="49" t="str">
        <f>'Data Vlaue (Cr)'!C176</f>
        <v>SBIN</v>
      </c>
      <c r="B181" s="50">
        <f>VLOOKUP($A181,'Data shares'!$C:$FM,102)</f>
        <v>22.78</v>
      </c>
      <c r="C181" s="50">
        <f>VLOOKUP($A181,'Data shares'!$C:$FM,110)</f>
        <v>22.14</v>
      </c>
      <c r="D181" s="50">
        <f>VLOOKUP($A181,'Data shares'!$C:$FM,114)</f>
        <v>23.59</v>
      </c>
      <c r="E181" s="50">
        <f>VLOOKUP($A181,'Data shares'!$C:$FM,106)</f>
        <v>26.82</v>
      </c>
      <c r="F181" s="50">
        <f>VLOOKUP($A181,'Data shares'!$C:$FM,108)</f>
        <v>-4.04</v>
      </c>
      <c r="G181" s="50">
        <f t="shared" si="5"/>
        <v>0.84936614466815807</v>
      </c>
    </row>
    <row r="182" spans="1:7" x14ac:dyDescent="0.25">
      <c r="A182" s="49" t="str">
        <f>'Data Vlaue (Cr)'!C177</f>
        <v>SHREECEM</v>
      </c>
      <c r="B182" s="50">
        <f>VLOOKUP($A182,'Data shares'!$C:$FM,102)</f>
        <v>24.61</v>
      </c>
      <c r="C182" s="50">
        <f>VLOOKUP($A182,'Data shares'!$C:$FM,110)</f>
        <v>24.43</v>
      </c>
      <c r="D182" s="50">
        <f>VLOOKUP($A182,'Data shares'!$C:$FM,114)</f>
        <v>25.09</v>
      </c>
      <c r="E182" s="50">
        <f>VLOOKUP($A182,'Data shares'!$C:$FM,106)</f>
        <v>24.74</v>
      </c>
      <c r="F182" s="50">
        <f>VLOOKUP($A182,'Data shares'!$C:$FM,108)</f>
        <v>-0.13</v>
      </c>
      <c r="G182" s="50">
        <f t="shared" si="5"/>
        <v>0.99474535165723532</v>
      </c>
    </row>
    <row r="183" spans="1:7" x14ac:dyDescent="0.25">
      <c r="A183" s="49" t="str">
        <f>'Data Vlaue (Cr)'!C178</f>
        <v>SHRIRAMFIN</v>
      </c>
      <c r="B183" s="50">
        <f>VLOOKUP($A183,'Data shares'!$C:$FM,102)</f>
        <v>32.799999999999997</v>
      </c>
      <c r="C183" s="50">
        <f>VLOOKUP($A183,'Data shares'!$C:$FM,110)</f>
        <v>32.229999999999997</v>
      </c>
      <c r="D183" s="50">
        <f>VLOOKUP($A183,'Data shares'!$C:$FM,114)</f>
        <v>33.67</v>
      </c>
      <c r="E183" s="50">
        <f>VLOOKUP($A183,'Data shares'!$C:$FM,106)</f>
        <v>38.89</v>
      </c>
      <c r="F183" s="50">
        <f>VLOOKUP($A183,'Data shares'!$C:$FM,108)</f>
        <v>-6.09</v>
      </c>
      <c r="G183" s="50">
        <f t="shared" si="5"/>
        <v>0.84340447415788111</v>
      </c>
    </row>
    <row r="184" spans="1:7" x14ac:dyDescent="0.25">
      <c r="A184" s="49" t="str">
        <f>'Data Vlaue (Cr)'!C179</f>
        <v>SIEMENS</v>
      </c>
      <c r="B184" s="50">
        <f>VLOOKUP($A184,'Data shares'!$C:$FM,102)</f>
        <v>33.67</v>
      </c>
      <c r="C184" s="50">
        <f>VLOOKUP($A184,'Data shares'!$C:$FM,110)</f>
        <v>32.71</v>
      </c>
      <c r="D184" s="50">
        <f>VLOOKUP($A184,'Data shares'!$C:$FM,114)</f>
        <v>36.299999999999997</v>
      </c>
      <c r="E184" s="50">
        <f>VLOOKUP($A184,'Data shares'!$C:$FM,106)</f>
        <v>38.659999999999997</v>
      </c>
      <c r="F184" s="50">
        <f>VLOOKUP($A184,'Data shares'!$C:$FM,108)</f>
        <v>-4.99</v>
      </c>
      <c r="G184" s="50">
        <f t="shared" si="5"/>
        <v>0.87092602172788425</v>
      </c>
    </row>
    <row r="185" spans="1:7" x14ac:dyDescent="0.25">
      <c r="A185" s="49" t="str">
        <f>'Data Vlaue (Cr)'!C180</f>
        <v>SOLARINDS</v>
      </c>
      <c r="B185" s="50">
        <f>VLOOKUP($A185,'Data shares'!$C:$FM,102)</f>
        <v>35</v>
      </c>
      <c r="C185" s="50">
        <f>VLOOKUP($A185,'Data shares'!$C:$FM,110)</f>
        <v>34.770000000000003</v>
      </c>
      <c r="D185" s="50">
        <f>VLOOKUP($A185,'Data shares'!$C:$FM,114)</f>
        <v>35.65</v>
      </c>
      <c r="E185" s="50">
        <f>VLOOKUP($A185,'Data shares'!$C:$FM,106)</f>
        <v>40.799999999999997</v>
      </c>
      <c r="F185" s="50">
        <f>VLOOKUP($A185,'Data shares'!$C:$FM,108)</f>
        <v>-5.8</v>
      </c>
      <c r="G185" s="50">
        <f t="shared" si="5"/>
        <v>0.85784313725490202</v>
      </c>
    </row>
    <row r="186" spans="1:7" x14ac:dyDescent="0.25">
      <c r="A186" s="49" t="str">
        <f>'Data Vlaue (Cr)'!C181</f>
        <v>SONACOMS</v>
      </c>
      <c r="B186" s="50">
        <f>VLOOKUP($A186,'Data shares'!$C:$FM,102)</f>
        <v>33.64</v>
      </c>
      <c r="C186" s="50">
        <f>VLOOKUP($A186,'Data shares'!$C:$FM,110)</f>
        <v>33.700000000000003</v>
      </c>
      <c r="D186" s="50">
        <f>VLOOKUP($A186,'Data shares'!$C:$FM,114)</f>
        <v>33.590000000000003</v>
      </c>
      <c r="E186" s="50">
        <f>VLOOKUP($A186,'Data shares'!$C:$FM,106)</f>
        <v>39.22</v>
      </c>
      <c r="F186" s="50">
        <f>VLOOKUP($A186,'Data shares'!$C:$FM,108)</f>
        <v>-5.58</v>
      </c>
      <c r="G186" s="50">
        <f t="shared" si="5"/>
        <v>0.85772565017848046</v>
      </c>
    </row>
    <row r="187" spans="1:7" x14ac:dyDescent="0.25">
      <c r="A187" s="49" t="str">
        <f>'Data Vlaue (Cr)'!C182</f>
        <v>SRF</v>
      </c>
      <c r="B187" s="50">
        <f>VLOOKUP($A187,'Data shares'!$C:$FM,102)</f>
        <v>26.51</v>
      </c>
      <c r="C187" s="50">
        <f>VLOOKUP($A187,'Data shares'!$C:$FM,110)</f>
        <v>25.71</v>
      </c>
      <c r="D187" s="50">
        <f>VLOOKUP($A187,'Data shares'!$C:$FM,114)</f>
        <v>28.17</v>
      </c>
      <c r="E187" s="50">
        <f>VLOOKUP($A187,'Data shares'!$C:$FM,106)</f>
        <v>32.71</v>
      </c>
      <c r="F187" s="50">
        <f>VLOOKUP($A187,'Data shares'!$C:$FM,108)</f>
        <v>-6.2</v>
      </c>
      <c r="G187" s="50">
        <f t="shared" si="5"/>
        <v>0.81045551819015593</v>
      </c>
    </row>
    <row r="188" spans="1:7" x14ac:dyDescent="0.25">
      <c r="A188" s="49" t="str">
        <f>'Data Vlaue (Cr)'!C183</f>
        <v>SUNPHARMA</v>
      </c>
      <c r="B188" s="50">
        <f>VLOOKUP($A188,'Data shares'!$C:$FM,102)</f>
        <v>17.170000000000002</v>
      </c>
      <c r="C188" s="50">
        <f>VLOOKUP($A188,'Data shares'!$C:$FM,110)</f>
        <v>16.32</v>
      </c>
      <c r="D188" s="50">
        <f>VLOOKUP($A188,'Data shares'!$C:$FM,114)</f>
        <v>18.809999999999999</v>
      </c>
      <c r="E188" s="50">
        <f>VLOOKUP($A188,'Data shares'!$C:$FM,106)</f>
        <v>23.18</v>
      </c>
      <c r="F188" s="50">
        <f>VLOOKUP($A188,'Data shares'!$C:$FM,108)</f>
        <v>-6.01</v>
      </c>
      <c r="G188" s="50">
        <f t="shared" ref="G188:G204" si="6">B188/E188</f>
        <v>0.74072476272648846</v>
      </c>
    </row>
    <row r="189" spans="1:7" x14ac:dyDescent="0.25">
      <c r="A189" s="49" t="str">
        <f>'Data Vlaue (Cr)'!C184</f>
        <v>SUPREMEIND</v>
      </c>
      <c r="B189" s="50">
        <f>VLOOKUP($A189,'Data shares'!$C:$FM,102)</f>
        <v>27.44</v>
      </c>
      <c r="C189" s="50">
        <f>VLOOKUP($A189,'Data shares'!$C:$FM,110)</f>
        <v>26.89</v>
      </c>
      <c r="D189" s="50">
        <f>VLOOKUP($A189,'Data shares'!$C:$FM,114)</f>
        <v>29.19</v>
      </c>
      <c r="E189" s="50">
        <f>VLOOKUP($A189,'Data shares'!$C:$FM,106)</f>
        <v>37.93</v>
      </c>
      <c r="F189" s="50">
        <f>VLOOKUP($A189,'Data shares'!$C:$FM,108)</f>
        <v>-10.49</v>
      </c>
      <c r="G189" s="50">
        <f t="shared" si="6"/>
        <v>0.72343791194305307</v>
      </c>
    </row>
    <row r="190" spans="1:7" x14ac:dyDescent="0.25">
      <c r="A190" s="49" t="str">
        <f>'Data Vlaue (Cr)'!C185</f>
        <v>SUZLON</v>
      </c>
      <c r="B190" s="50">
        <f>VLOOKUP($A190,'Data shares'!$C:$FM,102)</f>
        <v>36.840000000000003</v>
      </c>
      <c r="C190" s="50">
        <f>VLOOKUP($A190,'Data shares'!$C:$FM,110)</f>
        <v>36.65</v>
      </c>
      <c r="D190" s="50">
        <f>VLOOKUP($A190,'Data shares'!$C:$FM,114)</f>
        <v>37.83</v>
      </c>
      <c r="E190" s="50">
        <f>VLOOKUP($A190,'Data shares'!$C:$FM,106)</f>
        <v>45.55</v>
      </c>
      <c r="F190" s="50">
        <f>VLOOKUP($A190,'Data shares'!$C:$FM,108)</f>
        <v>-8.7100000000000009</v>
      </c>
      <c r="G190" s="50">
        <f t="shared" si="6"/>
        <v>0.80878155872667412</v>
      </c>
    </row>
    <row r="191" spans="1:7" x14ac:dyDescent="0.25">
      <c r="A191" s="49" t="str">
        <f>'Data Vlaue (Cr)'!C186</f>
        <v>SWIGGY</v>
      </c>
      <c r="B191" s="50">
        <f>VLOOKUP($A191,'Data shares'!$C:$FM,102)</f>
        <v>39.22</v>
      </c>
      <c r="C191" s="50">
        <f>VLOOKUP($A191,'Data shares'!$C:$FM,110)</f>
        <v>38.29</v>
      </c>
      <c r="D191" s="50">
        <f>VLOOKUP($A191,'Data shares'!$C:$FM,114)</f>
        <v>40.479999999999997</v>
      </c>
      <c r="E191" s="50">
        <f>VLOOKUP($A191,'Data shares'!$C:$FM,106)</f>
        <v>45.2</v>
      </c>
      <c r="F191" s="50">
        <f>VLOOKUP($A191,'Data shares'!$C:$FM,108)</f>
        <v>-5.98</v>
      </c>
      <c r="G191" s="50">
        <f t="shared" si="6"/>
        <v>0.86769911504424768</v>
      </c>
    </row>
    <row r="192" spans="1:7" x14ac:dyDescent="0.25">
      <c r="A192" s="49" t="str">
        <f>'Data Vlaue (Cr)'!C187</f>
        <v>SYNGENE</v>
      </c>
      <c r="B192" s="50">
        <f>VLOOKUP($A192,'Data shares'!$C:$FM,102)</f>
        <v>34.14</v>
      </c>
      <c r="C192" s="50">
        <f>VLOOKUP($A192,'Data shares'!$C:$FM,110)</f>
        <v>33.54</v>
      </c>
      <c r="D192" s="50">
        <f>VLOOKUP($A192,'Data shares'!$C:$FM,114)</f>
        <v>35.79</v>
      </c>
      <c r="E192" s="50">
        <f>VLOOKUP($A192,'Data shares'!$C:$FM,106)</f>
        <v>36.07</v>
      </c>
      <c r="F192" s="50">
        <f>VLOOKUP($A192,'Data shares'!$C:$FM,108)</f>
        <v>-1.93</v>
      </c>
      <c r="G192" s="50">
        <f t="shared" si="6"/>
        <v>0.94649293041308569</v>
      </c>
    </row>
    <row r="193" spans="1:7" x14ac:dyDescent="0.25">
      <c r="A193" s="49" t="str">
        <f>'Data Vlaue (Cr)'!C188</f>
        <v>TATACONSUM</v>
      </c>
      <c r="B193" s="50">
        <f>VLOOKUP($A193,'Data shares'!$C:$FM,102)</f>
        <v>22.32</v>
      </c>
      <c r="C193" s="50">
        <f>VLOOKUP($A193,'Data shares'!$C:$FM,110)</f>
        <v>21.4</v>
      </c>
      <c r="D193" s="50">
        <f>VLOOKUP($A193,'Data shares'!$C:$FM,114)</f>
        <v>23.78</v>
      </c>
      <c r="E193" s="50">
        <f>VLOOKUP($A193,'Data shares'!$C:$FM,106)</f>
        <v>27.09</v>
      </c>
      <c r="F193" s="50">
        <f>VLOOKUP($A193,'Data shares'!$C:$FM,108)</f>
        <v>-4.7699999999999996</v>
      </c>
      <c r="G193" s="50">
        <f t="shared" si="6"/>
        <v>0.82392026578073096</v>
      </c>
    </row>
    <row r="194" spans="1:7" x14ac:dyDescent="0.25">
      <c r="A194" s="49" t="str">
        <f>'Data Vlaue (Cr)'!C189</f>
        <v>TATAELXSI</v>
      </c>
      <c r="B194" s="50">
        <f>VLOOKUP($A194,'Data shares'!$C:$FM,102)</f>
        <v>37.369999999999997</v>
      </c>
      <c r="C194" s="50">
        <f>VLOOKUP($A194,'Data shares'!$C:$FM,110)</f>
        <v>38.24</v>
      </c>
      <c r="D194" s="50">
        <f>VLOOKUP($A194,'Data shares'!$C:$FM,114)</f>
        <v>34.659999999999997</v>
      </c>
      <c r="E194" s="50">
        <f>VLOOKUP($A194,'Data shares'!$C:$FM,106)</f>
        <v>38.25</v>
      </c>
      <c r="F194" s="50">
        <f>VLOOKUP($A194,'Data shares'!$C:$FM,108)</f>
        <v>-0.88</v>
      </c>
      <c r="G194" s="50">
        <f t="shared" si="6"/>
        <v>0.97699346405228749</v>
      </c>
    </row>
    <row r="195" spans="1:7" x14ac:dyDescent="0.25">
      <c r="A195" s="49" t="str">
        <f>'Data Vlaue (Cr)'!C190</f>
        <v>TATAPOWER</v>
      </c>
      <c r="B195" s="50">
        <f>VLOOKUP($A195,'Data shares'!$C:$FM,102)</f>
        <v>25.44</v>
      </c>
      <c r="C195" s="50">
        <f>VLOOKUP($A195,'Data shares'!$C:$FM,110)</f>
        <v>24.96</v>
      </c>
      <c r="D195" s="50">
        <f>VLOOKUP($A195,'Data shares'!$C:$FM,114)</f>
        <v>26.41</v>
      </c>
      <c r="E195" s="50">
        <f>VLOOKUP($A195,'Data shares'!$C:$FM,106)</f>
        <v>31.29</v>
      </c>
      <c r="F195" s="50">
        <f>VLOOKUP($A195,'Data shares'!$C:$FM,108)</f>
        <v>-5.85</v>
      </c>
      <c r="G195" s="50">
        <f t="shared" si="6"/>
        <v>0.81303930968360505</v>
      </c>
    </row>
    <row r="196" spans="1:7" x14ac:dyDescent="0.25">
      <c r="A196" s="49" t="str">
        <f>'Data Vlaue (Cr)'!C191</f>
        <v>TATASTEEL</v>
      </c>
      <c r="B196" s="50">
        <f>VLOOKUP($A196,'Data shares'!$C:$FM,102)</f>
        <v>31.97</v>
      </c>
      <c r="C196" s="50">
        <f>VLOOKUP($A196,'Data shares'!$C:$FM,110)</f>
        <v>31.6</v>
      </c>
      <c r="D196" s="50">
        <f>VLOOKUP($A196,'Data shares'!$C:$FM,114)</f>
        <v>32.68</v>
      </c>
      <c r="E196" s="50">
        <f>VLOOKUP($A196,'Data shares'!$C:$FM,106)</f>
        <v>34.82</v>
      </c>
      <c r="F196" s="50">
        <f>VLOOKUP($A196,'Data shares'!$C:$FM,108)</f>
        <v>-2.85</v>
      </c>
      <c r="G196" s="50">
        <f t="shared" si="6"/>
        <v>0.91815048822515788</v>
      </c>
    </row>
    <row r="197" spans="1:7" x14ac:dyDescent="0.25">
      <c r="A197" s="49" t="str">
        <f>'Data Vlaue (Cr)'!C192</f>
        <v>TATATECH</v>
      </c>
      <c r="B197" s="50">
        <f>VLOOKUP($A197,'Data shares'!$C:$FM,102)</f>
        <v>29.97</v>
      </c>
      <c r="C197" s="50">
        <f>VLOOKUP($A197,'Data shares'!$C:$FM,110)</f>
        <v>29.07</v>
      </c>
      <c r="D197" s="50">
        <f>VLOOKUP($A197,'Data shares'!$C:$FM,114)</f>
        <v>32.04</v>
      </c>
      <c r="E197" s="50">
        <f>VLOOKUP($A197,'Data shares'!$C:$FM,106)</f>
        <v>30.77</v>
      </c>
      <c r="F197" s="50">
        <f>VLOOKUP($A197,'Data shares'!$C:$FM,108)</f>
        <v>-0.8</v>
      </c>
      <c r="G197" s="50">
        <f t="shared" si="6"/>
        <v>0.97400064998375036</v>
      </c>
    </row>
    <row r="198" spans="1:7" x14ac:dyDescent="0.25">
      <c r="A198" s="49" t="str">
        <f>'Data Vlaue (Cr)'!C193</f>
        <v>TCS</v>
      </c>
      <c r="B198" s="50">
        <f>VLOOKUP($A198,'Data shares'!$C:$FM,102)</f>
        <v>27.64</v>
      </c>
      <c r="C198" s="50">
        <f>VLOOKUP($A198,'Data shares'!$C:$FM,110)</f>
        <v>27.17</v>
      </c>
      <c r="D198" s="50">
        <f>VLOOKUP($A198,'Data shares'!$C:$FM,114)</f>
        <v>28.34</v>
      </c>
      <c r="E198" s="50">
        <f>VLOOKUP($A198,'Data shares'!$C:$FM,106)</f>
        <v>26.74</v>
      </c>
      <c r="F198" s="50">
        <f>VLOOKUP($A198,'Data shares'!$C:$FM,108)</f>
        <v>0.9</v>
      </c>
      <c r="G198" s="50">
        <f t="shared" si="6"/>
        <v>1.0336574420344056</v>
      </c>
    </row>
    <row r="199" spans="1:7" x14ac:dyDescent="0.25">
      <c r="A199" s="49" t="str">
        <f>'Data Vlaue (Cr)'!C194</f>
        <v>TECHM</v>
      </c>
      <c r="B199" s="50">
        <f>VLOOKUP($A199,'Data shares'!$C:$FM,102)</f>
        <v>31.52</v>
      </c>
      <c r="C199" s="50">
        <f>VLOOKUP($A199,'Data shares'!$C:$FM,110)</f>
        <v>30.96</v>
      </c>
      <c r="D199" s="50">
        <f>VLOOKUP($A199,'Data shares'!$C:$FM,114)</f>
        <v>32.61</v>
      </c>
      <c r="E199" s="50">
        <f>VLOOKUP($A199,'Data shares'!$C:$FM,106)</f>
        <v>31.01</v>
      </c>
      <c r="F199" s="50">
        <f>VLOOKUP($A199,'Data shares'!$C:$FM,108)</f>
        <v>0.51</v>
      </c>
      <c r="G199" s="50">
        <f t="shared" si="6"/>
        <v>1.0164463076426959</v>
      </c>
    </row>
    <row r="200" spans="1:7" x14ac:dyDescent="0.25">
      <c r="A200" s="49" t="str">
        <f>'Data Vlaue (Cr)'!C195</f>
        <v>TIINDIA</v>
      </c>
      <c r="B200" s="50">
        <f>VLOOKUP($A200,'Data shares'!$C:$FM,102)</f>
        <v>33.9</v>
      </c>
      <c r="C200" s="50">
        <f>VLOOKUP($A200,'Data shares'!$C:$FM,110)</f>
        <v>33.36</v>
      </c>
      <c r="D200" s="50">
        <f>VLOOKUP($A200,'Data shares'!$C:$FM,114)</f>
        <v>35.119999999999997</v>
      </c>
      <c r="E200" s="50">
        <f>VLOOKUP($A200,'Data shares'!$C:$FM,106)</f>
        <v>43.24</v>
      </c>
      <c r="F200" s="50">
        <f>VLOOKUP($A200,'Data shares'!$C:$FM,108)</f>
        <v>-9.34</v>
      </c>
      <c r="G200" s="50">
        <f t="shared" si="6"/>
        <v>0.78399629972247908</v>
      </c>
    </row>
    <row r="201" spans="1:7" x14ac:dyDescent="0.25">
      <c r="A201" s="49" t="str">
        <f>'Data Vlaue (Cr)'!C196</f>
        <v>TITAN</v>
      </c>
      <c r="B201" s="50">
        <f>VLOOKUP($A201,'Data shares'!$C:$FM,102)</f>
        <v>20.83</v>
      </c>
      <c r="C201" s="50">
        <f>VLOOKUP($A201,'Data shares'!$C:$FM,110)</f>
        <v>19.87</v>
      </c>
      <c r="D201" s="50">
        <f>VLOOKUP($A201,'Data shares'!$C:$FM,114)</f>
        <v>22.5</v>
      </c>
      <c r="E201" s="50">
        <f>VLOOKUP($A201,'Data shares'!$C:$FM,106)</f>
        <v>24.42</v>
      </c>
      <c r="F201" s="50">
        <f>VLOOKUP($A201,'Data shares'!$C:$FM,108)</f>
        <v>-3.59</v>
      </c>
      <c r="G201" s="50">
        <f t="shared" si="6"/>
        <v>0.85298935298935286</v>
      </c>
    </row>
    <row r="202" spans="1:7" x14ac:dyDescent="0.25">
      <c r="A202" s="49" t="str">
        <f>'Data Vlaue (Cr)'!C197</f>
        <v>TMPV</v>
      </c>
      <c r="B202" s="50">
        <f>VLOOKUP($A202,'Data shares'!$C:$FM,102)</f>
        <v>31.55</v>
      </c>
      <c r="C202" s="50">
        <f>VLOOKUP($A202,'Data shares'!$C:$FM,110)</f>
        <v>30.5</v>
      </c>
      <c r="D202" s="50">
        <f>VLOOKUP($A202,'Data shares'!$C:$FM,114)</f>
        <v>33.4</v>
      </c>
      <c r="E202" s="50">
        <f>VLOOKUP($A202,'Data shares'!$C:$FM,106)</f>
        <v>34.28</v>
      </c>
      <c r="F202" s="50">
        <f>VLOOKUP($A202,'Data shares'!$C:$FM,108)</f>
        <v>-2.73</v>
      </c>
      <c r="G202" s="50">
        <f t="shared" si="6"/>
        <v>0.92036172695449237</v>
      </c>
    </row>
    <row r="203" spans="1:7" x14ac:dyDescent="0.25">
      <c r="A203" s="49" t="str">
        <f>'Data Vlaue (Cr)'!C198</f>
        <v>TORNTPHARM</v>
      </c>
      <c r="B203" s="50">
        <f>VLOOKUP($A203,'Data shares'!$C:$FM,102)</f>
        <v>21.43</v>
      </c>
      <c r="C203" s="50">
        <f>VLOOKUP($A203,'Data shares'!$C:$FM,110)</f>
        <v>20.94</v>
      </c>
      <c r="D203" s="50">
        <f>VLOOKUP($A203,'Data shares'!$C:$FM,114)</f>
        <v>22.41</v>
      </c>
      <c r="E203" s="50">
        <f>VLOOKUP($A203,'Data shares'!$C:$FM,106)</f>
        <v>25.38</v>
      </c>
      <c r="F203" s="50">
        <f>VLOOKUP($A203,'Data shares'!$C:$FM,108)</f>
        <v>-3.95</v>
      </c>
      <c r="G203" s="50">
        <f t="shared" si="6"/>
        <v>0.84436564223798272</v>
      </c>
    </row>
    <row r="204" spans="1:7" x14ac:dyDescent="0.25">
      <c r="A204" s="49" t="str">
        <f>'Data Vlaue (Cr)'!C199</f>
        <v>TORNTPOWER</v>
      </c>
      <c r="B204" s="50">
        <f>VLOOKUP($A204,'Data shares'!$C:$FM,102)</f>
        <v>32.979999999999997</v>
      </c>
      <c r="C204" s="50">
        <f>VLOOKUP($A204,'Data shares'!$C:$FM,110)</f>
        <v>31.86</v>
      </c>
      <c r="D204" s="50">
        <f>VLOOKUP($A204,'Data shares'!$C:$FM,114)</f>
        <v>35.14</v>
      </c>
      <c r="E204" s="50">
        <f>VLOOKUP($A204,'Data shares'!$C:$FM,106)</f>
        <v>41.12</v>
      </c>
      <c r="F204" s="50">
        <f>VLOOKUP($A204,'Data shares'!$C:$FM,108)</f>
        <v>-8.14</v>
      </c>
      <c r="G204" s="50">
        <f t="shared" si="6"/>
        <v>0.80204280155642016</v>
      </c>
    </row>
    <row r="205" spans="1:7" x14ac:dyDescent="0.25">
      <c r="A205" s="49" t="str">
        <f>'Data Vlaue (Cr)'!C200</f>
        <v>TRENT</v>
      </c>
      <c r="B205" s="50">
        <f>VLOOKUP($A205,'Data shares'!$C:$FM,102)</f>
        <v>29.21</v>
      </c>
      <c r="C205" s="50">
        <f>VLOOKUP($A205,'Data shares'!$C:$FM,110)</f>
        <v>28.72</v>
      </c>
      <c r="D205" s="50">
        <f>VLOOKUP($A205,'Data shares'!$C:$FM,114)</f>
        <v>30.36</v>
      </c>
      <c r="E205" s="50">
        <f>VLOOKUP($A205,'Data shares'!$C:$FM,106)</f>
        <v>41.81</v>
      </c>
      <c r="F205" s="50">
        <f>VLOOKUP($A205,'Data shares'!$C:$FM,108)</f>
        <v>-12.6</v>
      </c>
      <c r="G205" s="50">
        <f t="shared" ref="G205:G214" si="7">B205/E205</f>
        <v>0.69863668978713223</v>
      </c>
    </row>
    <row r="206" spans="1:7" x14ac:dyDescent="0.25">
      <c r="A206" s="49" t="str">
        <f>'Data Vlaue (Cr)'!C201</f>
        <v>TVSMOTOR</v>
      </c>
      <c r="B206" s="50">
        <f>VLOOKUP($A206,'Data shares'!$C:$FM,102)</f>
        <v>26.6</v>
      </c>
      <c r="C206" s="50">
        <f>VLOOKUP($A206,'Data shares'!$C:$FM,110)</f>
        <v>25.5</v>
      </c>
      <c r="D206" s="50">
        <f>VLOOKUP($A206,'Data shares'!$C:$FM,114)</f>
        <v>29.11</v>
      </c>
      <c r="E206" s="50">
        <f>VLOOKUP($A206,'Data shares'!$C:$FM,106)</f>
        <v>29.37</v>
      </c>
      <c r="F206" s="50">
        <f>VLOOKUP($A206,'Data shares'!$C:$FM,108)</f>
        <v>-2.77</v>
      </c>
      <c r="G206" s="50">
        <f t="shared" si="7"/>
        <v>0.90568607422540004</v>
      </c>
    </row>
    <row r="207" spans="1:7" x14ac:dyDescent="0.25">
      <c r="A207" s="49" t="str">
        <f>'Data Vlaue (Cr)'!C202</f>
        <v>ULTRACEMCO</v>
      </c>
      <c r="B207" s="50">
        <f>VLOOKUP($A207,'Data shares'!$C:$FM,102)</f>
        <v>23.01</v>
      </c>
      <c r="C207" s="50">
        <f>VLOOKUP($A207,'Data shares'!$C:$FM,110)</f>
        <v>22.32</v>
      </c>
      <c r="D207" s="50">
        <f>VLOOKUP($A207,'Data shares'!$C:$FM,114)</f>
        <v>24.53</v>
      </c>
      <c r="E207" s="50">
        <f>VLOOKUP($A207,'Data shares'!$C:$FM,106)</f>
        <v>24.22</v>
      </c>
      <c r="F207" s="50">
        <f>VLOOKUP($A207,'Data shares'!$C:$FM,108)</f>
        <v>-1.21</v>
      </c>
      <c r="G207" s="50">
        <f t="shared" si="7"/>
        <v>0.95004128819157729</v>
      </c>
    </row>
    <row r="208" spans="1:7" x14ac:dyDescent="0.25">
      <c r="A208" s="49" t="str">
        <f>'Data Vlaue (Cr)'!C203</f>
        <v>UNIONBANK</v>
      </c>
      <c r="B208" s="50">
        <f>VLOOKUP($A208,'Data shares'!$C:$FM,102)</f>
        <v>34.130000000000003</v>
      </c>
      <c r="C208" s="50">
        <f>VLOOKUP($A208,'Data shares'!$C:$FM,110)</f>
        <v>33.68</v>
      </c>
      <c r="D208" s="50">
        <f>VLOOKUP($A208,'Data shares'!$C:$FM,114)</f>
        <v>35.130000000000003</v>
      </c>
      <c r="E208" s="50">
        <f>VLOOKUP($A208,'Data shares'!$C:$FM,106)</f>
        <v>40.64</v>
      </c>
      <c r="F208" s="50">
        <f>VLOOKUP($A208,'Data shares'!$C:$FM,108)</f>
        <v>-6.51</v>
      </c>
      <c r="G208" s="50">
        <f t="shared" si="7"/>
        <v>0.83981299212598426</v>
      </c>
    </row>
    <row r="209" spans="1:7" x14ac:dyDescent="0.25">
      <c r="A209" s="49" t="str">
        <f>'Data Vlaue (Cr)'!C204</f>
        <v>UNITDSPR</v>
      </c>
      <c r="B209" s="50">
        <f>VLOOKUP($A209,'Data shares'!$C:$FM,102)</f>
        <v>24.83</v>
      </c>
      <c r="C209" s="50">
        <f>VLOOKUP($A209,'Data shares'!$C:$FM,110)</f>
        <v>24.53</v>
      </c>
      <c r="D209" s="50">
        <f>VLOOKUP($A209,'Data shares'!$C:$FM,114)</f>
        <v>25.44</v>
      </c>
      <c r="E209" s="50">
        <f>VLOOKUP($A209,'Data shares'!$C:$FM,106)</f>
        <v>26.83</v>
      </c>
      <c r="F209" s="50">
        <f>VLOOKUP($A209,'Data shares'!$C:$FM,108)</f>
        <v>-2</v>
      </c>
      <c r="G209" s="50">
        <f t="shared" si="7"/>
        <v>0.92545657845695117</v>
      </c>
    </row>
    <row r="210" spans="1:7" x14ac:dyDescent="0.25">
      <c r="A210" s="49" t="str">
        <f>'Data Vlaue (Cr)'!C205</f>
        <v>UNOMINDA</v>
      </c>
      <c r="B210" s="50">
        <f>VLOOKUP($A210,'Data shares'!$C:$FM,102)</f>
        <v>34.17</v>
      </c>
      <c r="C210" s="50">
        <f>VLOOKUP($A210,'Data shares'!$C:$FM,110)</f>
        <v>33.659999999999997</v>
      </c>
      <c r="D210" s="50">
        <f>VLOOKUP($A210,'Data shares'!$C:$FM,114)</f>
        <v>35.270000000000003</v>
      </c>
      <c r="E210" s="50">
        <f>VLOOKUP($A210,'Data shares'!$C:$FM,106)</f>
        <v>41.02</v>
      </c>
      <c r="F210" s="50">
        <f>VLOOKUP($A210,'Data shares'!$C:$FM,108)</f>
        <v>-6.85</v>
      </c>
      <c r="G210" s="50">
        <f t="shared" si="7"/>
        <v>0.8330082886396879</v>
      </c>
    </row>
    <row r="211" spans="1:7" x14ac:dyDescent="0.25">
      <c r="A211" s="49" t="str">
        <f>'Data Vlaue (Cr)'!C206</f>
        <v>UPL</v>
      </c>
      <c r="B211" s="50">
        <f>VLOOKUP($A211,'Data shares'!$C:$FM,102)</f>
        <v>31.59</v>
      </c>
      <c r="C211" s="50">
        <f>VLOOKUP($A211,'Data shares'!$C:$FM,110)</f>
        <v>31.3</v>
      </c>
      <c r="D211" s="50">
        <f>VLOOKUP($A211,'Data shares'!$C:$FM,114)</f>
        <v>32.36</v>
      </c>
      <c r="E211" s="50">
        <f>VLOOKUP($A211,'Data shares'!$C:$FM,106)</f>
        <v>40.9</v>
      </c>
      <c r="F211" s="50">
        <f>VLOOKUP($A211,'Data shares'!$C:$FM,108)</f>
        <v>-9.31</v>
      </c>
      <c r="G211" s="50">
        <f t="shared" si="7"/>
        <v>0.77237163814180931</v>
      </c>
    </row>
    <row r="212" spans="1:7" x14ac:dyDescent="0.25">
      <c r="A212" s="49" t="str">
        <f>'Data Vlaue (Cr)'!C207</f>
        <v>VBL</v>
      </c>
      <c r="B212" s="50">
        <f>VLOOKUP($A212,'Data shares'!$C:$FM,102)</f>
        <v>28.5</v>
      </c>
      <c r="C212" s="50">
        <f>VLOOKUP($A212,'Data shares'!$C:$FM,110)</f>
        <v>28.22</v>
      </c>
      <c r="D212" s="50">
        <f>VLOOKUP($A212,'Data shares'!$C:$FM,114)</f>
        <v>29.13</v>
      </c>
      <c r="E212" s="50">
        <f>VLOOKUP($A212,'Data shares'!$C:$FM,106)</f>
        <v>36.380000000000003</v>
      </c>
      <c r="F212" s="50">
        <f>VLOOKUP($A212,'Data shares'!$C:$FM,108)</f>
        <v>-7.88</v>
      </c>
      <c r="G212" s="50">
        <f t="shared" si="7"/>
        <v>0.78339747113798786</v>
      </c>
    </row>
    <row r="213" spans="1:7" x14ac:dyDescent="0.25">
      <c r="A213" s="49" t="str">
        <f>'Data Vlaue (Cr)'!C208</f>
        <v>VEDL</v>
      </c>
      <c r="B213" s="50">
        <f>VLOOKUP($A213,'Data shares'!$C:$FM,102)</f>
        <v>37.5</v>
      </c>
      <c r="C213" s="50">
        <f>VLOOKUP($A213,'Data shares'!$C:$FM,110)</f>
        <v>37.590000000000003</v>
      </c>
      <c r="D213" s="50">
        <f>VLOOKUP($A213,'Data shares'!$C:$FM,114)</f>
        <v>37.299999999999997</v>
      </c>
      <c r="E213" s="50">
        <f>VLOOKUP($A213,'Data shares'!$C:$FM,106)</f>
        <v>40.9</v>
      </c>
      <c r="F213" s="50">
        <f>VLOOKUP($A213,'Data shares'!$C:$FM,108)</f>
        <v>-3.4</v>
      </c>
      <c r="G213" s="50">
        <f t="shared" si="7"/>
        <v>0.91687041564792182</v>
      </c>
    </row>
    <row r="214" spans="1:7" x14ac:dyDescent="0.25">
      <c r="A214" s="49" t="str">
        <f>'Data Vlaue (Cr)'!C209</f>
        <v>VOLTAS</v>
      </c>
      <c r="B214" s="50">
        <f>VLOOKUP($A214,'Data shares'!$C:$FM,102)</f>
        <v>33.47</v>
      </c>
      <c r="C214" s="50">
        <f>VLOOKUP($A214,'Data shares'!$C:$FM,110)</f>
        <v>33.03</v>
      </c>
      <c r="D214" s="50">
        <f>VLOOKUP($A214,'Data shares'!$C:$FM,114)</f>
        <v>34.56</v>
      </c>
      <c r="E214" s="50">
        <f>VLOOKUP($A214,'Data shares'!$C:$FM,106)</f>
        <v>37.5</v>
      </c>
      <c r="F214" s="50">
        <f>VLOOKUP($A214,'Data shares'!$C:$FM,108)</f>
        <v>-4.03</v>
      </c>
      <c r="G214" s="50">
        <f t="shared" si="7"/>
        <v>0.89253333333333329</v>
      </c>
    </row>
    <row r="215" spans="1:7" x14ac:dyDescent="0.25">
      <c r="A215" s="49" t="str">
        <f>'Data Vlaue (Cr)'!C210</f>
        <v>WAAREEENER</v>
      </c>
      <c r="B215" s="50">
        <f>VLOOKUP($A215,'Data shares'!$C:$FM,102)</f>
        <v>44.05</v>
      </c>
      <c r="C215" s="50">
        <f>VLOOKUP($A215,'Data shares'!$C:$FM,110)</f>
        <v>43.9</v>
      </c>
      <c r="D215" s="50">
        <f>VLOOKUP($A215,'Data shares'!$C:$FM,114)</f>
        <v>44.42</v>
      </c>
      <c r="E215" s="50">
        <f>VLOOKUP($A215,'Data shares'!$C:$FM,106)</f>
        <v>53.35</v>
      </c>
      <c r="F215" s="50">
        <f>VLOOKUP($A215,'Data shares'!$C:$FM,108)</f>
        <v>-9.3000000000000007</v>
      </c>
      <c r="G215" s="50">
        <f t="shared" ref="G215:G217" si="8">B215/E215</f>
        <v>0.82567947516401119</v>
      </c>
    </row>
    <row r="216" spans="1:7" x14ac:dyDescent="0.25">
      <c r="A216" s="49" t="str">
        <f>'Data Vlaue (Cr)'!C211</f>
        <v>WIPRO</v>
      </c>
      <c r="B216" s="50">
        <f>VLOOKUP($A216,'Data shares'!$C:$FM,102)</f>
        <v>31.32</v>
      </c>
      <c r="C216" s="50">
        <f>VLOOKUP($A216,'Data shares'!$C:$FM,110)</f>
        <v>31.05</v>
      </c>
      <c r="D216" s="50">
        <f>VLOOKUP($A216,'Data shares'!$C:$FM,114)</f>
        <v>31.81</v>
      </c>
      <c r="E216" s="50">
        <f>VLOOKUP($A216,'Data shares'!$C:$FM,106)</f>
        <v>31.17</v>
      </c>
      <c r="F216" s="50">
        <f>VLOOKUP($A216,'Data shares'!$C:$FM,108)</f>
        <v>0.15</v>
      </c>
      <c r="G216" s="50">
        <f t="shared" si="8"/>
        <v>1.0048123195380172</v>
      </c>
    </row>
    <row r="217" spans="1:7" x14ac:dyDescent="0.25">
      <c r="A217" s="49" t="str">
        <f>'Data Vlaue (Cr)'!C213</f>
        <v>ZYDUSLIFE</v>
      </c>
      <c r="B217" s="50">
        <f>VLOOKUP($A217,'Data shares'!$C:$FM,102)</f>
        <v>23.18</v>
      </c>
      <c r="C217" s="50">
        <f>VLOOKUP($A217,'Data shares'!$C:$FM,110)</f>
        <v>22.84</v>
      </c>
      <c r="D217" s="50">
        <f>VLOOKUP($A217,'Data shares'!$C:$FM,114)</f>
        <v>24.41</v>
      </c>
      <c r="E217" s="50">
        <f>VLOOKUP($A217,'Data shares'!$C:$FM,106)</f>
        <v>27.99</v>
      </c>
      <c r="F217" s="50">
        <f>VLOOKUP($A217,'Data shares'!$C:$FM,108)</f>
        <v>-4.8099999999999996</v>
      </c>
      <c r="G217" s="50">
        <f t="shared" si="8"/>
        <v>0.82815291175419792</v>
      </c>
    </row>
    <row r="218" spans="1:7" x14ac:dyDescent="0.25">
      <c r="A218" s="49"/>
      <c r="B218" s="50"/>
      <c r="C218" s="50"/>
      <c r="D218" s="50"/>
      <c r="E218" s="50"/>
      <c r="F218" s="50"/>
      <c r="G218" s="50"/>
    </row>
    <row r="219" spans="1:7" x14ac:dyDescent="0.25">
      <c r="A219" s="49"/>
      <c r="B219" s="50"/>
      <c r="C219" s="50"/>
      <c r="D219" s="50"/>
      <c r="E219" s="50"/>
      <c r="F219" s="50"/>
      <c r="G219" s="50"/>
    </row>
    <row r="220" spans="1:7" x14ac:dyDescent="0.25">
      <c r="A220" s="49"/>
      <c r="B220" s="50"/>
      <c r="C220" s="50"/>
      <c r="D220" s="50"/>
      <c r="E220" s="50"/>
      <c r="F220" s="50"/>
      <c r="G220" s="50"/>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203" activePane="bottomLeft" state="frozen"/>
      <selection pane="bottomLeft" activeCell="O220" sqref="O220"/>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hidden="1" customHeight="1" thickBot="1" x14ac:dyDescent="0.3"/>
    <row r="2" spans="1:6" ht="15.75" thickBot="1" x14ac:dyDescent="0.3">
      <c r="E2" s="163"/>
      <c r="F2" s="172"/>
    </row>
    <row r="3" spans="1:6" ht="21" customHeight="1" x14ac:dyDescent="0.25">
      <c r="A3" s="320" t="s">
        <v>416</v>
      </c>
      <c r="B3" s="321"/>
      <c r="C3" s="321"/>
      <c r="D3" s="321"/>
      <c r="E3" s="321"/>
      <c r="F3" s="321"/>
    </row>
    <row r="4" spans="1:6" s="107" customFormat="1" ht="16.5" customHeight="1" x14ac:dyDescent="0.25">
      <c r="A4" s="174" t="s">
        <v>366</v>
      </c>
      <c r="B4" s="76" t="s">
        <v>417</v>
      </c>
      <c r="C4" s="76" t="s">
        <v>412</v>
      </c>
      <c r="D4" s="162" t="s">
        <v>418</v>
      </c>
      <c r="E4" s="162" t="s">
        <v>419</v>
      </c>
      <c r="F4" s="162" t="s">
        <v>419</v>
      </c>
    </row>
    <row r="5" spans="1:6" x14ac:dyDescent="0.25">
      <c r="A5" s="99" t="s">
        <v>681</v>
      </c>
      <c r="B5" s="49">
        <v>36943219</v>
      </c>
      <c r="C5" s="49">
        <v>4194500</v>
      </c>
      <c r="D5" s="49">
        <v>3030279.4322899999</v>
      </c>
      <c r="E5" s="50">
        <f>VLOOKUP($A5,'Data shares'!$C:$FA,154)*100</f>
        <v>11.57</v>
      </c>
      <c r="F5" s="173">
        <f>C5/B5</f>
        <v>0.11353910442942181</v>
      </c>
    </row>
    <row r="6" spans="1:6" x14ac:dyDescent="0.25">
      <c r="A6" s="99" t="s">
        <v>553</v>
      </c>
      <c r="B6" s="49">
        <v>7946564</v>
      </c>
      <c r="C6" s="49">
        <v>3792000</v>
      </c>
      <c r="D6" s="49">
        <v>2090621.4171537501</v>
      </c>
      <c r="E6" s="50">
        <f>VLOOKUP($A6,'Data shares'!$C:$FA,154)*100</f>
        <v>48.6</v>
      </c>
      <c r="F6" s="173">
        <f>C6/B6</f>
        <v>0.47718737305834319</v>
      </c>
    </row>
    <row r="7" spans="1:6" x14ac:dyDescent="0.25">
      <c r="A7" s="99" t="s">
        <v>544</v>
      </c>
      <c r="B7" s="49">
        <v>122657000</v>
      </c>
      <c r="C7" s="49">
        <v>74846400</v>
      </c>
      <c r="D7" s="49">
        <v>49038210.231275998</v>
      </c>
      <c r="E7" s="50">
        <f>VLOOKUP($A7,'Data shares'!$C:$FA,154)*100</f>
        <v>62.029999999999994</v>
      </c>
      <c r="F7" s="173">
        <f>C7/B7</f>
        <v>0.61020895668408648</v>
      </c>
    </row>
    <row r="8" spans="1:6" x14ac:dyDescent="0.25">
      <c r="A8" s="99" t="s">
        <v>579</v>
      </c>
      <c r="B8" s="49">
        <v>43791427</v>
      </c>
      <c r="C8" s="49">
        <v>25217325</v>
      </c>
      <c r="D8" s="49">
        <v>19171898.169477701</v>
      </c>
      <c r="E8" s="50">
        <f>VLOOKUP($A8,'Data shares'!$C:$FA,154)*100</f>
        <v>57.989999999999995</v>
      </c>
      <c r="F8" s="173">
        <f>C8/B8</f>
        <v>0.57585072530292292</v>
      </c>
    </row>
    <row r="9" spans="1:6" x14ac:dyDescent="0.25">
      <c r="A9" s="99" t="s">
        <v>159</v>
      </c>
      <c r="B9" s="49">
        <v>49117354</v>
      </c>
      <c r="C9" s="49">
        <v>25819731</v>
      </c>
      <c r="D9" s="49">
        <v>14573978.8657289</v>
      </c>
      <c r="E9" s="50">
        <f>VLOOKUP($A9,'Data shares'!$C:$FA,154)*100</f>
        <v>58.02</v>
      </c>
      <c r="F9" s="173">
        <f>C9/B9</f>
        <v>0.52567430647831725</v>
      </c>
    </row>
    <row r="10" spans="1:6" x14ac:dyDescent="0.25">
      <c r="A10" s="99" t="s">
        <v>606</v>
      </c>
      <c r="B10" s="49">
        <v>92816927</v>
      </c>
      <c r="C10" s="49">
        <v>33967800</v>
      </c>
      <c r="D10" s="49">
        <v>19312088.270417999</v>
      </c>
      <c r="E10" s="50"/>
      <c r="F10" s="173">
        <f>C10/B10</f>
        <v>0.36596557436123694</v>
      </c>
    </row>
    <row r="11" spans="1:6" x14ac:dyDescent="0.25">
      <c r="A11" s="99" t="s">
        <v>160</v>
      </c>
      <c r="B11" s="49">
        <v>84394936</v>
      </c>
      <c r="C11" s="49">
        <v>33810500</v>
      </c>
      <c r="D11" s="49">
        <v>20915329.101437502</v>
      </c>
      <c r="E11" s="50">
        <f>VLOOKUP($A11,'Data shares'!$C:$FA,154)*100</f>
        <v>40.78</v>
      </c>
      <c r="F11" s="173">
        <f>C11/B11</f>
        <v>0.40062237857494198</v>
      </c>
    </row>
    <row r="12" spans="1:6" x14ac:dyDescent="0.25">
      <c r="A12" s="99" t="s">
        <v>497</v>
      </c>
      <c r="B12" s="49">
        <v>7334235</v>
      </c>
      <c r="C12" s="49">
        <v>1601250</v>
      </c>
      <c r="D12" s="49">
        <v>1212644.64925</v>
      </c>
      <c r="E12" s="50">
        <f>VLOOKUP($A12,'Data shares'!$C:$FA,154)*100</f>
        <v>21.93</v>
      </c>
      <c r="F12" s="173">
        <f>C12/B12</f>
        <v>0.21832542862343515</v>
      </c>
    </row>
    <row r="13" spans="1:6" x14ac:dyDescent="0.25">
      <c r="A13" s="99" t="s">
        <v>680</v>
      </c>
      <c r="B13" s="49">
        <v>3257355</v>
      </c>
      <c r="C13" s="49">
        <v>1892700</v>
      </c>
      <c r="D13" s="49">
        <v>899381.93476099998</v>
      </c>
      <c r="E13" s="50">
        <f>VLOOKUP($A13,'Data shares'!$C:$FA,154)*100</f>
        <v>59.660000000000004</v>
      </c>
      <c r="F13" s="173">
        <f>C13/B13</f>
        <v>0.58105426028173168</v>
      </c>
    </row>
    <row r="14" spans="1:6" x14ac:dyDescent="0.25">
      <c r="A14" s="99" t="s">
        <v>164</v>
      </c>
      <c r="B14" s="49">
        <v>79841849</v>
      </c>
      <c r="C14" s="49">
        <v>74917500</v>
      </c>
      <c r="D14" s="49">
        <v>47746985.751737997</v>
      </c>
      <c r="E14" s="50">
        <f>VLOOKUP($A14,'Data shares'!$C:$FA,154)*100</f>
        <v>95.23</v>
      </c>
      <c r="F14" s="173">
        <f>C14/B14</f>
        <v>0.93832371041407114</v>
      </c>
    </row>
    <row r="15" spans="1:6" x14ac:dyDescent="0.25">
      <c r="A15" s="99" t="s">
        <v>609</v>
      </c>
      <c r="B15" s="49">
        <v>96733080</v>
      </c>
      <c r="C15" s="49">
        <v>70617500</v>
      </c>
      <c r="D15" s="49">
        <v>30536885.69125</v>
      </c>
      <c r="E15" s="50">
        <f>VLOOKUP($A15,'Data shares'!$C:$FA,154)*100</f>
        <v>74.5</v>
      </c>
      <c r="F15" s="173">
        <f>C15/B15</f>
        <v>0.73002431019460978</v>
      </c>
    </row>
    <row r="16" spans="1:6" x14ac:dyDescent="0.25">
      <c r="A16" s="99" t="s">
        <v>598</v>
      </c>
      <c r="B16" s="49">
        <v>23068453</v>
      </c>
      <c r="C16" s="49">
        <v>6833050</v>
      </c>
      <c r="D16" s="49">
        <v>4850477.6632620003</v>
      </c>
      <c r="E16" s="50">
        <f>VLOOKUP($A16,'Data shares'!$C:$FA,154)*100</f>
        <v>29.75</v>
      </c>
      <c r="F16" s="173">
        <f>C16/B16</f>
        <v>0.29620755236599522</v>
      </c>
    </row>
    <row r="17" spans="1:6" x14ac:dyDescent="0.25">
      <c r="A17" s="99" t="s">
        <v>165</v>
      </c>
      <c r="B17" s="49">
        <v>15524629</v>
      </c>
      <c r="C17" s="49">
        <v>4117750</v>
      </c>
      <c r="D17" s="49">
        <v>2640293.1562325</v>
      </c>
      <c r="E17" s="50">
        <f>VLOOKUP($A17,'Data shares'!$C:$FA,154)*100</f>
        <v>26.810000000000002</v>
      </c>
      <c r="F17" s="173">
        <f>C17/B17</f>
        <v>0.26523983278440988</v>
      </c>
    </row>
    <row r="18" spans="1:6" x14ac:dyDescent="0.25">
      <c r="A18" s="99" t="s">
        <v>167</v>
      </c>
      <c r="B18" s="49">
        <v>423719104</v>
      </c>
      <c r="C18" s="49">
        <v>217510000</v>
      </c>
      <c r="D18" s="49">
        <v>128954430.49609999</v>
      </c>
      <c r="E18" s="50">
        <f>VLOOKUP($A18,'Data shares'!$C:$FA,154)*100</f>
        <v>52.53</v>
      </c>
      <c r="F18" s="173">
        <f>C18/B18</f>
        <v>0.51333536285397219</v>
      </c>
    </row>
    <row r="19" spans="1:6" x14ac:dyDescent="0.25">
      <c r="A19" s="99" t="s">
        <v>169</v>
      </c>
      <c r="B19" s="49">
        <v>49389162</v>
      </c>
      <c r="C19" s="49">
        <v>20635500</v>
      </c>
      <c r="D19" s="49">
        <v>13097965.184905</v>
      </c>
      <c r="E19" s="50">
        <f>VLOOKUP($A19,'Data shares'!$C:$FA,154)*100</f>
        <v>42.47</v>
      </c>
      <c r="F19" s="173">
        <f>C19/B19</f>
        <v>0.41781433748562086</v>
      </c>
    </row>
    <row r="20" spans="1:6" x14ac:dyDescent="0.25">
      <c r="A20" s="99" t="s">
        <v>503</v>
      </c>
      <c r="B20" s="49">
        <v>18450534</v>
      </c>
      <c r="C20" s="49">
        <v>11740625</v>
      </c>
      <c r="D20" s="49">
        <v>8139471.1552872499</v>
      </c>
      <c r="E20" s="50">
        <f>VLOOKUP($A20,'Data shares'!$C:$FA,154)*100</f>
        <v>64.099999999999994</v>
      </c>
      <c r="F20" s="173">
        <f>C20/B20</f>
        <v>0.6363298211314643</v>
      </c>
    </row>
    <row r="21" spans="1:6" x14ac:dyDescent="0.25">
      <c r="A21" s="99" t="s">
        <v>495</v>
      </c>
      <c r="B21" s="49">
        <v>86371921</v>
      </c>
      <c r="C21" s="49">
        <v>33515000</v>
      </c>
      <c r="D21" s="49">
        <v>22163789.965829998</v>
      </c>
      <c r="E21" s="50">
        <f>VLOOKUP($A21,'Data shares'!$C:$FA,154)*100</f>
        <v>39.369999999999997</v>
      </c>
      <c r="F21" s="173">
        <f>C21/B21</f>
        <v>0.38803119824091908</v>
      </c>
    </row>
    <row r="22" spans="1:6" x14ac:dyDescent="0.25">
      <c r="A22" s="99" t="s">
        <v>171</v>
      </c>
      <c r="B22" s="49">
        <v>41977935</v>
      </c>
      <c r="C22" s="49">
        <v>28367350</v>
      </c>
      <c r="D22" s="49">
        <v>21183971.492772002</v>
      </c>
      <c r="E22" s="50">
        <f>VLOOKUP($A22,'Data shares'!$C:$FA,154)*100</f>
        <v>68.05</v>
      </c>
      <c r="F22" s="173">
        <f>C22/B22</f>
        <v>0.67576811484414367</v>
      </c>
    </row>
    <row r="23" spans="1:6" x14ac:dyDescent="0.25">
      <c r="A23" s="99" t="s">
        <v>173</v>
      </c>
      <c r="B23" s="49">
        <v>296371456</v>
      </c>
      <c r="C23" s="49">
        <v>87495625</v>
      </c>
      <c r="D23" s="49">
        <v>63351911.764206201</v>
      </c>
      <c r="E23" s="50"/>
      <c r="F23" s="173">
        <f>C23/B23</f>
        <v>0.29522284696674705</v>
      </c>
    </row>
    <row r="24" spans="1:6" x14ac:dyDescent="0.25">
      <c r="A24" s="99" t="s">
        <v>174</v>
      </c>
      <c r="B24" s="49">
        <v>15906526</v>
      </c>
      <c r="C24" s="49">
        <v>4963725</v>
      </c>
      <c r="D24" s="49">
        <v>2745123.3283905</v>
      </c>
      <c r="E24" s="50"/>
      <c r="F24" s="173">
        <f>C24/B24</f>
        <v>0.31205588196945078</v>
      </c>
    </row>
    <row r="25" spans="1:6" x14ac:dyDescent="0.25">
      <c r="A25" s="99" t="s">
        <v>176</v>
      </c>
      <c r="B25" s="49">
        <v>65701623</v>
      </c>
      <c r="C25" s="49">
        <v>21069250</v>
      </c>
      <c r="D25" s="49">
        <v>13069568.372265</v>
      </c>
      <c r="E25" s="50">
        <f>VLOOKUP($A25,'Data shares'!$C:$FA,154)*100</f>
        <v>32.369999999999997</v>
      </c>
      <c r="F25" s="173">
        <f>C25/B25</f>
        <v>0.32068081484075361</v>
      </c>
    </row>
    <row r="26" spans="1:6" x14ac:dyDescent="0.25">
      <c r="A26" s="99" t="s">
        <v>690</v>
      </c>
      <c r="B26" s="49">
        <v>5401993</v>
      </c>
      <c r="C26" s="49">
        <v>361700</v>
      </c>
      <c r="D26" s="49">
        <v>220764.16257700001</v>
      </c>
      <c r="E26" s="50">
        <f>VLOOKUP($A26,'Data shares'!$C:$FA,154)*100</f>
        <v>6.7299999999999995</v>
      </c>
      <c r="F26" s="173">
        <f>C26/B26</f>
        <v>6.6956769473784955E-2</v>
      </c>
    </row>
    <row r="27" spans="1:6" x14ac:dyDescent="0.25">
      <c r="A27" s="99" t="s">
        <v>177</v>
      </c>
      <c r="B27" s="49">
        <v>317526833</v>
      </c>
      <c r="C27" s="49">
        <v>103218750</v>
      </c>
      <c r="D27" s="49">
        <v>76462326.147727504</v>
      </c>
      <c r="E27" s="50"/>
      <c r="F27" s="173">
        <f>C27/B27</f>
        <v>0.32507095235003336</v>
      </c>
    </row>
    <row r="28" spans="1:6" x14ac:dyDescent="0.25">
      <c r="A28" s="99" t="s">
        <v>179</v>
      </c>
      <c r="B28" s="49">
        <v>144289555</v>
      </c>
      <c r="C28" s="49">
        <v>135532800</v>
      </c>
      <c r="D28" s="49">
        <v>82859154.327000007</v>
      </c>
      <c r="E28" s="50">
        <f>VLOOKUP($A28,'Data shares'!$C:$FA,154)*100</f>
        <v>95.320000000000007</v>
      </c>
      <c r="F28" s="173">
        <f>C28/B28</f>
        <v>0.9393112342747193</v>
      </c>
    </row>
    <row r="29" spans="1:6" x14ac:dyDescent="0.25">
      <c r="A29" s="99" t="s">
        <v>180</v>
      </c>
      <c r="B29" s="49">
        <v>279476623</v>
      </c>
      <c r="C29" s="49">
        <v>155735775</v>
      </c>
      <c r="D29" s="49">
        <v>84047122.295019001</v>
      </c>
      <c r="E29" s="50">
        <f>VLOOKUP($A29,'Data shares'!$C:$FA,154)*100</f>
        <v>58.15</v>
      </c>
      <c r="F29" s="173">
        <f>C29/B29</f>
        <v>0.55724079290882234</v>
      </c>
    </row>
    <row r="30" spans="1:6" x14ac:dyDescent="0.25">
      <c r="A30" s="99" t="s">
        <v>602</v>
      </c>
      <c r="B30" s="49">
        <v>181770921</v>
      </c>
      <c r="C30" s="49">
        <v>87630400</v>
      </c>
      <c r="D30" s="49">
        <v>52636336.632724002</v>
      </c>
      <c r="E30" s="50">
        <f>VLOOKUP($A30,'Data shares'!$C:$FA,154)*100</f>
        <v>48.77</v>
      </c>
      <c r="F30" s="173">
        <f>C30/B30</f>
        <v>0.48209251247618423</v>
      </c>
    </row>
    <row r="31" spans="1:6" x14ac:dyDescent="0.25">
      <c r="A31" s="99" t="s">
        <v>670</v>
      </c>
      <c r="B31" s="49">
        <v>13786716</v>
      </c>
      <c r="C31" s="49">
        <v>11211200</v>
      </c>
      <c r="D31" s="49">
        <v>4254337.3214055002</v>
      </c>
      <c r="E31" s="50">
        <f>VLOOKUP($A31,'Data shares'!$C:$FA,154)*100</f>
        <v>82.84</v>
      </c>
      <c r="F31" s="173">
        <f>C31/B31</f>
        <v>0.81318857949928036</v>
      </c>
    </row>
    <row r="32" spans="1:6" x14ac:dyDescent="0.25">
      <c r="A32" s="99" t="s">
        <v>185</v>
      </c>
      <c r="B32" s="49">
        <v>535778534</v>
      </c>
      <c r="C32" s="49">
        <v>175815075</v>
      </c>
      <c r="D32" s="49">
        <v>105415547.82118399</v>
      </c>
      <c r="E32" s="50">
        <f>VLOOKUP($A32,'Data shares'!$C:$FA,154)*100</f>
        <v>33.450000000000003</v>
      </c>
      <c r="F32" s="173">
        <f>C32/B32</f>
        <v>0.3281487850724531</v>
      </c>
    </row>
    <row r="33" spans="1:6" x14ac:dyDescent="0.25">
      <c r="A33" s="99" t="s">
        <v>187</v>
      </c>
      <c r="B33" s="49">
        <v>40107751</v>
      </c>
      <c r="C33" s="49">
        <v>12687000</v>
      </c>
      <c r="D33" s="49">
        <v>7367793.55351</v>
      </c>
      <c r="E33" s="50">
        <f>VLOOKUP($A33,'Data shares'!$C:$FA,154)*100</f>
        <v>32.54</v>
      </c>
      <c r="F33" s="173">
        <f>C33/B33</f>
        <v>0.31632289728735974</v>
      </c>
    </row>
    <row r="34" spans="1:6" x14ac:dyDescent="0.25">
      <c r="A34" s="99" t="s">
        <v>189</v>
      </c>
      <c r="B34" s="49">
        <v>367085962</v>
      </c>
      <c r="C34" s="49">
        <v>80677325</v>
      </c>
      <c r="D34" s="49">
        <v>59250196.442542203</v>
      </c>
      <c r="E34" s="50">
        <f>VLOOKUP($A34,'Data shares'!$C:$FA,154)*100</f>
        <v>22.38</v>
      </c>
      <c r="F34" s="173">
        <f>C34/B34</f>
        <v>0.21977774513752721</v>
      </c>
    </row>
    <row r="35" spans="1:6" x14ac:dyDescent="0.25">
      <c r="A35" s="99" t="s">
        <v>190</v>
      </c>
      <c r="B35" s="49">
        <v>192361942</v>
      </c>
      <c r="C35" s="49">
        <v>180744375</v>
      </c>
      <c r="D35" s="49">
        <v>99766024.811564997</v>
      </c>
      <c r="E35" s="50">
        <f>VLOOKUP($A35,'Data shares'!$C:$FA,154)*100</f>
        <v>97.67</v>
      </c>
      <c r="F35" s="173">
        <f>C35/B35</f>
        <v>0.93960568873857597</v>
      </c>
    </row>
    <row r="36" spans="1:6" x14ac:dyDescent="0.25">
      <c r="A36" s="99" t="s">
        <v>191</v>
      </c>
      <c r="B36" s="49">
        <v>91057772</v>
      </c>
      <c r="C36" s="49">
        <v>61757500</v>
      </c>
      <c r="D36" s="49">
        <v>30528317.646650001</v>
      </c>
      <c r="E36" s="50">
        <f>VLOOKUP($A36,'Data shares'!$C:$FA,154)*100</f>
        <v>69.03</v>
      </c>
      <c r="F36" s="173">
        <f>C36/B36</f>
        <v>0.6782232712656312</v>
      </c>
    </row>
    <row r="37" spans="1:6" x14ac:dyDescent="0.25">
      <c r="A37" s="99" t="s">
        <v>678</v>
      </c>
      <c r="B37" s="49">
        <v>17213286</v>
      </c>
      <c r="C37" s="49">
        <v>4173975</v>
      </c>
      <c r="D37" s="49">
        <v>2381573.5966099999</v>
      </c>
      <c r="E37" s="50">
        <f>VLOOKUP($A37,'Data shares'!$C:$FA,154)*100</f>
        <v>24.709999999999997</v>
      </c>
      <c r="F37" s="173">
        <f>C37/B37</f>
        <v>0.24248565904267202</v>
      </c>
    </row>
    <row r="38" spans="1:6" x14ac:dyDescent="0.25">
      <c r="A38" s="99" t="s">
        <v>192</v>
      </c>
      <c r="B38" s="49">
        <v>882048</v>
      </c>
      <c r="C38" s="49">
        <v>456950</v>
      </c>
      <c r="D38" s="49">
        <v>198689.2194835</v>
      </c>
      <c r="E38" s="50">
        <f>VLOOKUP($A38,'Data shares'!$C:$FA,154)*100</f>
        <v>52.569999999999993</v>
      </c>
      <c r="F38" s="173">
        <f>C38/B38</f>
        <v>0.51805570671890877</v>
      </c>
    </row>
    <row r="39" spans="1:6" x14ac:dyDescent="0.25">
      <c r="A39" s="99" t="s">
        <v>194</v>
      </c>
      <c r="B39" s="49">
        <v>306020745</v>
      </c>
      <c r="C39" s="49">
        <v>68982800</v>
      </c>
      <c r="D39" s="49">
        <v>39410286.820447698</v>
      </c>
      <c r="E39" s="50">
        <f>VLOOKUP($A39,'Data shares'!$C:$FA,154)*100</f>
        <v>23.01</v>
      </c>
      <c r="F39" s="173">
        <f>C39/B39</f>
        <v>0.22541870486590704</v>
      </c>
    </row>
    <row r="40" spans="1:6" x14ac:dyDescent="0.25">
      <c r="A40" s="99" t="s">
        <v>195</v>
      </c>
      <c r="B40" s="49">
        <v>16370935</v>
      </c>
      <c r="C40" s="49">
        <v>4271375</v>
      </c>
      <c r="D40" s="49">
        <v>3349412.1565875001</v>
      </c>
      <c r="E40" s="50">
        <f>VLOOKUP($A40,'Data shares'!$C:$FA,154)*100</f>
        <v>26.369999999999997</v>
      </c>
      <c r="F40" s="173">
        <f>C40/B40</f>
        <v>0.26091209817887617</v>
      </c>
    </row>
    <row r="41" spans="1:6" x14ac:dyDescent="0.25">
      <c r="A41" s="99" t="s">
        <v>584</v>
      </c>
      <c r="B41" s="49">
        <v>61094861</v>
      </c>
      <c r="C41" s="49">
        <v>20424000</v>
      </c>
      <c r="D41" s="49">
        <v>8824000.1622562502</v>
      </c>
      <c r="E41" s="50"/>
      <c r="F41" s="173">
        <f>C41/B41</f>
        <v>0.33429980305544849</v>
      </c>
    </row>
    <row r="42" spans="1:6" x14ac:dyDescent="0.25">
      <c r="A42" s="99" t="s">
        <v>611</v>
      </c>
      <c r="B42" s="49">
        <v>37122288</v>
      </c>
      <c r="C42" s="49">
        <v>12465000</v>
      </c>
      <c r="D42" s="49">
        <v>7226965.0563524999</v>
      </c>
      <c r="E42" s="50">
        <f>VLOOKUP($A42,'Data shares'!$C:$FA,154)*100</f>
        <v>34.1</v>
      </c>
      <c r="F42" s="173">
        <f>C42/B42</f>
        <v>0.33578210480991905</v>
      </c>
    </row>
    <row r="43" spans="1:6" x14ac:dyDescent="0.25">
      <c r="A43" s="99" t="s">
        <v>196</v>
      </c>
      <c r="B43" s="49">
        <v>504315430</v>
      </c>
      <c r="C43" s="49">
        <v>321401250</v>
      </c>
      <c r="D43" s="49">
        <v>157529748.31971699</v>
      </c>
      <c r="E43" s="50">
        <f>VLOOKUP($A43,'Data shares'!$C:$FA,154)*100</f>
        <v>64.94</v>
      </c>
      <c r="F43" s="173">
        <f>C43/B43</f>
        <v>0.63730203535513474</v>
      </c>
    </row>
    <row r="44" spans="1:6" x14ac:dyDescent="0.25">
      <c r="A44" s="99" t="s">
        <v>597</v>
      </c>
      <c r="B44" s="49">
        <v>26647500</v>
      </c>
      <c r="C44" s="49">
        <v>22200550</v>
      </c>
      <c r="D44" s="49">
        <v>9358355.0062889997</v>
      </c>
      <c r="E44" s="50">
        <f>VLOOKUP($A44,'Data shares'!$C:$FA,154)*100</f>
        <v>84.99</v>
      </c>
      <c r="F44" s="173">
        <f>C44/B44</f>
        <v>0.83311942959001783</v>
      </c>
    </row>
    <row r="45" spans="1:6" x14ac:dyDescent="0.25">
      <c r="A45" s="99" t="s">
        <v>612</v>
      </c>
      <c r="B45" s="49">
        <v>103060454</v>
      </c>
      <c r="C45" s="49">
        <v>20178150</v>
      </c>
      <c r="D45" s="49">
        <v>13998160.4696235</v>
      </c>
      <c r="E45" s="50">
        <f>VLOOKUP($A45,'Data shares'!$C:$FA,154)*100</f>
        <v>19.86</v>
      </c>
      <c r="F45" s="173">
        <f>C45/B45</f>
        <v>0.19578945382872076</v>
      </c>
    </row>
    <row r="46" spans="1:6" x14ac:dyDescent="0.25">
      <c r="A46" s="99" t="s">
        <v>198</v>
      </c>
      <c r="B46" s="49">
        <v>63257923</v>
      </c>
      <c r="C46" s="49">
        <v>21541875</v>
      </c>
      <c r="D46" s="49">
        <v>15924549.917637501</v>
      </c>
      <c r="E46" s="50">
        <f>VLOOKUP($A46,'Data shares'!$C:$FA,154)*100</f>
        <v>34.4</v>
      </c>
      <c r="F46" s="173">
        <f>C46/B46</f>
        <v>0.34054034622666951</v>
      </c>
    </row>
    <row r="47" spans="1:6" x14ac:dyDescent="0.25">
      <c r="A47" s="99" t="s">
        <v>199</v>
      </c>
      <c r="B47" s="49">
        <v>59297360</v>
      </c>
      <c r="C47" s="49">
        <v>20932500</v>
      </c>
      <c r="D47" s="49">
        <v>13650599.484270001</v>
      </c>
      <c r="E47" s="50">
        <f>VLOOKUP($A47,'Data shares'!$C:$FA,154)*100</f>
        <v>35.69</v>
      </c>
      <c r="F47" s="173">
        <f>C47/B47</f>
        <v>0.35300897038249257</v>
      </c>
    </row>
    <row r="48" spans="1:6" x14ac:dyDescent="0.25">
      <c r="A48" s="99" t="s">
        <v>200</v>
      </c>
      <c r="B48" s="49">
        <v>278206904</v>
      </c>
      <c r="C48" s="49">
        <v>94986000</v>
      </c>
      <c r="D48" s="49">
        <v>47637334.116971999</v>
      </c>
      <c r="E48" s="50">
        <f>VLOOKUP($A48,'Data shares'!$C:$FA,154)*100</f>
        <v>34.619999999999997</v>
      </c>
      <c r="F48" s="173">
        <f>C48/B48</f>
        <v>0.34142215248547536</v>
      </c>
    </row>
    <row r="49" spans="1:6" x14ac:dyDescent="0.25">
      <c r="A49" s="99" t="s">
        <v>470</v>
      </c>
      <c r="B49" s="49">
        <v>50189409</v>
      </c>
      <c r="C49" s="49">
        <v>41268750</v>
      </c>
      <c r="D49" s="49">
        <v>26697740.777576201</v>
      </c>
      <c r="E49" s="50">
        <f>VLOOKUP($A49,'Data shares'!$C:$FA,154)*100</f>
        <v>86.009999999999991</v>
      </c>
      <c r="F49" s="173">
        <f>C49/B49</f>
        <v>0.82226013061839398</v>
      </c>
    </row>
    <row r="50" spans="1:6" x14ac:dyDescent="0.25">
      <c r="A50" s="99" t="s">
        <v>201</v>
      </c>
      <c r="B50" s="49">
        <v>19546143</v>
      </c>
      <c r="C50" s="49">
        <v>8400600</v>
      </c>
      <c r="D50" s="49">
        <v>5196101.0494522499</v>
      </c>
      <c r="E50" s="50">
        <f>VLOOKUP($A50,'Data shares'!$C:$FA,154)*100</f>
        <v>43.519999999999996</v>
      </c>
      <c r="F50" s="173">
        <f>C50/B50</f>
        <v>0.42978300117828871</v>
      </c>
    </row>
    <row r="51" spans="1:6" x14ac:dyDescent="0.25">
      <c r="A51" s="99" t="s">
        <v>202</v>
      </c>
      <c r="B51" s="49">
        <v>51639257</v>
      </c>
      <c r="C51" s="49">
        <v>46967500</v>
      </c>
      <c r="D51" s="49">
        <v>26780330.144562501</v>
      </c>
      <c r="E51" s="50">
        <f>VLOOKUP($A51,'Data shares'!$C:$FA,154)*100</f>
        <v>91.8</v>
      </c>
      <c r="F51" s="173">
        <f>C51/B51</f>
        <v>0.90953090204221954</v>
      </c>
    </row>
    <row r="52" spans="1:6" x14ac:dyDescent="0.25">
      <c r="A52" s="99" t="s">
        <v>523</v>
      </c>
      <c r="B52" s="49">
        <v>96587231</v>
      </c>
      <c r="C52" s="49">
        <v>61311600</v>
      </c>
      <c r="D52" s="49">
        <v>45321467.260715999</v>
      </c>
      <c r="E52" s="50"/>
      <c r="F52" s="173">
        <f>C52/B52</f>
        <v>0.634779560043501</v>
      </c>
    </row>
    <row r="53" spans="1:6" x14ac:dyDescent="0.25">
      <c r="A53" s="99" t="s">
        <v>203</v>
      </c>
      <c r="B53" s="49">
        <v>19131188</v>
      </c>
      <c r="C53" s="49">
        <v>4605000</v>
      </c>
      <c r="D53" s="49">
        <v>3299450.8245979999</v>
      </c>
      <c r="E53" s="50">
        <f>VLOOKUP($A53,'Data shares'!$C:$FA,154)*100</f>
        <v>24.490000000000002</v>
      </c>
      <c r="F53" s="173">
        <f>C53/B53</f>
        <v>0.24070643182221615</v>
      </c>
    </row>
    <row r="54" spans="1:6" x14ac:dyDescent="0.25">
      <c r="A54" s="99" t="s">
        <v>204</v>
      </c>
      <c r="B54" s="49">
        <v>89873278</v>
      </c>
      <c r="C54" s="49">
        <v>37965000</v>
      </c>
      <c r="D54" s="49">
        <v>24760046.092124999</v>
      </c>
      <c r="E54" s="50">
        <f>VLOOKUP($A54,'Data shares'!$C:$FA,154)*100</f>
        <v>42.77</v>
      </c>
      <c r="F54" s="173">
        <f>C54/B54</f>
        <v>0.42242812151571907</v>
      </c>
    </row>
    <row r="55" spans="1:6" x14ac:dyDescent="0.25">
      <c r="A55" s="99" t="s">
        <v>524</v>
      </c>
      <c r="B55" s="49">
        <v>12425041</v>
      </c>
      <c r="C55" s="49">
        <v>3935425</v>
      </c>
      <c r="D55" s="49">
        <v>2088972.1227082501</v>
      </c>
      <c r="E55" s="50">
        <f>VLOOKUP($A55,'Data shares'!$C:$FA,154)*100</f>
        <v>32.07</v>
      </c>
      <c r="F55" s="173">
        <f>C55/B55</f>
        <v>0.31673336128226859</v>
      </c>
    </row>
    <row r="56" spans="1:6" x14ac:dyDescent="0.25">
      <c r="A56" s="99" t="s">
        <v>600</v>
      </c>
      <c r="B56" s="49">
        <v>112112283</v>
      </c>
      <c r="C56" s="49">
        <v>32280775</v>
      </c>
      <c r="D56" s="49">
        <v>22971351.2876372</v>
      </c>
      <c r="E56" s="50"/>
      <c r="F56" s="173">
        <f>C56/B56</f>
        <v>0.28793254526803275</v>
      </c>
    </row>
    <row r="57" spans="1:6" x14ac:dyDescent="0.25">
      <c r="A57" s="99" t="s">
        <v>205</v>
      </c>
      <c r="B57" s="49">
        <v>14898112</v>
      </c>
      <c r="C57" s="49">
        <v>3804700</v>
      </c>
      <c r="D57" s="49">
        <v>2613299.1038060002</v>
      </c>
      <c r="E57" s="50">
        <f>VLOOKUP($A57,'Data shares'!$C:$FA,154)*100</f>
        <v>25.72</v>
      </c>
      <c r="F57" s="173">
        <f>C57/B57</f>
        <v>0.25538135301976517</v>
      </c>
    </row>
    <row r="58" spans="1:6" x14ac:dyDescent="0.25">
      <c r="A58" s="99" t="s">
        <v>512</v>
      </c>
      <c r="B58" s="49">
        <v>6452220</v>
      </c>
      <c r="C58" s="49">
        <v>5431600</v>
      </c>
      <c r="D58" s="49">
        <v>2269296.9177974998</v>
      </c>
      <c r="E58" s="50"/>
      <c r="F58" s="173">
        <f>C58/B58</f>
        <v>0.8418187848523454</v>
      </c>
    </row>
    <row r="59" spans="1:6" x14ac:dyDescent="0.25">
      <c r="A59" s="99" t="s">
        <v>207</v>
      </c>
      <c r="B59" s="49">
        <v>96058266</v>
      </c>
      <c r="C59" s="49">
        <v>75234225</v>
      </c>
      <c r="D59" s="49">
        <v>54259164.073124997</v>
      </c>
      <c r="E59" s="50">
        <f>VLOOKUP($A59,'Data shares'!$C:$FA,154)*100</f>
        <v>79.16</v>
      </c>
      <c r="F59" s="173">
        <f>C59/B59</f>
        <v>0.78321448151062811</v>
      </c>
    </row>
    <row r="60" spans="1:6" x14ac:dyDescent="0.25">
      <c r="A60" s="99" t="s">
        <v>583</v>
      </c>
      <c r="B60" s="49">
        <v>18750186</v>
      </c>
      <c r="C60" s="49">
        <v>7178700</v>
      </c>
      <c r="D60" s="49">
        <v>4293441.7853685003</v>
      </c>
      <c r="E60" s="50">
        <f>VLOOKUP($A60,'Data shares'!$C:$FA,154)*100</f>
        <v>38.869999999999997</v>
      </c>
      <c r="F60" s="173">
        <f>C60/B60</f>
        <v>0.38286020202679588</v>
      </c>
    </row>
    <row r="61" spans="1:6" x14ac:dyDescent="0.25">
      <c r="A61" s="99" t="s">
        <v>208</v>
      </c>
      <c r="B61" s="49">
        <v>91531454</v>
      </c>
      <c r="C61" s="49">
        <v>23116875</v>
      </c>
      <c r="D61" s="49">
        <v>16220326.8888375</v>
      </c>
      <c r="E61" s="50">
        <f>VLOOKUP($A61,'Data shares'!$C:$FA,154)*100</f>
        <v>25.6</v>
      </c>
      <c r="F61" s="173">
        <f>C61/B61</f>
        <v>0.2525566238683371</v>
      </c>
    </row>
    <row r="62" spans="1:6" x14ac:dyDescent="0.25">
      <c r="A62" s="99" t="s">
        <v>209</v>
      </c>
      <c r="B62" s="49">
        <v>19199175</v>
      </c>
      <c r="C62" s="49">
        <v>5840400</v>
      </c>
      <c r="D62" s="49">
        <v>3056638.0720409998</v>
      </c>
      <c r="E62" s="50">
        <f>VLOOKUP($A62,'Data shares'!$C:$FA,154)*100</f>
        <v>30.8</v>
      </c>
      <c r="F62" s="173">
        <f>C62/B62</f>
        <v>0.30420057111829024</v>
      </c>
    </row>
    <row r="63" spans="1:6" x14ac:dyDescent="0.25">
      <c r="A63" s="99" t="s">
        <v>666</v>
      </c>
      <c r="B63" s="49">
        <v>1251309857</v>
      </c>
      <c r="C63" s="49">
        <v>441859250</v>
      </c>
      <c r="D63" s="49">
        <v>263108633.231163</v>
      </c>
      <c r="E63" s="50">
        <f>VLOOKUP($A63,'Data shares'!$C:$FA,154)*100</f>
        <v>36.58</v>
      </c>
      <c r="F63" s="173">
        <f>C63/B63</f>
        <v>0.35311737338931554</v>
      </c>
    </row>
    <row r="64" spans="1:6" x14ac:dyDescent="0.25">
      <c r="A64" s="99" t="s">
        <v>211</v>
      </c>
      <c r="B64" s="49">
        <v>68856800</v>
      </c>
      <c r="C64" s="49">
        <v>47773800</v>
      </c>
      <c r="D64" s="49">
        <v>21967082.229006</v>
      </c>
      <c r="E64" s="50">
        <f>VLOOKUP($A64,'Data shares'!$C:$FA,154)*100</f>
        <v>70.309999999999988</v>
      </c>
      <c r="F64" s="173">
        <f>C64/B64</f>
        <v>0.69381382811864623</v>
      </c>
    </row>
    <row r="65" spans="1:6" x14ac:dyDescent="0.25">
      <c r="A65" s="99" t="s">
        <v>212</v>
      </c>
      <c r="B65" s="49">
        <v>320636733</v>
      </c>
      <c r="C65" s="49">
        <v>121370000</v>
      </c>
      <c r="D65" s="49">
        <v>62185275.780149996</v>
      </c>
      <c r="E65" s="50">
        <f>VLOOKUP($A65,'Data shares'!$C:$FA,154)*100</f>
        <v>39.06</v>
      </c>
      <c r="F65" s="173">
        <f>C65/B65</f>
        <v>0.37852805841806031</v>
      </c>
    </row>
    <row r="66" spans="1:6" x14ac:dyDescent="0.25">
      <c r="A66" s="99" t="s">
        <v>676</v>
      </c>
      <c r="B66" s="49">
        <v>77949604</v>
      </c>
      <c r="C66" s="49">
        <v>16490450</v>
      </c>
      <c r="D66" s="49">
        <v>11406190.718666</v>
      </c>
      <c r="E66" s="50">
        <f>VLOOKUP($A66,'Data shares'!$C:$FA,154)*100</f>
        <v>21.349999999999998</v>
      </c>
      <c r="F66" s="173">
        <f>C66/B66</f>
        <v>0.21155271038965123</v>
      </c>
    </row>
    <row r="67" spans="1:6" x14ac:dyDescent="0.25">
      <c r="A67" s="99" t="s">
        <v>213</v>
      </c>
      <c r="B67" s="49">
        <v>435694919</v>
      </c>
      <c r="C67" s="49">
        <v>168339150</v>
      </c>
      <c r="D67" s="49">
        <v>95188132.488046497</v>
      </c>
      <c r="E67" s="50">
        <f>VLOOKUP($A67,'Data shares'!$C:$FA,154)*100</f>
        <v>38.940000000000005</v>
      </c>
      <c r="F67" s="173">
        <f>C67/B67</f>
        <v>0.38636932096056875</v>
      </c>
    </row>
    <row r="68" spans="1:6" x14ac:dyDescent="0.25">
      <c r="A68" s="99" t="s">
        <v>214</v>
      </c>
      <c r="B68" s="49">
        <v>22585180</v>
      </c>
      <c r="C68" s="49">
        <v>13819125</v>
      </c>
      <c r="D68" s="49">
        <v>10967932.579353699</v>
      </c>
      <c r="E68" s="50">
        <f>VLOOKUP($A68,'Data shares'!$C:$FA,154)*100</f>
        <v>61.38</v>
      </c>
      <c r="F68" s="173">
        <f>C68/B68</f>
        <v>0.61186694106489303</v>
      </c>
    </row>
    <row r="69" spans="1:6" x14ac:dyDescent="0.25">
      <c r="A69" s="99" t="s">
        <v>631</v>
      </c>
      <c r="B69" s="49">
        <v>534704421</v>
      </c>
      <c r="C69" s="49">
        <v>232344225</v>
      </c>
      <c r="D69" s="49">
        <v>134655024.08916599</v>
      </c>
      <c r="E69" s="50">
        <f>VLOOKUP($A69,'Data shares'!$C:$FA,154)*100</f>
        <v>43.919999999999995</v>
      </c>
      <c r="F69" s="173">
        <f>C69/B69</f>
        <v>0.43452834103273669</v>
      </c>
    </row>
    <row r="70" spans="1:6" x14ac:dyDescent="0.25">
      <c r="A70" s="99" t="s">
        <v>217</v>
      </c>
      <c r="B70" s="49">
        <v>72031016</v>
      </c>
      <c r="C70" s="49">
        <v>10673000</v>
      </c>
      <c r="D70" s="49">
        <v>8486898.8830949999</v>
      </c>
      <c r="E70" s="50">
        <f>VLOOKUP($A70,'Data shares'!$C:$FA,154)*100</f>
        <v>14.95</v>
      </c>
      <c r="F70" s="173">
        <f>C70/B70</f>
        <v>0.14817228178483557</v>
      </c>
    </row>
    <row r="71" spans="1:6" x14ac:dyDescent="0.25">
      <c r="A71" s="99" t="s">
        <v>218</v>
      </c>
      <c r="B71" s="49">
        <v>17263909</v>
      </c>
      <c r="C71" s="49">
        <v>11987250</v>
      </c>
      <c r="D71" s="49">
        <v>7688284.9873197498</v>
      </c>
      <c r="E71" s="50">
        <f>VLOOKUP($A71,'Data shares'!$C:$FA,154)*100</f>
        <v>69.95</v>
      </c>
      <c r="F71" s="173">
        <f>C71/B71</f>
        <v>0.69435317343250591</v>
      </c>
    </row>
    <row r="72" spans="1:6" x14ac:dyDescent="0.25">
      <c r="A72" s="99" t="s">
        <v>219</v>
      </c>
      <c r="B72" s="49">
        <v>38505832</v>
      </c>
      <c r="C72" s="49">
        <v>19108000</v>
      </c>
      <c r="D72" s="49">
        <v>14348776.5490625</v>
      </c>
      <c r="E72" s="50">
        <f>VLOOKUP($A72,'Data shares'!$C:$FA,154)*100</f>
        <v>49.9</v>
      </c>
      <c r="F72" s="173">
        <f>C72/B72</f>
        <v>0.49623651814613434</v>
      </c>
    </row>
    <row r="73" spans="1:6" x14ac:dyDescent="0.25">
      <c r="A73" s="99" t="s">
        <v>513</v>
      </c>
      <c r="B73" s="49">
        <v>28450886</v>
      </c>
      <c r="C73" s="49">
        <v>19732950</v>
      </c>
      <c r="D73" s="49">
        <v>9683400.6175679993</v>
      </c>
      <c r="E73" s="50">
        <f>VLOOKUP($A73,'Data shares'!$C:$FA,154)*100</f>
        <v>70.45</v>
      </c>
      <c r="F73" s="173">
        <f>C73/B73</f>
        <v>0.6935794547839389</v>
      </c>
    </row>
    <row r="74" spans="1:6" x14ac:dyDescent="0.25">
      <c r="A74" s="99" t="s">
        <v>220</v>
      </c>
      <c r="B74" s="49">
        <v>35667502</v>
      </c>
      <c r="C74" s="49">
        <v>14607000</v>
      </c>
      <c r="D74" s="49">
        <v>9872891.2251800001</v>
      </c>
      <c r="E74" s="50">
        <f>VLOOKUP($A74,'Data shares'!$C:$FA,154)*100</f>
        <v>41.18</v>
      </c>
      <c r="F74" s="173">
        <f>C74/B74</f>
        <v>0.40953246459480119</v>
      </c>
    </row>
    <row r="75" spans="1:6" x14ac:dyDescent="0.25">
      <c r="A75" s="99" t="s">
        <v>222</v>
      </c>
      <c r="B75" s="49">
        <v>106857976</v>
      </c>
      <c r="C75" s="49">
        <v>36117550</v>
      </c>
      <c r="D75" s="49">
        <v>26009538.680103999</v>
      </c>
      <c r="E75" s="50">
        <f>VLOOKUP($A75,'Data shares'!$C:$FA,154)*100</f>
        <v>34.050000000000004</v>
      </c>
      <c r="F75" s="173">
        <f>C75/B75</f>
        <v>0.33799582728387068</v>
      </c>
    </row>
    <row r="76" spans="1:6" x14ac:dyDescent="0.25">
      <c r="A76" s="99" t="s">
        <v>475</v>
      </c>
      <c r="B76" s="49">
        <v>30592324</v>
      </c>
      <c r="C76" s="49">
        <v>6894000</v>
      </c>
      <c r="D76" s="49">
        <v>5158226.7643830003</v>
      </c>
      <c r="E76" s="50">
        <f>VLOOKUP($A76,'Data shares'!$C:$FA,154)*100</f>
        <v>22.85</v>
      </c>
      <c r="F76" s="173">
        <f>C76/B76</f>
        <v>0.22535064678316039</v>
      </c>
    </row>
    <row r="77" spans="1:6" x14ac:dyDescent="0.25">
      <c r="A77" s="99" t="s">
        <v>224</v>
      </c>
      <c r="B77" s="49">
        <v>1330694977</v>
      </c>
      <c r="C77" s="49">
        <v>410984750</v>
      </c>
      <c r="D77" s="49">
        <v>305922593.68281001</v>
      </c>
      <c r="E77" s="50">
        <f>VLOOKUP($A77,'Data shares'!$C:$FA,154)*100</f>
        <v>31.180000000000003</v>
      </c>
      <c r="F77" s="173">
        <f>C77/B77</f>
        <v>0.30884970417980318</v>
      </c>
    </row>
    <row r="78" spans="1:6" x14ac:dyDescent="0.25">
      <c r="A78" s="99" t="s">
        <v>225</v>
      </c>
      <c r="B78" s="49">
        <v>128849634</v>
      </c>
      <c r="C78" s="49">
        <v>52844000</v>
      </c>
      <c r="D78" s="49">
        <v>36335415.211579002</v>
      </c>
      <c r="E78" s="50">
        <f>VLOOKUP($A78,'Data shares'!$C:$FA,154)*100</f>
        <v>41.660000000000004</v>
      </c>
      <c r="F78" s="173">
        <f>C78/B78</f>
        <v>0.41012145987158954</v>
      </c>
    </row>
    <row r="79" spans="1:6" x14ac:dyDescent="0.25">
      <c r="A79" s="99" t="s">
        <v>226</v>
      </c>
      <c r="B79" s="49">
        <v>19586951</v>
      </c>
      <c r="C79" s="49">
        <v>5864250</v>
      </c>
      <c r="D79" s="49">
        <v>3284615.7995730001</v>
      </c>
      <c r="E79" s="50">
        <f>VLOOKUP($A79,'Data shares'!$C:$FA,154)*100</f>
        <v>30.930000000000003</v>
      </c>
      <c r="F79" s="173">
        <f>C79/B79</f>
        <v>0.29939575587849276</v>
      </c>
    </row>
    <row r="80" spans="1:6" x14ac:dyDescent="0.25">
      <c r="A80" s="99" t="s">
        <v>228</v>
      </c>
      <c r="B80" s="49">
        <v>212176873</v>
      </c>
      <c r="C80" s="49">
        <v>59776500</v>
      </c>
      <c r="D80" s="49">
        <v>38259182.335800998</v>
      </c>
      <c r="E80" s="50">
        <f>VLOOKUP($A80,'Data shares'!$C:$FA,154)*100</f>
        <v>29.69</v>
      </c>
      <c r="F80" s="173">
        <f>C80/B80</f>
        <v>0.28172957379761177</v>
      </c>
    </row>
    <row r="81" spans="1:6" x14ac:dyDescent="0.25">
      <c r="A81" s="99" t="s">
        <v>229</v>
      </c>
      <c r="B81" s="49">
        <v>143933168</v>
      </c>
      <c r="C81" s="49">
        <v>69244875</v>
      </c>
      <c r="D81" s="49">
        <v>43521762.286136203</v>
      </c>
      <c r="E81" s="50">
        <f>VLOOKUP($A81,'Data shares'!$C:$FA,154)*100</f>
        <v>49.26</v>
      </c>
      <c r="F81" s="173">
        <f>C81/B81</f>
        <v>0.48109046693115237</v>
      </c>
    </row>
    <row r="82" spans="1:6" x14ac:dyDescent="0.25">
      <c r="A82" s="99" t="s">
        <v>230</v>
      </c>
      <c r="B82" s="49">
        <v>91001773</v>
      </c>
      <c r="C82" s="49">
        <v>23269200</v>
      </c>
      <c r="D82" s="49">
        <v>15847649.639937</v>
      </c>
      <c r="E82" s="50">
        <f>VLOOKUP($A82,'Data shares'!$C:$FA,154)*100</f>
        <v>25.91</v>
      </c>
      <c r="F82" s="173">
        <f>C82/B82</f>
        <v>0.25570051256034321</v>
      </c>
    </row>
    <row r="83" spans="1:6" x14ac:dyDescent="0.25">
      <c r="A83" s="99" t="s">
        <v>667</v>
      </c>
      <c r="B83" s="49">
        <v>161247058</v>
      </c>
      <c r="C83" s="49">
        <v>76267275</v>
      </c>
      <c r="D83" s="49">
        <v>32131541.974481199</v>
      </c>
      <c r="E83" s="50">
        <f>VLOOKUP($A83,'Data shares'!$C:$FA,154)*100</f>
        <v>48.52</v>
      </c>
      <c r="F83" s="173">
        <f>C83/B83</f>
        <v>0.4729839784115627</v>
      </c>
    </row>
    <row r="84" spans="1:6" x14ac:dyDescent="0.25">
      <c r="A84" s="99" t="s">
        <v>608</v>
      </c>
      <c r="B84" s="49">
        <v>75071250</v>
      </c>
      <c r="C84" s="49">
        <v>71755950</v>
      </c>
      <c r="D84" s="49">
        <v>36329394.8151187</v>
      </c>
      <c r="E84" s="50">
        <f>VLOOKUP($A84,'Data shares'!$C:$FA,154)*100</f>
        <v>97.009999999999991</v>
      </c>
      <c r="F84" s="173">
        <f>C84/B84</f>
        <v>0.95583795394375348</v>
      </c>
    </row>
    <row r="85" spans="1:6" x14ac:dyDescent="0.25">
      <c r="A85" s="99" t="s">
        <v>232</v>
      </c>
      <c r="B85" s="49">
        <v>580601807</v>
      </c>
      <c r="C85" s="49">
        <v>153688500</v>
      </c>
      <c r="D85" s="49">
        <v>116652589.494175</v>
      </c>
      <c r="E85" s="50">
        <f>VLOOKUP($A85,'Data shares'!$C:$FA,154)*100</f>
        <v>26.729999999999997</v>
      </c>
      <c r="F85" s="173">
        <f>C85/B85</f>
        <v>0.264705514428411</v>
      </c>
    </row>
    <row r="86" spans="1:6" x14ac:dyDescent="0.25">
      <c r="A86" s="99" t="s">
        <v>472</v>
      </c>
      <c r="B86" s="49">
        <v>28747897</v>
      </c>
      <c r="C86" s="49">
        <v>6073600</v>
      </c>
      <c r="D86" s="49">
        <v>4689043.7391947499</v>
      </c>
      <c r="E86" s="50">
        <f>VLOOKUP($A86,'Data shares'!$C:$FA,154)*100</f>
        <v>21.3</v>
      </c>
      <c r="F86" s="173">
        <f>C86/B86</f>
        <v>0.21127110619604628</v>
      </c>
    </row>
    <row r="87" spans="1:6" x14ac:dyDescent="0.25">
      <c r="A87" s="99" t="s">
        <v>233</v>
      </c>
      <c r="B87" s="49">
        <v>58746582</v>
      </c>
      <c r="C87" s="49">
        <v>23633750</v>
      </c>
      <c r="D87" s="49">
        <v>19266330.8792542</v>
      </c>
      <c r="E87" s="50">
        <f>VLOOKUP($A87,'Data shares'!$C:$FA,154)*100</f>
        <v>40.479999999999997</v>
      </c>
      <c r="F87" s="173">
        <f>C87/B87</f>
        <v>0.40230000104516717</v>
      </c>
    </row>
    <row r="88" spans="1:6" x14ac:dyDescent="0.25">
      <c r="A88" s="99" t="s">
        <v>234</v>
      </c>
      <c r="B88" s="49">
        <v>12037179660</v>
      </c>
      <c r="C88" s="49">
        <v>9675713700</v>
      </c>
      <c r="D88" s="49">
        <v>6361474040.7174196</v>
      </c>
      <c r="E88" s="50">
        <f>VLOOKUP($A88,'Data shares'!$C:$FA,154)*100</f>
        <v>81.430000000000007</v>
      </c>
      <c r="F88" s="173">
        <f>C88/B88</f>
        <v>0.80381899857761197</v>
      </c>
    </row>
    <row r="89" spans="1:6" x14ac:dyDescent="0.25">
      <c r="A89" s="99" t="s">
        <v>235</v>
      </c>
      <c r="B89" s="49">
        <v>936861183</v>
      </c>
      <c r="C89" s="49">
        <v>982639875</v>
      </c>
      <c r="D89" s="49">
        <v>441094770.89737302</v>
      </c>
      <c r="E89" s="50">
        <f>VLOOKUP($A89,'Data shares'!$C:$FA,154)*100</f>
        <v>106.80000000000001</v>
      </c>
      <c r="F89" s="173">
        <f>C89/B89</f>
        <v>1.0488639008966176</v>
      </c>
    </row>
    <row r="90" spans="1:6" x14ac:dyDescent="0.25">
      <c r="A90" s="99" t="s">
        <v>514</v>
      </c>
      <c r="B90" s="49">
        <v>133395043</v>
      </c>
      <c r="C90" s="49">
        <v>131793750</v>
      </c>
      <c r="D90" s="49">
        <v>62627720.634412497</v>
      </c>
      <c r="E90" s="50">
        <f>VLOOKUP($A90,'Data shares'!$C:$FA,154)*100</f>
        <v>100</v>
      </c>
      <c r="F90" s="173">
        <f>C90/B90</f>
        <v>0.98799585828687797</v>
      </c>
    </row>
    <row r="91" spans="1:6" x14ac:dyDescent="0.25">
      <c r="A91" s="99" t="s">
        <v>501</v>
      </c>
      <c r="B91" s="49">
        <v>132129624</v>
      </c>
      <c r="C91" s="49">
        <v>35482000</v>
      </c>
      <c r="D91" s="49">
        <v>21371615.837839998</v>
      </c>
      <c r="E91" s="50">
        <f>VLOOKUP($A91,'Data shares'!$C:$FA,154)*100</f>
        <v>27.13</v>
      </c>
      <c r="F91" s="173">
        <f>C91/B91</f>
        <v>0.26853932468618846</v>
      </c>
    </row>
    <row r="92" spans="1:6" x14ac:dyDescent="0.25">
      <c r="A92" s="99" t="s">
        <v>578</v>
      </c>
      <c r="B92" s="49">
        <v>52862157</v>
      </c>
      <c r="C92" s="49">
        <v>14244000</v>
      </c>
      <c r="D92" s="49">
        <v>7312160.3789600004</v>
      </c>
      <c r="E92" s="50">
        <f>VLOOKUP($A92,'Data shares'!$C:$FA,154)*100</f>
        <v>27.3</v>
      </c>
      <c r="F92" s="173">
        <f>C92/B92</f>
        <v>0.26945551994785227</v>
      </c>
    </row>
    <row r="93" spans="1:6" x14ac:dyDescent="0.25">
      <c r="A93" s="99" t="s">
        <v>238</v>
      </c>
      <c r="B93" s="49">
        <v>33874835</v>
      </c>
      <c r="C93" s="49">
        <v>17944200</v>
      </c>
      <c r="D93" s="49">
        <v>8766613.3677015007</v>
      </c>
      <c r="E93" s="50">
        <f>VLOOKUP($A93,'Data shares'!$C:$FA,154)*100</f>
        <v>53.99</v>
      </c>
      <c r="F93" s="173">
        <f>C93/B93</f>
        <v>0.52972066137001106</v>
      </c>
    </row>
    <row r="94" spans="1:6" x14ac:dyDescent="0.25">
      <c r="A94" s="99" t="s">
        <v>239</v>
      </c>
      <c r="B94" s="49">
        <v>93808799</v>
      </c>
      <c r="C94" s="49">
        <v>46042500</v>
      </c>
      <c r="D94" s="49">
        <v>33026958.366801001</v>
      </c>
      <c r="E94" s="50">
        <f>VLOOKUP($A94,'Data shares'!$C:$FA,154)*100</f>
        <v>49.34</v>
      </c>
      <c r="F94" s="173">
        <f>C94/B94</f>
        <v>0.49081216784365822</v>
      </c>
    </row>
    <row r="95" spans="1:6" x14ac:dyDescent="0.25">
      <c r="A95" s="99" t="s">
        <v>473</v>
      </c>
      <c r="B95" s="49">
        <v>193623116</v>
      </c>
      <c r="C95" s="49">
        <v>88235100</v>
      </c>
      <c r="D95" s="49">
        <v>61527626.106283002</v>
      </c>
      <c r="E95" s="50">
        <f>VLOOKUP($A95,'Data shares'!$C:$FA,154)*100</f>
        <v>45.83</v>
      </c>
      <c r="F95" s="173">
        <f>C95/B95</f>
        <v>0.45570540244791846</v>
      </c>
    </row>
    <row r="96" spans="1:6" x14ac:dyDescent="0.25">
      <c r="A96" s="99" t="s">
        <v>240</v>
      </c>
      <c r="B96" s="49">
        <v>368703409</v>
      </c>
      <c r="C96" s="49">
        <v>134600800</v>
      </c>
      <c r="D96" s="49">
        <v>80221743.192668006</v>
      </c>
      <c r="E96" s="50">
        <f>VLOOKUP($A96,'Data shares'!$C:$FA,154)*100</f>
        <v>37.619999999999997</v>
      </c>
      <c r="F96" s="173">
        <f>C96/B96</f>
        <v>0.36506524408077823</v>
      </c>
    </row>
    <row r="97" spans="1:6" x14ac:dyDescent="0.25">
      <c r="A97" s="99" t="s">
        <v>668</v>
      </c>
      <c r="B97" s="49">
        <v>144708707</v>
      </c>
      <c r="C97" s="49">
        <v>157310725</v>
      </c>
      <c r="D97" s="49">
        <v>86208174.991903201</v>
      </c>
      <c r="E97" s="50">
        <f>VLOOKUP($A97,'Data shares'!$C:$FA,154)*100</f>
        <v>110.00000000000001</v>
      </c>
      <c r="F97" s="173">
        <f>C97/B97</f>
        <v>1.0870854163599153</v>
      </c>
    </row>
    <row r="98" spans="1:6" x14ac:dyDescent="0.25">
      <c r="A98" s="99" t="s">
        <v>241</v>
      </c>
      <c r="B98" s="49">
        <v>684903861</v>
      </c>
      <c r="C98" s="49">
        <v>186585750</v>
      </c>
      <c r="D98" s="49">
        <v>95848495.704779997</v>
      </c>
      <c r="E98" s="50">
        <f>VLOOKUP($A98,'Data shares'!$C:$FA,154)*100</f>
        <v>27.68</v>
      </c>
      <c r="F98" s="173">
        <f>C98/B98</f>
        <v>0.2724261909219986</v>
      </c>
    </row>
    <row r="99" spans="1:6" x14ac:dyDescent="0.25">
      <c r="A99" s="99" t="s">
        <v>664</v>
      </c>
      <c r="B99" s="49">
        <v>119011160</v>
      </c>
      <c r="C99" s="49">
        <v>112052550</v>
      </c>
      <c r="D99" s="49">
        <v>49711528.963465497</v>
      </c>
      <c r="E99" s="50">
        <f>VLOOKUP($A99,'Data shares'!$C:$FA,154)*100</f>
        <v>95.740000000000009</v>
      </c>
      <c r="F99" s="173">
        <f>C99/B99</f>
        <v>0.94152976914097808</v>
      </c>
    </row>
    <row r="100" spans="1:6" x14ac:dyDescent="0.25">
      <c r="A100" s="99" t="s">
        <v>592</v>
      </c>
      <c r="B100" s="49">
        <v>200960551</v>
      </c>
      <c r="C100" s="49">
        <v>192950000</v>
      </c>
      <c r="D100" s="49">
        <v>62600543.230810001</v>
      </c>
      <c r="E100" s="50">
        <f>VLOOKUP($A100,'Data shares'!$C:$FA,154)*100</f>
        <v>97.28</v>
      </c>
      <c r="F100" s="173">
        <f>C100/B100</f>
        <v>0.96013868911018263</v>
      </c>
    </row>
    <row r="101" spans="1:6" x14ac:dyDescent="0.25">
      <c r="A101" s="99" t="s">
        <v>242</v>
      </c>
      <c r="B101" s="49">
        <v>1252401670</v>
      </c>
      <c r="C101" s="49">
        <v>323664000</v>
      </c>
      <c r="D101" s="49">
        <v>166018390.75884801</v>
      </c>
      <c r="E101" s="50"/>
      <c r="F101" s="173">
        <f>C101/B101</f>
        <v>0.25843466018374123</v>
      </c>
    </row>
    <row r="102" spans="1:6" x14ac:dyDescent="0.25">
      <c r="A102" s="99" t="s">
        <v>243</v>
      </c>
      <c r="B102" s="49">
        <v>48257090</v>
      </c>
      <c r="C102" s="49">
        <v>15974375</v>
      </c>
      <c r="D102" s="49">
        <v>10013267.742768699</v>
      </c>
      <c r="E102" s="50">
        <f>VLOOKUP($A102,'Data shares'!$C:$FA,154)*100</f>
        <v>33.58</v>
      </c>
      <c r="F102" s="173">
        <f>C102/B102</f>
        <v>0.33102648750680991</v>
      </c>
    </row>
    <row r="103" spans="1:6" x14ac:dyDescent="0.25">
      <c r="A103" s="99" t="s">
        <v>570</v>
      </c>
      <c r="B103" s="49">
        <v>355358091</v>
      </c>
      <c r="C103" s="49">
        <v>250622800</v>
      </c>
      <c r="D103" s="49">
        <v>162287740.65570301</v>
      </c>
      <c r="E103" s="50">
        <f>VLOOKUP($A103,'Data shares'!$C:$FA,154)*100</f>
        <v>71.61</v>
      </c>
      <c r="F103" s="173">
        <f>C103/B103</f>
        <v>0.70526830919969119</v>
      </c>
    </row>
    <row r="104" spans="1:6" x14ac:dyDescent="0.25">
      <c r="A104" s="99" t="s">
        <v>580</v>
      </c>
      <c r="B104" s="49">
        <v>80385888</v>
      </c>
      <c r="C104" s="49">
        <v>38993000</v>
      </c>
      <c r="D104" s="49">
        <v>28465569.37878</v>
      </c>
      <c r="E104" s="50">
        <f>VLOOKUP($A104,'Data shares'!$C:$FA,154)*100</f>
        <v>48.730000000000004</v>
      </c>
      <c r="F104" s="173">
        <f>C104/B104</f>
        <v>0.48507270330832197</v>
      </c>
    </row>
    <row r="105" spans="1:6" x14ac:dyDescent="0.25">
      <c r="A105" s="99" t="s">
        <v>244</v>
      </c>
      <c r="B105" s="49">
        <v>133434355</v>
      </c>
      <c r="C105" s="49">
        <v>62382150</v>
      </c>
      <c r="D105" s="49">
        <v>51784100.4740422</v>
      </c>
      <c r="E105" s="50">
        <f>VLOOKUP($A105,'Data shares'!$C:$FA,154)*100</f>
        <v>47.06</v>
      </c>
      <c r="F105" s="173">
        <f>C105/B105</f>
        <v>0.46751190875843029</v>
      </c>
    </row>
    <row r="106" spans="1:6" x14ac:dyDescent="0.25">
      <c r="A106" s="99" t="s">
        <v>245</v>
      </c>
      <c r="B106" s="49">
        <v>58761693</v>
      </c>
      <c r="C106" s="49">
        <v>39505000</v>
      </c>
      <c r="D106" s="49">
        <v>25330313.072175</v>
      </c>
      <c r="E106" s="50">
        <f>VLOOKUP($A106,'Data shares'!$C:$FA,154)*100</f>
        <v>67.63</v>
      </c>
      <c r="F106" s="173">
        <f>C106/B106</f>
        <v>0.67229172583574137</v>
      </c>
    </row>
    <row r="107" spans="1:6" x14ac:dyDescent="0.25">
      <c r="A107" s="99" t="s">
        <v>582</v>
      </c>
      <c r="B107" s="49">
        <v>57654984</v>
      </c>
      <c r="C107" s="49">
        <v>37543600</v>
      </c>
      <c r="D107" s="49">
        <v>21429254.626224</v>
      </c>
      <c r="E107" s="50">
        <f>VLOOKUP($A107,'Data shares'!$C:$FA,154)*100</f>
        <v>65.63</v>
      </c>
      <c r="F107" s="173">
        <f>C107/B107</f>
        <v>0.65117700839185044</v>
      </c>
    </row>
    <row r="108" spans="1:6" x14ac:dyDescent="0.25">
      <c r="A108" s="99" t="s">
        <v>675</v>
      </c>
      <c r="B108" s="49">
        <v>4679418</v>
      </c>
      <c r="C108" s="49">
        <v>6402500</v>
      </c>
      <c r="D108" s="49">
        <v>3387021.9426190001</v>
      </c>
      <c r="E108" s="50">
        <f>VLOOKUP($A108,'Data shares'!$C:$FA,154)*100</f>
        <v>138.34</v>
      </c>
      <c r="F108" s="173">
        <f>C108/B108</f>
        <v>1.3682257067011325</v>
      </c>
    </row>
    <row r="109" spans="1:6" x14ac:dyDescent="0.25">
      <c r="A109" s="99" t="s">
        <v>610</v>
      </c>
      <c r="B109" s="49">
        <v>8553821</v>
      </c>
      <c r="C109" s="49">
        <v>2601550</v>
      </c>
      <c r="D109" s="49">
        <v>1231060.6686140001</v>
      </c>
      <c r="E109" s="50">
        <f>VLOOKUP($A109,'Data shares'!$C:$FA,154)*100</f>
        <v>31.130000000000003</v>
      </c>
      <c r="F109" s="173">
        <f>C109/B109</f>
        <v>0.30413893393373559</v>
      </c>
    </row>
    <row r="110" spans="1:6" x14ac:dyDescent="0.25">
      <c r="A110" s="99" t="s">
        <v>682</v>
      </c>
      <c r="B110" s="49">
        <v>19924232</v>
      </c>
      <c r="C110" s="49">
        <v>5393500</v>
      </c>
      <c r="D110" s="49">
        <v>2123744.844</v>
      </c>
      <c r="E110" s="50">
        <f>VLOOKUP($A110,'Data shares'!$C:$FA,154)*100</f>
        <v>27.26</v>
      </c>
      <c r="F110" s="173">
        <f>C110/B110</f>
        <v>0.27070052185700305</v>
      </c>
    </row>
    <row r="111" spans="1:6" x14ac:dyDescent="0.25">
      <c r="A111" s="99" t="s">
        <v>246</v>
      </c>
      <c r="B111" s="49">
        <v>781025350</v>
      </c>
      <c r="C111" s="49">
        <v>251610000</v>
      </c>
      <c r="D111" s="49">
        <v>195294449.80443999</v>
      </c>
      <c r="E111" s="50">
        <f>VLOOKUP($A111,'Data shares'!$C:$FA,154)*100</f>
        <v>32.39</v>
      </c>
      <c r="F111" s="173">
        <f>C111/B111</f>
        <v>0.32215343586478978</v>
      </c>
    </row>
    <row r="112" spans="1:6" x14ac:dyDescent="0.25">
      <c r="A112" s="99" t="s">
        <v>577</v>
      </c>
      <c r="B112" s="49">
        <v>24589408</v>
      </c>
      <c r="C112" s="49">
        <v>13396425</v>
      </c>
      <c r="D112" s="49">
        <v>6229286.02205675</v>
      </c>
      <c r="E112" s="50">
        <f>VLOOKUP($A112,'Data shares'!$C:$FA,154)*100</f>
        <v>55.289999999999992</v>
      </c>
      <c r="F112" s="173">
        <f>C112/B112</f>
        <v>0.5448046980228235</v>
      </c>
    </row>
    <row r="113" spans="1:6" x14ac:dyDescent="0.25">
      <c r="A113" s="99" t="s">
        <v>535</v>
      </c>
      <c r="B113" s="49">
        <v>58629477</v>
      </c>
      <c r="C113" s="49">
        <v>29546850</v>
      </c>
      <c r="D113" s="49">
        <v>15819152.0287525</v>
      </c>
      <c r="E113" s="50">
        <f>VLOOKUP($A113,'Data shares'!$C:$FA,154)*100</f>
        <v>51.72</v>
      </c>
      <c r="F113" s="173">
        <f>C113/B113</f>
        <v>0.5039589556632067</v>
      </c>
    </row>
    <row r="114" spans="1:6" x14ac:dyDescent="0.25">
      <c r="A114" s="99" t="s">
        <v>248</v>
      </c>
      <c r="B114" s="49">
        <v>45183075</v>
      </c>
      <c r="C114" s="49">
        <v>43839000</v>
      </c>
      <c r="D114" s="49">
        <v>28959696.22676</v>
      </c>
      <c r="E114" s="50">
        <f>VLOOKUP($A114,'Data shares'!$C:$FA,154)*100</f>
        <v>97.8</v>
      </c>
      <c r="F114" s="173">
        <f>C114/B114</f>
        <v>0.97025268864502912</v>
      </c>
    </row>
    <row r="115" spans="1:6" x14ac:dyDescent="0.25">
      <c r="A115" s="99" t="s">
        <v>607</v>
      </c>
      <c r="B115" s="49">
        <v>33206238</v>
      </c>
      <c r="C115" s="49">
        <v>17594500</v>
      </c>
      <c r="D115" s="49">
        <v>9134160.6580139995</v>
      </c>
      <c r="E115" s="50">
        <f>VLOOKUP($A115,'Data shares'!$C:$FA,154)*100</f>
        <v>53.65</v>
      </c>
      <c r="F115" s="173">
        <f>C115/B115</f>
        <v>0.52985526394167259</v>
      </c>
    </row>
    <row r="116" spans="1:6" x14ac:dyDescent="0.25">
      <c r="A116" s="99" t="s">
        <v>588</v>
      </c>
      <c r="B116" s="49">
        <v>42126960</v>
      </c>
      <c r="C116" s="49">
        <v>13849200</v>
      </c>
      <c r="D116" s="49">
        <v>8670440.4301440008</v>
      </c>
      <c r="E116" s="50">
        <f>VLOOKUP($A116,'Data shares'!$C:$FA,154)*100</f>
        <v>33.050000000000004</v>
      </c>
      <c r="F116" s="173">
        <f>C116/B116</f>
        <v>0.32874909559104193</v>
      </c>
    </row>
    <row r="117" spans="1:6" x14ac:dyDescent="0.25">
      <c r="A117" s="99" t="s">
        <v>249</v>
      </c>
      <c r="B117" s="49">
        <v>136109374</v>
      </c>
      <c r="C117" s="49">
        <v>29424500</v>
      </c>
      <c r="D117" s="49">
        <v>14892638.543145999</v>
      </c>
      <c r="E117" s="50">
        <f>VLOOKUP($A117,'Data shares'!$C:$FA,154)*100</f>
        <v>22.06</v>
      </c>
      <c r="F117" s="173">
        <f>C117/B117</f>
        <v>0.21618275902143227</v>
      </c>
    </row>
    <row r="118" spans="1:6" x14ac:dyDescent="0.25">
      <c r="A118" s="99" t="s">
        <v>565</v>
      </c>
      <c r="B118" s="49">
        <v>127100972</v>
      </c>
      <c r="C118" s="49">
        <v>116226000</v>
      </c>
      <c r="D118" s="49">
        <v>47880315.297472499</v>
      </c>
      <c r="E118" s="50">
        <f>VLOOKUP($A118,'Data shares'!$C:$FA,154)*100</f>
        <v>92.84</v>
      </c>
      <c r="F118" s="173">
        <f>C118/B118</f>
        <v>0.91443832545985559</v>
      </c>
    </row>
    <row r="119" spans="1:6" x14ac:dyDescent="0.25">
      <c r="A119" s="99" t="s">
        <v>693</v>
      </c>
      <c r="B119" s="49">
        <v>9672091</v>
      </c>
      <c r="C119" s="49">
        <v>5204550</v>
      </c>
      <c r="D119" s="49">
        <v>3040320.1271925</v>
      </c>
      <c r="E119" s="50">
        <f>VLOOKUP($A119,'Data shares'!$C:$FA,154)*100</f>
        <v>55.21</v>
      </c>
      <c r="F119" s="173">
        <f>C119/B119</f>
        <v>0.53809977594296832</v>
      </c>
    </row>
    <row r="120" spans="1:6" x14ac:dyDescent="0.25">
      <c r="A120" s="99" t="s">
        <v>250</v>
      </c>
      <c r="B120" s="49">
        <v>36381777</v>
      </c>
      <c r="C120" s="49">
        <v>11267600</v>
      </c>
      <c r="D120" s="49">
        <v>7243027.28679075</v>
      </c>
      <c r="E120" s="50"/>
      <c r="F120" s="173">
        <f>C120/B120</f>
        <v>0.30970449849109899</v>
      </c>
    </row>
    <row r="121" spans="1:6" x14ac:dyDescent="0.25">
      <c r="A121" s="99" t="s">
        <v>251</v>
      </c>
      <c r="B121" s="49">
        <v>95452027</v>
      </c>
      <c r="C121" s="49">
        <v>25707200</v>
      </c>
      <c r="D121" s="49">
        <v>17855082.592712</v>
      </c>
      <c r="E121" s="50">
        <f>VLOOKUP($A121,'Data shares'!$C:$FA,154)*100</f>
        <v>27.189999999999998</v>
      </c>
      <c r="F121" s="173">
        <f>C121/B121</f>
        <v>0.26932062951371372</v>
      </c>
    </row>
    <row r="122" spans="1:6" x14ac:dyDescent="0.25">
      <c r="A122" s="99" t="s">
        <v>253</v>
      </c>
      <c r="B122" s="49">
        <v>82205057</v>
      </c>
      <c r="C122" s="49">
        <v>82545000</v>
      </c>
      <c r="D122" s="49">
        <v>43225137.38397</v>
      </c>
      <c r="E122" s="50">
        <f>VLOOKUP($A122,'Data shares'!$C:$FA,154)*100</f>
        <v>101.25</v>
      </c>
      <c r="F122" s="173">
        <f>C122/B122</f>
        <v>1.0041353052039121</v>
      </c>
    </row>
    <row r="123" spans="1:6" x14ac:dyDescent="0.25">
      <c r="A123" s="99" t="s">
        <v>671</v>
      </c>
      <c r="B123" s="49">
        <v>16919681</v>
      </c>
      <c r="C123" s="49">
        <v>4070475</v>
      </c>
      <c r="D123" s="49">
        <v>2714336.5987867499</v>
      </c>
      <c r="E123" s="50">
        <f>VLOOKUP($A123,'Data shares'!$C:$FA,154)*100</f>
        <v>24.310000000000002</v>
      </c>
      <c r="F123" s="173">
        <f>C123/B123</f>
        <v>0.24057634419939714</v>
      </c>
    </row>
    <row r="124" spans="1:6" x14ac:dyDescent="0.25">
      <c r="A124" s="99" t="s">
        <v>254</v>
      </c>
      <c r="B124" s="49">
        <v>79442217</v>
      </c>
      <c r="C124" s="49">
        <v>33286800</v>
      </c>
      <c r="D124" s="49">
        <v>26816816.905115999</v>
      </c>
      <c r="E124" s="50">
        <f>VLOOKUP($A124,'Data shares'!$C:$FA,154)*100</f>
        <v>42.26</v>
      </c>
      <c r="F124" s="173">
        <f>C124/B124</f>
        <v>0.41900643331743875</v>
      </c>
    </row>
    <row r="125" spans="1:6" x14ac:dyDescent="0.25">
      <c r="A125" s="99" t="s">
        <v>255</v>
      </c>
      <c r="B125" s="49">
        <v>17687048</v>
      </c>
      <c r="C125" s="49">
        <v>5194500</v>
      </c>
      <c r="D125" s="49">
        <v>2944709.2291629999</v>
      </c>
      <c r="E125" s="50">
        <f>VLOOKUP($A125,'Data shares'!$C:$FA,154)*100</f>
        <v>29.89</v>
      </c>
      <c r="F125" s="173">
        <f>C125/B125</f>
        <v>0.29368948396589412</v>
      </c>
    </row>
    <row r="126" spans="1:6" x14ac:dyDescent="0.25">
      <c r="A126" s="99" t="s">
        <v>603</v>
      </c>
      <c r="B126" s="49">
        <v>111218809</v>
      </c>
      <c r="C126" s="49">
        <v>17449425</v>
      </c>
      <c r="D126" s="49">
        <v>13399824.4358842</v>
      </c>
      <c r="E126" s="50">
        <f>VLOOKUP($A126,'Data shares'!$C:$FA,154)*100</f>
        <v>15.809999999999999</v>
      </c>
      <c r="F126" s="173">
        <f>C126/B126</f>
        <v>0.15689275183660706</v>
      </c>
    </row>
    <row r="127" spans="1:6" x14ac:dyDescent="0.25">
      <c r="A127" s="99" t="s">
        <v>672</v>
      </c>
      <c r="B127" s="49">
        <v>11364224</v>
      </c>
      <c r="C127" s="49">
        <v>8960600</v>
      </c>
      <c r="D127" s="49">
        <v>4169185.885026</v>
      </c>
      <c r="E127" s="50">
        <f>VLOOKUP($A127,'Data shares'!$C:$FA,154)*100</f>
        <v>80.5</v>
      </c>
      <c r="F127" s="173">
        <f>C127/B127</f>
        <v>0.78849202550037734</v>
      </c>
    </row>
    <row r="128" spans="1:6" x14ac:dyDescent="0.25">
      <c r="A128" s="99" t="s">
        <v>517</v>
      </c>
      <c r="B128" s="49">
        <v>38177110</v>
      </c>
      <c r="C128" s="49">
        <v>23613750</v>
      </c>
      <c r="D128" s="49">
        <v>12322406.3112</v>
      </c>
      <c r="E128" s="50">
        <f>VLOOKUP($A128,'Data shares'!$C:$FA,154)*100</f>
        <v>63.62</v>
      </c>
      <c r="F128" s="173">
        <f>C128/B128</f>
        <v>0.61853162798336492</v>
      </c>
    </row>
    <row r="129" spans="1:6" x14ac:dyDescent="0.25">
      <c r="A129" s="99" t="s">
        <v>257</v>
      </c>
      <c r="B129" s="49">
        <v>33919851</v>
      </c>
      <c r="C129" s="49">
        <v>9815600</v>
      </c>
      <c r="D129" s="49">
        <v>8571557.5262679998</v>
      </c>
      <c r="E129" s="50">
        <f>VLOOKUP($A129,'Data shares'!$C:$FA,154)*100</f>
        <v>29.020000000000003</v>
      </c>
      <c r="F129" s="173">
        <f>C129/B129</f>
        <v>0.2893762711398703</v>
      </c>
    </row>
    <row r="130" spans="1:6" x14ac:dyDescent="0.25">
      <c r="A130" s="99" t="s">
        <v>559</v>
      </c>
      <c r="B130" s="49">
        <v>606151620</v>
      </c>
      <c r="C130" s="49">
        <v>204985650</v>
      </c>
      <c r="D130" s="49">
        <v>132673525.252956</v>
      </c>
      <c r="E130" s="50">
        <f>VLOOKUP($A130,'Data shares'!$C:$FA,154)*100</f>
        <v>34.33</v>
      </c>
      <c r="F130" s="173">
        <f>C130/B130</f>
        <v>0.33817553766498226</v>
      </c>
    </row>
    <row r="131" spans="1:6" x14ac:dyDescent="0.25">
      <c r="A131" s="99" t="s">
        <v>487</v>
      </c>
      <c r="B131" s="49">
        <v>17093933</v>
      </c>
      <c r="C131" s="49">
        <v>7154400</v>
      </c>
      <c r="D131" s="49">
        <v>5462773.0470554996</v>
      </c>
      <c r="E131" s="50">
        <f>VLOOKUP($A131,'Data shares'!$C:$FA,154)*100</f>
        <v>42.07</v>
      </c>
      <c r="F131" s="173">
        <f>C131/B131</f>
        <v>0.41853445898027097</v>
      </c>
    </row>
    <row r="132" spans="1:6" x14ac:dyDescent="0.25">
      <c r="A132" s="99" t="s">
        <v>262</v>
      </c>
      <c r="B132" s="49">
        <v>14790848</v>
      </c>
      <c r="C132" s="49">
        <v>9744900</v>
      </c>
      <c r="D132" s="49">
        <v>4136740.5034670001</v>
      </c>
      <c r="E132" s="50">
        <f>VLOOKUP($A132,'Data shares'!$C:$FA,154)*100</f>
        <v>67.41</v>
      </c>
      <c r="F132" s="173">
        <f>C132/B132</f>
        <v>0.65884660568481268</v>
      </c>
    </row>
    <row r="133" spans="1:6" x14ac:dyDescent="0.25">
      <c r="A133" s="99" t="s">
        <v>263</v>
      </c>
      <c r="B133" s="49">
        <v>134225816</v>
      </c>
      <c r="C133" s="49">
        <v>112965000</v>
      </c>
      <c r="D133" s="49">
        <v>52061690.554274999</v>
      </c>
      <c r="E133" s="50">
        <f>VLOOKUP($A133,'Data shares'!$C:$FA,154)*100</f>
        <v>88.42</v>
      </c>
      <c r="F133" s="173">
        <f>C133/B133</f>
        <v>0.84160412181811584</v>
      </c>
    </row>
    <row r="134" spans="1:6" x14ac:dyDescent="0.25">
      <c r="A134" s="99" t="s">
        <v>264</v>
      </c>
      <c r="B134" s="49">
        <v>45110207</v>
      </c>
      <c r="C134" s="49">
        <v>15284625</v>
      </c>
      <c r="D134" s="49">
        <v>11119525.37283</v>
      </c>
      <c r="E134" s="50">
        <f>VLOOKUP($A134,'Data shares'!$C:$FA,154)*100</f>
        <v>34.06</v>
      </c>
      <c r="F134" s="173">
        <f>C134/B134</f>
        <v>0.33882852721114759</v>
      </c>
    </row>
    <row r="135" spans="1:6" x14ac:dyDescent="0.25">
      <c r="A135" s="99" t="s">
        <v>550</v>
      </c>
      <c r="B135" s="49">
        <v>154894704</v>
      </c>
      <c r="C135" s="49">
        <v>138112000</v>
      </c>
      <c r="D135" s="49">
        <v>78041903.953130007</v>
      </c>
      <c r="E135" s="50">
        <f>VLOOKUP($A135,'Data shares'!$C:$FA,154)*100</f>
        <v>89.95</v>
      </c>
      <c r="F135" s="173">
        <f>C135/B135</f>
        <v>0.89165088562356531</v>
      </c>
    </row>
    <row r="136" spans="1:6" x14ac:dyDescent="0.25">
      <c r="A136" s="99" t="s">
        <v>265</v>
      </c>
      <c r="B136" s="49">
        <v>71801274</v>
      </c>
      <c r="C136" s="49">
        <v>20493500</v>
      </c>
      <c r="D136" s="49">
        <v>16480695.57729</v>
      </c>
      <c r="E136" s="50">
        <f>VLOOKUP($A136,'Data shares'!$C:$FA,154)*100</f>
        <v>28.610000000000003</v>
      </c>
      <c r="F136" s="173">
        <f>C136/B136</f>
        <v>0.28541972667504478</v>
      </c>
    </row>
    <row r="137" spans="1:6" x14ac:dyDescent="0.25">
      <c r="A137" s="99" t="s">
        <v>585</v>
      </c>
      <c r="B137" s="49">
        <v>491233252</v>
      </c>
      <c r="C137" s="49">
        <v>127174400</v>
      </c>
      <c r="D137" s="49">
        <v>72040109.736831993</v>
      </c>
      <c r="E137" s="50">
        <f>VLOOKUP($A137,'Data shares'!$C:$FA,154)*100</f>
        <v>26.169999999999998</v>
      </c>
      <c r="F137" s="173">
        <f>C137/B137</f>
        <v>0.25888801192147309</v>
      </c>
    </row>
    <row r="138" spans="1:6" x14ac:dyDescent="0.25">
      <c r="A138" s="99" t="s">
        <v>267</v>
      </c>
      <c r="B138" s="49">
        <v>517037525</v>
      </c>
      <c r="C138" s="49">
        <v>460100250</v>
      </c>
      <c r="D138" s="49">
        <v>294573984.64582503</v>
      </c>
      <c r="E138" s="50"/>
      <c r="F138" s="173">
        <f>C138/B138</f>
        <v>0.889877867181884</v>
      </c>
    </row>
    <row r="139" spans="1:6" x14ac:dyDescent="0.25">
      <c r="A139" s="99" t="s">
        <v>268</v>
      </c>
      <c r="B139" s="49">
        <v>474131988</v>
      </c>
      <c r="C139" s="49">
        <v>176296500</v>
      </c>
      <c r="D139" s="49">
        <v>105924247.06081501</v>
      </c>
      <c r="E139" s="50">
        <f>VLOOKUP($A139,'Data shares'!$C:$FA,154)*100</f>
        <v>38.04</v>
      </c>
      <c r="F139" s="173">
        <f>C139/B139</f>
        <v>0.37183000612057415</v>
      </c>
    </row>
    <row r="140" spans="1:6" x14ac:dyDescent="0.25">
      <c r="A140" s="99" t="s">
        <v>684</v>
      </c>
      <c r="B140" s="49">
        <v>12267678</v>
      </c>
      <c r="C140" s="49">
        <v>3268500</v>
      </c>
      <c r="D140" s="49">
        <v>1756671.7684800001</v>
      </c>
      <c r="E140" s="50">
        <f>VLOOKUP($A140,'Data shares'!$C:$FA,154)*100</f>
        <v>27.29</v>
      </c>
      <c r="F140" s="173">
        <f>C140/B140</f>
        <v>0.26643183820116567</v>
      </c>
    </row>
    <row r="141" spans="1:6" x14ac:dyDescent="0.25">
      <c r="A141" s="99" t="s">
        <v>613</v>
      </c>
      <c r="B141" s="49">
        <v>205483040</v>
      </c>
      <c r="C141" s="49">
        <v>55784375</v>
      </c>
      <c r="D141" s="49">
        <v>44074817.535812497</v>
      </c>
      <c r="E141" s="50">
        <f>VLOOKUP($A141,'Data shares'!$C:$FA,154)*100</f>
        <v>27.42</v>
      </c>
      <c r="F141" s="173">
        <f>C141/B141</f>
        <v>0.27147921794421576</v>
      </c>
    </row>
    <row r="142" spans="1:6" x14ac:dyDescent="0.25">
      <c r="A142" s="99" t="s">
        <v>528</v>
      </c>
      <c r="B142" s="49">
        <v>17614093</v>
      </c>
      <c r="C142" s="49">
        <v>8468250</v>
      </c>
      <c r="D142" s="49">
        <v>5798332.6190299997</v>
      </c>
      <c r="E142" s="50">
        <f>VLOOKUP($A142,'Data shares'!$C:$FA,154)*100</f>
        <v>48.27</v>
      </c>
      <c r="F142" s="173">
        <f>C142/B142</f>
        <v>0.48076560059039086</v>
      </c>
    </row>
    <row r="143" spans="1:6" x14ac:dyDescent="0.25">
      <c r="A143" s="99" t="s">
        <v>518</v>
      </c>
      <c r="B143" s="49">
        <v>3582756</v>
      </c>
      <c r="C143" s="49">
        <v>2194800</v>
      </c>
      <c r="D143" s="49">
        <v>1400378.0760524999</v>
      </c>
      <c r="E143" s="50">
        <f>VLOOKUP($A143,'Data shares'!$C:$FA,154)*100</f>
        <v>61.6</v>
      </c>
      <c r="F143" s="173">
        <f>C143/B143</f>
        <v>0.61260102557919094</v>
      </c>
    </row>
    <row r="144" spans="1:6" x14ac:dyDescent="0.25">
      <c r="A144" s="99" t="s">
        <v>587</v>
      </c>
      <c r="B144" s="49">
        <v>102006452</v>
      </c>
      <c r="C144" s="49">
        <v>41213200</v>
      </c>
      <c r="D144" s="49">
        <v>18224870.529879998</v>
      </c>
      <c r="E144" s="50">
        <f>VLOOKUP($A144,'Data shares'!$C:$FA,154)*100</f>
        <v>40.92</v>
      </c>
      <c r="F144" s="173">
        <f>C144/B144</f>
        <v>0.40402542380358453</v>
      </c>
    </row>
    <row r="145" spans="1:6" x14ac:dyDescent="0.25">
      <c r="A145" s="99" t="s">
        <v>269</v>
      </c>
      <c r="B145" s="49">
        <v>517141211</v>
      </c>
      <c r="C145" s="49">
        <v>215925750</v>
      </c>
      <c r="D145" s="49">
        <v>123073375.28685699</v>
      </c>
      <c r="E145" s="50"/>
      <c r="F145" s="173">
        <f>C145/B145</f>
        <v>0.41753730974652492</v>
      </c>
    </row>
    <row r="146" spans="1:6" x14ac:dyDescent="0.25">
      <c r="A146" s="99" t="s">
        <v>270</v>
      </c>
      <c r="B146" s="49">
        <v>955549</v>
      </c>
      <c r="C146" s="49">
        <v>355245</v>
      </c>
      <c r="D146" s="49">
        <v>202978.03944255001</v>
      </c>
      <c r="E146" s="50">
        <f>VLOOKUP($A146,'Data shares'!$C:$FA,154)*100</f>
        <v>37.57</v>
      </c>
      <c r="F146" s="173">
        <f>C146/B146</f>
        <v>0.37177057377486661</v>
      </c>
    </row>
    <row r="147" spans="1:6" x14ac:dyDescent="0.25">
      <c r="A147" s="99" t="s">
        <v>665</v>
      </c>
      <c r="B147" s="49">
        <v>50886533</v>
      </c>
      <c r="C147" s="49">
        <v>42567300</v>
      </c>
      <c r="D147" s="49">
        <v>20357579.675781</v>
      </c>
      <c r="E147" s="50">
        <f>VLOOKUP($A147,'Data shares'!$C:$FA,154)*100</f>
        <v>83.740000000000009</v>
      </c>
      <c r="F147" s="173">
        <f>C147/B147</f>
        <v>0.83651405372812493</v>
      </c>
    </row>
    <row r="148" spans="1:6" x14ac:dyDescent="0.25">
      <c r="A148" s="99" t="s">
        <v>575</v>
      </c>
      <c r="B148" s="49">
        <v>95799519</v>
      </c>
      <c r="C148" s="49">
        <v>34588300</v>
      </c>
      <c r="D148" s="49">
        <v>21010740.658413999</v>
      </c>
      <c r="E148" s="50">
        <f>VLOOKUP($A148,'Data shares'!$C:$FA,154)*100</f>
        <v>36.590000000000003</v>
      </c>
      <c r="F148" s="173">
        <f>C148/B148</f>
        <v>0.36104878564160642</v>
      </c>
    </row>
    <row r="149" spans="1:6" x14ac:dyDescent="0.25">
      <c r="A149" s="99" t="s">
        <v>529</v>
      </c>
      <c r="B149" s="49">
        <v>15732422</v>
      </c>
      <c r="C149" s="49">
        <v>6967600</v>
      </c>
      <c r="D149" s="49">
        <v>3924631.39965</v>
      </c>
      <c r="E149" s="50">
        <f>VLOOKUP($A149,'Data shares'!$C:$FA,154)*100</f>
        <v>45.4</v>
      </c>
      <c r="F149" s="173">
        <f>C149/B149</f>
        <v>0.44288158555624813</v>
      </c>
    </row>
    <row r="150" spans="1:6" x14ac:dyDescent="0.25">
      <c r="A150" s="99" t="s">
        <v>272</v>
      </c>
      <c r="B150" s="49">
        <v>108255733</v>
      </c>
      <c r="C150" s="49">
        <v>68540600</v>
      </c>
      <c r="D150" s="49">
        <v>31976108.434328999</v>
      </c>
      <c r="E150" s="50">
        <f>VLOOKUP($A150,'Data shares'!$C:$FA,154)*100</f>
        <v>65.2</v>
      </c>
      <c r="F150" s="173">
        <f>C150/B150</f>
        <v>0.63313598366194612</v>
      </c>
    </row>
    <row r="151" spans="1:6" x14ac:dyDescent="0.25">
      <c r="A151" s="99" t="s">
        <v>273</v>
      </c>
      <c r="B151" s="49">
        <v>217835555</v>
      </c>
      <c r="C151" s="49">
        <v>108282200</v>
      </c>
      <c r="D151" s="49">
        <v>59221855.707416996</v>
      </c>
      <c r="E151" s="50">
        <f>VLOOKUP($A151,'Data shares'!$C:$FA,154)*100</f>
        <v>50.42</v>
      </c>
      <c r="F151" s="173">
        <f>C151/B151</f>
        <v>0.4970823059624036</v>
      </c>
    </row>
    <row r="152" spans="1:6" x14ac:dyDescent="0.25">
      <c r="A152" s="99" t="s">
        <v>679</v>
      </c>
      <c r="B152" s="49">
        <v>24030912</v>
      </c>
      <c r="C152" s="49">
        <v>18936350</v>
      </c>
      <c r="D152" s="49">
        <v>10311512.785626501</v>
      </c>
      <c r="E152" s="50">
        <f>VLOOKUP($A152,'Data shares'!$C:$FA,154)*100</f>
        <v>79.75</v>
      </c>
      <c r="F152" s="173">
        <f>C152/B152</f>
        <v>0.7879996397972745</v>
      </c>
    </row>
    <row r="153" spans="1:6" x14ac:dyDescent="0.25">
      <c r="A153" s="99" t="s">
        <v>645</v>
      </c>
      <c r="B153" s="49">
        <v>19533471</v>
      </c>
      <c r="C153" s="49">
        <v>5578650</v>
      </c>
      <c r="D153" s="49">
        <v>3896656.208788</v>
      </c>
      <c r="E153" s="50">
        <f>VLOOKUP($A153,'Data shares'!$C:$FA,154)*100</f>
        <v>28.689999999999998</v>
      </c>
      <c r="F153" s="173">
        <f>C153/B153</f>
        <v>0.28559440357527854</v>
      </c>
    </row>
    <row r="154" spans="1:6" x14ac:dyDescent="0.25">
      <c r="A154" s="99" t="s">
        <v>274</v>
      </c>
      <c r="B154" s="49">
        <v>31214205</v>
      </c>
      <c r="C154" s="49">
        <v>9963000</v>
      </c>
      <c r="D154" s="49">
        <v>7760195.5859749997</v>
      </c>
      <c r="E154" s="50">
        <f>VLOOKUP($A154,'Data shares'!$C:$FA,154)*100</f>
        <v>32.07</v>
      </c>
      <c r="F154" s="173">
        <f>C154/B154</f>
        <v>0.31918160337577073</v>
      </c>
    </row>
    <row r="155" spans="1:6" x14ac:dyDescent="0.25">
      <c r="A155" s="99" t="s">
        <v>483</v>
      </c>
      <c r="B155" s="49">
        <v>10712372</v>
      </c>
      <c r="C155" s="49">
        <v>4596550</v>
      </c>
      <c r="D155" s="49">
        <v>2976012.10967725</v>
      </c>
      <c r="E155" s="50"/>
      <c r="F155" s="173">
        <f>C155/B155</f>
        <v>0.42908797416669248</v>
      </c>
    </row>
    <row r="156" spans="1:6" x14ac:dyDescent="0.25">
      <c r="A156" s="99" t="s">
        <v>275</v>
      </c>
      <c r="B156" s="49">
        <v>515822637</v>
      </c>
      <c r="C156" s="49">
        <v>426128000</v>
      </c>
      <c r="D156" s="49">
        <v>229295551.77616</v>
      </c>
      <c r="E156" s="50">
        <f>VLOOKUP($A156,'Data shares'!$C:$FA,154)*100</f>
        <v>83.84</v>
      </c>
      <c r="F156" s="173">
        <f>C156/B156</f>
        <v>0.82611341463868326</v>
      </c>
    </row>
    <row r="157" spans="1:6" x14ac:dyDescent="0.25">
      <c r="A157" s="99" t="s">
        <v>669</v>
      </c>
      <c r="B157" s="49">
        <v>28118603</v>
      </c>
      <c r="C157" s="49">
        <v>15992600</v>
      </c>
      <c r="D157" s="49">
        <v>12723060.258115999</v>
      </c>
      <c r="E157" s="50">
        <f>VLOOKUP($A157,'Data shares'!$C:$FA,154)*100</f>
        <v>57.269999999999996</v>
      </c>
      <c r="F157" s="173">
        <f>C157/B157</f>
        <v>0.56875514050253495</v>
      </c>
    </row>
    <row r="158" spans="1:6" x14ac:dyDescent="0.25">
      <c r="A158" s="99" t="s">
        <v>573</v>
      </c>
      <c r="B158" s="49">
        <v>60642005</v>
      </c>
      <c r="C158" s="49">
        <v>11565400</v>
      </c>
      <c r="D158" s="49">
        <v>7864138.6849199999</v>
      </c>
      <c r="E158" s="50">
        <f>VLOOKUP($A158,'Data shares'!$C:$FA,154)*100</f>
        <v>19.239999999999998</v>
      </c>
      <c r="F158" s="173">
        <f>C158/B158</f>
        <v>0.19071598968404821</v>
      </c>
    </row>
    <row r="159" spans="1:6" x14ac:dyDescent="0.25">
      <c r="A159" s="99" t="s">
        <v>519</v>
      </c>
      <c r="B159" s="49">
        <v>8688405</v>
      </c>
      <c r="C159" s="49">
        <v>4529500</v>
      </c>
      <c r="D159" s="49">
        <v>2414019.5548049998</v>
      </c>
      <c r="E159" s="50">
        <f>VLOOKUP($A159,'Data shares'!$C:$FA,154)*100</f>
        <v>53.25</v>
      </c>
      <c r="F159" s="173">
        <f>C159/B159</f>
        <v>0.52132698694409385</v>
      </c>
    </row>
    <row r="160" spans="1:6" x14ac:dyDescent="0.25">
      <c r="A160" s="99" t="s">
        <v>276</v>
      </c>
      <c r="B160" s="49">
        <v>678857930</v>
      </c>
      <c r="C160" s="49">
        <v>131126600</v>
      </c>
      <c r="D160" s="49">
        <v>86835621.719563007</v>
      </c>
      <c r="E160" s="50">
        <f>VLOOKUP($A160,'Data shares'!$C:$FA,154)*100</f>
        <v>19.7</v>
      </c>
      <c r="F160" s="173">
        <f>C160/B160</f>
        <v>0.19315764640180311</v>
      </c>
    </row>
    <row r="161" spans="1:6" x14ac:dyDescent="0.25">
      <c r="A161" s="99" t="s">
        <v>686</v>
      </c>
      <c r="B161" s="49">
        <v>1917916</v>
      </c>
      <c r="C161" s="49">
        <v>570950</v>
      </c>
      <c r="D161" s="49">
        <v>284630.72237749997</v>
      </c>
      <c r="E161" s="50">
        <f>VLOOKUP($A161,'Data shares'!$C:$FA,154)*100</f>
        <v>30.659999999999997</v>
      </c>
      <c r="F161" s="173">
        <f>C161/B161</f>
        <v>0.29769291251545948</v>
      </c>
    </row>
    <row r="162" spans="1:6" x14ac:dyDescent="0.25">
      <c r="A162" s="99" t="s">
        <v>677</v>
      </c>
      <c r="B162" s="49">
        <v>107697729</v>
      </c>
      <c r="C162" s="49">
        <v>27339375</v>
      </c>
      <c r="D162" s="49">
        <v>12304993.8307012</v>
      </c>
      <c r="E162" s="50">
        <f>VLOOKUP($A162,'Data shares'!$C:$FA,154)*100</f>
        <v>25.86</v>
      </c>
      <c r="F162" s="173">
        <f>C162/B162</f>
        <v>0.2538528458664156</v>
      </c>
    </row>
    <row r="163" spans="1:6" x14ac:dyDescent="0.25">
      <c r="A163" s="99" t="s">
        <v>689</v>
      </c>
      <c r="B163" s="49">
        <v>23923093</v>
      </c>
      <c r="C163" s="49">
        <v>15075925</v>
      </c>
      <c r="D163" s="49">
        <v>4833562.3120302502</v>
      </c>
      <c r="E163" s="50">
        <f>VLOOKUP($A163,'Data shares'!$C:$FA,154)*100</f>
        <v>64.290000000000006</v>
      </c>
      <c r="F163" s="173">
        <f>C163/B163</f>
        <v>0.63018293662947344</v>
      </c>
    </row>
    <row r="164" spans="1:6" x14ac:dyDescent="0.25">
      <c r="A164" s="99" t="s">
        <v>605</v>
      </c>
      <c r="B164" s="49">
        <v>22697169</v>
      </c>
      <c r="C164" s="49">
        <v>6517350</v>
      </c>
      <c r="D164" s="49">
        <v>4562461.6819559997</v>
      </c>
      <c r="E164" s="50">
        <f>VLOOKUP($A164,'Data shares'!$C:$FA,154)*100</f>
        <v>29.54</v>
      </c>
      <c r="F164" s="173">
        <f>C164/B164</f>
        <v>0.28714374026117528</v>
      </c>
    </row>
    <row r="165" spans="1:6" x14ac:dyDescent="0.25">
      <c r="A165" s="99" t="s">
        <v>279</v>
      </c>
      <c r="B165" s="49">
        <v>91953095</v>
      </c>
      <c r="C165" s="49">
        <v>99021900</v>
      </c>
      <c r="D165" s="49">
        <v>51831462.468598701</v>
      </c>
      <c r="E165" s="50">
        <f>VLOOKUP($A165,'Data shares'!$C:$FA,154)*100</f>
        <v>108.89</v>
      </c>
      <c r="F165" s="173">
        <f>C165/B165</f>
        <v>1.0768740301781032</v>
      </c>
    </row>
    <row r="166" spans="1:6" x14ac:dyDescent="0.25">
      <c r="A166" s="99" t="s">
        <v>280</v>
      </c>
      <c r="B166" s="49">
        <v>187084550</v>
      </c>
      <c r="C166" s="49">
        <v>131384400</v>
      </c>
      <c r="D166" s="49">
        <v>72463469.113224</v>
      </c>
      <c r="E166" s="50"/>
      <c r="F166" s="173">
        <f>C166/B166</f>
        <v>0.70227284936142509</v>
      </c>
    </row>
    <row r="167" spans="1:6" x14ac:dyDescent="0.25">
      <c r="A167" s="99" t="s">
        <v>281</v>
      </c>
      <c r="B167" s="49">
        <v>664266681</v>
      </c>
      <c r="C167" s="49">
        <v>182449000</v>
      </c>
      <c r="D167" s="49">
        <v>113073478.80366001</v>
      </c>
      <c r="E167" s="50">
        <f>VLOOKUP($A167,'Data shares'!$C:$FA,154)*100</f>
        <v>28.060000000000002</v>
      </c>
      <c r="F167" s="173">
        <f>C167/B167</f>
        <v>0.27466227829662887</v>
      </c>
    </row>
    <row r="168" spans="1:6" x14ac:dyDescent="0.25">
      <c r="A168" s="99" t="s">
        <v>674</v>
      </c>
      <c r="B168" s="49">
        <v>84941460</v>
      </c>
      <c r="C168" s="49">
        <v>106611225</v>
      </c>
      <c r="D168" s="49">
        <v>48256930.249535501</v>
      </c>
      <c r="E168" s="50">
        <f>VLOOKUP($A168,'Data shares'!$C:$FA,154)*100</f>
        <v>127.47999999999999</v>
      </c>
      <c r="F168" s="173">
        <f>C168/B168</f>
        <v>1.2551141103531773</v>
      </c>
    </row>
    <row r="169" spans="1:6" x14ac:dyDescent="0.25">
      <c r="A169" s="99" t="s">
        <v>282</v>
      </c>
      <c r="B169" s="49">
        <v>216861410</v>
      </c>
      <c r="C169" s="49">
        <v>249668700</v>
      </c>
      <c r="D169" s="49">
        <v>178145523.76583001</v>
      </c>
      <c r="E169" s="50">
        <f>VLOOKUP($A169,'Data shares'!$C:$FA,154)*100</f>
        <v>115.9</v>
      </c>
      <c r="F169" s="173">
        <f>C169/B169</f>
        <v>1.1512822866917631</v>
      </c>
    </row>
    <row r="170" spans="1:6" x14ac:dyDescent="0.25">
      <c r="A170" s="99" t="s">
        <v>685</v>
      </c>
      <c r="B170" s="49">
        <v>122326971</v>
      </c>
      <c r="C170" s="49">
        <v>143198600</v>
      </c>
      <c r="D170" s="49">
        <v>95236666.847723007</v>
      </c>
      <c r="E170" s="50">
        <f>VLOOKUP($A170,'Data shares'!$C:$FA,154)*100</f>
        <v>120.12</v>
      </c>
      <c r="F170" s="173">
        <f>C170/B170</f>
        <v>1.1706216448374251</v>
      </c>
    </row>
    <row r="171" spans="1:6" x14ac:dyDescent="0.25">
      <c r="A171" s="99" t="s">
        <v>536</v>
      </c>
      <c r="B171" s="49">
        <v>44836888</v>
      </c>
      <c r="C171" s="49">
        <v>34576800</v>
      </c>
      <c r="D171" s="49">
        <v>20951233.781727999</v>
      </c>
      <c r="E171" s="50">
        <f>VLOOKUP($A171,'Data shares'!$C:$FA,154)*100</f>
        <v>77.84</v>
      </c>
      <c r="F171" s="173">
        <f>C171/B171</f>
        <v>0.77116859671438387</v>
      </c>
    </row>
    <row r="172" spans="1:6" x14ac:dyDescent="0.25">
      <c r="A172" s="99" t="s">
        <v>462</v>
      </c>
      <c r="B172" s="49">
        <v>44756800</v>
      </c>
      <c r="C172" s="49">
        <v>13087500</v>
      </c>
      <c r="D172" s="49">
        <v>8890648.5902249999</v>
      </c>
      <c r="E172" s="50">
        <f>VLOOKUP($A172,'Data shares'!$C:$FA,154)*100</f>
        <v>29.549999999999997</v>
      </c>
      <c r="F172" s="173">
        <f>C172/B172</f>
        <v>0.29241366675008046</v>
      </c>
    </row>
    <row r="173" spans="1:6" x14ac:dyDescent="0.25">
      <c r="A173" s="99" t="s">
        <v>283</v>
      </c>
      <c r="B173" s="49">
        <v>436949195</v>
      </c>
      <c r="C173" s="49">
        <v>124795500</v>
      </c>
      <c r="D173" s="49">
        <v>62624956.523460001</v>
      </c>
      <c r="E173" s="50">
        <f>VLOOKUP($A173,'Data shares'!$C:$FA,154)*100</f>
        <v>29.4</v>
      </c>
      <c r="F173" s="173">
        <f>C173/B173</f>
        <v>0.28560643074305242</v>
      </c>
    </row>
    <row r="174" spans="1:6" x14ac:dyDescent="0.25">
      <c r="A174" s="99" t="s">
        <v>284</v>
      </c>
      <c r="B174" s="49">
        <v>1568093</v>
      </c>
      <c r="C174" s="49">
        <v>442450</v>
      </c>
      <c r="D174" s="49">
        <v>299828.37273449998</v>
      </c>
      <c r="E174" s="50">
        <f>VLOOKUP($A174,'Data shares'!$C:$FA,154)*100</f>
        <v>28.349999999999998</v>
      </c>
      <c r="F174" s="173">
        <f>C174/B174</f>
        <v>0.28215800976090066</v>
      </c>
    </row>
    <row r="175" spans="1:6" x14ac:dyDescent="0.25">
      <c r="A175" s="99" t="s">
        <v>562</v>
      </c>
      <c r="B175" s="49">
        <v>210513975</v>
      </c>
      <c r="C175" s="49">
        <v>49532175</v>
      </c>
      <c r="D175" s="49">
        <v>33522159.443808701</v>
      </c>
      <c r="E175" s="50">
        <f>VLOOKUP($A175,'Data shares'!$C:$FA,154)*100</f>
        <v>23.96</v>
      </c>
      <c r="F175" s="173">
        <f>C175/B175</f>
        <v>0.23529162375086973</v>
      </c>
    </row>
    <row r="176" spans="1:6" x14ac:dyDescent="0.25">
      <c r="A176" s="99" t="s">
        <v>285</v>
      </c>
      <c r="B176" s="49">
        <v>13354588</v>
      </c>
      <c r="C176" s="49">
        <v>4529350</v>
      </c>
      <c r="D176" s="49">
        <v>2410768.3443164998</v>
      </c>
      <c r="E176" s="50">
        <f>VLOOKUP($A176,'Data shares'!$C:$FA,154)*100</f>
        <v>34.9</v>
      </c>
      <c r="F176" s="173">
        <f>C176/B176</f>
        <v>0.33916059409695004</v>
      </c>
    </row>
    <row r="177" spans="1:6" x14ac:dyDescent="0.25">
      <c r="A177" s="99" t="s">
        <v>646</v>
      </c>
      <c r="B177" s="49">
        <v>3644817</v>
      </c>
      <c r="C177" s="49">
        <v>1194100</v>
      </c>
      <c r="D177" s="49">
        <v>723075.65828850004</v>
      </c>
      <c r="E177" s="50">
        <f>VLOOKUP($A177,'Data shares'!$C:$FA,154)*100</f>
        <v>33.69</v>
      </c>
      <c r="F177" s="173">
        <f>C177/B177</f>
        <v>0.32761589950880937</v>
      </c>
    </row>
    <row r="178" spans="1:6" x14ac:dyDescent="0.25">
      <c r="A178" s="99" t="s">
        <v>614</v>
      </c>
      <c r="B178" s="49">
        <v>67126548</v>
      </c>
      <c r="C178" s="49">
        <v>18216975</v>
      </c>
      <c r="D178" s="49">
        <v>12178826.0942757</v>
      </c>
      <c r="E178" s="50">
        <f>VLOOKUP($A178,'Data shares'!$C:$FA,154)*100</f>
        <v>27.32</v>
      </c>
      <c r="F178" s="173">
        <f>C178/B178</f>
        <v>0.27138256833942959</v>
      </c>
    </row>
    <row r="179" spans="1:6" x14ac:dyDescent="0.25">
      <c r="A179" s="99" t="s">
        <v>286</v>
      </c>
      <c r="B179" s="49">
        <v>18529108</v>
      </c>
      <c r="C179" s="49">
        <v>5913200</v>
      </c>
      <c r="D179" s="49">
        <v>3308270.0814840002</v>
      </c>
      <c r="E179" s="50">
        <f>VLOOKUP($A179,'Data shares'!$C:$FA,154)*100</f>
        <v>32.659999999999997</v>
      </c>
      <c r="F179" s="173">
        <f>C179/B179</f>
        <v>0.3191303110759568</v>
      </c>
    </row>
    <row r="180" spans="1:6" x14ac:dyDescent="0.25">
      <c r="A180" s="99" t="s">
        <v>288</v>
      </c>
      <c r="B180" s="49">
        <v>109220043</v>
      </c>
      <c r="C180" s="49">
        <v>32743550</v>
      </c>
      <c r="D180" s="49">
        <v>22722098.929337502</v>
      </c>
      <c r="E180" s="50">
        <f>VLOOKUP($A180,'Data shares'!$C:$FA,154)*100</f>
        <v>30.259999999999998</v>
      </c>
      <c r="F180" s="173">
        <f>C180/B180</f>
        <v>0.29979433353638213</v>
      </c>
    </row>
    <row r="181" spans="1:6" x14ac:dyDescent="0.25">
      <c r="A181" s="99" t="s">
        <v>574</v>
      </c>
      <c r="B181" s="49">
        <v>9736357</v>
      </c>
      <c r="C181" s="49">
        <v>2082675</v>
      </c>
      <c r="D181" s="49">
        <v>1352271.4982419999</v>
      </c>
      <c r="E181" s="50">
        <f>VLOOKUP($A181,'Data shares'!$C:$FA,154)*100</f>
        <v>21.63</v>
      </c>
      <c r="F181" s="173">
        <f>C181/B181</f>
        <v>0.21390700854539332</v>
      </c>
    </row>
    <row r="182" spans="1:6" x14ac:dyDescent="0.25">
      <c r="A182" s="99" t="s">
        <v>683</v>
      </c>
      <c r="B182" s="49">
        <v>1814982173</v>
      </c>
      <c r="C182" s="49">
        <v>563412700</v>
      </c>
      <c r="D182" s="49">
        <v>267159054.42085901</v>
      </c>
      <c r="E182" s="50">
        <f>VLOOKUP($A182,'Data shares'!$C:$FA,154)*100</f>
        <v>31.759999999999998</v>
      </c>
      <c r="F182" s="173">
        <f>C182/B182</f>
        <v>0.31042326937499898</v>
      </c>
    </row>
    <row r="183" spans="1:6" x14ac:dyDescent="0.25">
      <c r="A183" s="99" t="s">
        <v>692</v>
      </c>
      <c r="B183" s="49">
        <v>375529891</v>
      </c>
      <c r="C183" s="49">
        <v>61764300</v>
      </c>
      <c r="D183" s="49">
        <v>43456664.639738999</v>
      </c>
      <c r="E183" s="50">
        <f>VLOOKUP($A183,'Data shares'!$C:$FA,154)*100</f>
        <v>16.559999999999999</v>
      </c>
      <c r="F183" s="173">
        <f>C183/B183</f>
        <v>0.16447239349050913</v>
      </c>
    </row>
    <row r="184" spans="1:6" x14ac:dyDescent="0.25">
      <c r="A184" s="99" t="s">
        <v>520</v>
      </c>
      <c r="B184" s="49">
        <v>24733183</v>
      </c>
      <c r="C184" s="49">
        <v>16322000</v>
      </c>
      <c r="D184" s="49">
        <v>8400867.7395399995</v>
      </c>
      <c r="E184" s="50">
        <f>VLOOKUP($A184,'Data shares'!$C:$FA,154)*100</f>
        <v>66.69</v>
      </c>
      <c r="F184" s="173">
        <f>C184/B184</f>
        <v>0.65992314858948808</v>
      </c>
    </row>
    <row r="185" spans="1:6" x14ac:dyDescent="0.25">
      <c r="A185" s="99" t="s">
        <v>291</v>
      </c>
      <c r="B185" s="49">
        <v>65472326</v>
      </c>
      <c r="C185" s="49">
        <v>16845400</v>
      </c>
      <c r="D185" s="49">
        <v>13068314.032818001</v>
      </c>
      <c r="E185" s="50">
        <f>VLOOKUP($A185,'Data shares'!$C:$FA,154)*100</f>
        <v>25.91</v>
      </c>
      <c r="F185" s="173">
        <f>C185/B185</f>
        <v>0.25729038555923611</v>
      </c>
    </row>
    <row r="186" spans="1:6" x14ac:dyDescent="0.25">
      <c r="A186" s="99" t="s">
        <v>604</v>
      </c>
      <c r="B186" s="49">
        <v>5241546</v>
      </c>
      <c r="C186" s="49">
        <v>3666500</v>
      </c>
      <c r="D186" s="49">
        <v>1399676.4761000001</v>
      </c>
      <c r="E186" s="50">
        <f>VLOOKUP($A186,'Data shares'!$C:$FA,154)*100</f>
        <v>71.03</v>
      </c>
      <c r="F186" s="173">
        <f>C186/B186</f>
        <v>0.69950735908833006</v>
      </c>
    </row>
    <row r="187" spans="1:6" x14ac:dyDescent="0.25">
      <c r="A187" s="99" t="s">
        <v>293</v>
      </c>
      <c r="B187" s="49">
        <v>202215001</v>
      </c>
      <c r="C187" s="49">
        <v>98753700</v>
      </c>
      <c r="D187" s="49">
        <v>47129448.213720001</v>
      </c>
      <c r="E187" s="50">
        <f>VLOOKUP($A187,'Data shares'!$C:$FA,154)*100</f>
        <v>49.78</v>
      </c>
      <c r="F187" s="173">
        <f>C187/B187</f>
        <v>0.48835991153791802</v>
      </c>
    </row>
    <row r="188" spans="1:6" x14ac:dyDescent="0.25">
      <c r="A188" s="99" t="s">
        <v>294</v>
      </c>
      <c r="B188" s="49">
        <v>872935214</v>
      </c>
      <c r="C188" s="49">
        <v>411647500</v>
      </c>
      <c r="D188" s="49">
        <v>204047647.60622001</v>
      </c>
      <c r="E188" s="50">
        <f>VLOOKUP($A188,'Data shares'!$C:$FA,154)*100</f>
        <v>48.39</v>
      </c>
      <c r="F188" s="173">
        <f>C188/B188</f>
        <v>0.47156706866450226</v>
      </c>
    </row>
    <row r="189" spans="1:6" x14ac:dyDescent="0.25">
      <c r="A189" s="99" t="s">
        <v>663</v>
      </c>
      <c r="B189" s="49">
        <v>25116370</v>
      </c>
      <c r="C189" s="49">
        <v>17555200</v>
      </c>
      <c r="D189" s="49">
        <v>9422356.3821520004</v>
      </c>
      <c r="E189" s="50">
        <f>VLOOKUP($A189,'Data shares'!$C:$FA,154)*100</f>
        <v>70.89</v>
      </c>
      <c r="F189" s="173">
        <f>C189/B189</f>
        <v>0.69895450656285119</v>
      </c>
    </row>
    <row r="190" spans="1:6" x14ac:dyDescent="0.25">
      <c r="A190" s="99" t="s">
        <v>295</v>
      </c>
      <c r="B190" s="49">
        <v>126444612</v>
      </c>
      <c r="C190" s="49">
        <v>48207075</v>
      </c>
      <c r="D190" s="49">
        <v>25630086.1104085</v>
      </c>
      <c r="E190" s="50">
        <f>VLOOKUP($A190,'Data shares'!$C:$FA,154)*100</f>
        <v>40.18</v>
      </c>
      <c r="F190" s="173">
        <f>C190/B190</f>
        <v>0.38125052730597964</v>
      </c>
    </row>
    <row r="191" spans="1:6" x14ac:dyDescent="0.25">
      <c r="A191" s="99" t="s">
        <v>296</v>
      </c>
      <c r="B191" s="49">
        <v>80031540</v>
      </c>
      <c r="C191" s="49">
        <v>33788400</v>
      </c>
      <c r="D191" s="49">
        <v>19063743.307764001</v>
      </c>
      <c r="E191" s="50">
        <f>VLOOKUP($A191,'Data shares'!$C:$FA,154)*100</f>
        <v>42.79</v>
      </c>
      <c r="F191" s="173">
        <f>C191/B191</f>
        <v>0.42218855216330964</v>
      </c>
    </row>
    <row r="192" spans="1:6" x14ac:dyDescent="0.25">
      <c r="A192" s="99" t="s">
        <v>595</v>
      </c>
      <c r="B192" s="49">
        <v>15879795</v>
      </c>
      <c r="C192" s="49">
        <v>4216800</v>
      </c>
      <c r="D192" s="49">
        <v>3027586.7590399999</v>
      </c>
      <c r="E192" s="50">
        <f>VLOOKUP($A192,'Data shares'!$C:$FA,154)*100</f>
        <v>26.66</v>
      </c>
      <c r="F192" s="173">
        <f>C192/B192</f>
        <v>0.26554498971806628</v>
      </c>
    </row>
    <row r="193" spans="1:6" x14ac:dyDescent="0.25">
      <c r="A193" s="99" t="s">
        <v>297</v>
      </c>
      <c r="B193" s="49">
        <v>45680146</v>
      </c>
      <c r="C193" s="49">
        <v>12933375</v>
      </c>
      <c r="D193" s="49">
        <v>9677378.7873734999</v>
      </c>
      <c r="E193" s="50">
        <f>VLOOKUP($A193,'Data shares'!$C:$FA,154)*100</f>
        <v>28.810000000000002</v>
      </c>
      <c r="F193" s="173">
        <f>C193/B193</f>
        <v>0.28312902064717571</v>
      </c>
    </row>
    <row r="194" spans="1:6" x14ac:dyDescent="0.25">
      <c r="A194" s="99" t="s">
        <v>688</v>
      </c>
      <c r="B194" s="49">
        <v>317235726</v>
      </c>
      <c r="C194" s="49">
        <v>141451200</v>
      </c>
      <c r="D194" s="49">
        <v>74233487.647384003</v>
      </c>
      <c r="E194" s="50">
        <f>VLOOKUP($A194,'Data shares'!$C:$FA,154)*100</f>
        <v>45.57</v>
      </c>
      <c r="F194" s="173">
        <f>C194/B194</f>
        <v>0.44588672840712779</v>
      </c>
    </row>
    <row r="195" spans="1:6" x14ac:dyDescent="0.25">
      <c r="A195" s="99" t="s">
        <v>298</v>
      </c>
      <c r="B195" s="49">
        <v>10726004</v>
      </c>
      <c r="C195" s="49">
        <v>3908500</v>
      </c>
      <c r="D195" s="49">
        <v>2864628.8942100001</v>
      </c>
      <c r="E195" s="50">
        <f>VLOOKUP($A195,'Data shares'!$C:$FA,154)*100</f>
        <v>37.11</v>
      </c>
      <c r="F195" s="173">
        <f>C195/B195</f>
        <v>0.3643947923196747</v>
      </c>
    </row>
    <row r="196" spans="1:6" x14ac:dyDescent="0.25">
      <c r="A196" s="99" t="s">
        <v>299</v>
      </c>
      <c r="B196" s="49">
        <v>24646022</v>
      </c>
      <c r="C196" s="49">
        <v>5916850</v>
      </c>
      <c r="D196" s="49">
        <v>3462953.3519245</v>
      </c>
      <c r="E196" s="50">
        <f>VLOOKUP($A196,'Data shares'!$C:$FA,154)*100</f>
        <v>24.47</v>
      </c>
      <c r="F196" s="173">
        <f>C196/B196</f>
        <v>0.24007322561020192</v>
      </c>
    </row>
    <row r="197" spans="1:6" x14ac:dyDescent="0.25">
      <c r="A197" s="99" t="s">
        <v>482</v>
      </c>
      <c r="B197" s="49">
        <v>33590487</v>
      </c>
      <c r="C197" s="49">
        <v>9807100</v>
      </c>
      <c r="D197" s="49">
        <v>6257698.3430669997</v>
      </c>
      <c r="E197" s="50">
        <f>VLOOKUP($A197,'Data shares'!$C:$FA,154)*100</f>
        <v>29.73</v>
      </c>
      <c r="F197" s="173">
        <f>C197/B197</f>
        <v>0.29196063754598139</v>
      </c>
    </row>
    <row r="198" spans="1:6" x14ac:dyDescent="0.25">
      <c r="A198" s="99" t="s">
        <v>300</v>
      </c>
      <c r="B198" s="49">
        <v>31634588</v>
      </c>
      <c r="C198" s="49">
        <v>11355575</v>
      </c>
      <c r="D198" s="49">
        <v>8373817.37115</v>
      </c>
      <c r="E198" s="50">
        <f>VLOOKUP($A198,'Data shares'!$C:$FA,154)*100</f>
        <v>36.380000000000003</v>
      </c>
      <c r="F198" s="173">
        <f>C198/B198</f>
        <v>0.35896073626753094</v>
      </c>
    </row>
    <row r="199" spans="1:6" x14ac:dyDescent="0.25">
      <c r="A199" s="99" t="s">
        <v>302</v>
      </c>
      <c r="B199" s="49">
        <v>11955674</v>
      </c>
      <c r="C199" s="49">
        <v>2922850</v>
      </c>
      <c r="D199" s="49">
        <v>2041689.1373594999</v>
      </c>
      <c r="E199" s="50">
        <f>VLOOKUP($A199,'Data shares'!$C:$FA,154)*100</f>
        <v>24.87</v>
      </c>
      <c r="F199" s="173">
        <f>C199/B199</f>
        <v>0.24447387909707141</v>
      </c>
    </row>
    <row r="200" spans="1:6" x14ac:dyDescent="0.25">
      <c r="A200" s="99" t="s">
        <v>593</v>
      </c>
      <c r="B200" s="49">
        <v>289041713</v>
      </c>
      <c r="C200" s="49">
        <v>123276075</v>
      </c>
      <c r="D200" s="49">
        <v>70028427.7673437</v>
      </c>
      <c r="E200" s="50">
        <f>VLOOKUP($A200,'Data shares'!$C:$FA,154)*100</f>
        <v>43.79</v>
      </c>
      <c r="F200" s="173">
        <f>C200/B200</f>
        <v>0.42649925410592898</v>
      </c>
    </row>
    <row r="201" spans="1:6" x14ac:dyDescent="0.25">
      <c r="A201" s="99" t="s">
        <v>569</v>
      </c>
      <c r="B201" s="49">
        <v>37091426</v>
      </c>
      <c r="C201" s="49">
        <v>12989200</v>
      </c>
      <c r="D201" s="49">
        <v>9303945.7169679999</v>
      </c>
      <c r="E201" s="50">
        <f>VLOOKUP($A201,'Data shares'!$C:$FA,154)*100</f>
        <v>35.339999999999996</v>
      </c>
      <c r="F201" s="173">
        <f>C201/B201</f>
        <v>0.35019413920618742</v>
      </c>
    </row>
    <row r="202" spans="1:6" x14ac:dyDescent="0.25">
      <c r="A202" s="99" t="s">
        <v>673</v>
      </c>
      <c r="B202" s="49">
        <v>27292222</v>
      </c>
      <c r="C202" s="49">
        <v>8395750</v>
      </c>
      <c r="D202" s="49">
        <v>6389494.8243335001</v>
      </c>
      <c r="E202" s="50">
        <f>VLOOKUP($A202,'Data shares'!$C:$FA,154)*100</f>
        <v>31.11</v>
      </c>
      <c r="F202" s="173">
        <f>C202/B202</f>
        <v>0.30762427478422238</v>
      </c>
    </row>
    <row r="203" spans="1:6" x14ac:dyDescent="0.25">
      <c r="A203" s="99" t="s">
        <v>303</v>
      </c>
      <c r="B203" s="49">
        <v>84228583</v>
      </c>
      <c r="C203" s="49">
        <v>63844890</v>
      </c>
      <c r="D203" s="49">
        <v>29226358.385255001</v>
      </c>
      <c r="E203" s="50">
        <f>VLOOKUP($A203,'Data shares'!$C:$FA,154)*100</f>
        <v>77.81</v>
      </c>
      <c r="F203" s="173">
        <f>C203/B203</f>
        <v>0.75799553697822508</v>
      </c>
    </row>
    <row r="204" spans="1:6" x14ac:dyDescent="0.25">
      <c r="A204" s="99" t="s">
        <v>586</v>
      </c>
      <c r="B204" s="49">
        <v>205761118</v>
      </c>
      <c r="C204" s="49">
        <v>55825875</v>
      </c>
      <c r="D204" s="49">
        <v>39300569.675527498</v>
      </c>
      <c r="E204" s="50">
        <f>VLOOKUP($A204,'Data shares'!$C:$FA,154)*100</f>
        <v>27.279999999999998</v>
      </c>
      <c r="F204" s="173">
        <f>C204/B204</f>
        <v>0.27131401473042149</v>
      </c>
    </row>
    <row r="205" spans="1:6" x14ac:dyDescent="0.25">
      <c r="A205" s="99" t="s">
        <v>304</v>
      </c>
      <c r="B205" s="49">
        <v>255091106</v>
      </c>
      <c r="C205" s="49">
        <v>118602950</v>
      </c>
      <c r="D205" s="49">
        <v>60938558.560081497</v>
      </c>
      <c r="E205" s="50">
        <f>VLOOKUP($A205,'Data shares'!$C:$FA,154)*100</f>
        <v>48.26</v>
      </c>
      <c r="F205" s="173">
        <f>C205/B205</f>
        <v>0.46494349356108089</v>
      </c>
    </row>
    <row r="206" spans="1:6" x14ac:dyDescent="0.25">
      <c r="A206" s="99" t="s">
        <v>305</v>
      </c>
      <c r="B206" s="49">
        <v>34594689</v>
      </c>
      <c r="C206" s="49">
        <v>16967625</v>
      </c>
      <c r="D206" s="49">
        <v>8777754.3794999998</v>
      </c>
      <c r="E206" s="50">
        <f>VLOOKUP($A206,'Data shares'!$C:$FA,154)*100</f>
        <v>50</v>
      </c>
      <c r="F206" s="173">
        <f>C206/B206</f>
        <v>0.49046907171213477</v>
      </c>
    </row>
    <row r="207" spans="1:6" x14ac:dyDescent="0.25">
      <c r="A207" s="99" t="s">
        <v>691</v>
      </c>
      <c r="B207" s="49">
        <v>15436318</v>
      </c>
      <c r="C207" s="49">
        <v>8830500</v>
      </c>
      <c r="D207" s="49">
        <v>2983115.8402745002</v>
      </c>
      <c r="E207" s="50">
        <f>VLOOKUP($A207,'Data shares'!$C:$FA,154)*100</f>
        <v>59.209999999999994</v>
      </c>
      <c r="F207" s="173">
        <f>C207/B207</f>
        <v>0.5720599951361458</v>
      </c>
    </row>
    <row r="208" spans="1:6" x14ac:dyDescent="0.25">
      <c r="A208" s="99" t="s">
        <v>306</v>
      </c>
      <c r="B208" s="49">
        <v>358423198</v>
      </c>
      <c r="C208" s="49">
        <v>273072000</v>
      </c>
      <c r="D208" s="49">
        <v>133057431.17106</v>
      </c>
      <c r="E208" s="50">
        <f>VLOOKUP($A208,'Data shares'!$C:$FA,154)*100</f>
        <v>77.78</v>
      </c>
      <c r="F208" s="173">
        <f>C208/B208</f>
        <v>0.76187032960963652</v>
      </c>
    </row>
    <row r="209" spans="1:6" x14ac:dyDescent="0.25">
      <c r="A209" s="99" t="s">
        <v>590</v>
      </c>
      <c r="B209" s="49">
        <v>3547322779</v>
      </c>
      <c r="C209" s="49">
        <v>1603547100</v>
      </c>
      <c r="D209" s="49">
        <v>977995545.14423704</v>
      </c>
      <c r="E209" s="50">
        <f>VLOOKUP($A209,'Data shares'!$C:$FA,154)*100</f>
        <v>46.089999999999996</v>
      </c>
      <c r="F209" s="173">
        <f>C209/B209</f>
        <v>0.45204431620740315</v>
      </c>
    </row>
    <row r="210" spans="1:6" x14ac:dyDescent="0.25">
      <c r="A210" s="99" t="s">
        <v>557</v>
      </c>
      <c r="B210" s="49">
        <v>37741451</v>
      </c>
      <c r="C210" s="49">
        <v>16793100</v>
      </c>
      <c r="D210" s="49">
        <v>9210389.5327950008</v>
      </c>
      <c r="E210" s="50">
        <f>VLOOKUP($A210,'Data shares'!$C:$FA,154)*100</f>
        <v>44.940000000000005</v>
      </c>
      <c r="F210" s="173">
        <f>C210/B210</f>
        <v>0.44495109634232133</v>
      </c>
    </row>
    <row r="211" spans="1:6" x14ac:dyDescent="0.25">
      <c r="A211" s="99"/>
      <c r="B211" s="49"/>
      <c r="C211" s="49"/>
      <c r="D211" s="49"/>
      <c r="E211" s="50"/>
      <c r="F211" s="173"/>
    </row>
    <row r="212" spans="1:6" x14ac:dyDescent="0.25">
      <c r="A212" s="99"/>
      <c r="B212" s="49"/>
      <c r="C212" s="49"/>
      <c r="D212" s="49"/>
      <c r="E212" s="50"/>
      <c r="F212" s="173"/>
    </row>
    <row r="213" spans="1:6" x14ac:dyDescent="0.25">
      <c r="A213" s="99"/>
      <c r="B213" s="49"/>
      <c r="C213" s="49"/>
      <c r="D213" s="49"/>
      <c r="E213" s="50"/>
      <c r="F213" s="173"/>
    </row>
    <row r="214" spans="1:6" x14ac:dyDescent="0.25">
      <c r="A214" s="99"/>
      <c r="B214" s="49"/>
      <c r="C214" s="49"/>
      <c r="D214" s="49"/>
      <c r="E214" s="50"/>
      <c r="F214" s="173"/>
    </row>
    <row r="215" spans="1:6" x14ac:dyDescent="0.25">
      <c r="A215" s="99"/>
      <c r="B215" s="49"/>
      <c r="C215" s="49"/>
      <c r="D215" s="49"/>
      <c r="E215" s="50"/>
      <c r="F215" s="173"/>
    </row>
    <row r="216" spans="1:6" x14ac:dyDescent="0.25">
      <c r="A216" s="99"/>
      <c r="B216" s="49"/>
      <c r="C216" s="49"/>
      <c r="D216" s="49"/>
      <c r="E216" s="50"/>
      <c r="F216" s="173"/>
    </row>
    <row r="217" spans="1:6" x14ac:dyDescent="0.25">
      <c r="A217" s="99"/>
      <c r="B217" s="49"/>
      <c r="C217" s="49"/>
      <c r="D217" s="49"/>
      <c r="E217" s="50"/>
      <c r="F217" s="173"/>
    </row>
    <row r="218" spans="1:6" x14ac:dyDescent="0.25">
      <c r="A218" s="99"/>
      <c r="B218" s="49"/>
      <c r="C218" s="49"/>
      <c r="D218" s="49"/>
      <c r="E218" s="50"/>
      <c r="F218" s="173"/>
    </row>
    <row r="219" spans="1:6" x14ac:dyDescent="0.25">
      <c r="A219" s="99"/>
      <c r="B219" s="49"/>
      <c r="C219" s="49"/>
      <c r="D219" s="49"/>
      <c r="E219" s="50"/>
      <c r="F219" s="173"/>
    </row>
    <row r="220" spans="1:6" x14ac:dyDescent="0.25">
      <c r="A220" s="99"/>
      <c r="B220" s="49"/>
      <c r="C220" s="49"/>
      <c r="D220" s="49"/>
      <c r="E220" s="50"/>
      <c r="F220" s="173"/>
    </row>
    <row r="221" spans="1:6" x14ac:dyDescent="0.25">
      <c r="A221" s="99"/>
      <c r="B221" s="49"/>
      <c r="C221" s="49"/>
      <c r="D221" s="49"/>
      <c r="E221" s="50"/>
      <c r="F221" s="173"/>
    </row>
    <row r="222" spans="1:6" x14ac:dyDescent="0.25">
      <c r="A222" s="99"/>
      <c r="B222" s="49"/>
      <c r="C222" s="49"/>
      <c r="D222" s="49"/>
      <c r="E222" s="50"/>
      <c r="F222" s="173"/>
    </row>
    <row r="223" spans="1:6" x14ac:dyDescent="0.25">
      <c r="A223" s="99"/>
      <c r="B223" s="49"/>
      <c r="C223" s="49"/>
      <c r="D223" s="49"/>
      <c r="E223" s="50"/>
      <c r="F223" s="173"/>
    </row>
    <row r="224" spans="1:6" x14ac:dyDescent="0.25">
      <c r="A224" s="99"/>
      <c r="B224" s="49"/>
      <c r="C224" s="49"/>
      <c r="D224" s="49"/>
      <c r="E224" s="50"/>
      <c r="F224" s="173"/>
    </row>
    <row r="225" spans="1:6" x14ac:dyDescent="0.25">
      <c r="A225" s="99"/>
      <c r="B225" s="49"/>
      <c r="C225" s="49"/>
      <c r="D225" s="49"/>
      <c r="E225" s="50"/>
      <c r="F225" s="173"/>
    </row>
    <row r="226" spans="1:6" x14ac:dyDescent="0.25">
      <c r="A226" s="99"/>
      <c r="B226" s="49"/>
      <c r="C226" s="49"/>
      <c r="D226" s="49"/>
      <c r="E226" s="50"/>
      <c r="F226" s="173"/>
    </row>
    <row r="227" spans="1:6" x14ac:dyDescent="0.25">
      <c r="A227" s="99"/>
      <c r="B227" s="49"/>
      <c r="C227" s="49"/>
      <c r="D227" s="49"/>
      <c r="E227" s="50"/>
      <c r="F227" s="173"/>
    </row>
    <row r="228" spans="1:6" x14ac:dyDescent="0.25">
      <c r="A228" s="99"/>
      <c r="B228" s="49"/>
      <c r="C228" s="49"/>
      <c r="D228" s="49"/>
      <c r="E228" s="50"/>
      <c r="F228" s="173"/>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10">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topLeftCell="A25" zoomScaleNormal="100" workbookViewId="0">
      <selection activeCell="I35" sqref="I35"/>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2" t="s">
        <v>420</v>
      </c>
      <c r="B4" s="323"/>
      <c r="C4" s="323"/>
      <c r="D4" s="323"/>
      <c r="E4" s="323"/>
      <c r="F4" s="323"/>
      <c r="G4" s="323"/>
      <c r="H4" s="323"/>
      <c r="I4" s="323"/>
      <c r="J4" s="323"/>
      <c r="K4" s="323"/>
      <c r="L4" s="323"/>
      <c r="M4" s="323"/>
      <c r="N4" s="324"/>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579</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579</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579</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606</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606</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606</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609</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609</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609</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598</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598</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598</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589</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589</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589</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602</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602</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602</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584</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584</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584</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611</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611</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611</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597</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597</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597</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601</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601</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601</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612</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612</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612</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572</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572</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572</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600</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600</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600</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583</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583</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583</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631</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631</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631</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576</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576</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576</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608</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608</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608</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578</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578</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578</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594</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594</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594</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592</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592</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592</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570</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570</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570</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581</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581</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581</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580</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580</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580</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582</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582</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582</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610</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610</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610</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577</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577</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577</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607</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607</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607</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588</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588</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588</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565</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565</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565</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561</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561</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561</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603</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603</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603</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563</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563</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563</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559</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559</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559</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591</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591</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591</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585</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585</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585</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566</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566</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566</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613</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613</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613</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587</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587</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587</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575</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575</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575</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573</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573</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573</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596</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596</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596</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605</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605</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605</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564</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564</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564</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562</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562</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562</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599</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599</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599</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614</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614</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614</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574</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574</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574</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604</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604</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604</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595</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595</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595</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593</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593</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593</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569</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569</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569</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586</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586</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586</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590</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590</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590</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571</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571</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571</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557</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557</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557</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5" t="s">
        <v>380</v>
      </c>
      <c r="B3" s="326"/>
      <c r="C3" s="326"/>
      <c r="D3" s="326"/>
      <c r="E3" s="326"/>
      <c r="F3" s="326"/>
      <c r="G3" s="327"/>
    </row>
    <row r="4" spans="1:7" s="72" customFormat="1" x14ac:dyDescent="0.25">
      <c r="A4" s="108" t="s">
        <v>330</v>
      </c>
      <c r="B4" s="328" t="s">
        <v>380</v>
      </c>
      <c r="C4" s="328"/>
      <c r="D4" s="328"/>
      <c r="E4" s="328"/>
      <c r="F4" s="328"/>
      <c r="G4" s="328"/>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1.96</v>
      </c>
      <c r="F6" s="49">
        <f>VLOOKUP($A6,'Data shares'!$C:$FA,129)</f>
        <v>246750</v>
      </c>
      <c r="G6" s="17"/>
    </row>
    <row r="7" spans="1:7" x14ac:dyDescent="0.25">
      <c r="A7" s="101" t="s">
        <v>228</v>
      </c>
      <c r="B7" s="17">
        <v>292206563</v>
      </c>
      <c r="C7" s="17">
        <v>71903525</v>
      </c>
      <c r="D7" s="17">
        <f t="shared" ref="D7:D70" si="0">C7</f>
        <v>71903525</v>
      </c>
      <c r="E7" s="49">
        <f>VLOOKUP($A7,'Data shares'!$C:$FA,128)*100</f>
        <v>11.14</v>
      </c>
      <c r="F7" s="49">
        <f>VLOOKUP($A7,'Data shares'!$C:$FA,129)</f>
        <v>3252200</v>
      </c>
      <c r="G7" s="17"/>
    </row>
    <row r="8" spans="1:7" x14ac:dyDescent="0.25">
      <c r="A8" s="101" t="s">
        <v>200</v>
      </c>
      <c r="B8" s="17">
        <v>417418754</v>
      </c>
      <c r="C8" s="17">
        <v>109662000</v>
      </c>
      <c r="D8" s="17">
        <f t="shared" si="0"/>
        <v>109662000</v>
      </c>
      <c r="E8" s="49">
        <f>VLOOKUP($A8,'Data shares'!$C:$FA,128)*100</f>
        <v>11.12</v>
      </c>
      <c r="F8" s="49">
        <f>VLOOKUP($A8,'Data shares'!$C:$FA,129)</f>
        <v>5174550</v>
      </c>
      <c r="G8" s="17"/>
    </row>
    <row r="9" spans="1:7" x14ac:dyDescent="0.25">
      <c r="A9" s="101" t="s">
        <v>214</v>
      </c>
      <c r="B9" s="17">
        <v>30110093</v>
      </c>
      <c r="C9" s="17">
        <v>10703050</v>
      </c>
      <c r="D9" s="17">
        <f t="shared" si="0"/>
        <v>10703050</v>
      </c>
      <c r="E9" s="49">
        <f>VLOOKUP($A9,'Data shares'!$C:$FA,128)*100</f>
        <v>0.45999999999999996</v>
      </c>
      <c r="F9" s="49">
        <f>VLOOKUP($A9,'Data shares'!$C:$FA,129)</f>
        <v>44625</v>
      </c>
      <c r="G9" s="17"/>
    </row>
    <row r="10" spans="1:7" x14ac:dyDescent="0.25">
      <c r="A10" s="101" t="s">
        <v>243</v>
      </c>
      <c r="B10" s="17">
        <v>80699820</v>
      </c>
      <c r="C10" s="17">
        <v>65367500</v>
      </c>
      <c r="D10" s="17">
        <f t="shared" si="0"/>
        <v>65367500</v>
      </c>
      <c r="E10" s="49">
        <f>VLOOKUP($A10,'Data shares'!$C:$FA,128)*100</f>
        <v>1.17</v>
      </c>
      <c r="F10" s="49">
        <f>VLOOKUP($A10,'Data shares'!$C:$FA,129)</f>
        <v>113125</v>
      </c>
      <c r="G10" s="17"/>
    </row>
    <row r="11" spans="1:7" x14ac:dyDescent="0.25">
      <c r="A11" s="101" t="s">
        <v>231</v>
      </c>
      <c r="B11" s="17">
        <v>80556813</v>
      </c>
      <c r="C11" s="17">
        <v>62967200</v>
      </c>
      <c r="D11" s="17">
        <f t="shared" si="0"/>
        <v>62967200</v>
      </c>
      <c r="E11" s="49">
        <f>VLOOKUP($A11,'Data shares'!$C:$FA,128)*100</f>
        <v>3.17</v>
      </c>
      <c r="F11" s="49">
        <f>VLOOKUP($A11,'Data shares'!$C:$FA,129)</f>
        <v>1301475</v>
      </c>
      <c r="G11" s="17"/>
    </row>
    <row r="12" spans="1:7" x14ac:dyDescent="0.25">
      <c r="A12" s="101" t="s">
        <v>195</v>
      </c>
      <c r="B12" s="17">
        <v>23823080</v>
      </c>
      <c r="C12" s="17">
        <v>2862400</v>
      </c>
      <c r="D12" s="17">
        <f t="shared" si="0"/>
        <v>2862400</v>
      </c>
      <c r="E12" s="49">
        <f>VLOOKUP($A12,'Data shares'!$C:$FA,128)*100</f>
        <v>0.44999999999999996</v>
      </c>
      <c r="F12" s="49">
        <f>VLOOKUP($A12,'Data shares'!$C:$FA,129)</f>
        <v>13625</v>
      </c>
      <c r="G12" s="17"/>
    </row>
    <row r="13" spans="1:7" x14ac:dyDescent="0.25">
      <c r="A13" s="101" t="s">
        <v>304</v>
      </c>
      <c r="B13" s="17">
        <v>223492679</v>
      </c>
      <c r="C13" s="17">
        <v>98465300</v>
      </c>
      <c r="D13" s="17">
        <f t="shared" si="0"/>
        <v>98465300</v>
      </c>
      <c r="E13" s="49">
        <f>VLOOKUP($A13,'Data shares'!$C:$FA,128)*100</f>
        <v>9.15</v>
      </c>
      <c r="F13" s="49">
        <f>VLOOKUP($A13,'Data shares'!$C:$FA,129)</f>
        <v>6392850</v>
      </c>
      <c r="G13" s="17"/>
    </row>
    <row r="14" spans="1:7" x14ac:dyDescent="0.25">
      <c r="A14" s="101" t="s">
        <v>167</v>
      </c>
      <c r="B14" s="17">
        <v>282181803</v>
      </c>
      <c r="C14" s="17">
        <v>95526000</v>
      </c>
      <c r="D14" s="17">
        <f t="shared" si="0"/>
        <v>95526000</v>
      </c>
      <c r="E14" s="49">
        <f>VLOOKUP($A14,'Data shares'!$C:$FA,128)*100</f>
        <v>2.91</v>
      </c>
      <c r="F14" s="49">
        <f>VLOOKUP($A14,'Data shares'!$C:$FA,129)</f>
        <v>3835000</v>
      </c>
      <c r="G14" s="17"/>
    </row>
    <row r="15" spans="1:7" x14ac:dyDescent="0.25">
      <c r="A15" s="101" t="s">
        <v>222</v>
      </c>
      <c r="B15" s="17">
        <v>214194964</v>
      </c>
      <c r="C15" s="17">
        <v>37437400</v>
      </c>
      <c r="D15" s="17">
        <f t="shared" si="0"/>
        <v>37437400</v>
      </c>
      <c r="E15" s="49">
        <f>VLOOKUP($A15,'Data shares'!$C:$FA,128)*100</f>
        <v>1.7999999999999998</v>
      </c>
      <c r="F15" s="49">
        <f>VLOOKUP($A15,'Data shares'!$C:$FA,129)</f>
        <v>463750</v>
      </c>
      <c r="G15" s="17"/>
    </row>
    <row r="16" spans="1:7" x14ac:dyDescent="0.25">
      <c r="A16" s="101" t="s">
        <v>290</v>
      </c>
      <c r="B16" s="17">
        <v>31601465</v>
      </c>
      <c r="C16" s="17">
        <v>13192000</v>
      </c>
      <c r="D16" s="17">
        <f t="shared" si="0"/>
        <v>13192000</v>
      </c>
      <c r="E16" s="49">
        <f>VLOOKUP($A16,'Data shares'!$C:$FA,128)*100</f>
        <v>0</v>
      </c>
      <c r="F16" s="49">
        <f>VLOOKUP($A16,'Data shares'!$C:$FA,129)</f>
        <v>0</v>
      </c>
      <c r="G16" s="17"/>
    </row>
    <row r="17" spans="1:7" x14ac:dyDescent="0.25">
      <c r="A17" s="101" t="s">
        <v>500</v>
      </c>
      <c r="B17" s="17">
        <v>24930381</v>
      </c>
      <c r="C17" s="17">
        <v>1925625</v>
      </c>
      <c r="D17" s="17">
        <f t="shared" si="0"/>
        <v>1925625</v>
      </c>
      <c r="E17" s="49">
        <f>VLOOKUP($A17,'Data shares'!$C:$FA,128)*100</f>
        <v>4.0199999999999996</v>
      </c>
      <c r="F17" s="49">
        <f>VLOOKUP($A17,'Data shares'!$C:$FA,129)</f>
        <v>1222500</v>
      </c>
      <c r="G17" s="17"/>
    </row>
    <row r="18" spans="1:7" x14ac:dyDescent="0.25">
      <c r="A18" s="101" t="s">
        <v>491</v>
      </c>
      <c r="B18" s="17">
        <v>53841317</v>
      </c>
      <c r="C18" s="17">
        <v>9268750</v>
      </c>
      <c r="D18" s="17">
        <f t="shared" si="0"/>
        <v>9268750</v>
      </c>
      <c r="E18" s="49">
        <f>VLOOKUP($A18,'Data shares'!$C:$FA,128)*100</f>
        <v>0.33</v>
      </c>
      <c r="F18" s="49">
        <f>VLOOKUP($A18,'Data shares'!$C:$FA,129)</f>
        <v>47500</v>
      </c>
      <c r="G18" s="17"/>
    </row>
    <row r="19" spans="1:7" x14ac:dyDescent="0.25">
      <c r="A19" s="101" t="s">
        <v>257</v>
      </c>
      <c r="B19" s="17">
        <v>43771086</v>
      </c>
      <c r="C19" s="17">
        <v>2865850</v>
      </c>
      <c r="D19" s="17">
        <f t="shared" si="0"/>
        <v>2865850</v>
      </c>
      <c r="E19" s="49">
        <f>VLOOKUP($A19,'Data shares'!$C:$FA,128)*100</f>
        <v>0.33</v>
      </c>
      <c r="F19" s="49">
        <f>VLOOKUP($A19,'Data shares'!$C:$FA,129)</f>
        <v>26800</v>
      </c>
      <c r="G19" s="17"/>
    </row>
    <row r="20" spans="1:7" x14ac:dyDescent="0.25">
      <c r="A20" s="101" t="s">
        <v>259</v>
      </c>
      <c r="B20" s="17">
        <v>12838406</v>
      </c>
      <c r="C20" s="17">
        <v>3561800</v>
      </c>
      <c r="D20" s="17">
        <f t="shared" si="0"/>
        <v>3561800</v>
      </c>
      <c r="E20" s="49">
        <f>VLOOKUP($A20,'Data shares'!$C:$FA,128)*100</f>
        <v>3.17</v>
      </c>
      <c r="F20" s="49">
        <f>VLOOKUP($A20,'Data shares'!$C:$FA,129)</f>
        <v>77760</v>
      </c>
      <c r="G20" s="17"/>
    </row>
    <row r="21" spans="1:7" x14ac:dyDescent="0.25">
      <c r="A21" s="101" t="s">
        <v>212</v>
      </c>
      <c r="B21" s="17">
        <v>393764205</v>
      </c>
      <c r="C21" s="17">
        <v>124730000</v>
      </c>
      <c r="D21" s="17">
        <f t="shared" si="0"/>
        <v>124730000</v>
      </c>
      <c r="E21" s="49">
        <f>VLOOKUP($A21,'Data shares'!$C:$FA,128)*100</f>
        <v>2.83</v>
      </c>
      <c r="F21" s="49">
        <f>VLOOKUP($A21,'Data shares'!$C:$FA,129)</f>
        <v>1540000</v>
      </c>
      <c r="G21" s="17"/>
    </row>
    <row r="22" spans="1:7" x14ac:dyDescent="0.25">
      <c r="A22" s="101" t="s">
        <v>209</v>
      </c>
      <c r="B22" s="17">
        <v>27768950</v>
      </c>
      <c r="C22" s="17">
        <v>5371100</v>
      </c>
      <c r="D22" s="17">
        <f t="shared" si="0"/>
        <v>5371100</v>
      </c>
      <c r="E22" s="49">
        <f>VLOOKUP($A22,'Data shares'!$C:$FA,128)*100</f>
        <v>2.16</v>
      </c>
      <c r="F22" s="49">
        <f>VLOOKUP($A22,'Data shares'!$C:$FA,129)</f>
        <v>62600</v>
      </c>
      <c r="G22" s="17"/>
    </row>
    <row r="23" spans="1:7" x14ac:dyDescent="0.25">
      <c r="A23" s="101" t="s">
        <v>501</v>
      </c>
      <c r="B23" s="17">
        <v>155792872</v>
      </c>
      <c r="C23" s="17">
        <v>50166406</v>
      </c>
      <c r="D23" s="17">
        <f t="shared" si="0"/>
        <v>50166406</v>
      </c>
      <c r="E23" s="49">
        <f>VLOOKUP($A23,'Data shares'!$C:$FA,128)*100</f>
        <v>3.58</v>
      </c>
      <c r="F23" s="49">
        <f>VLOOKUP($A23,'Data shares'!$C:$FA,129)</f>
        <v>718000</v>
      </c>
      <c r="G23" s="17"/>
    </row>
    <row r="24" spans="1:7" x14ac:dyDescent="0.25">
      <c r="A24" s="101" t="s">
        <v>276</v>
      </c>
      <c r="B24" s="17">
        <v>678857930</v>
      </c>
      <c r="C24" s="17">
        <v>84677374</v>
      </c>
      <c r="D24" s="17">
        <f t="shared" si="0"/>
        <v>84677374</v>
      </c>
      <c r="E24" s="49">
        <f>VLOOKUP($A24,'Data shares'!$C:$FA,128)*100</f>
        <v>1.71</v>
      </c>
      <c r="F24" s="49">
        <f>VLOOKUP($A24,'Data shares'!$C:$FA,129)</f>
        <v>1242600</v>
      </c>
      <c r="G24" s="17"/>
    </row>
    <row r="25" spans="1:7" x14ac:dyDescent="0.25">
      <c r="A25" s="101" t="s">
        <v>210</v>
      </c>
      <c r="B25" s="17">
        <v>14114257</v>
      </c>
      <c r="C25" s="17">
        <v>11000000</v>
      </c>
      <c r="D25" s="17">
        <f t="shared" si="0"/>
        <v>11000000</v>
      </c>
      <c r="E25" s="49">
        <f>VLOOKUP($A25,'Data shares'!$C:$FA,128)*100</f>
        <v>2.16</v>
      </c>
      <c r="F25" s="49">
        <f>VLOOKUP($A25,'Data shares'!$C:$FA,129)</f>
        <v>62600</v>
      </c>
      <c r="G25" s="17"/>
    </row>
    <row r="26" spans="1:7" x14ac:dyDescent="0.25">
      <c r="A26" s="101" t="s">
        <v>267</v>
      </c>
      <c r="B26" s="17">
        <v>229794455</v>
      </c>
      <c r="C26" s="17">
        <v>133289800</v>
      </c>
      <c r="D26" s="17">
        <f t="shared" si="0"/>
        <v>133289800</v>
      </c>
      <c r="E26" s="49">
        <f>VLOOKUP($A26,'Data shares'!$C:$FA,128)*100</f>
        <v>3.29</v>
      </c>
      <c r="F26" s="49">
        <f>VLOOKUP($A26,'Data shares'!$C:$FA,129)</f>
        <v>11002500</v>
      </c>
      <c r="G26" s="17"/>
    </row>
    <row r="27" spans="1:7" x14ac:dyDescent="0.25">
      <c r="A27" s="101" t="s">
        <v>533</v>
      </c>
      <c r="B27" s="17">
        <v>61337685</v>
      </c>
      <c r="C27" s="17">
        <v>24741600</v>
      </c>
      <c r="D27" s="17">
        <f t="shared" si="0"/>
        <v>24741600</v>
      </c>
      <c r="E27" s="49">
        <f>VLOOKUP($A27,'Data shares'!$C:$FA,128)*100</f>
        <v>1.4500000000000002</v>
      </c>
      <c r="F27" s="49">
        <f>VLOOKUP($A27,'Data shares'!$C:$FA,129)</f>
        <v>131750</v>
      </c>
      <c r="G27" s="17"/>
    </row>
    <row r="28" spans="1:7" x14ac:dyDescent="0.25">
      <c r="A28" s="101" t="s">
        <v>502</v>
      </c>
      <c r="B28" s="17">
        <v>5165920</v>
      </c>
      <c r="C28" s="17">
        <v>1179400</v>
      </c>
      <c r="D28" s="17">
        <f t="shared" si="0"/>
        <v>1179400</v>
      </c>
      <c r="E28" s="49">
        <f>VLOOKUP($A28,'Data shares'!$C:$FA,128)*100</f>
        <v>4.83</v>
      </c>
      <c r="F28" s="49">
        <f>VLOOKUP($A28,'Data shares'!$C:$FA,129)</f>
        <v>623125</v>
      </c>
      <c r="G28" s="17"/>
    </row>
    <row r="29" spans="1:7" x14ac:dyDescent="0.25">
      <c r="A29" s="101" t="s">
        <v>474</v>
      </c>
      <c r="B29" s="17">
        <v>7339737</v>
      </c>
      <c r="C29" s="17">
        <v>979625</v>
      </c>
      <c r="D29" s="17">
        <f t="shared" si="0"/>
        <v>979625</v>
      </c>
      <c r="E29" s="49">
        <f>VLOOKUP($A29,'Data shares'!$C:$FA,128)*100</f>
        <v>7.7399999999999993</v>
      </c>
      <c r="F29" s="49">
        <f>VLOOKUP($A29,'Data shares'!$C:$FA,129)</f>
        <v>460275</v>
      </c>
      <c r="G29" s="17"/>
    </row>
    <row r="30" spans="1:7" x14ac:dyDescent="0.25">
      <c r="A30" s="101" t="s">
        <v>158</v>
      </c>
      <c r="B30" s="17">
        <v>17078428</v>
      </c>
      <c r="C30" s="17">
        <v>3648750</v>
      </c>
      <c r="D30" s="17">
        <f t="shared" si="0"/>
        <v>3648750</v>
      </c>
      <c r="E30" s="49">
        <f>VLOOKUP($A30,'Data shares'!$C:$FA,128)*100</f>
        <v>1.59</v>
      </c>
      <c r="F30" s="49">
        <f>VLOOKUP($A30,'Data shares'!$C:$FA,129)</f>
        <v>765700</v>
      </c>
      <c r="G30" s="17"/>
    </row>
    <row r="31" spans="1:7" x14ac:dyDescent="0.25">
      <c r="A31" s="101" t="s">
        <v>268</v>
      </c>
      <c r="B31" s="17">
        <v>948263976</v>
      </c>
      <c r="C31" s="17">
        <v>170042400</v>
      </c>
      <c r="D31" s="17">
        <f t="shared" si="0"/>
        <v>170042400</v>
      </c>
      <c r="E31" s="49">
        <f>VLOOKUP($A31,'Data shares'!$C:$FA,128)*100</f>
        <v>1.6</v>
      </c>
      <c r="F31" s="49">
        <f>VLOOKUP($A31,'Data shares'!$C:$FA,129)</f>
        <v>1503000</v>
      </c>
      <c r="G31" s="17"/>
    </row>
    <row r="32" spans="1:7" x14ac:dyDescent="0.25">
      <c r="A32" s="101" t="s">
        <v>557</v>
      </c>
      <c r="B32" s="17">
        <v>51441633</v>
      </c>
      <c r="C32" s="17">
        <v>26329600</v>
      </c>
      <c r="D32" s="17">
        <f t="shared" si="0"/>
        <v>26329600</v>
      </c>
      <c r="E32" s="49">
        <f>VLOOKUP($A32,'Data shares'!$C:$FA,128)*100</f>
        <v>2.5100000000000002</v>
      </c>
      <c r="F32" s="49">
        <f>VLOOKUP($A32,'Data shares'!$C:$FA,129)</f>
        <v>231300</v>
      </c>
      <c r="G32" s="17"/>
    </row>
    <row r="33" spans="1:7" x14ac:dyDescent="0.25">
      <c r="A33" s="101" t="s">
        <v>549</v>
      </c>
      <c r="B33" s="17">
        <v>319287188</v>
      </c>
      <c r="C33" s="17">
        <v>149780000</v>
      </c>
      <c r="D33" s="17">
        <f t="shared" si="0"/>
        <v>149780000</v>
      </c>
      <c r="E33" s="49">
        <f>VLOOKUP($A33,'Data shares'!$C:$FA,128)*100</f>
        <v>3.8600000000000003</v>
      </c>
      <c r="F33" s="49">
        <f>VLOOKUP($A33,'Data shares'!$C:$FA,129)</f>
        <v>245588100</v>
      </c>
      <c r="G33" s="17"/>
    </row>
    <row r="34" spans="1:7" x14ac:dyDescent="0.25">
      <c r="A34" s="101" t="s">
        <v>536</v>
      </c>
      <c r="B34" s="17">
        <v>57585215</v>
      </c>
      <c r="C34" s="17">
        <v>5314000</v>
      </c>
      <c r="D34" s="17">
        <f t="shared" si="0"/>
        <v>5314000</v>
      </c>
      <c r="E34" s="49">
        <f>VLOOKUP($A34,'Data shares'!$C:$FA,128)*100</f>
        <v>7.9600000000000009</v>
      </c>
      <c r="F34" s="49">
        <f>VLOOKUP($A34,'Data shares'!$C:$FA,129)</f>
        <v>1847200</v>
      </c>
      <c r="G34" s="17"/>
    </row>
    <row r="35" spans="1:7" x14ac:dyDescent="0.25">
      <c r="A35" s="101" t="s">
        <v>270</v>
      </c>
      <c r="B35" s="17">
        <v>1178038</v>
      </c>
      <c r="C35" s="17">
        <v>100890</v>
      </c>
      <c r="D35" s="17">
        <f t="shared" si="0"/>
        <v>100890</v>
      </c>
      <c r="E35" s="49">
        <f>VLOOKUP($A35,'Data shares'!$C:$FA,128)*100</f>
        <v>5.08</v>
      </c>
      <c r="F35" s="49">
        <f>VLOOKUP($A35,'Data shares'!$C:$FA,129)</f>
        <v>11355</v>
      </c>
      <c r="G35" s="17"/>
    </row>
    <row r="36" spans="1:7" x14ac:dyDescent="0.25">
      <c r="A36" s="101" t="s">
        <v>258</v>
      </c>
      <c r="B36" s="17">
        <v>13335005</v>
      </c>
      <c r="C36" s="17">
        <v>5970600</v>
      </c>
      <c r="D36" s="17">
        <f t="shared" si="0"/>
        <v>5970600</v>
      </c>
      <c r="E36" s="49">
        <f>VLOOKUP($A36,'Data shares'!$C:$FA,128)*100</f>
        <v>0.33</v>
      </c>
      <c r="F36" s="49">
        <f>VLOOKUP($A36,'Data shares'!$C:$FA,129)</f>
        <v>26800</v>
      </c>
      <c r="G36" s="17"/>
    </row>
    <row r="37" spans="1:7" x14ac:dyDescent="0.25">
      <c r="A37" s="101" t="s">
        <v>301</v>
      </c>
      <c r="B37" s="17">
        <v>14428803</v>
      </c>
      <c r="C37" s="17">
        <v>2171400</v>
      </c>
      <c r="D37" s="17">
        <f t="shared" si="0"/>
        <v>2171400</v>
      </c>
      <c r="E37" s="49">
        <f>VLOOKUP($A37,'Data shares'!$C:$FA,128)*100</f>
        <v>0.71000000000000008</v>
      </c>
      <c r="F37" s="49">
        <f>VLOOKUP($A37,'Data shares'!$C:$FA,129)</f>
        <v>49175</v>
      </c>
      <c r="G37" s="17"/>
    </row>
    <row r="38" spans="1:7" x14ac:dyDescent="0.25">
      <c r="A38" s="101" t="s">
        <v>283</v>
      </c>
      <c r="B38" s="17">
        <v>747713393</v>
      </c>
      <c r="C38" s="17">
        <v>158166000</v>
      </c>
      <c r="D38" s="17">
        <f t="shared" si="0"/>
        <v>158166000</v>
      </c>
      <c r="E38" s="49">
        <f>VLOOKUP($A38,'Data shares'!$C:$FA,128)*100</f>
        <v>4.5</v>
      </c>
      <c r="F38" s="49">
        <f>VLOOKUP($A38,'Data shares'!$C:$FA,129)</f>
        <v>2257500</v>
      </c>
      <c r="G38" s="17"/>
    </row>
    <row r="39" spans="1:7" x14ac:dyDescent="0.25">
      <c r="A39" s="101" t="s">
        <v>281</v>
      </c>
      <c r="B39" s="17">
        <v>648405756</v>
      </c>
      <c r="C39" s="17">
        <v>61815500</v>
      </c>
      <c r="D39" s="17">
        <f t="shared" si="0"/>
        <v>61815500</v>
      </c>
      <c r="E39" s="49">
        <f>VLOOKUP($A39,'Data shares'!$C:$FA,128)*100</f>
        <v>4.3</v>
      </c>
      <c r="F39" s="49">
        <f>VLOOKUP($A39,'Data shares'!$C:$FA,129)</f>
        <v>4669500</v>
      </c>
      <c r="G39" s="17"/>
    </row>
    <row r="40" spans="1:7" x14ac:dyDescent="0.25">
      <c r="A40" s="101" t="s">
        <v>198</v>
      </c>
      <c r="B40" s="17">
        <v>79546680</v>
      </c>
      <c r="C40" s="17">
        <v>13283750</v>
      </c>
      <c r="D40" s="17">
        <f t="shared" si="0"/>
        <v>13283750</v>
      </c>
      <c r="E40" s="49">
        <f>VLOOKUP($A40,'Data shares'!$C:$FA,128)*100</f>
        <v>0.62</v>
      </c>
      <c r="F40" s="49">
        <f>VLOOKUP($A40,'Data shares'!$C:$FA,129)</f>
        <v>92500</v>
      </c>
      <c r="G40" s="17"/>
    </row>
    <row r="41" spans="1:7" x14ac:dyDescent="0.25">
      <c r="A41" s="101" t="s">
        <v>299</v>
      </c>
      <c r="B41" s="17">
        <v>44634693</v>
      </c>
      <c r="C41" s="17">
        <v>3805500</v>
      </c>
      <c r="D41" s="17">
        <f t="shared" si="0"/>
        <v>3805500</v>
      </c>
      <c r="E41" s="49">
        <f>VLOOKUP($A41,'Data shares'!$C:$FA,128)*100</f>
        <v>1.4200000000000002</v>
      </c>
      <c r="F41" s="49">
        <f>VLOOKUP($A41,'Data shares'!$C:$FA,129)</f>
        <v>49725</v>
      </c>
      <c r="G41" s="17"/>
    </row>
    <row r="42" spans="1:7" x14ac:dyDescent="0.25">
      <c r="A42" s="101" t="s">
        <v>273</v>
      </c>
      <c r="B42" s="17">
        <v>232357926</v>
      </c>
      <c r="C42" s="17">
        <v>67053000</v>
      </c>
      <c r="D42" s="17">
        <f t="shared" si="0"/>
        <v>67053000</v>
      </c>
      <c r="E42" s="49">
        <f>VLOOKUP($A42,'Data shares'!$C:$FA,128)*100</f>
        <v>13.83</v>
      </c>
      <c r="F42" s="49">
        <f>VLOOKUP($A42,'Data shares'!$C:$FA,129)</f>
        <v>9042800</v>
      </c>
      <c r="G42" s="17"/>
    </row>
    <row r="43" spans="1:7" x14ac:dyDescent="0.25">
      <c r="A43" s="101" t="s">
        <v>207</v>
      </c>
      <c r="B43" s="17">
        <v>124016568</v>
      </c>
      <c r="C43" s="17">
        <v>57530550</v>
      </c>
      <c r="D43" s="17">
        <f t="shared" si="0"/>
        <v>57530550</v>
      </c>
      <c r="E43" s="49">
        <f>VLOOKUP($A43,'Data shares'!$C:$FA,128)*100</f>
        <v>5.12</v>
      </c>
      <c r="F43" s="49">
        <f>VLOOKUP($A43,'Data shares'!$C:$FA,129)</f>
        <v>2762925</v>
      </c>
      <c r="G43" s="17"/>
    </row>
    <row r="44" spans="1:7" x14ac:dyDescent="0.25">
      <c r="A44" s="101" t="s">
        <v>191</v>
      </c>
      <c r="B44" s="17">
        <v>92946457</v>
      </c>
      <c r="C44" s="17">
        <v>36478000</v>
      </c>
      <c r="D44" s="17">
        <f t="shared" si="0"/>
        <v>36478000</v>
      </c>
      <c r="E44" s="49">
        <f>VLOOKUP($A44,'Data shares'!$C:$FA,128)*100</f>
        <v>4.58</v>
      </c>
      <c r="F44" s="49">
        <f>VLOOKUP($A44,'Data shares'!$C:$FA,129)</f>
        <v>1697500</v>
      </c>
      <c r="G44" s="17"/>
    </row>
    <row r="45" spans="1:7" x14ac:dyDescent="0.25">
      <c r="A45" s="101" t="s">
        <v>288</v>
      </c>
      <c r="B45" s="17">
        <v>218440087</v>
      </c>
      <c r="C45" s="17">
        <v>44080400</v>
      </c>
      <c r="D45" s="17">
        <f t="shared" si="0"/>
        <v>44080400</v>
      </c>
      <c r="E45" s="49">
        <f>VLOOKUP($A45,'Data shares'!$C:$FA,128)*100</f>
        <v>0.71000000000000008</v>
      </c>
      <c r="F45" s="49">
        <f>VLOOKUP($A45,'Data shares'!$C:$FA,129)</f>
        <v>150150</v>
      </c>
      <c r="G45" s="17"/>
    </row>
    <row r="46" spans="1:7" x14ac:dyDescent="0.25">
      <c r="A46" s="101" t="s">
        <v>275</v>
      </c>
      <c r="B46" s="17">
        <v>591377974</v>
      </c>
      <c r="C46" s="17">
        <v>493488000</v>
      </c>
      <c r="D46" s="17">
        <f t="shared" si="0"/>
        <v>493488000</v>
      </c>
      <c r="E46" s="49">
        <f>VLOOKUP($A46,'Data shares'!$C:$FA,128)*100</f>
        <v>6.36</v>
      </c>
      <c r="F46" s="49">
        <f>VLOOKUP($A46,'Data shares'!$C:$FA,129)</f>
        <v>14872000</v>
      </c>
      <c r="G46" s="17"/>
    </row>
    <row r="47" spans="1:7" x14ac:dyDescent="0.25">
      <c r="A47" s="101" t="s">
        <v>277</v>
      </c>
      <c r="B47" s="17">
        <v>10116165</v>
      </c>
      <c r="C47" s="17">
        <v>7378910</v>
      </c>
      <c r="D47" s="17">
        <f t="shared" si="0"/>
        <v>7378910</v>
      </c>
      <c r="E47" s="49">
        <f>VLOOKUP($A47,'Data shares'!$C:$FA,128)*100</f>
        <v>1.23</v>
      </c>
      <c r="F47" s="49">
        <f>VLOOKUP($A47,'Data shares'!$C:$FA,129)</f>
        <v>58050</v>
      </c>
      <c r="G47" s="17"/>
    </row>
    <row r="48" spans="1:7" x14ac:dyDescent="0.25">
      <c r="A48" s="101" t="s">
        <v>196</v>
      </c>
      <c r="B48" s="17">
        <v>134484114</v>
      </c>
      <c r="C48" s="17">
        <v>73278000</v>
      </c>
      <c r="D48" s="17">
        <f t="shared" si="0"/>
        <v>73278000</v>
      </c>
      <c r="E48" s="49">
        <f>VLOOKUP($A48,'Data shares'!$C:$FA,128)*100</f>
        <v>5.25</v>
      </c>
      <c r="F48" s="49">
        <f>VLOOKUP($A48,'Data shares'!$C:$FA,129)</f>
        <v>7479000</v>
      </c>
      <c r="G48" s="17"/>
    </row>
    <row r="49" spans="1:7" x14ac:dyDescent="0.25">
      <c r="A49" s="101" t="s">
        <v>287</v>
      </c>
      <c r="B49" s="17">
        <v>40005132</v>
      </c>
      <c r="C49" s="17">
        <v>6264400</v>
      </c>
      <c r="D49" s="17">
        <f t="shared" si="0"/>
        <v>6264400</v>
      </c>
      <c r="E49" s="49">
        <f>VLOOKUP($A49,'Data shares'!$C:$FA,128)*100</f>
        <v>1.79</v>
      </c>
      <c r="F49" s="49">
        <f>VLOOKUP($A49,'Data shares'!$C:$FA,129)</f>
        <v>63800</v>
      </c>
      <c r="G49" s="17"/>
    </row>
    <row r="50" spans="1:7" x14ac:dyDescent="0.25">
      <c r="A50" s="101" t="s">
        <v>553</v>
      </c>
      <c r="B50" s="17">
        <v>10595418</v>
      </c>
      <c r="C50" s="17">
        <v>250250</v>
      </c>
      <c r="D50" s="17">
        <f t="shared" si="0"/>
        <v>250250</v>
      </c>
      <c r="E50" s="49">
        <f>VLOOKUP($A50,'Data shares'!$C:$FA,128)*100</f>
        <v>1.95</v>
      </c>
      <c r="F50" s="49">
        <f>VLOOKUP($A50,'Data shares'!$C:$FA,129)</f>
        <v>38625</v>
      </c>
      <c r="G50" s="17"/>
    </row>
    <row r="51" spans="1:7" x14ac:dyDescent="0.25">
      <c r="A51" s="101" t="s">
        <v>519</v>
      </c>
      <c r="B51" s="17">
        <v>9516271</v>
      </c>
      <c r="C51" s="17">
        <v>1000800</v>
      </c>
      <c r="D51" s="17">
        <f t="shared" si="0"/>
        <v>1000800</v>
      </c>
      <c r="E51" s="49">
        <f>VLOOKUP($A51,'Data shares'!$C:$FA,128)*100</f>
        <v>3.7699999999999996</v>
      </c>
      <c r="F51" s="49">
        <f>VLOOKUP($A51,'Data shares'!$C:$FA,129)</f>
        <v>76125</v>
      </c>
      <c r="G51" s="17"/>
    </row>
    <row r="52" spans="1:7" x14ac:dyDescent="0.25">
      <c r="A52" s="101" t="s">
        <v>550</v>
      </c>
      <c r="B52" s="17">
        <v>137684181</v>
      </c>
      <c r="C52" s="17">
        <v>42696000</v>
      </c>
      <c r="D52" s="17">
        <f t="shared" si="0"/>
        <v>42696000</v>
      </c>
      <c r="E52" s="49">
        <f>VLOOKUP($A52,'Data shares'!$C:$FA,128)*100</f>
        <v>3.4099999999999997</v>
      </c>
      <c r="F52" s="49">
        <f>VLOOKUP($A52,'Data shares'!$C:$FA,129)</f>
        <v>2827500</v>
      </c>
      <c r="G52" s="17"/>
    </row>
    <row r="53" spans="1:7" x14ac:dyDescent="0.25">
      <c r="A53" s="101" t="s">
        <v>284</v>
      </c>
      <c r="B53" s="17">
        <v>2702190</v>
      </c>
      <c r="C53" s="17">
        <v>250575</v>
      </c>
      <c r="D53" s="17">
        <f t="shared" si="0"/>
        <v>250575</v>
      </c>
      <c r="E53" s="49">
        <f>VLOOKUP($A53,'Data shares'!$C:$FA,128)*100</f>
        <v>4.29</v>
      </c>
      <c r="F53" s="49">
        <f>VLOOKUP($A53,'Data shares'!$C:$FA,129)</f>
        <v>13625</v>
      </c>
      <c r="G53" s="17"/>
    </row>
    <row r="54" spans="1:7" x14ac:dyDescent="0.25">
      <c r="A54" s="101" t="s">
        <v>488</v>
      </c>
      <c r="B54" s="17">
        <v>5499709</v>
      </c>
      <c r="C54" s="17">
        <v>1097600</v>
      </c>
      <c r="D54" s="17">
        <f t="shared" si="0"/>
        <v>1097600</v>
      </c>
      <c r="E54" s="49">
        <f>VLOOKUP($A54,'Data shares'!$C:$FA,128)*100</f>
        <v>2.4699999999999998</v>
      </c>
      <c r="F54" s="49">
        <f>VLOOKUP($A54,'Data shares'!$C:$FA,129)</f>
        <v>74700</v>
      </c>
      <c r="G54" s="17"/>
    </row>
    <row r="55" spans="1:7" x14ac:dyDescent="0.25">
      <c r="A55" s="101" t="s">
        <v>523</v>
      </c>
      <c r="B55" s="17">
        <v>118085392</v>
      </c>
      <c r="C55" s="17">
        <v>6549400</v>
      </c>
      <c r="D55" s="17">
        <f t="shared" si="0"/>
        <v>6549400</v>
      </c>
      <c r="E55" s="49">
        <f>VLOOKUP($A55,'Data shares'!$C:$FA,128)*100</f>
        <v>1.8599999999999999</v>
      </c>
      <c r="F55" s="49">
        <f>VLOOKUP($A55,'Data shares'!$C:$FA,129)</f>
        <v>869400</v>
      </c>
      <c r="G55" s="17"/>
    </row>
    <row r="56" spans="1:7" x14ac:dyDescent="0.25">
      <c r="A56" s="101" t="s">
        <v>485</v>
      </c>
      <c r="B56" s="17">
        <v>6917069</v>
      </c>
      <c r="C56" s="17">
        <v>762075</v>
      </c>
      <c r="D56" s="17">
        <f t="shared" si="0"/>
        <v>762075</v>
      </c>
      <c r="E56" s="49">
        <f>VLOOKUP($A56,'Data shares'!$C:$FA,128)*100</f>
        <v>1.83</v>
      </c>
      <c r="F56" s="49">
        <f>VLOOKUP($A56,'Data shares'!$C:$FA,129)</f>
        <v>210750</v>
      </c>
      <c r="G56" s="17"/>
    </row>
    <row r="57" spans="1:7" x14ac:dyDescent="0.25">
      <c r="A57" s="101" t="s">
        <v>178</v>
      </c>
      <c r="B57" s="17">
        <v>16125398</v>
      </c>
      <c r="C57" s="17">
        <v>1552600</v>
      </c>
      <c r="D57" s="17">
        <f t="shared" si="0"/>
        <v>1552600</v>
      </c>
      <c r="E57" s="49">
        <f>VLOOKUP($A57,'Data shares'!$C:$FA,128)*100</f>
        <v>2.1</v>
      </c>
      <c r="F57" s="49">
        <f>VLOOKUP($A57,'Data shares'!$C:$FA,129)</f>
        <v>1578000</v>
      </c>
      <c r="G57" s="17"/>
    </row>
    <row r="58" spans="1:7" x14ac:dyDescent="0.25">
      <c r="A58" s="101" t="s">
        <v>240</v>
      </c>
      <c r="B58" s="17">
        <v>727896180</v>
      </c>
      <c r="C58" s="17">
        <v>46526100</v>
      </c>
      <c r="D58" s="17">
        <f t="shared" si="0"/>
        <v>46526100</v>
      </c>
      <c r="E58" s="49">
        <f>VLOOKUP($A58,'Data shares'!$C:$FA,128)*100</f>
        <v>6.88</v>
      </c>
      <c r="F58" s="49">
        <f>VLOOKUP($A58,'Data shares'!$C:$FA,129)</f>
        <v>5538000</v>
      </c>
      <c r="G58" s="17"/>
    </row>
    <row r="59" spans="1:7" x14ac:dyDescent="0.25">
      <c r="A59" s="101" t="s">
        <v>202</v>
      </c>
      <c r="B59" s="17">
        <v>55081874</v>
      </c>
      <c r="C59" s="17">
        <v>10856000</v>
      </c>
      <c r="D59" s="17">
        <f t="shared" si="0"/>
        <v>10856000</v>
      </c>
      <c r="E59" s="49">
        <f>VLOOKUP($A59,'Data shares'!$C:$FA,128)*100</f>
        <v>4.0199999999999996</v>
      </c>
      <c r="F59" s="49">
        <f>VLOOKUP($A59,'Data shares'!$C:$FA,129)</f>
        <v>1222500</v>
      </c>
      <c r="G59" s="17"/>
    </row>
    <row r="60" spans="1:7" x14ac:dyDescent="0.25">
      <c r="A60" s="101" t="s">
        <v>245</v>
      </c>
      <c r="B60" s="17">
        <v>15273675</v>
      </c>
      <c r="C60" s="17">
        <v>5077125</v>
      </c>
      <c r="D60" s="17">
        <f t="shared" si="0"/>
        <v>5077125</v>
      </c>
      <c r="E60" s="49">
        <f>VLOOKUP($A60,'Data shares'!$C:$FA,128)*100</f>
        <v>5.83</v>
      </c>
      <c r="F60" s="49">
        <f>VLOOKUP($A60,'Data shares'!$C:$FA,129)</f>
        <v>1511250</v>
      </c>
      <c r="G60" s="17"/>
    </row>
    <row r="61" spans="1:7" x14ac:dyDescent="0.25">
      <c r="A61" s="101" t="s">
        <v>173</v>
      </c>
      <c r="B61" s="17">
        <v>541823383</v>
      </c>
      <c r="C61" s="17">
        <v>95378400</v>
      </c>
      <c r="D61" s="17">
        <f t="shared" si="0"/>
        <v>95378400</v>
      </c>
      <c r="E61" s="49">
        <f>VLOOKUP($A61,'Data shares'!$C:$FA,128)*100</f>
        <v>1.1599999999999999</v>
      </c>
      <c r="F61" s="49">
        <f>VLOOKUP($A61,'Data shares'!$C:$FA,129)</f>
        <v>605000</v>
      </c>
      <c r="G61" s="17"/>
    </row>
    <row r="62" spans="1:7" x14ac:dyDescent="0.25">
      <c r="A62" s="101" t="s">
        <v>234</v>
      </c>
      <c r="B62" s="17">
        <v>1606294231</v>
      </c>
      <c r="C62" s="17">
        <v>1302000000</v>
      </c>
      <c r="D62" s="17">
        <f t="shared" si="0"/>
        <v>1302000000</v>
      </c>
      <c r="E62" s="49">
        <f>VLOOKUP($A62,'Data shares'!$C:$FA,128)*100</f>
        <v>3.8600000000000003</v>
      </c>
      <c r="F62" s="49">
        <f>VLOOKUP($A62,'Data shares'!$C:$FA,129)</f>
        <v>245588100</v>
      </c>
      <c r="G62" s="17"/>
    </row>
    <row r="63" spans="1:7" x14ac:dyDescent="0.25">
      <c r="A63" s="101" t="s">
        <v>235</v>
      </c>
      <c r="B63" s="17">
        <v>789260827</v>
      </c>
      <c r="C63" s="17">
        <v>462303900</v>
      </c>
      <c r="D63" s="17">
        <f t="shared" si="0"/>
        <v>462303900</v>
      </c>
      <c r="E63" s="49">
        <f>VLOOKUP($A63,'Data shares'!$C:$FA,128)*100</f>
        <v>7.7399999999999993</v>
      </c>
      <c r="F63" s="49">
        <f>VLOOKUP($A63,'Data shares'!$C:$FA,129)</f>
        <v>36061200</v>
      </c>
      <c r="G63" s="17"/>
    </row>
    <row r="64" spans="1:7" x14ac:dyDescent="0.25">
      <c r="A64" s="101" t="s">
        <v>482</v>
      </c>
      <c r="B64" s="17">
        <v>44785930</v>
      </c>
      <c r="C64" s="17">
        <v>4025925</v>
      </c>
      <c r="D64" s="17">
        <f t="shared" si="0"/>
        <v>4025925</v>
      </c>
      <c r="E64" s="49">
        <f>VLOOKUP($A64,'Data shares'!$C:$FA,128)*100</f>
        <v>3.2800000000000002</v>
      </c>
      <c r="F64" s="49">
        <f>VLOOKUP($A64,'Data shares'!$C:$FA,129)</f>
        <v>210200</v>
      </c>
      <c r="G64" s="17"/>
    </row>
    <row r="65" spans="1:7" x14ac:dyDescent="0.25">
      <c r="A65" s="101" t="s">
        <v>475</v>
      </c>
      <c r="B65" s="17">
        <v>13287700</v>
      </c>
      <c r="C65" s="17">
        <v>3968400</v>
      </c>
      <c r="D65" s="17">
        <f t="shared" si="0"/>
        <v>3968400</v>
      </c>
      <c r="E65" s="49">
        <f>VLOOKUP($A65,'Data shares'!$C:$FA,128)*100</f>
        <v>0.91</v>
      </c>
      <c r="F65" s="49">
        <f>VLOOKUP($A65,'Data shares'!$C:$FA,129)</f>
        <v>38100</v>
      </c>
      <c r="G65" s="17"/>
    </row>
    <row r="66" spans="1:7" x14ac:dyDescent="0.25">
      <c r="A66" s="101" t="s">
        <v>306</v>
      </c>
      <c r="B66" s="17">
        <v>292716179</v>
      </c>
      <c r="C66" s="17">
        <v>57797600</v>
      </c>
      <c r="D66" s="17">
        <f t="shared" si="0"/>
        <v>57797600</v>
      </c>
      <c r="E66" s="49">
        <f>VLOOKUP($A66,'Data shares'!$C:$FA,128)*100</f>
        <v>7.7</v>
      </c>
      <c r="F66" s="49">
        <f>VLOOKUP($A66,'Data shares'!$C:$FA,129)</f>
        <v>11616000</v>
      </c>
      <c r="G66" s="17"/>
    </row>
    <row r="67" spans="1:7" x14ac:dyDescent="0.25">
      <c r="A67" s="101" t="s">
        <v>262</v>
      </c>
      <c r="B67" s="17">
        <v>21376133</v>
      </c>
      <c r="C67" s="17">
        <v>5958375</v>
      </c>
      <c r="D67" s="17">
        <f t="shared" si="0"/>
        <v>5958375</v>
      </c>
      <c r="E67" s="49">
        <f>VLOOKUP($A67,'Data shares'!$C:$FA,128)*100</f>
        <v>3.84</v>
      </c>
      <c r="F67" s="49">
        <f>VLOOKUP($A67,'Data shares'!$C:$FA,129)</f>
        <v>152900</v>
      </c>
      <c r="G67" s="17"/>
    </row>
    <row r="68" spans="1:7" x14ac:dyDescent="0.25">
      <c r="A68" s="101" t="s">
        <v>174</v>
      </c>
      <c r="B68" s="17">
        <v>26775498</v>
      </c>
      <c r="C68" s="17">
        <v>3494750</v>
      </c>
      <c r="D68" s="17">
        <f t="shared" si="0"/>
        <v>3494750</v>
      </c>
      <c r="E68" s="49">
        <f>VLOOKUP($A68,'Data shares'!$C:$FA,128)*100</f>
        <v>0.76</v>
      </c>
      <c r="F68" s="49">
        <f>VLOOKUP($A68,'Data shares'!$C:$FA,129)</f>
        <v>24900</v>
      </c>
      <c r="G68" s="17"/>
    </row>
    <row r="69" spans="1:7" x14ac:dyDescent="0.25">
      <c r="A69" s="101" t="s">
        <v>286</v>
      </c>
      <c r="B69" s="17">
        <v>29168705</v>
      </c>
      <c r="C69" s="17">
        <v>6373125</v>
      </c>
      <c r="D69" s="17">
        <f t="shared" si="0"/>
        <v>6373125</v>
      </c>
      <c r="E69" s="49">
        <f>VLOOKUP($A69,'Data shares'!$C:$FA,128)*100</f>
        <v>1.79</v>
      </c>
      <c r="F69" s="49">
        <f>VLOOKUP($A69,'Data shares'!$C:$FA,129)</f>
        <v>63800</v>
      </c>
      <c r="G69" s="17"/>
    </row>
    <row r="70" spans="1:7" x14ac:dyDescent="0.25">
      <c r="A70" s="101" t="s">
        <v>297</v>
      </c>
      <c r="B70" s="17">
        <v>83636848</v>
      </c>
      <c r="C70" s="17">
        <v>13455750</v>
      </c>
      <c r="D70" s="17">
        <f t="shared" si="0"/>
        <v>13455750</v>
      </c>
      <c r="E70" s="49">
        <f>VLOOKUP($A70,'Data shares'!$C:$FA,128)*100</f>
        <v>1.2</v>
      </c>
      <c r="F70" s="49">
        <f>VLOOKUP($A70,'Data shares'!$C:$FA,129)</f>
        <v>109200</v>
      </c>
      <c r="G70" s="17"/>
    </row>
    <row r="71" spans="1:7" x14ac:dyDescent="0.25">
      <c r="A71" s="101" t="s">
        <v>302</v>
      </c>
      <c r="B71" s="17">
        <v>23058222</v>
      </c>
      <c r="C71" s="17">
        <v>3980500</v>
      </c>
      <c r="D71" s="17">
        <f t="shared" ref="D71:D134" si="1">C71</f>
        <v>3980500</v>
      </c>
      <c r="E71" s="49">
        <f>VLOOKUP($A71,'Data shares'!$C:$FA,128)*100</f>
        <v>0.9900000000000001</v>
      </c>
      <c r="F71" s="49">
        <f>VLOOKUP($A71,'Data shares'!$C:$FA,129)</f>
        <v>18750</v>
      </c>
      <c r="G71" s="17"/>
    </row>
    <row r="72" spans="1:7" x14ac:dyDescent="0.25">
      <c r="A72" s="101" t="s">
        <v>307</v>
      </c>
      <c r="B72" s="17">
        <v>184439886</v>
      </c>
      <c r="C72" s="17">
        <v>122460000</v>
      </c>
      <c r="D72" s="17">
        <f t="shared" si="1"/>
        <v>122460000</v>
      </c>
      <c r="E72" s="49">
        <f>VLOOKUP($A72,'Data shares'!$C:$FA,128)*100</f>
        <v>7.62</v>
      </c>
      <c r="F72" s="49">
        <f>VLOOKUP($A72,'Data shares'!$C:$FA,129)</f>
        <v>79802600</v>
      </c>
      <c r="G72" s="17"/>
    </row>
    <row r="73" spans="1:7" x14ac:dyDescent="0.25">
      <c r="A73" s="101" t="s">
        <v>177</v>
      </c>
      <c r="B73" s="17">
        <v>52956314</v>
      </c>
      <c r="C73" s="17">
        <v>7784625</v>
      </c>
      <c r="D73" s="17">
        <f t="shared" si="1"/>
        <v>7784625</v>
      </c>
      <c r="E73" s="49">
        <f>VLOOKUP($A73,'Data shares'!$C:$FA,128)*100</f>
        <v>2.1</v>
      </c>
      <c r="F73" s="49">
        <f>VLOOKUP($A73,'Data shares'!$C:$FA,129)</f>
        <v>1578000</v>
      </c>
      <c r="G73" s="17"/>
    </row>
    <row r="74" spans="1:7" x14ac:dyDescent="0.25">
      <c r="A74" s="101" t="s">
        <v>545</v>
      </c>
      <c r="B74" s="17">
        <v>23498849</v>
      </c>
      <c r="C74" s="17">
        <v>15745600</v>
      </c>
      <c r="D74" s="17">
        <f t="shared" si="1"/>
        <v>15745600</v>
      </c>
      <c r="E74" s="49">
        <f>VLOOKUP($A74,'Data shares'!$C:$FA,128)*100</f>
        <v>2.1</v>
      </c>
      <c r="F74" s="49">
        <f>VLOOKUP($A74,'Data shares'!$C:$FA,129)</f>
        <v>1578000</v>
      </c>
      <c r="G74" s="17"/>
    </row>
    <row r="75" spans="1:7" x14ac:dyDescent="0.25">
      <c r="A75" s="101" t="s">
        <v>185</v>
      </c>
      <c r="B75" s="17">
        <v>238123793</v>
      </c>
      <c r="C75" s="17">
        <v>59926000</v>
      </c>
      <c r="D75" s="17">
        <f t="shared" si="1"/>
        <v>59926000</v>
      </c>
      <c r="E75" s="49">
        <f>VLOOKUP($A75,'Data shares'!$C:$FA,128)*100</f>
        <v>4.7600000000000007</v>
      </c>
      <c r="F75" s="49">
        <f>VLOOKUP($A75,'Data shares'!$C:$FA,129)</f>
        <v>5236875</v>
      </c>
      <c r="G75" s="17"/>
    </row>
    <row r="76" spans="1:7" x14ac:dyDescent="0.25">
      <c r="A76" s="101" t="s">
        <v>219</v>
      </c>
      <c r="B76" s="17">
        <v>75317259</v>
      </c>
      <c r="C76" s="17">
        <v>12188500</v>
      </c>
      <c r="D76" s="17">
        <f t="shared" si="1"/>
        <v>12188500</v>
      </c>
      <c r="E76" s="49">
        <f>VLOOKUP($A76,'Data shares'!$C:$FA,128)*100</f>
        <v>0.33</v>
      </c>
      <c r="F76" s="49">
        <f>VLOOKUP($A76,'Data shares'!$C:$FA,129)</f>
        <v>47500</v>
      </c>
      <c r="G76" s="17"/>
    </row>
    <row r="77" spans="1:7" x14ac:dyDescent="0.25">
      <c r="A77" s="101" t="s">
        <v>534</v>
      </c>
      <c r="B77" s="17">
        <v>70381221</v>
      </c>
      <c r="C77" s="17">
        <v>3354100</v>
      </c>
      <c r="D77" s="17">
        <f t="shared" si="1"/>
        <v>3354100</v>
      </c>
      <c r="E77" s="49">
        <f>VLOOKUP($A77,'Data shares'!$C:$FA,128)*100</f>
        <v>0.33</v>
      </c>
      <c r="F77" s="49">
        <f>VLOOKUP($A77,'Data shares'!$C:$FA,129)</f>
        <v>47500</v>
      </c>
      <c r="G77" s="17"/>
    </row>
    <row r="78" spans="1:7" x14ac:dyDescent="0.25">
      <c r="A78" s="101" t="s">
        <v>516</v>
      </c>
      <c r="B78" s="17">
        <v>27254349</v>
      </c>
      <c r="C78" s="17">
        <v>1133550</v>
      </c>
      <c r="D78" s="17">
        <f t="shared" si="1"/>
        <v>1133550</v>
      </c>
      <c r="E78" s="49">
        <f>VLOOKUP($A78,'Data shares'!$C:$FA,128)*100</f>
        <v>3.26</v>
      </c>
      <c r="F78" s="49">
        <f>VLOOKUP($A78,'Data shares'!$C:$FA,129)</f>
        <v>2656875</v>
      </c>
      <c r="G78" s="17"/>
    </row>
    <row r="79" spans="1:7" x14ac:dyDescent="0.25">
      <c r="A79" s="101" t="s">
        <v>271</v>
      </c>
      <c r="B79" s="17">
        <v>26746179</v>
      </c>
      <c r="C79" s="17">
        <v>5445825</v>
      </c>
      <c r="D79" s="17">
        <f t="shared" si="1"/>
        <v>5445825</v>
      </c>
      <c r="E79" s="49">
        <f>VLOOKUP($A79,'Data shares'!$C:$FA,128)*100</f>
        <v>1.49</v>
      </c>
      <c r="F79" s="49">
        <f>VLOOKUP($A79,'Data shares'!$C:$FA,129)</f>
        <v>323350</v>
      </c>
      <c r="G79" s="17"/>
    </row>
    <row r="80" spans="1:7" x14ac:dyDescent="0.25">
      <c r="A80" s="101" t="s">
        <v>264</v>
      </c>
      <c r="B80" s="17">
        <v>15844192</v>
      </c>
      <c r="C80" s="17">
        <v>2354125</v>
      </c>
      <c r="D80" s="17">
        <f t="shared" si="1"/>
        <v>2354125</v>
      </c>
      <c r="E80" s="49">
        <f>VLOOKUP($A80,'Data shares'!$C:$FA,128)*100</f>
        <v>1.83</v>
      </c>
      <c r="F80" s="49">
        <f>VLOOKUP($A80,'Data shares'!$C:$FA,129)</f>
        <v>210750</v>
      </c>
      <c r="G80" s="17"/>
    </row>
    <row r="81" spans="1:7" x14ac:dyDescent="0.25">
      <c r="A81" s="101" t="s">
        <v>208</v>
      </c>
      <c r="B81" s="17">
        <v>24296838</v>
      </c>
      <c r="C81" s="17">
        <v>5125750</v>
      </c>
      <c r="D81" s="17">
        <f t="shared" si="1"/>
        <v>5125750</v>
      </c>
      <c r="E81" s="49">
        <f>VLOOKUP($A81,'Data shares'!$C:$FA,128)*100</f>
        <v>1.24</v>
      </c>
      <c r="F81" s="49">
        <f>VLOOKUP($A81,'Data shares'!$C:$FA,129)</f>
        <v>211875</v>
      </c>
      <c r="G81" s="17"/>
    </row>
    <row r="82" spans="1:7" x14ac:dyDescent="0.25">
      <c r="A82" s="101" t="s">
        <v>552</v>
      </c>
      <c r="B82" s="17">
        <v>23447901</v>
      </c>
      <c r="C82" s="17">
        <v>3785600</v>
      </c>
      <c r="D82" s="17">
        <f t="shared" si="1"/>
        <v>3785600</v>
      </c>
      <c r="E82" s="49">
        <f>VLOOKUP($A82,'Data shares'!$C:$FA,128)*100</f>
        <v>0</v>
      </c>
      <c r="F82" s="49">
        <f>VLOOKUP($A82,'Data shares'!$C:$FA,129)</f>
        <v>0</v>
      </c>
      <c r="G82" s="17"/>
    </row>
    <row r="83" spans="1:7" x14ac:dyDescent="0.25">
      <c r="A83" s="101" t="s">
        <v>204</v>
      </c>
      <c r="B83" s="17">
        <v>115362060</v>
      </c>
      <c r="C83" s="17">
        <v>19043750</v>
      </c>
      <c r="D83" s="17">
        <f t="shared" si="1"/>
        <v>19043750</v>
      </c>
      <c r="E83" s="49">
        <f>VLOOKUP($A83,'Data shares'!$C:$FA,128)*100</f>
        <v>1.77</v>
      </c>
      <c r="F83" s="49">
        <f>VLOOKUP($A83,'Data shares'!$C:$FA,129)</f>
        <v>345000</v>
      </c>
      <c r="G83" s="17"/>
    </row>
    <row r="84" spans="1:7" x14ac:dyDescent="0.25">
      <c r="A84" s="101" t="s">
        <v>528</v>
      </c>
      <c r="B84" s="17">
        <v>23485458</v>
      </c>
      <c r="C84" s="17">
        <v>4272800</v>
      </c>
      <c r="D84" s="17">
        <f t="shared" si="1"/>
        <v>4272800</v>
      </c>
      <c r="E84" s="49">
        <f>VLOOKUP($A84,'Data shares'!$C:$FA,128)*100</f>
        <v>2.0099999999999998</v>
      </c>
      <c r="F84" s="49">
        <f>VLOOKUP($A84,'Data shares'!$C:$FA,129)</f>
        <v>94500</v>
      </c>
      <c r="G84" s="17"/>
    </row>
    <row r="85" spans="1:7" x14ac:dyDescent="0.25">
      <c r="A85" s="101" t="s">
        <v>551</v>
      </c>
      <c r="B85" s="17">
        <v>39593365</v>
      </c>
      <c r="C85" s="17">
        <v>12215000</v>
      </c>
      <c r="D85" s="17">
        <f t="shared" si="1"/>
        <v>12215000</v>
      </c>
      <c r="E85" s="49">
        <f>VLOOKUP($A85,'Data shares'!$C:$FA,128)*100</f>
        <v>1.23</v>
      </c>
      <c r="F85" s="49">
        <f>VLOOKUP($A85,'Data shares'!$C:$FA,129)</f>
        <v>58050</v>
      </c>
      <c r="G85" s="17"/>
    </row>
    <row r="86" spans="1:7" x14ac:dyDescent="0.25">
      <c r="A86" s="101" t="s">
        <v>292</v>
      </c>
      <c r="B86" s="17">
        <v>355933451</v>
      </c>
      <c r="C86" s="17">
        <v>204117000</v>
      </c>
      <c r="D86" s="17">
        <f t="shared" si="1"/>
        <v>204117000</v>
      </c>
      <c r="E86" s="49">
        <f>VLOOKUP($A86,'Data shares'!$C:$FA,128)*100</f>
        <v>5.58</v>
      </c>
      <c r="F86" s="49">
        <f>VLOOKUP($A86,'Data shares'!$C:$FA,129)</f>
        <v>77400</v>
      </c>
      <c r="G86" s="17"/>
    </row>
    <row r="87" spans="1:7" x14ac:dyDescent="0.25">
      <c r="A87" s="101" t="s">
        <v>239</v>
      </c>
      <c r="B87" s="17">
        <v>117569462</v>
      </c>
      <c r="C87" s="17">
        <v>39785400</v>
      </c>
      <c r="D87" s="17">
        <f t="shared" si="1"/>
        <v>39785400</v>
      </c>
      <c r="E87" s="49">
        <f>VLOOKUP($A87,'Data shares'!$C:$FA,128)*100</f>
        <v>4.1300000000000008</v>
      </c>
      <c r="F87" s="49">
        <f>VLOOKUP($A87,'Data shares'!$C:$FA,129)</f>
        <v>1327200</v>
      </c>
      <c r="G87" s="17"/>
    </row>
    <row r="88" spans="1:7" x14ac:dyDescent="0.25">
      <c r="A88" s="101" t="s">
        <v>513</v>
      </c>
      <c r="B88" s="17">
        <v>16619018</v>
      </c>
      <c r="C88" s="17">
        <v>3155425</v>
      </c>
      <c r="D88" s="17">
        <f t="shared" si="1"/>
        <v>3155425</v>
      </c>
      <c r="E88" s="49">
        <f>VLOOKUP($A88,'Data shares'!$C:$FA,128)*100</f>
        <v>5.9499999999999993</v>
      </c>
      <c r="F88" s="49">
        <f>VLOOKUP($A88,'Data shares'!$C:$FA,129)</f>
        <v>613050</v>
      </c>
      <c r="G88" s="17"/>
    </row>
    <row r="89" spans="1:7" x14ac:dyDescent="0.25">
      <c r="A89" s="101" t="s">
        <v>224</v>
      </c>
      <c r="B89" s="17">
        <v>669931623</v>
      </c>
      <c r="C89" s="17">
        <v>82663350</v>
      </c>
      <c r="D89" s="17">
        <f t="shared" si="1"/>
        <v>82663350</v>
      </c>
      <c r="E89" s="49">
        <f>VLOOKUP($A89,'Data shares'!$C:$FA,128)*100</f>
        <v>6.9</v>
      </c>
      <c r="F89" s="49">
        <f>VLOOKUP($A89,'Data shares'!$C:$FA,129)</f>
        <v>11022000</v>
      </c>
      <c r="G89" s="17"/>
    </row>
    <row r="90" spans="1:7" x14ac:dyDescent="0.25">
      <c r="A90" s="101" t="s">
        <v>232</v>
      </c>
      <c r="B90" s="17">
        <v>1110506052</v>
      </c>
      <c r="C90" s="17">
        <v>174065375</v>
      </c>
      <c r="D90" s="17">
        <f t="shared" si="1"/>
        <v>174065375</v>
      </c>
      <c r="E90" s="49">
        <f>VLOOKUP($A90,'Data shares'!$C:$FA,128)*100</f>
        <v>1.4200000000000002</v>
      </c>
      <c r="F90" s="49">
        <f>VLOOKUP($A90,'Data shares'!$C:$FA,129)</f>
        <v>1434300</v>
      </c>
      <c r="G90" s="17"/>
    </row>
    <row r="91" spans="1:7" x14ac:dyDescent="0.25">
      <c r="A91" s="101" t="s">
        <v>223</v>
      </c>
      <c r="B91" s="17">
        <v>362202362</v>
      </c>
      <c r="C91" s="17">
        <v>34249800</v>
      </c>
      <c r="D91" s="17">
        <f t="shared" si="1"/>
        <v>34249800</v>
      </c>
      <c r="E91" s="49">
        <f>VLOOKUP($A91,'Data shares'!$C:$FA,128)*100</f>
        <v>1.7999999999999998</v>
      </c>
      <c r="F91" s="49">
        <f>VLOOKUP($A91,'Data shares'!$C:$FA,129)</f>
        <v>463750</v>
      </c>
      <c r="G91" s="17"/>
    </row>
    <row r="92" spans="1:7" x14ac:dyDescent="0.25">
      <c r="A92" s="101" t="s">
        <v>218</v>
      </c>
      <c r="B92" s="17">
        <v>23110810</v>
      </c>
      <c r="C92" s="17">
        <v>6940375</v>
      </c>
      <c r="D92" s="17">
        <f t="shared" si="1"/>
        <v>6940375</v>
      </c>
      <c r="E92" s="49">
        <f>VLOOKUP($A92,'Data shares'!$C:$FA,128)*100</f>
        <v>1.8499999999999999</v>
      </c>
      <c r="F92" s="49">
        <f>VLOOKUP($A92,'Data shares'!$C:$FA,129)</f>
        <v>143825</v>
      </c>
      <c r="G92" s="17"/>
    </row>
    <row r="93" spans="1:7" x14ac:dyDescent="0.25">
      <c r="A93" s="101" t="s">
        <v>236</v>
      </c>
      <c r="B93" s="17">
        <v>77000080</v>
      </c>
      <c r="C93" s="17">
        <v>25785375</v>
      </c>
      <c r="D93" s="17">
        <f t="shared" si="1"/>
        <v>25785375</v>
      </c>
      <c r="E93" s="49">
        <f>VLOOKUP($A93,'Data shares'!$C:$FA,128)*100</f>
        <v>6.4</v>
      </c>
      <c r="F93" s="49">
        <f>VLOOKUP($A93,'Data shares'!$C:$FA,129)</f>
        <v>3495000</v>
      </c>
      <c r="G93" s="17"/>
    </row>
    <row r="94" spans="1:7" x14ac:dyDescent="0.25">
      <c r="A94" s="101" t="s">
        <v>246</v>
      </c>
      <c r="B94" s="17">
        <v>293666614</v>
      </c>
      <c r="C94" s="17">
        <v>30730800</v>
      </c>
      <c r="D94" s="17">
        <f t="shared" si="1"/>
        <v>30730800</v>
      </c>
      <c r="E94" s="49">
        <f>VLOOKUP($A94,'Data shares'!$C:$FA,128)*100</f>
        <v>1.4500000000000002</v>
      </c>
      <c r="F94" s="49">
        <f>VLOOKUP($A94,'Data shares'!$C:$FA,129)</f>
        <v>2460000</v>
      </c>
      <c r="G94" s="17"/>
    </row>
    <row r="95" spans="1:7" x14ac:dyDescent="0.25">
      <c r="A95" s="101" t="s">
        <v>532</v>
      </c>
      <c r="B95" s="17">
        <v>32892110</v>
      </c>
      <c r="C95" s="17">
        <v>6216000</v>
      </c>
      <c r="D95" s="17">
        <f t="shared" si="1"/>
        <v>6216000</v>
      </c>
      <c r="E95" s="49">
        <f>VLOOKUP($A95,'Data shares'!$C:$FA,128)*100</f>
        <v>1.18</v>
      </c>
      <c r="F95" s="49">
        <f>VLOOKUP($A95,'Data shares'!$C:$FA,129)</f>
        <v>168300</v>
      </c>
      <c r="G95" s="17"/>
    </row>
    <row r="96" spans="1:7" x14ac:dyDescent="0.25">
      <c r="A96" s="101" t="s">
        <v>242</v>
      </c>
      <c r="B96" s="17">
        <v>2461627231</v>
      </c>
      <c r="C96" s="17">
        <v>322832000</v>
      </c>
      <c r="D96" s="17">
        <f t="shared" si="1"/>
        <v>322832000</v>
      </c>
      <c r="E96" s="49">
        <f>VLOOKUP($A96,'Data shares'!$C:$FA,128)*100</f>
        <v>6.1899999999999995</v>
      </c>
      <c r="F96" s="49">
        <f>VLOOKUP($A96,'Data shares'!$C:$FA,129)</f>
        <v>9660800</v>
      </c>
      <c r="G96" s="17"/>
    </row>
    <row r="97" spans="1:7" x14ac:dyDescent="0.25">
      <c r="A97" s="101" t="s">
        <v>165</v>
      </c>
      <c r="B97" s="17">
        <v>20321931</v>
      </c>
      <c r="C97" s="17">
        <v>3675125</v>
      </c>
      <c r="D97" s="17">
        <f t="shared" si="1"/>
        <v>3675125</v>
      </c>
      <c r="E97" s="49">
        <f>VLOOKUP($A97,'Data shares'!$C:$FA,128)*100</f>
        <v>1.0699999999999998</v>
      </c>
      <c r="F97" s="49">
        <f>VLOOKUP($A97,'Data shares'!$C:$FA,129)</f>
        <v>26875</v>
      </c>
      <c r="G97" s="17"/>
    </row>
    <row r="98" spans="1:7" x14ac:dyDescent="0.25">
      <c r="A98" s="101" t="s">
        <v>503</v>
      </c>
      <c r="B98" s="17">
        <v>17788750</v>
      </c>
      <c r="C98" s="17">
        <v>925925</v>
      </c>
      <c r="D98" s="17">
        <f t="shared" si="1"/>
        <v>925925</v>
      </c>
      <c r="E98" s="49">
        <f>VLOOKUP($A98,'Data shares'!$C:$FA,128)*100</f>
        <v>4.47</v>
      </c>
      <c r="F98" s="49">
        <f>VLOOKUP($A98,'Data shares'!$C:$FA,129)</f>
        <v>250750</v>
      </c>
      <c r="G98" s="17"/>
    </row>
    <row r="99" spans="1:7" x14ac:dyDescent="0.25">
      <c r="A99" s="101" t="s">
        <v>192</v>
      </c>
      <c r="B99" s="17">
        <v>1737683</v>
      </c>
      <c r="C99" s="17">
        <v>235900</v>
      </c>
      <c r="D99" s="17">
        <f t="shared" si="1"/>
        <v>235900</v>
      </c>
      <c r="E99" s="49">
        <f>VLOOKUP($A99,'Data shares'!$C:$FA,128)*100</f>
        <v>2.52</v>
      </c>
      <c r="F99" s="49">
        <f>VLOOKUP($A99,'Data shares'!$C:$FA,129)</f>
        <v>3850</v>
      </c>
      <c r="G99" s="17"/>
    </row>
    <row r="100" spans="1:7" x14ac:dyDescent="0.25">
      <c r="A100" s="101" t="s">
        <v>531</v>
      </c>
      <c r="B100" s="17">
        <v>33015657</v>
      </c>
      <c r="C100" s="17">
        <v>9033700</v>
      </c>
      <c r="D100" s="17">
        <f t="shared" si="1"/>
        <v>9033700</v>
      </c>
      <c r="E100" s="49">
        <f>VLOOKUP($A100,'Data shares'!$C:$FA,128)*100</f>
        <v>6.65</v>
      </c>
      <c r="F100" s="49">
        <f>VLOOKUP($A100,'Data shares'!$C:$FA,129)</f>
        <v>558000</v>
      </c>
      <c r="G100" s="17"/>
    </row>
    <row r="101" spans="1:7" x14ac:dyDescent="0.25">
      <c r="A101" s="101" t="s">
        <v>494</v>
      </c>
      <c r="B101" s="17">
        <v>147873568</v>
      </c>
      <c r="C101" s="17">
        <v>20386400</v>
      </c>
      <c r="D101" s="17">
        <f t="shared" si="1"/>
        <v>20386400</v>
      </c>
      <c r="E101" s="49">
        <f>VLOOKUP($A101,'Data shares'!$C:$FA,128)*100</f>
        <v>1.8599999999999999</v>
      </c>
      <c r="F101" s="49">
        <f>VLOOKUP($A101,'Data shares'!$C:$FA,129)</f>
        <v>869400</v>
      </c>
      <c r="G101" s="17"/>
    </row>
    <row r="102" spans="1:7" x14ac:dyDescent="0.25">
      <c r="A102" s="101" t="s">
        <v>473</v>
      </c>
      <c r="B102" s="17">
        <v>162372116</v>
      </c>
      <c r="C102" s="17">
        <v>43206800</v>
      </c>
      <c r="D102" s="17">
        <f t="shared" si="1"/>
        <v>43206800</v>
      </c>
      <c r="E102" s="49">
        <f>VLOOKUP($A102,'Data shares'!$C:$FA,128)*100</f>
        <v>1.31</v>
      </c>
      <c r="F102" s="49">
        <f>VLOOKUP($A102,'Data shares'!$C:$FA,129)</f>
        <v>911200</v>
      </c>
      <c r="G102" s="17"/>
    </row>
    <row r="103" spans="1:7" x14ac:dyDescent="0.25">
      <c r="A103" s="101" t="s">
        <v>225</v>
      </c>
      <c r="B103" s="17">
        <v>187118353</v>
      </c>
      <c r="C103" s="17">
        <v>49800300</v>
      </c>
      <c r="D103" s="17">
        <f t="shared" si="1"/>
        <v>49800300</v>
      </c>
      <c r="E103" s="49">
        <f>VLOOKUP($A103,'Data shares'!$C:$FA,128)*100</f>
        <v>1.63</v>
      </c>
      <c r="F103" s="49">
        <f>VLOOKUP($A103,'Data shares'!$C:$FA,129)</f>
        <v>489500</v>
      </c>
      <c r="G103" s="17"/>
    </row>
    <row r="104" spans="1:7" x14ac:dyDescent="0.25">
      <c r="A104" s="101" t="s">
        <v>504</v>
      </c>
      <c r="B104" s="17">
        <v>12641694</v>
      </c>
      <c r="C104" s="17">
        <v>6728400</v>
      </c>
      <c r="D104" s="17">
        <f t="shared" si="1"/>
        <v>6728400</v>
      </c>
      <c r="E104" s="49">
        <f>VLOOKUP($A104,'Data shares'!$C:$FA,128)*100</f>
        <v>1.79</v>
      </c>
      <c r="F104" s="49">
        <f>VLOOKUP($A104,'Data shares'!$C:$FA,129)</f>
        <v>63800</v>
      </c>
      <c r="G104" s="17"/>
    </row>
    <row r="105" spans="1:7" x14ac:dyDescent="0.25">
      <c r="A105" s="101" t="s">
        <v>537</v>
      </c>
      <c r="B105" s="17">
        <v>6343591</v>
      </c>
      <c r="C105" s="17">
        <v>1262250</v>
      </c>
      <c r="D105" s="17">
        <f t="shared" si="1"/>
        <v>1262250</v>
      </c>
      <c r="E105" s="49">
        <f>VLOOKUP($A105,'Data shares'!$C:$FA,128)*100</f>
        <v>10.83</v>
      </c>
      <c r="F105" s="49">
        <f>VLOOKUP($A105,'Data shares'!$C:$FA,129)</f>
        <v>456925</v>
      </c>
      <c r="G105" s="17"/>
    </row>
    <row r="106" spans="1:7" x14ac:dyDescent="0.25">
      <c r="A106" s="101" t="s">
        <v>256</v>
      </c>
      <c r="B106" s="17">
        <v>62880735</v>
      </c>
      <c r="C106" s="17">
        <v>20391250</v>
      </c>
      <c r="D106" s="17">
        <f t="shared" si="1"/>
        <v>20391250</v>
      </c>
      <c r="E106" s="49">
        <f>VLOOKUP($A106,'Data shares'!$C:$FA,128)*100</f>
        <v>5.46</v>
      </c>
      <c r="F106" s="49">
        <f>VLOOKUP($A106,'Data shares'!$C:$FA,129)</f>
        <v>233200</v>
      </c>
      <c r="G106" s="17"/>
    </row>
    <row r="107" spans="1:7" x14ac:dyDescent="0.25">
      <c r="A107" s="101" t="s">
        <v>514</v>
      </c>
      <c r="B107" s="17">
        <v>179174844</v>
      </c>
      <c r="C107" s="17">
        <v>67477500</v>
      </c>
      <c r="D107" s="17">
        <f t="shared" si="1"/>
        <v>67477500</v>
      </c>
      <c r="E107" s="49">
        <f>VLOOKUP($A107,'Data shares'!$C:$FA,128)*100</f>
        <v>6.4</v>
      </c>
      <c r="F107" s="49">
        <f>VLOOKUP($A107,'Data shares'!$C:$FA,129)</f>
        <v>3495000</v>
      </c>
      <c r="G107" s="17"/>
    </row>
    <row r="108" spans="1:7" x14ac:dyDescent="0.25">
      <c r="A108" s="101" t="s">
        <v>272</v>
      </c>
      <c r="B108" s="17">
        <v>150000017</v>
      </c>
      <c r="C108" s="17">
        <v>35217000</v>
      </c>
      <c r="D108" s="17">
        <f t="shared" si="1"/>
        <v>35217000</v>
      </c>
      <c r="E108" s="49">
        <f>VLOOKUP($A108,'Data shares'!$C:$FA,128)*100</f>
        <v>10.82</v>
      </c>
      <c r="F108" s="49">
        <f>VLOOKUP($A108,'Data shares'!$C:$FA,129)</f>
        <v>3923500</v>
      </c>
      <c r="G108" s="17"/>
    </row>
    <row r="109" spans="1:7" x14ac:dyDescent="0.25">
      <c r="A109" s="101" t="s">
        <v>470</v>
      </c>
      <c r="B109" s="17">
        <v>6091932</v>
      </c>
      <c r="C109" s="17">
        <v>1893300</v>
      </c>
      <c r="D109" s="17">
        <f t="shared" si="1"/>
        <v>1893300</v>
      </c>
      <c r="E109" s="49">
        <f>VLOOKUP($A109,'Data shares'!$C:$FA,128)*100</f>
        <v>3.81</v>
      </c>
      <c r="F109" s="49">
        <f>VLOOKUP($A109,'Data shares'!$C:$FA,129)</f>
        <v>883500</v>
      </c>
      <c r="G109" s="17"/>
    </row>
    <row r="110" spans="1:7" x14ac:dyDescent="0.25">
      <c r="A110" s="101" t="s">
        <v>176</v>
      </c>
      <c r="B110" s="17">
        <v>12437219</v>
      </c>
      <c r="C110" s="17">
        <v>1155950</v>
      </c>
      <c r="D110" s="17">
        <f t="shared" si="1"/>
        <v>1155950</v>
      </c>
      <c r="E110" s="49">
        <f>VLOOKUP($A110,'Data shares'!$C:$FA,128)*100</f>
        <v>1.3599999999999999</v>
      </c>
      <c r="F110" s="49">
        <f>VLOOKUP($A110,'Data shares'!$C:$FA,129)</f>
        <v>170250</v>
      </c>
      <c r="G110" s="17"/>
    </row>
    <row r="111" spans="1:7" x14ac:dyDescent="0.25">
      <c r="A111" s="101" t="s">
        <v>524</v>
      </c>
      <c r="B111" s="17">
        <v>16479425</v>
      </c>
      <c r="C111" s="17">
        <v>1670750</v>
      </c>
      <c r="D111" s="17">
        <f t="shared" si="1"/>
        <v>1670750</v>
      </c>
      <c r="E111" s="49">
        <f>VLOOKUP($A111,'Data shares'!$C:$FA,128)*100</f>
        <v>1.47</v>
      </c>
      <c r="F111" s="49">
        <f>VLOOKUP($A111,'Data shares'!$C:$FA,129)</f>
        <v>26975</v>
      </c>
      <c r="G111" s="17"/>
    </row>
    <row r="112" spans="1:7" x14ac:dyDescent="0.25">
      <c r="A112" s="101" t="s">
        <v>487</v>
      </c>
      <c r="B112" s="17">
        <v>16533935</v>
      </c>
      <c r="C112" s="17">
        <v>1807050</v>
      </c>
      <c r="D112" s="17">
        <f t="shared" si="1"/>
        <v>1807050</v>
      </c>
      <c r="E112" s="49">
        <f>VLOOKUP($A112,'Data shares'!$C:$FA,128)*100</f>
        <v>1.78</v>
      </c>
      <c r="F112" s="49">
        <f>VLOOKUP($A112,'Data shares'!$C:$FA,129)</f>
        <v>86900</v>
      </c>
      <c r="G112" s="17"/>
    </row>
    <row r="113" spans="1:7" x14ac:dyDescent="0.25">
      <c r="A113" s="101" t="s">
        <v>305</v>
      </c>
      <c r="B113" s="17">
        <v>46126252</v>
      </c>
      <c r="C113" s="17">
        <v>7513500</v>
      </c>
      <c r="D113" s="17">
        <f t="shared" si="1"/>
        <v>7513500</v>
      </c>
      <c r="E113" s="49">
        <f>VLOOKUP($A113,'Data shares'!$C:$FA,128)*100</f>
        <v>3.26</v>
      </c>
      <c r="F113" s="49">
        <f>VLOOKUP($A113,'Data shares'!$C:$FA,129)</f>
        <v>299625</v>
      </c>
      <c r="G113" s="17"/>
    </row>
    <row r="114" spans="1:7" x14ac:dyDescent="0.25">
      <c r="A114" s="101" t="s">
        <v>238</v>
      </c>
      <c r="B114" s="17">
        <v>19428657</v>
      </c>
      <c r="C114" s="17">
        <v>5637750</v>
      </c>
      <c r="D114" s="17">
        <f t="shared" si="1"/>
        <v>5637750</v>
      </c>
      <c r="E114" s="49">
        <f>VLOOKUP($A114,'Data shares'!$C:$FA,128)*100</f>
        <v>8.94</v>
      </c>
      <c r="F114" s="49">
        <f>VLOOKUP($A114,'Data shares'!$C:$FA,129)</f>
        <v>806100</v>
      </c>
      <c r="G114" s="17"/>
    </row>
    <row r="115" spans="1:7" x14ac:dyDescent="0.25">
      <c r="A115" s="101" t="s">
        <v>527</v>
      </c>
      <c r="B115" s="17">
        <v>7494363</v>
      </c>
      <c r="C115" s="17">
        <v>739375</v>
      </c>
      <c r="D115" s="17">
        <f t="shared" si="1"/>
        <v>739375</v>
      </c>
      <c r="E115" s="49">
        <f>VLOOKUP($A115,'Data shares'!$C:$FA,128)*100</f>
        <v>6.78</v>
      </c>
      <c r="F115" s="49">
        <f>VLOOKUP($A115,'Data shares'!$C:$FA,129)</f>
        <v>9790100</v>
      </c>
      <c r="G115" s="17"/>
    </row>
    <row r="116" spans="1:7" x14ac:dyDescent="0.25">
      <c r="A116" s="101" t="s">
        <v>489</v>
      </c>
      <c r="B116" s="17">
        <v>9087752</v>
      </c>
      <c r="C116" s="17">
        <v>1575750</v>
      </c>
      <c r="D116" s="17">
        <f t="shared" si="1"/>
        <v>1575750</v>
      </c>
      <c r="E116" s="49">
        <f>VLOOKUP($A116,'Data shares'!$C:$FA,128)*100</f>
        <v>5.8999999999999995</v>
      </c>
      <c r="F116" s="49">
        <f>VLOOKUP($A116,'Data shares'!$C:$FA,129)</f>
        <v>3096000</v>
      </c>
      <c r="G116" s="17"/>
    </row>
    <row r="117" spans="1:7" x14ac:dyDescent="0.25">
      <c r="A117" s="101" t="s">
        <v>484</v>
      </c>
      <c r="B117" s="17">
        <v>3300938</v>
      </c>
      <c r="C117" s="17">
        <v>190125</v>
      </c>
      <c r="D117" s="17">
        <f t="shared" si="1"/>
        <v>190125</v>
      </c>
      <c r="E117" s="49">
        <f>VLOOKUP($A117,'Data shares'!$C:$FA,128)*100</f>
        <v>13.83</v>
      </c>
      <c r="F117" s="49">
        <f>VLOOKUP($A117,'Data shares'!$C:$FA,129)</f>
        <v>9042800</v>
      </c>
      <c r="G117" s="17"/>
    </row>
    <row r="118" spans="1:7" x14ac:dyDescent="0.25">
      <c r="A118" s="101" t="s">
        <v>285</v>
      </c>
      <c r="B118" s="17">
        <v>17806068</v>
      </c>
      <c r="C118" s="17">
        <v>1857900</v>
      </c>
      <c r="D118" s="17">
        <f t="shared" si="1"/>
        <v>1857900</v>
      </c>
      <c r="E118" s="49">
        <f>VLOOKUP($A118,'Data shares'!$C:$FA,128)*100</f>
        <v>1.94</v>
      </c>
      <c r="F118" s="49">
        <f>VLOOKUP($A118,'Data shares'!$C:$FA,129)</f>
        <v>45325</v>
      </c>
      <c r="G118" s="17"/>
    </row>
    <row r="119" spans="1:7" x14ac:dyDescent="0.25">
      <c r="A119" s="101" t="s">
        <v>554</v>
      </c>
      <c r="B119" s="17">
        <v>18562709</v>
      </c>
      <c r="C119" s="17">
        <v>2173500</v>
      </c>
      <c r="D119" s="17">
        <f t="shared" si="1"/>
        <v>2173500</v>
      </c>
      <c r="E119" s="49">
        <f>VLOOKUP($A119,'Data shares'!$C:$FA,128)*100</f>
        <v>4.3</v>
      </c>
      <c r="F119" s="49">
        <f>VLOOKUP($A119,'Data shares'!$C:$FA,129)</f>
        <v>4275700</v>
      </c>
      <c r="G119" s="17"/>
    </row>
    <row r="120" spans="1:7" x14ac:dyDescent="0.25">
      <c r="A120" s="101" t="s">
        <v>293</v>
      </c>
      <c r="B120" s="17">
        <v>339616396</v>
      </c>
      <c r="C120" s="17">
        <v>214528500</v>
      </c>
      <c r="D120" s="17">
        <f t="shared" si="1"/>
        <v>214528500</v>
      </c>
      <c r="E120" s="49">
        <f>VLOOKUP($A120,'Data shares'!$C:$FA,128)*100</f>
        <v>3.54</v>
      </c>
      <c r="F120" s="49">
        <f>VLOOKUP($A120,'Data shares'!$C:$FA,129)</f>
        <v>1731300</v>
      </c>
      <c r="G120" s="17"/>
    </row>
    <row r="121" spans="1:7" x14ac:dyDescent="0.25">
      <c r="A121" s="101" t="s">
        <v>282</v>
      </c>
      <c r="B121" s="17">
        <v>289139949</v>
      </c>
      <c r="C121" s="17">
        <v>230878500</v>
      </c>
      <c r="D121" s="17">
        <f t="shared" si="1"/>
        <v>230878500</v>
      </c>
      <c r="E121" s="49">
        <f>VLOOKUP($A121,'Data shares'!$C:$FA,128)*100</f>
        <v>15.509999999999998</v>
      </c>
      <c r="F121" s="49">
        <f>VLOOKUP($A121,'Data shares'!$C:$FA,129)</f>
        <v>33229000</v>
      </c>
      <c r="G121" s="17"/>
    </row>
    <row r="122" spans="1:7" x14ac:dyDescent="0.25">
      <c r="A122" s="101" t="s">
        <v>248</v>
      </c>
      <c r="B122" s="17">
        <v>60244101</v>
      </c>
      <c r="C122" s="17">
        <v>36578000</v>
      </c>
      <c r="D122" s="17">
        <f t="shared" si="1"/>
        <v>36578000</v>
      </c>
      <c r="E122" s="49">
        <f>VLOOKUP($A122,'Data shares'!$C:$FA,128)*100</f>
        <v>13</v>
      </c>
      <c r="F122" s="49">
        <f>VLOOKUP($A122,'Data shares'!$C:$FA,129)</f>
        <v>3834000</v>
      </c>
      <c r="G122" s="17"/>
    </row>
    <row r="123" spans="1:7" x14ac:dyDescent="0.25">
      <c r="A123" s="101" t="s">
        <v>189</v>
      </c>
      <c r="B123" s="17">
        <v>510707358</v>
      </c>
      <c r="C123" s="17">
        <v>94385350</v>
      </c>
      <c r="D123" s="17">
        <f t="shared" si="1"/>
        <v>94385350</v>
      </c>
      <c r="E123" s="49">
        <f>VLOOKUP($A123,'Data shares'!$C:$FA,128)*100</f>
        <v>4.38</v>
      </c>
      <c r="F123" s="49">
        <f>VLOOKUP($A123,'Data shares'!$C:$FA,129)</f>
        <v>2550750</v>
      </c>
      <c r="G123" s="17"/>
    </row>
    <row r="124" spans="1:7" x14ac:dyDescent="0.25">
      <c r="A124" s="101" t="s">
        <v>213</v>
      </c>
      <c r="B124" s="17">
        <v>425164259</v>
      </c>
      <c r="C124" s="17">
        <v>85375600</v>
      </c>
      <c r="D124" s="17">
        <f t="shared" si="1"/>
        <v>85375600</v>
      </c>
      <c r="E124" s="49">
        <f>VLOOKUP($A124,'Data shares'!$C:$FA,128)*100</f>
        <v>5.7299999999999995</v>
      </c>
      <c r="F124" s="49">
        <f>VLOOKUP($A124,'Data shares'!$C:$FA,129)</f>
        <v>5084100</v>
      </c>
      <c r="G124" s="17"/>
    </row>
    <row r="125" spans="1:7" x14ac:dyDescent="0.25">
      <c r="A125" s="101" t="s">
        <v>295</v>
      </c>
      <c r="B125" s="17">
        <v>205769415</v>
      </c>
      <c r="C125" s="17">
        <v>21452100</v>
      </c>
      <c r="D125" s="17">
        <f t="shared" si="1"/>
        <v>21452100</v>
      </c>
      <c r="E125" s="49">
        <f>VLOOKUP($A125,'Data shares'!$C:$FA,128)*100</f>
        <v>13.569999999999999</v>
      </c>
      <c r="F125" s="49">
        <f>VLOOKUP($A125,'Data shares'!$C:$FA,129)</f>
        <v>3747625</v>
      </c>
      <c r="G125" s="17"/>
    </row>
    <row r="126" spans="1:7" x14ac:dyDescent="0.25">
      <c r="A126" s="101" t="s">
        <v>490</v>
      </c>
      <c r="B126" s="17">
        <v>52165566</v>
      </c>
      <c r="C126" s="17">
        <v>22212750</v>
      </c>
      <c r="D126" s="17">
        <f t="shared" si="1"/>
        <v>22212750</v>
      </c>
      <c r="E126" s="49">
        <f>VLOOKUP($A126,'Data shares'!$C:$FA,128)*100</f>
        <v>3.26</v>
      </c>
      <c r="F126" s="49">
        <f>VLOOKUP($A126,'Data shares'!$C:$FA,129)</f>
        <v>2656875</v>
      </c>
      <c r="G126" s="17"/>
    </row>
    <row r="127" spans="1:7" x14ac:dyDescent="0.25">
      <c r="A127" s="101" t="s">
        <v>260</v>
      </c>
      <c r="B127" s="17">
        <v>241729538</v>
      </c>
      <c r="C127" s="17">
        <v>65383500</v>
      </c>
      <c r="D127" s="17">
        <f t="shared" si="1"/>
        <v>65383500</v>
      </c>
      <c r="E127" s="49">
        <f>VLOOKUP($A127,'Data shares'!$C:$FA,128)*100</f>
        <v>2.06</v>
      </c>
      <c r="F127" s="49">
        <f>VLOOKUP($A127,'Data shares'!$C:$FA,129)</f>
        <v>2589150</v>
      </c>
      <c r="G127" s="17"/>
    </row>
    <row r="128" spans="1:7" x14ac:dyDescent="0.25">
      <c r="A128" s="101" t="s">
        <v>171</v>
      </c>
      <c r="B128" s="17">
        <v>56444627</v>
      </c>
      <c r="C128" s="17">
        <v>23336250</v>
      </c>
      <c r="D128" s="17">
        <f t="shared" si="1"/>
        <v>23336250</v>
      </c>
      <c r="E128" s="49">
        <f>VLOOKUP($A128,'Data shares'!$C:$FA,128)*100</f>
        <v>0.55999999999999994</v>
      </c>
      <c r="F128" s="49">
        <f>VLOOKUP($A128,'Data shares'!$C:$FA,129)</f>
        <v>115500</v>
      </c>
      <c r="G128" s="17"/>
    </row>
    <row r="129" spans="1:7" x14ac:dyDescent="0.25">
      <c r="A129" s="101" t="s">
        <v>462</v>
      </c>
      <c r="B129" s="17">
        <v>88648462</v>
      </c>
      <c r="C129" s="17">
        <v>11150250</v>
      </c>
      <c r="D129" s="17">
        <f t="shared" si="1"/>
        <v>11150250</v>
      </c>
      <c r="E129" s="49">
        <f>VLOOKUP($A129,'Data shares'!$C:$FA,128)*100</f>
        <v>0.92999999999999994</v>
      </c>
      <c r="F129" s="49">
        <f>VLOOKUP($A129,'Data shares'!$C:$FA,129)</f>
        <v>78000</v>
      </c>
      <c r="G129" s="17"/>
    </row>
    <row r="130" spans="1:7" x14ac:dyDescent="0.25">
      <c r="A130" s="101" t="s">
        <v>274</v>
      </c>
      <c r="B130" s="17">
        <v>30511703</v>
      </c>
      <c r="C130" s="17">
        <v>3556000</v>
      </c>
      <c r="D130" s="17">
        <f t="shared" si="1"/>
        <v>3556000</v>
      </c>
      <c r="E130" s="49">
        <f>VLOOKUP($A130,'Data shares'!$C:$FA,128)*100</f>
        <v>0.57000000000000006</v>
      </c>
      <c r="F130" s="49">
        <f>VLOOKUP($A130,'Data shares'!$C:$FA,129)</f>
        <v>45000</v>
      </c>
      <c r="G130" s="17"/>
    </row>
    <row r="131" spans="1:7" x14ac:dyDescent="0.25">
      <c r="A131" s="101" t="s">
        <v>279</v>
      </c>
      <c r="B131" s="17">
        <v>119890099</v>
      </c>
      <c r="C131" s="17">
        <v>77232800</v>
      </c>
      <c r="D131" s="17">
        <f t="shared" si="1"/>
        <v>77232800</v>
      </c>
      <c r="E131" s="49">
        <f>VLOOKUP($A131,'Data shares'!$C:$FA,128)*100</f>
        <v>1.73</v>
      </c>
      <c r="F131" s="49">
        <f>VLOOKUP($A131,'Data shares'!$C:$FA,129)</f>
        <v>1000125</v>
      </c>
      <c r="G131" s="17"/>
    </row>
    <row r="132" spans="1:7" x14ac:dyDescent="0.25">
      <c r="A132" s="101" t="s">
        <v>247</v>
      </c>
      <c r="B132" s="17">
        <v>180580821</v>
      </c>
      <c r="C132" s="17">
        <v>128041552</v>
      </c>
      <c r="D132" s="17">
        <f t="shared" si="1"/>
        <v>128041552</v>
      </c>
      <c r="E132" s="49">
        <f>VLOOKUP($A132,'Data shares'!$C:$FA,128)*100</f>
        <v>7.7399999999999993</v>
      </c>
      <c r="F132" s="49">
        <f>VLOOKUP($A132,'Data shares'!$C:$FA,129)</f>
        <v>460275</v>
      </c>
      <c r="G132" s="17"/>
    </row>
    <row r="133" spans="1:7" x14ac:dyDescent="0.25">
      <c r="A133" s="101" t="s">
        <v>291</v>
      </c>
      <c r="B133" s="17">
        <v>120211514</v>
      </c>
      <c r="C133" s="17">
        <v>18359325</v>
      </c>
      <c r="D133" s="17">
        <f t="shared" si="1"/>
        <v>18359325</v>
      </c>
      <c r="E133" s="49">
        <f>VLOOKUP($A133,'Data shares'!$C:$FA,128)*100</f>
        <v>0.91999999999999993</v>
      </c>
      <c r="F133" s="49">
        <f>VLOOKUP($A133,'Data shares'!$C:$FA,129)</f>
        <v>112200</v>
      </c>
      <c r="G133" s="17"/>
    </row>
    <row r="134" spans="1:7" x14ac:dyDescent="0.25">
      <c r="A134" s="101" t="s">
        <v>269</v>
      </c>
      <c r="B134" s="17">
        <v>996134149</v>
      </c>
      <c r="C134" s="17">
        <v>204565900</v>
      </c>
      <c r="D134" s="17">
        <f t="shared" si="1"/>
        <v>204565900</v>
      </c>
      <c r="E134" s="49">
        <f>VLOOKUP($A134,'Data shares'!$C:$FA,128)*100</f>
        <v>2.06</v>
      </c>
      <c r="F134" s="49">
        <f>VLOOKUP($A134,'Data shares'!$C:$FA,129)</f>
        <v>2576250</v>
      </c>
      <c r="G134" s="17"/>
    </row>
    <row r="135" spans="1:7" x14ac:dyDescent="0.25">
      <c r="A135" s="101" t="s">
        <v>217</v>
      </c>
      <c r="B135" s="17">
        <v>75218562</v>
      </c>
      <c r="C135" s="17">
        <v>11613000</v>
      </c>
      <c r="D135" s="17">
        <f t="shared" ref="D135:D161" si="2">C135</f>
        <v>11613000</v>
      </c>
      <c r="E135" s="49">
        <f>VLOOKUP($A135,'Data shares'!$C:$FA,128)*100</f>
        <v>0.52</v>
      </c>
      <c r="F135" s="49">
        <f>VLOOKUP($A135,'Data shares'!$C:$FA,129)</f>
        <v>35500</v>
      </c>
      <c r="G135" s="17"/>
    </row>
    <row r="136" spans="1:7" x14ac:dyDescent="0.25">
      <c r="A136" s="101" t="s">
        <v>495</v>
      </c>
      <c r="B136" s="17">
        <v>44974045</v>
      </c>
      <c r="C136" s="17">
        <v>4232500</v>
      </c>
      <c r="D136" s="17">
        <f t="shared" si="2"/>
        <v>4232500</v>
      </c>
      <c r="E136" s="49">
        <f>VLOOKUP($A136,'Data shares'!$C:$FA,128)*100</f>
        <v>1.63</v>
      </c>
      <c r="F136" s="49">
        <f>VLOOKUP($A136,'Data shares'!$C:$FA,129)</f>
        <v>407000</v>
      </c>
      <c r="G136" s="17"/>
    </row>
    <row r="137" spans="1:7" x14ac:dyDescent="0.25">
      <c r="A137" s="101" t="s">
        <v>250</v>
      </c>
      <c r="B137" s="17">
        <v>48318354</v>
      </c>
      <c r="C137" s="17">
        <v>18007250</v>
      </c>
      <c r="D137" s="17">
        <f t="shared" si="2"/>
        <v>18007250</v>
      </c>
      <c r="E137" s="49">
        <f>VLOOKUP($A137,'Data shares'!$C:$FA,128)*100</f>
        <v>2.2800000000000002</v>
      </c>
      <c r="F137" s="49">
        <f>VLOOKUP($A137,'Data shares'!$C:$FA,129)</f>
        <v>133450</v>
      </c>
      <c r="G137" s="17"/>
    </row>
    <row r="138" spans="1:7" x14ac:dyDescent="0.25">
      <c r="A138" s="101" t="s">
        <v>278</v>
      </c>
      <c r="B138" s="17">
        <v>27187764</v>
      </c>
      <c r="C138" s="17">
        <v>3521550</v>
      </c>
      <c r="D138" s="17">
        <f t="shared" si="2"/>
        <v>3521550</v>
      </c>
      <c r="E138" s="49">
        <f>VLOOKUP($A138,'Data shares'!$C:$FA,128)*100</f>
        <v>1.23</v>
      </c>
      <c r="F138" s="49">
        <f>VLOOKUP($A138,'Data shares'!$C:$FA,129)</f>
        <v>58050</v>
      </c>
      <c r="G138" s="17"/>
    </row>
    <row r="139" spans="1:7" x14ac:dyDescent="0.25">
      <c r="A139" s="101" t="s">
        <v>163</v>
      </c>
      <c r="B139" s="17">
        <v>24576009</v>
      </c>
      <c r="C139" s="17">
        <v>11979000</v>
      </c>
      <c r="D139" s="17">
        <f t="shared" si="2"/>
        <v>11979000</v>
      </c>
      <c r="E139" s="49">
        <f>VLOOKUP($A139,'Data shares'!$C:$FA,128)*100</f>
        <v>0.36</v>
      </c>
      <c r="F139" s="49">
        <f>VLOOKUP($A139,'Data shares'!$C:$FA,129)</f>
        <v>4375</v>
      </c>
      <c r="G139" s="17"/>
    </row>
    <row r="140" spans="1:7" x14ac:dyDescent="0.25">
      <c r="A140" s="101" t="s">
        <v>289</v>
      </c>
      <c r="B140" s="17">
        <v>19704232</v>
      </c>
      <c r="C140" s="17">
        <v>15520500</v>
      </c>
      <c r="D140" s="17">
        <f t="shared" si="2"/>
        <v>15520500</v>
      </c>
      <c r="E140" s="49">
        <f>VLOOKUP($A140,'Data shares'!$C:$FA,128)*100</f>
        <v>0.71000000000000008</v>
      </c>
      <c r="F140" s="49">
        <f>VLOOKUP($A140,'Data shares'!$C:$FA,129)</f>
        <v>150150</v>
      </c>
      <c r="G140" s="17"/>
    </row>
    <row r="141" spans="1:7" x14ac:dyDescent="0.25">
      <c r="A141" s="101" t="s">
        <v>529</v>
      </c>
      <c r="B141" s="17">
        <v>10012679</v>
      </c>
      <c r="C141" s="17">
        <v>530550</v>
      </c>
      <c r="D141" s="17">
        <f t="shared" si="2"/>
        <v>530550</v>
      </c>
      <c r="E141" s="49">
        <f>VLOOKUP($A141,'Data shares'!$C:$FA,128)*100</f>
        <v>3.15</v>
      </c>
      <c r="F141" s="49">
        <f>VLOOKUP($A141,'Data shares'!$C:$FA,129)</f>
        <v>123600</v>
      </c>
      <c r="G141" s="17"/>
    </row>
    <row r="142" spans="1:7" x14ac:dyDescent="0.25">
      <c r="A142" s="101" t="s">
        <v>265</v>
      </c>
      <c r="B142" s="17">
        <v>7180127</v>
      </c>
      <c r="C142" s="17">
        <v>429550</v>
      </c>
      <c r="D142" s="17">
        <f t="shared" si="2"/>
        <v>429550</v>
      </c>
      <c r="E142" s="49">
        <f>VLOOKUP($A142,'Data shares'!$C:$FA,128)*100</f>
        <v>0.83</v>
      </c>
      <c r="F142" s="49">
        <f>VLOOKUP($A142,'Data shares'!$C:$FA,129)</f>
        <v>129000</v>
      </c>
      <c r="G142" s="17"/>
    </row>
    <row r="143" spans="1:7" x14ac:dyDescent="0.25">
      <c r="A143" s="101" t="s">
        <v>486</v>
      </c>
      <c r="B143" s="17">
        <v>32559242</v>
      </c>
      <c r="C143" s="17">
        <v>4156800</v>
      </c>
      <c r="D143" s="17">
        <f t="shared" si="2"/>
        <v>4156800</v>
      </c>
      <c r="E143" s="49">
        <f>VLOOKUP($A143,'Data shares'!$C:$FA,128)*100</f>
        <v>3.84</v>
      </c>
      <c r="F143" s="49">
        <f>VLOOKUP($A143,'Data shares'!$C:$FA,129)</f>
        <v>152900</v>
      </c>
      <c r="G143" s="17"/>
    </row>
    <row r="144" spans="1:7" x14ac:dyDescent="0.25">
      <c r="A144" s="101" t="s">
        <v>190</v>
      </c>
      <c r="B144" s="17">
        <v>256482590</v>
      </c>
      <c r="C144" s="17">
        <v>208761000</v>
      </c>
      <c r="D144" s="17">
        <f t="shared" si="2"/>
        <v>208761000</v>
      </c>
      <c r="E144" s="49">
        <f>VLOOKUP($A144,'Data shares'!$C:$FA,128)*100</f>
        <v>12.13</v>
      </c>
      <c r="F144" s="49">
        <f>VLOOKUP($A144,'Data shares'!$C:$FA,129)</f>
        <v>11064375</v>
      </c>
      <c r="G144" s="17"/>
    </row>
    <row r="145" spans="1:7" x14ac:dyDescent="0.25">
      <c r="A145" s="101" t="s">
        <v>303</v>
      </c>
      <c r="B145" s="17">
        <v>109653438</v>
      </c>
      <c r="C145" s="17">
        <v>37709100</v>
      </c>
      <c r="D145" s="17">
        <f t="shared" si="2"/>
        <v>37709100</v>
      </c>
      <c r="E145" s="49">
        <f>VLOOKUP($A145,'Data shares'!$C:$FA,128)*100</f>
        <v>2.94</v>
      </c>
      <c r="F145" s="49">
        <f>VLOOKUP($A145,'Data shares'!$C:$FA,129)</f>
        <v>1013540</v>
      </c>
      <c r="G145" s="17"/>
    </row>
    <row r="146" spans="1:7" x14ac:dyDescent="0.25">
      <c r="A146" s="101" t="s">
        <v>255</v>
      </c>
      <c r="B146" s="17">
        <v>26359259</v>
      </c>
      <c r="C146" s="17">
        <v>6916100</v>
      </c>
      <c r="D146" s="17">
        <f t="shared" si="2"/>
        <v>6916100</v>
      </c>
      <c r="E146" s="49">
        <f>VLOOKUP($A146,'Data shares'!$C:$FA,128)*100</f>
        <v>1.66</v>
      </c>
      <c r="F146" s="49">
        <f>VLOOKUP($A146,'Data shares'!$C:$FA,129)</f>
        <v>43050</v>
      </c>
      <c r="G146" s="17"/>
    </row>
    <row r="147" spans="1:7" x14ac:dyDescent="0.25">
      <c r="A147" s="101" t="s">
        <v>180</v>
      </c>
      <c r="B147" s="17">
        <v>372635498</v>
      </c>
      <c r="C147" s="17">
        <v>233426700</v>
      </c>
      <c r="D147" s="17">
        <f t="shared" si="2"/>
        <v>233426700</v>
      </c>
      <c r="E147" s="49">
        <f>VLOOKUP($A147,'Data shares'!$C:$FA,128)*100</f>
        <v>14.91</v>
      </c>
      <c r="F147" s="49">
        <f>VLOOKUP($A147,'Data shares'!$C:$FA,129)</f>
        <v>10228725</v>
      </c>
      <c r="G147" s="17"/>
    </row>
    <row r="148" spans="1:7" x14ac:dyDescent="0.25">
      <c r="A148" s="101" t="s">
        <v>179</v>
      </c>
      <c r="B148" s="17">
        <v>193321473</v>
      </c>
      <c r="C148" s="17">
        <v>47098800</v>
      </c>
      <c r="D148" s="17">
        <f t="shared" si="2"/>
        <v>47098800</v>
      </c>
      <c r="E148" s="49">
        <f>VLOOKUP($A148,'Data shares'!$C:$FA,128)*100</f>
        <v>3.1199999999999997</v>
      </c>
      <c r="F148" s="49">
        <f>VLOOKUP($A148,'Data shares'!$C:$FA,129)</f>
        <v>2858400</v>
      </c>
    </row>
    <row r="149" spans="1:7" x14ac:dyDescent="0.25">
      <c r="A149" s="101" t="s">
        <v>253</v>
      </c>
      <c r="B149" s="17">
        <v>109926618</v>
      </c>
      <c r="C149" s="17">
        <v>54285000</v>
      </c>
      <c r="D149" s="17">
        <f t="shared" si="2"/>
        <v>54285000</v>
      </c>
      <c r="E149" s="49">
        <f>VLOOKUP($A149,'Data shares'!$C:$FA,128)*100</f>
        <v>1.3299999999999998</v>
      </c>
      <c r="F149" s="49">
        <f>VLOOKUP($A149,'Data shares'!$C:$FA,129)</f>
        <v>564000</v>
      </c>
    </row>
    <row r="150" spans="1:7" x14ac:dyDescent="0.25">
      <c r="A150" s="101" t="s">
        <v>261</v>
      </c>
      <c r="B150" s="17">
        <v>611563</v>
      </c>
      <c r="C150" s="17">
        <v>120180</v>
      </c>
      <c r="D150" s="17">
        <f t="shared" si="2"/>
        <v>120180</v>
      </c>
      <c r="E150" s="49">
        <f>VLOOKUP($A150,'Data shares'!$C:$FA,128)*100</f>
        <v>1.78</v>
      </c>
      <c r="F150" s="49">
        <f>VLOOKUP($A150,'Data shares'!$C:$FA,129)</f>
        <v>86900</v>
      </c>
    </row>
    <row r="151" spans="1:7" x14ac:dyDescent="0.25">
      <c r="A151" s="101" t="s">
        <v>164</v>
      </c>
      <c r="B151" s="17">
        <v>145854205</v>
      </c>
      <c r="C151" s="17">
        <v>46824000</v>
      </c>
      <c r="D151" s="17">
        <f t="shared" si="2"/>
        <v>46824000</v>
      </c>
      <c r="E151" s="49">
        <f>VLOOKUP($A151,'Data shares'!$C:$FA,128)*100</f>
        <v>2.9899999999999998</v>
      </c>
      <c r="F151" s="49">
        <f>VLOOKUP($A151,'Data shares'!$C:$FA,129)</f>
        <v>1430100</v>
      </c>
    </row>
    <row r="152" spans="1:7" x14ac:dyDescent="0.25">
      <c r="A152" s="101" t="s">
        <v>526</v>
      </c>
      <c r="B152" s="17">
        <v>44365911</v>
      </c>
      <c r="C152" s="17">
        <v>20668300</v>
      </c>
      <c r="D152" s="17">
        <f t="shared" si="2"/>
        <v>20668300</v>
      </c>
      <c r="E152" s="49">
        <f>VLOOKUP($A152,'Data shares'!$C:$FA,128)*100</f>
        <v>3.58</v>
      </c>
      <c r="F152" s="49">
        <f>VLOOKUP($A152,'Data shares'!$C:$FA,129)</f>
        <v>718000</v>
      </c>
    </row>
    <row r="153" spans="1:7" x14ac:dyDescent="0.25">
      <c r="A153" s="101" t="s">
        <v>515</v>
      </c>
      <c r="B153" s="17">
        <v>3083179</v>
      </c>
      <c r="C153" s="17">
        <v>492075</v>
      </c>
      <c r="D153" s="17">
        <f t="shared" si="2"/>
        <v>492075</v>
      </c>
      <c r="E153" s="49">
        <f>VLOOKUP($A153,'Data shares'!$C:$FA,128)*100</f>
        <v>3.58</v>
      </c>
      <c r="F153" s="49">
        <f>VLOOKUP($A153,'Data shares'!$C:$FA,129)</f>
        <v>718000</v>
      </c>
    </row>
    <row r="154" spans="1:7" x14ac:dyDescent="0.25">
      <c r="A154" s="101" t="s">
        <v>226</v>
      </c>
      <c r="B154" s="17">
        <v>26072630</v>
      </c>
      <c r="C154" s="17">
        <v>9897900</v>
      </c>
      <c r="D154" s="17">
        <f t="shared" si="2"/>
        <v>9897900</v>
      </c>
      <c r="E154" s="49">
        <f>VLOOKUP($A154,'Data shares'!$C:$FA,128)*100</f>
        <v>1.6500000000000001</v>
      </c>
      <c r="F154" s="49">
        <f>VLOOKUP($A154,'Data shares'!$C:$FA,129)</f>
        <v>54450</v>
      </c>
    </row>
    <row r="155" spans="1:7" x14ac:dyDescent="0.25">
      <c r="A155" s="101" t="s">
        <v>544</v>
      </c>
      <c r="B155" s="17">
        <v>139989683</v>
      </c>
      <c r="C155" s="17">
        <v>28415200</v>
      </c>
      <c r="D155" s="17">
        <f t="shared" si="2"/>
        <v>28415200</v>
      </c>
      <c r="E155" s="49">
        <f>VLOOKUP($A155,'Data shares'!$C:$FA,128)*100</f>
        <v>1.59</v>
      </c>
      <c r="F155" s="49">
        <f>VLOOKUP($A155,'Data shares'!$C:$FA,129)</f>
        <v>765700</v>
      </c>
    </row>
    <row r="156" spans="1:7" x14ac:dyDescent="0.25">
      <c r="A156" s="101" t="s">
        <v>547</v>
      </c>
      <c r="B156" s="17">
        <v>65482129</v>
      </c>
      <c r="C156" s="17">
        <v>33944200</v>
      </c>
      <c r="D156" s="17">
        <f t="shared" si="2"/>
        <v>33944200</v>
      </c>
      <c r="E156" s="49">
        <f>VLOOKUP($A156,'Data shares'!$C:$FA,128)*100</f>
        <v>11.14</v>
      </c>
      <c r="F156" s="49">
        <f>VLOOKUP($A156,'Data shares'!$C:$FA,129)</f>
        <v>3252200</v>
      </c>
    </row>
    <row r="157" spans="1:7" x14ac:dyDescent="0.25">
      <c r="A157" s="101" t="s">
        <v>499</v>
      </c>
      <c r="B157" s="17">
        <v>66687240</v>
      </c>
      <c r="C157" s="17">
        <v>16125200</v>
      </c>
      <c r="D157" s="17">
        <f t="shared" si="2"/>
        <v>16125200</v>
      </c>
      <c r="E157" s="49">
        <f>VLOOKUP($A157,'Data shares'!$C:$FA,128)*100</f>
        <v>1.59</v>
      </c>
      <c r="F157" s="49">
        <f>VLOOKUP($A157,'Data shares'!$C:$FA,129)</f>
        <v>765700</v>
      </c>
    </row>
    <row r="158" spans="1:7" x14ac:dyDescent="0.25">
      <c r="A158" s="101" t="s">
        <v>483</v>
      </c>
      <c r="B158" s="17">
        <v>16146181</v>
      </c>
      <c r="C158" s="17">
        <v>1914250</v>
      </c>
      <c r="D158" s="17">
        <f t="shared" si="2"/>
        <v>1914250</v>
      </c>
      <c r="E158" s="49">
        <f>VLOOKUP($A158,'Data shares'!$C:$FA,128)*100</f>
        <v>5.0599999999999996</v>
      </c>
      <c r="F158" s="49">
        <f>VLOOKUP($A158,'Data shares'!$C:$FA,129)</f>
        <v>153825</v>
      </c>
    </row>
    <row r="159" spans="1:7" x14ac:dyDescent="0.25">
      <c r="A159" s="101" t="s">
        <v>546</v>
      </c>
      <c r="B159" s="17">
        <v>18282414</v>
      </c>
      <c r="C159" s="17">
        <v>13742300</v>
      </c>
      <c r="D159" s="17">
        <f t="shared" si="2"/>
        <v>13742300</v>
      </c>
      <c r="E159" s="49">
        <f>VLOOKUP($A159,'Data shares'!$C:$FA,128)*100</f>
        <v>2.19</v>
      </c>
      <c r="F159" s="49">
        <f>VLOOKUP($A159,'Data shares'!$C:$FA,129)</f>
        <v>3103875</v>
      </c>
    </row>
    <row r="160" spans="1:7" x14ac:dyDescent="0.25">
      <c r="A160" s="101" t="s">
        <v>220</v>
      </c>
      <c r="B160" s="17">
        <v>50687734</v>
      </c>
      <c r="C160" s="17">
        <v>6783500</v>
      </c>
      <c r="D160" s="17">
        <f t="shared" si="2"/>
        <v>6783500</v>
      </c>
      <c r="E160" s="49">
        <f>VLOOKUP($A160,'Data shares'!$C:$FA,128)*100</f>
        <v>1.43</v>
      </c>
      <c r="F160" s="49">
        <f>VLOOKUP($A160,'Data shares'!$C:$FA,129)</f>
        <v>143000</v>
      </c>
    </row>
    <row r="161" spans="1:6" x14ac:dyDescent="0.25">
      <c r="A161" s="101" t="s">
        <v>472</v>
      </c>
      <c r="B161" s="17">
        <v>50993734</v>
      </c>
      <c r="C161" s="17">
        <v>3803750</v>
      </c>
      <c r="D161" s="17">
        <f t="shared" si="2"/>
        <v>3803750</v>
      </c>
      <c r="E161" s="49">
        <f>VLOOKUP($A161,'Data shares'!$C:$FA,128)*100</f>
        <v>0.41000000000000003</v>
      </c>
      <c r="F161" s="49">
        <f>VLOOKUP($A161,'Data shares'!$C:$FA,129)</f>
        <v>19175</v>
      </c>
    </row>
    <row r="162" spans="1:6" x14ac:dyDescent="0.25">
      <c r="A162" t="s">
        <v>535</v>
      </c>
      <c r="B162">
        <v>78168147</v>
      </c>
      <c r="C162">
        <v>9571500</v>
      </c>
      <c r="D162" s="17">
        <f t="shared" ref="D162:D204" si="3">C162</f>
        <v>9571500</v>
      </c>
      <c r="E162" s="49">
        <f>VLOOKUP($A162,'Data shares'!$C:$FA,128)*100</f>
        <v>5.13</v>
      </c>
      <c r="F162" s="49">
        <f>VLOOKUP($A162,'Data shares'!$C:$FA,129)</f>
        <v>841500</v>
      </c>
    </row>
    <row r="163" spans="1:6" x14ac:dyDescent="0.25">
      <c r="A163" t="s">
        <v>492</v>
      </c>
      <c r="B163">
        <v>28779078</v>
      </c>
      <c r="C163">
        <v>14404150</v>
      </c>
      <c r="D163" s="17">
        <f t="shared" si="3"/>
        <v>14404150</v>
      </c>
      <c r="E163" s="49">
        <f>VLOOKUP($A163,'Data shares'!$C:$FA,128)*100</f>
        <v>1.8499999999999999</v>
      </c>
      <c r="F163" s="49">
        <f>VLOOKUP($A163,'Data shares'!$C:$FA,129)</f>
        <v>143825</v>
      </c>
    </row>
    <row r="164" spans="1:6" x14ac:dyDescent="0.25">
      <c r="A164" t="s">
        <v>298</v>
      </c>
      <c r="B164">
        <v>9731600</v>
      </c>
      <c r="C164">
        <v>863500</v>
      </c>
      <c r="D164" s="17">
        <f t="shared" si="3"/>
        <v>863500</v>
      </c>
      <c r="E164" s="49">
        <f>VLOOKUP($A164,'Data shares'!$C:$FA,128)*100</f>
        <v>0.89</v>
      </c>
      <c r="F164" s="49">
        <f>VLOOKUP($A164,'Data shares'!$C:$FA,129)</f>
        <v>19750</v>
      </c>
    </row>
    <row r="165" spans="1:6" x14ac:dyDescent="0.25">
      <c r="A165" t="s">
        <v>548</v>
      </c>
      <c r="B165">
        <v>442076</v>
      </c>
      <c r="C165">
        <v>9615</v>
      </c>
      <c r="D165" s="17">
        <f t="shared" si="3"/>
        <v>9615</v>
      </c>
      <c r="E165" s="49">
        <f>VLOOKUP($A165,'Data shares'!$C:$FA,128)*100</f>
        <v>7.76</v>
      </c>
      <c r="F165" s="49">
        <f>VLOOKUP($A165,'Data shares'!$C:$FA,129)</f>
        <v>2726850</v>
      </c>
    </row>
    <row r="166" spans="1:6" x14ac:dyDescent="0.25">
      <c r="A166" t="s">
        <v>530</v>
      </c>
      <c r="B166">
        <v>3258166</v>
      </c>
      <c r="C166">
        <v>219750</v>
      </c>
      <c r="D166" s="17">
        <f t="shared" si="3"/>
        <v>219750</v>
      </c>
      <c r="E166" s="49">
        <f>VLOOKUP($A166,'Data shares'!$C:$FA,128)*100</f>
        <v>4.47</v>
      </c>
      <c r="F166" s="49">
        <f>VLOOKUP($A166,'Data shares'!$C:$FA,129)</f>
        <v>250750</v>
      </c>
    </row>
    <row r="167" spans="1:6" x14ac:dyDescent="0.25">
      <c r="A167" t="s">
        <v>249</v>
      </c>
      <c r="B167">
        <v>277168216</v>
      </c>
      <c r="C167">
        <v>21795375</v>
      </c>
      <c r="D167" s="17">
        <f t="shared" si="3"/>
        <v>21795375</v>
      </c>
      <c r="E167" s="49">
        <f>VLOOKUP($A167,'Data shares'!$C:$FA,128)*100</f>
        <v>2.98</v>
      </c>
      <c r="F167" s="49">
        <f>VLOOKUP($A167,'Data shares'!$C:$FA,129)</f>
        <v>392175</v>
      </c>
    </row>
    <row r="168" spans="1:6" x14ac:dyDescent="0.25">
      <c r="A168" t="s">
        <v>216</v>
      </c>
      <c r="B168">
        <v>484955219</v>
      </c>
      <c r="C168">
        <v>230400000</v>
      </c>
      <c r="D168" s="17">
        <f t="shared" si="3"/>
        <v>230400000</v>
      </c>
      <c r="E168" s="49">
        <f>VLOOKUP($A168,'Data shares'!$C:$FA,128)*100</f>
        <v>2.19</v>
      </c>
      <c r="F168" s="49">
        <f>VLOOKUP($A168,'Data shares'!$C:$FA,129)</f>
        <v>3103875</v>
      </c>
    </row>
    <row r="169" spans="1:6" x14ac:dyDescent="0.25">
      <c r="A169" t="s">
        <v>252</v>
      </c>
      <c r="B169">
        <v>117640832</v>
      </c>
      <c r="C169">
        <v>52456000</v>
      </c>
      <c r="D169" s="17">
        <f t="shared" si="3"/>
        <v>52456000</v>
      </c>
      <c r="E169" s="49">
        <f>VLOOKUP($A169,'Data shares'!$C:$FA,128)*100</f>
        <v>1.95</v>
      </c>
      <c r="F169" s="49">
        <f>VLOOKUP($A169,'Data shares'!$C:$FA,129)</f>
        <v>354800</v>
      </c>
    </row>
    <row r="170" spans="1:6" x14ac:dyDescent="0.25">
      <c r="A170" t="s">
        <v>205</v>
      </c>
      <c r="B170">
        <v>25513876</v>
      </c>
      <c r="C170">
        <v>3302300</v>
      </c>
      <c r="D170" s="17">
        <f t="shared" si="3"/>
        <v>3302300</v>
      </c>
      <c r="E170" s="49">
        <f>VLOOKUP($A170,'Data shares'!$C:$FA,128)*100</f>
        <v>0.67999999999999994</v>
      </c>
      <c r="F170" s="49">
        <f>VLOOKUP($A170,'Data shares'!$C:$FA,129)</f>
        <v>18200</v>
      </c>
    </row>
    <row r="171" spans="1:6" x14ac:dyDescent="0.25">
      <c r="A171" t="s">
        <v>194</v>
      </c>
      <c r="B171">
        <v>202646440</v>
      </c>
      <c r="C171">
        <v>52470000</v>
      </c>
      <c r="D171" s="17">
        <f t="shared" si="3"/>
        <v>52470000</v>
      </c>
      <c r="E171" s="49">
        <f>VLOOKUP($A171,'Data shares'!$C:$FA,128)*100</f>
        <v>1.43</v>
      </c>
      <c r="F171" s="49">
        <f>VLOOKUP($A171,'Data shares'!$C:$FA,129)</f>
        <v>487825</v>
      </c>
    </row>
    <row r="172" spans="1:6" x14ac:dyDescent="0.25">
      <c r="A172" t="s">
        <v>263</v>
      </c>
      <c r="B172">
        <v>178967755</v>
      </c>
      <c r="C172">
        <v>142910500</v>
      </c>
      <c r="D172" s="17">
        <f t="shared" si="3"/>
        <v>142910500</v>
      </c>
      <c r="E172" s="49">
        <f>VLOOKUP($A172,'Data shares'!$C:$FA,128)*100</f>
        <v>18.05</v>
      </c>
      <c r="F172" s="49">
        <f>VLOOKUP($A172,'Data shares'!$C:$FA,129)</f>
        <v>6348750</v>
      </c>
    </row>
    <row r="173" spans="1:6" x14ac:dyDescent="0.25">
      <c r="A173" t="s">
        <v>476</v>
      </c>
      <c r="B173">
        <v>40446155</v>
      </c>
      <c r="C173">
        <v>4358800</v>
      </c>
      <c r="D173" s="17">
        <f t="shared" si="3"/>
        <v>4358800</v>
      </c>
      <c r="E173" s="49">
        <f>VLOOKUP($A173,'Data shares'!$C:$FA,128)*100</f>
        <v>1.43</v>
      </c>
      <c r="F173" s="49">
        <f>VLOOKUP($A173,'Data shares'!$C:$FA,129)</f>
        <v>44000</v>
      </c>
    </row>
    <row r="174" spans="1:6" x14ac:dyDescent="0.25">
      <c r="A174" t="s">
        <v>187</v>
      </c>
      <c r="B174">
        <v>51436398</v>
      </c>
      <c r="C174">
        <v>7413750</v>
      </c>
      <c r="D174" s="17">
        <f t="shared" si="3"/>
        <v>7413750</v>
      </c>
      <c r="E174" s="49">
        <f>VLOOKUP($A174,'Data shares'!$C:$FA,128)*100</f>
        <v>1.5599999999999998</v>
      </c>
      <c r="F174" s="49">
        <f>VLOOKUP($A174,'Data shares'!$C:$FA,129)</f>
        <v>103000</v>
      </c>
    </row>
    <row r="175" spans="1:6" x14ac:dyDescent="0.25">
      <c r="A175" t="s">
        <v>493</v>
      </c>
      <c r="B175">
        <v>14814614</v>
      </c>
      <c r="C175">
        <v>3344250</v>
      </c>
      <c r="D175" s="17">
        <f t="shared" si="3"/>
        <v>3344250</v>
      </c>
      <c r="E175" s="49">
        <f>VLOOKUP($A175,'Data shares'!$C:$FA,128)*100</f>
        <v>1.47</v>
      </c>
      <c r="F175" s="49">
        <f>VLOOKUP($A175,'Data shares'!$C:$FA,129)</f>
        <v>26975</v>
      </c>
    </row>
    <row r="176" spans="1:6" x14ac:dyDescent="0.25">
      <c r="A176" t="s">
        <v>525</v>
      </c>
      <c r="B176">
        <v>35635456</v>
      </c>
      <c r="C176">
        <v>28959300</v>
      </c>
      <c r="D176" s="17">
        <f t="shared" si="3"/>
        <v>28959300</v>
      </c>
      <c r="E176" s="49">
        <f>VLOOKUP($A176,'Data shares'!$C:$FA,128)*100</f>
        <v>1.24</v>
      </c>
      <c r="F176" s="49">
        <f>VLOOKUP($A176,'Data shares'!$C:$FA,129)</f>
        <v>282200</v>
      </c>
    </row>
    <row r="177" spans="1:6" x14ac:dyDescent="0.25">
      <c r="A177" t="s">
        <v>512</v>
      </c>
      <c r="B177">
        <v>7771646</v>
      </c>
      <c r="C177">
        <v>1119375</v>
      </c>
      <c r="D177" s="17">
        <f t="shared" si="3"/>
        <v>1119375</v>
      </c>
      <c r="E177" s="49">
        <f>VLOOKUP($A177,'Data shares'!$C:$FA,128)*100</f>
        <v>5.27</v>
      </c>
      <c r="F177" s="49">
        <f>VLOOKUP($A177,'Data shares'!$C:$FA,129)</f>
        <v>137450</v>
      </c>
    </row>
    <row r="178" spans="1:6" x14ac:dyDescent="0.25">
      <c r="A178" t="s">
        <v>233</v>
      </c>
      <c r="B178">
        <v>76432837</v>
      </c>
      <c r="C178">
        <v>9804000</v>
      </c>
      <c r="D178" s="17">
        <f t="shared" si="3"/>
        <v>9804000</v>
      </c>
      <c r="E178" s="49">
        <f>VLOOKUP($A178,'Data shares'!$C:$FA,128)*100</f>
        <v>0.41000000000000003</v>
      </c>
      <c r="F178" s="49">
        <f>VLOOKUP($A178,'Data shares'!$C:$FA,129)</f>
        <v>75850</v>
      </c>
    </row>
    <row r="179" spans="1:6" x14ac:dyDescent="0.25">
      <c r="A179" t="s">
        <v>183</v>
      </c>
      <c r="B179">
        <v>12092405</v>
      </c>
      <c r="C179">
        <v>2606450</v>
      </c>
      <c r="D179" s="17">
        <f t="shared" si="3"/>
        <v>2606450</v>
      </c>
      <c r="E179" s="49">
        <f>VLOOKUP($A179,'Data shares'!$C:$FA,128)*100</f>
        <v>23.46</v>
      </c>
      <c r="F179" s="49">
        <f>VLOOKUP($A179,'Data shares'!$C:$FA,129)</f>
        <v>584820</v>
      </c>
    </row>
    <row r="180" spans="1:6" x14ac:dyDescent="0.25">
      <c r="A180" t="s">
        <v>280</v>
      </c>
      <c r="B180">
        <v>187084550</v>
      </c>
      <c r="C180">
        <v>50568000</v>
      </c>
      <c r="D180" s="17">
        <f t="shared" si="3"/>
        <v>50568000</v>
      </c>
      <c r="E180" s="49">
        <f>VLOOKUP($A180,'Data shares'!$C:$FA,128)*100</f>
        <v>7.6300000000000008</v>
      </c>
      <c r="F180" s="49">
        <f>VLOOKUP($A180,'Data shares'!$C:$FA,129)</f>
        <v>6091400</v>
      </c>
    </row>
    <row r="181" spans="1:6" x14ac:dyDescent="0.25">
      <c r="A181" t="s">
        <v>166</v>
      </c>
      <c r="B181">
        <v>79597108</v>
      </c>
      <c r="C181">
        <v>26630000</v>
      </c>
      <c r="D181" s="17">
        <f t="shared" si="3"/>
        <v>26630000</v>
      </c>
      <c r="E181" s="49">
        <f>VLOOKUP($A181,'Data shares'!$C:$FA,128)*100</f>
        <v>1.0699999999999998</v>
      </c>
      <c r="F181" s="49">
        <f>VLOOKUP($A181,'Data shares'!$C:$FA,129)</f>
        <v>26875</v>
      </c>
    </row>
    <row r="182" spans="1:6" x14ac:dyDescent="0.25">
      <c r="A182" t="s">
        <v>241</v>
      </c>
      <c r="B182">
        <v>913205148</v>
      </c>
      <c r="C182">
        <v>118527500</v>
      </c>
      <c r="D182" s="17">
        <f t="shared" si="3"/>
        <v>118527500</v>
      </c>
      <c r="E182" s="49">
        <f>VLOOKUP($A182,'Data shares'!$C:$FA,128)*100</f>
        <v>3.26</v>
      </c>
      <c r="F182" s="49">
        <f>VLOOKUP($A182,'Data shares'!$C:$FA,129)</f>
        <v>2656875</v>
      </c>
    </row>
    <row r="183" spans="1:6" x14ac:dyDescent="0.25">
      <c r="A183" t="s">
        <v>517</v>
      </c>
      <c r="B183">
        <v>10180563</v>
      </c>
      <c r="C183">
        <v>3926650</v>
      </c>
      <c r="D183" s="17">
        <f t="shared" si="3"/>
        <v>3926650</v>
      </c>
      <c r="E183" s="49">
        <f>VLOOKUP($A183,'Data shares'!$C:$FA,128)*100</f>
        <v>4.83</v>
      </c>
      <c r="F183" s="49">
        <f>VLOOKUP($A183,'Data shares'!$C:$FA,129)</f>
        <v>623125</v>
      </c>
    </row>
    <row r="184" spans="1:6" x14ac:dyDescent="0.25">
      <c r="A184" t="s">
        <v>211</v>
      </c>
      <c r="B184">
        <v>91809066</v>
      </c>
      <c r="C184">
        <v>33516000</v>
      </c>
      <c r="D184" s="17">
        <f t="shared" si="3"/>
        <v>33516000</v>
      </c>
      <c r="E184" s="49">
        <f>VLOOKUP($A184,'Data shares'!$C:$FA,128)*100</f>
        <v>4.5199999999999996</v>
      </c>
      <c r="F184" s="49">
        <f>VLOOKUP($A184,'Data shares'!$C:$FA,129)</f>
        <v>1306800</v>
      </c>
    </row>
    <row r="185" spans="1:6" x14ac:dyDescent="0.25">
      <c r="A185" t="s">
        <v>518</v>
      </c>
      <c r="B185">
        <v>4636018</v>
      </c>
      <c r="C185">
        <v>608375</v>
      </c>
      <c r="D185" s="17">
        <f t="shared" si="3"/>
        <v>608375</v>
      </c>
      <c r="E185" s="49">
        <f>VLOOKUP($A185,'Data shares'!$C:$FA,128)*100</f>
        <v>3.2300000000000004</v>
      </c>
      <c r="F185" s="49">
        <f>VLOOKUP($A185,'Data shares'!$C:$FA,129)</f>
        <v>46200</v>
      </c>
    </row>
    <row r="186" spans="1:6" x14ac:dyDescent="0.25">
      <c r="A186" t="s">
        <v>511</v>
      </c>
      <c r="B186">
        <v>18644752</v>
      </c>
      <c r="C186">
        <v>4227600</v>
      </c>
      <c r="D186" s="17">
        <f t="shared" si="3"/>
        <v>4227600</v>
      </c>
      <c r="E186" s="49">
        <f>VLOOKUP($A186,'Data shares'!$C:$FA,128)*100</f>
        <v>5.25</v>
      </c>
      <c r="F186" s="49">
        <f>VLOOKUP($A186,'Data shares'!$C:$FA,129)</f>
        <v>7479000</v>
      </c>
    </row>
    <row r="187" spans="1:6" x14ac:dyDescent="0.25">
      <c r="A187" t="s">
        <v>186</v>
      </c>
      <c r="B187">
        <v>48589957</v>
      </c>
      <c r="C187">
        <v>5942200</v>
      </c>
      <c r="D187" s="17">
        <f t="shared" si="3"/>
        <v>5942200</v>
      </c>
      <c r="E187" s="49">
        <f>VLOOKUP($A187,'Data shares'!$C:$FA,128)*100</f>
        <v>4.7600000000000007</v>
      </c>
      <c r="F187" s="49">
        <f>VLOOKUP($A187,'Data shares'!$C:$FA,129)</f>
        <v>5236875</v>
      </c>
    </row>
    <row r="188" spans="1:6" x14ac:dyDescent="0.25">
      <c r="A188" t="s">
        <v>522</v>
      </c>
      <c r="B188">
        <v>1063050</v>
      </c>
      <c r="C188">
        <v>54050</v>
      </c>
      <c r="D188" s="17">
        <f t="shared" si="3"/>
        <v>54050</v>
      </c>
      <c r="E188" s="49">
        <f>VLOOKUP($A188,'Data shares'!$C:$FA,128)*100</f>
        <v>1.95</v>
      </c>
      <c r="F188" s="49">
        <f>VLOOKUP($A188,'Data shares'!$C:$FA,129)</f>
        <v>38625</v>
      </c>
    </row>
    <row r="189" spans="1:6" x14ac:dyDescent="0.25">
      <c r="A189" t="s">
        <v>300</v>
      </c>
      <c r="B189">
        <v>45360865</v>
      </c>
      <c r="C189">
        <v>14277200</v>
      </c>
      <c r="D189" s="17">
        <f t="shared" si="3"/>
        <v>14277200</v>
      </c>
      <c r="E189" s="49">
        <f>VLOOKUP($A189,'Data shares'!$C:$FA,128)*100</f>
        <v>0.71000000000000008</v>
      </c>
      <c r="F189" s="49">
        <f>VLOOKUP($A189,'Data shares'!$C:$FA,129)</f>
        <v>49175</v>
      </c>
    </row>
    <row r="190" spans="1:6" x14ac:dyDescent="0.25">
      <c r="A190" t="s">
        <v>520</v>
      </c>
      <c r="B190">
        <v>23139622</v>
      </c>
      <c r="C190">
        <v>1555500</v>
      </c>
      <c r="D190" s="17">
        <f t="shared" si="3"/>
        <v>1555500</v>
      </c>
      <c r="E190" s="49">
        <f>VLOOKUP($A190,'Data shares'!$C:$FA,128)*100</f>
        <v>0</v>
      </c>
      <c r="F190" s="49">
        <f>VLOOKUP($A190,'Data shares'!$C:$FA,129)</f>
        <v>0</v>
      </c>
    </row>
    <row r="191" spans="1:6" x14ac:dyDescent="0.25">
      <c r="A191" t="s">
        <v>294</v>
      </c>
      <c r="B191">
        <v>161436977</v>
      </c>
      <c r="C191">
        <v>59382700</v>
      </c>
      <c r="D191" s="17">
        <f t="shared" si="3"/>
        <v>59382700</v>
      </c>
      <c r="E191" s="49">
        <f>VLOOKUP($A191,'Data shares'!$C:$FA,128)*100</f>
        <v>11.43</v>
      </c>
      <c r="F191" s="49">
        <f>VLOOKUP($A191,'Data shares'!$C:$FA,129)</f>
        <v>25822500</v>
      </c>
    </row>
    <row r="192" spans="1:6" x14ac:dyDescent="0.25">
      <c r="A192" t="s">
        <v>244</v>
      </c>
      <c r="B192">
        <v>265685393</v>
      </c>
      <c r="C192">
        <v>44023500</v>
      </c>
      <c r="D192" s="17">
        <f t="shared" si="3"/>
        <v>44023500</v>
      </c>
      <c r="E192" s="49">
        <f>VLOOKUP($A192,'Data shares'!$C:$FA,128)*100</f>
        <v>1.9</v>
      </c>
      <c r="F192" s="49">
        <f>VLOOKUP($A192,'Data shares'!$C:$FA,129)</f>
        <v>139050</v>
      </c>
    </row>
    <row r="193" spans="1:6" x14ac:dyDescent="0.25">
      <c r="A193" t="s">
        <v>160</v>
      </c>
      <c r="B193">
        <v>145684825</v>
      </c>
      <c r="C193">
        <v>110820000</v>
      </c>
      <c r="D193" s="17">
        <f t="shared" si="3"/>
        <v>110820000</v>
      </c>
      <c r="E193" s="49">
        <f>VLOOKUP($A193,'Data shares'!$C:$FA,128)*100</f>
        <v>3.18</v>
      </c>
      <c r="F193" s="49">
        <f>VLOOKUP($A193,'Data shares'!$C:$FA,129)</f>
        <v>676875</v>
      </c>
    </row>
    <row r="194" spans="1:6" x14ac:dyDescent="0.25">
      <c r="A194" t="s">
        <v>496</v>
      </c>
      <c r="B194">
        <v>11999202</v>
      </c>
      <c r="C194">
        <v>2345700</v>
      </c>
      <c r="D194" s="17">
        <f t="shared" si="3"/>
        <v>2345700</v>
      </c>
      <c r="E194" s="49">
        <f>VLOOKUP($A194,'Data shares'!$C:$FA,128)*100</f>
        <v>0.89999999999999991</v>
      </c>
      <c r="F194" s="49">
        <f>VLOOKUP($A194,'Data shares'!$C:$FA,129)</f>
        <v>42700</v>
      </c>
    </row>
    <row r="195" spans="1:6" x14ac:dyDescent="0.25">
      <c r="A195" t="s">
        <v>230</v>
      </c>
      <c r="B195">
        <v>179034270</v>
      </c>
      <c r="C195">
        <v>24257400</v>
      </c>
      <c r="D195" s="17">
        <f t="shared" si="3"/>
        <v>24257400</v>
      </c>
      <c r="E195" s="49">
        <f>VLOOKUP($A195,'Data shares'!$C:$FA,128)*100</f>
        <v>1.79</v>
      </c>
      <c r="F195" s="49">
        <f>VLOOKUP($A195,'Data shares'!$C:$FA,129)</f>
        <v>255000</v>
      </c>
    </row>
    <row r="196" spans="1:6" x14ac:dyDescent="0.25">
      <c r="A196" t="s">
        <v>203</v>
      </c>
      <c r="B196">
        <v>27165463</v>
      </c>
      <c r="C196">
        <v>3318000</v>
      </c>
      <c r="D196" s="17">
        <f t="shared" si="3"/>
        <v>3318000</v>
      </c>
      <c r="E196" s="49">
        <f>VLOOKUP($A196,'Data shares'!$C:$FA,128)*100</f>
        <v>1.02</v>
      </c>
      <c r="F196" s="49">
        <f>VLOOKUP($A196,'Data shares'!$C:$FA,129)</f>
        <v>28400</v>
      </c>
    </row>
    <row r="197" spans="1:6" x14ac:dyDescent="0.25">
      <c r="A197" t="s">
        <v>251</v>
      </c>
      <c r="B197">
        <v>184464522</v>
      </c>
      <c r="C197">
        <v>32566800</v>
      </c>
      <c r="D197" s="17">
        <f t="shared" si="3"/>
        <v>32566800</v>
      </c>
      <c r="E197" s="49">
        <f>VLOOKUP($A197,'Data shares'!$C:$FA,128)*100</f>
        <v>1.95</v>
      </c>
      <c r="F197" s="49">
        <f>VLOOKUP($A197,'Data shares'!$C:$FA,129)</f>
        <v>354800</v>
      </c>
    </row>
    <row r="198" spans="1:6" x14ac:dyDescent="0.25">
      <c r="A198" t="s">
        <v>254</v>
      </c>
      <c r="B198">
        <v>104419539</v>
      </c>
      <c r="C198">
        <v>12741000</v>
      </c>
      <c r="D198" s="17">
        <f t="shared" si="3"/>
        <v>12741000</v>
      </c>
      <c r="E198" s="49">
        <f>VLOOKUP($A198,'Data shares'!$C:$FA,128)*100</f>
        <v>0.26</v>
      </c>
      <c r="F198" s="49">
        <f>VLOOKUP($A198,'Data shares'!$C:$FA,129)</f>
        <v>81600</v>
      </c>
    </row>
    <row r="199" spans="1:6" x14ac:dyDescent="0.25">
      <c r="A199" t="s">
        <v>159</v>
      </c>
      <c r="B199">
        <v>55169320</v>
      </c>
      <c r="C199">
        <v>29565500</v>
      </c>
      <c r="D199" s="17">
        <f t="shared" si="3"/>
        <v>29565500</v>
      </c>
      <c r="E199" s="49">
        <f>VLOOKUP($A199,'Data shares'!$C:$FA,128)*100</f>
        <v>13.200000000000001</v>
      </c>
      <c r="F199" s="49">
        <f>VLOOKUP($A199,'Data shares'!$C:$FA,129)</f>
        <v>2426268</v>
      </c>
    </row>
    <row r="200" spans="1:6" x14ac:dyDescent="0.25">
      <c r="A200" t="s">
        <v>201</v>
      </c>
      <c r="B200">
        <v>26654592</v>
      </c>
      <c r="C200">
        <v>3469200</v>
      </c>
      <c r="D200" s="17">
        <f t="shared" si="3"/>
        <v>3469200</v>
      </c>
      <c r="E200" s="49">
        <f>VLOOKUP($A200,'Data shares'!$C:$FA,128)*100</f>
        <v>2.77</v>
      </c>
      <c r="F200" s="49">
        <f>VLOOKUP($A200,'Data shares'!$C:$FA,129)</f>
        <v>143775</v>
      </c>
    </row>
    <row r="201" spans="1:6" x14ac:dyDescent="0.25">
      <c r="A201" t="s">
        <v>199</v>
      </c>
      <c r="B201">
        <v>102562642</v>
      </c>
      <c r="C201">
        <v>20641400</v>
      </c>
      <c r="D201" s="17">
        <f t="shared" si="3"/>
        <v>20641400</v>
      </c>
      <c r="E201" s="49">
        <f>VLOOKUP($A201,'Data shares'!$C:$FA,128)*100</f>
        <v>1.5699999999999998</v>
      </c>
      <c r="F201" s="49">
        <f>VLOOKUP($A201,'Data shares'!$C:$FA,129)</f>
        <v>202875</v>
      </c>
    </row>
    <row r="202" spans="1:6" x14ac:dyDescent="0.25">
      <c r="A202" t="s">
        <v>296</v>
      </c>
      <c r="B202">
        <v>124861039</v>
      </c>
      <c r="C202">
        <v>20543400</v>
      </c>
      <c r="D202" s="17">
        <f t="shared" si="3"/>
        <v>20543400</v>
      </c>
      <c r="E202" s="49">
        <f>VLOOKUP($A202,'Data shares'!$C:$FA,128)*100</f>
        <v>1.73</v>
      </c>
      <c r="F202" s="49">
        <f>VLOOKUP($A202,'Data shares'!$C:$FA,129)</f>
        <v>282600</v>
      </c>
    </row>
    <row r="203" spans="1:6" x14ac:dyDescent="0.25">
      <c r="A203" t="s">
        <v>229</v>
      </c>
      <c r="B203">
        <v>127940594</v>
      </c>
      <c r="C203">
        <v>33552900</v>
      </c>
      <c r="D203" s="17">
        <f t="shared" si="3"/>
        <v>33552900</v>
      </c>
      <c r="E203" s="49">
        <f>VLOOKUP($A203,'Data shares'!$C:$FA,128)*100</f>
        <v>2.42</v>
      </c>
      <c r="F203" s="49">
        <f>VLOOKUP($A203,'Data shares'!$C:$FA,129)</f>
        <v>927450</v>
      </c>
    </row>
    <row r="204" spans="1:6" x14ac:dyDescent="0.25">
      <c r="A204" t="s">
        <v>497</v>
      </c>
      <c r="B204">
        <v>10251929</v>
      </c>
      <c r="C204">
        <v>266200</v>
      </c>
      <c r="D204" s="17">
        <f t="shared" si="3"/>
        <v>266200</v>
      </c>
      <c r="E204" s="49">
        <f>VLOOKUP($A204,'Data shares'!$C:$FA,128)*100</f>
        <v>0.36</v>
      </c>
      <c r="F204" s="49">
        <f>VLOOKUP($A204,'Data shares'!$C:$FA,129)</f>
        <v>4375</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F10" sqref="F10"/>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1"/>
  <sheetViews>
    <sheetView topLeftCell="A6" zoomScale="87" zoomScaleNormal="87" workbookViewId="0">
      <selection activeCell="L13" sqref="L13"/>
    </sheetView>
  </sheetViews>
  <sheetFormatPr defaultRowHeight="15" x14ac:dyDescent="0.25"/>
  <cols>
    <col min="1" max="1" width="12.5703125" bestFit="1" customWidth="1"/>
    <col min="2" max="2" width="16.42578125" bestFit="1" customWidth="1"/>
    <col min="3" max="3" width="16.7109375" bestFit="1" customWidth="1"/>
    <col min="4" max="4" width="14.140625" bestFit="1" customWidth="1"/>
    <col min="5" max="5" width="20" bestFit="1" customWidth="1"/>
    <col min="6" max="6" width="18.85546875" bestFit="1" customWidth="1"/>
    <col min="7" max="7" width="16.7109375" bestFit="1" customWidth="1"/>
    <col min="8" max="8" width="11.42578125" bestFit="1" customWidth="1"/>
    <col min="9" max="9" width="11.5703125" bestFit="1" customWidth="1"/>
    <col min="10" max="10" width="10.5703125" bestFit="1" customWidth="1"/>
    <col min="11" max="11" width="9" bestFit="1"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7.85546875" bestFit="1"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11.42578125" bestFit="1"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4.28515625" bestFit="1" customWidth="1"/>
    <col min="76" max="76" width="16.42578125" bestFit="1" customWidth="1"/>
    <col min="77" max="77" width="15.42578125" bestFit="1" customWidth="1"/>
    <col min="78" max="78" width="13.42578125" bestFit="1" customWidth="1"/>
    <col min="79" max="79" width="14.28515625" bestFit="1" customWidth="1"/>
    <col min="80" max="80" width="14.5703125" bestFit="1" customWidth="1"/>
    <col min="81" max="81" width="13.5703125" bestFit="1" customWidth="1"/>
    <col min="82" max="82" width="11.42578125" bestFit="1" customWidth="1"/>
    <col min="83" max="83" width="13.140625" bestFit="1" customWidth="1"/>
    <col min="84" max="84" width="14.42578125" bestFit="1" customWidth="1"/>
    <col min="85" max="85" width="13.5703125" bestFit="1" customWidth="1"/>
    <col min="86" max="86" width="11.42578125" bestFit="1" customWidth="1"/>
    <col min="87" max="88" width="13.140625" bestFit="1" customWidth="1"/>
    <col min="89" max="89" width="11.5703125" bestFit="1" customWidth="1"/>
    <col min="90" max="90" width="10.140625" bestFit="1" customWidth="1"/>
    <col min="91" max="92" width="14.28515625" bestFit="1" customWidth="1"/>
    <col min="93" max="93" width="12.42578125" bestFit="1" customWidth="1"/>
    <col min="94" max="94" width="10.42578125" bestFit="1" customWidth="1"/>
    <col min="95" max="95" width="13.140625" bestFit="1" customWidth="1"/>
    <col min="96" max="96" width="13.28515625" bestFit="1" customWidth="1"/>
    <col min="97" max="97" width="12.28515625" bestFit="1" customWidth="1"/>
    <col min="98" max="98" width="10.28515625" bestFit="1" customWidth="1"/>
    <col min="99" max="99" width="14.28515625" bestFit="1" customWidth="1"/>
    <col min="100" max="100" width="14.7109375" bestFit="1" customWidth="1"/>
    <col min="101" max="101" width="13.85546875" bestFit="1" customWidth="1"/>
    <col min="102" max="102" width="11.7109375" bestFit="1" customWidth="1"/>
    <col min="103" max="103" width="8.140625" bestFit="1" customWidth="1"/>
    <col min="104" max="104" width="8.85546875" bestFit="1" customWidth="1"/>
    <col min="105" max="106" width="7.85546875" bestFit="1" customWidth="1"/>
    <col min="107" max="107" width="8.140625" bestFit="1" customWidth="1"/>
    <col min="108" max="108" width="9.5703125" bestFit="1" customWidth="1"/>
    <col min="109" max="109" width="11.85546875" bestFit="1" customWidth="1"/>
    <col min="110" max="110" width="7.85546875" bestFit="1" customWidth="1"/>
    <col min="111" max="111" width="8.140625" bestFit="1" customWidth="1"/>
    <col min="112" max="112" width="13.28515625" bestFit="1" customWidth="1"/>
    <col min="113" max="113" width="12.28515625" bestFit="1" customWidth="1"/>
    <col min="114" max="114" width="10.28515625" bestFit="1" customWidth="1"/>
    <col min="115" max="115" width="8.140625" bestFit="1"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bestFit="1" customWidth="1"/>
    <col min="123" max="124" width="11.42578125" bestFit="1"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3.140625" bestFit="1" customWidth="1"/>
    <col min="136" max="136" width="16" bestFit="1" customWidth="1"/>
    <col min="137" max="137" width="11.28515625" bestFit="1"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8.85546875" bestFit="1"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row r="2" spans="1:155" ht="17.25" thickBot="1" x14ac:dyDescent="0.3">
      <c r="A2" s="226">
        <v>46086</v>
      </c>
      <c r="B2" s="227" t="s">
        <v>215</v>
      </c>
      <c r="C2" s="227" t="s">
        <v>159</v>
      </c>
      <c r="D2" s="231">
        <v>2096.1999999999998</v>
      </c>
      <c r="E2" s="231">
        <v>2070.5</v>
      </c>
      <c r="F2" s="228">
        <v>25.7</v>
      </c>
      <c r="G2" s="229">
        <v>1.24E-2</v>
      </c>
      <c r="H2" s="231">
        <v>2089.1999999999998</v>
      </c>
      <c r="I2" s="231">
        <v>2076.5</v>
      </c>
      <c r="J2" s="228">
        <v>12.7</v>
      </c>
      <c r="K2" s="229">
        <v>6.1000000000000004E-3</v>
      </c>
      <c r="L2" s="231">
        <v>2096.1999999999998</v>
      </c>
      <c r="M2" s="231">
        <v>2070.5</v>
      </c>
      <c r="N2" s="228">
        <v>25.7</v>
      </c>
      <c r="O2" s="229">
        <v>1.24E-2</v>
      </c>
      <c r="P2" s="231">
        <v>2100.5</v>
      </c>
      <c r="Q2" s="231">
        <v>2073.8000000000002</v>
      </c>
      <c r="R2" s="228">
        <v>26.7</v>
      </c>
      <c r="S2" s="229">
        <v>1.29E-2</v>
      </c>
      <c r="T2" s="231">
        <v>2106.9</v>
      </c>
      <c r="U2" s="231">
        <v>2080.6</v>
      </c>
      <c r="V2" s="228">
        <v>26.3</v>
      </c>
      <c r="W2" s="229">
        <v>1.26E-2</v>
      </c>
      <c r="X2" s="228">
        <v>7</v>
      </c>
      <c r="Y2" s="228">
        <v>-6</v>
      </c>
      <c r="Z2" s="228">
        <v>13</v>
      </c>
      <c r="AA2" s="229">
        <v>3.3999999999999998E-3</v>
      </c>
      <c r="AB2" s="228">
        <v>7</v>
      </c>
      <c r="AC2" s="228">
        <v>-6</v>
      </c>
      <c r="AD2" s="228">
        <v>13</v>
      </c>
      <c r="AE2" s="229">
        <v>3.3999999999999998E-3</v>
      </c>
      <c r="AF2" s="228">
        <v>11.3</v>
      </c>
      <c r="AG2" s="228">
        <v>-2.7</v>
      </c>
      <c r="AH2" s="228">
        <v>14</v>
      </c>
      <c r="AI2" s="229">
        <v>5.4000000000000003E-3</v>
      </c>
      <c r="AJ2" s="228">
        <v>17.7</v>
      </c>
      <c r="AK2" s="228">
        <v>4.0999999999999996</v>
      </c>
      <c r="AL2" s="228">
        <v>13.6</v>
      </c>
      <c r="AM2" s="229">
        <v>8.5000000000000006E-3</v>
      </c>
      <c r="AN2" s="231">
        <v>2070.23</v>
      </c>
      <c r="AO2" s="231">
        <v>2069.06</v>
      </c>
      <c r="AP2" s="228">
        <v>0</v>
      </c>
      <c r="AQ2" s="230">
        <v>7738</v>
      </c>
      <c r="AR2" s="230">
        <v>9013</v>
      </c>
      <c r="AS2" s="230">
        <v>-1275</v>
      </c>
      <c r="AT2" s="229">
        <v>-0.14149999999999999</v>
      </c>
      <c r="AU2" s="230">
        <v>6855</v>
      </c>
      <c r="AV2" s="230">
        <v>6496</v>
      </c>
      <c r="AW2" s="228">
        <v>359</v>
      </c>
      <c r="AX2" s="229">
        <v>5.5300000000000002E-2</v>
      </c>
      <c r="AY2" s="228">
        <v>632</v>
      </c>
      <c r="AZ2" s="228">
        <v>412</v>
      </c>
      <c r="BA2" s="228">
        <v>220</v>
      </c>
      <c r="BB2" s="229">
        <v>0.53400000000000003</v>
      </c>
      <c r="BC2" s="228">
        <v>251</v>
      </c>
      <c r="BD2" s="230">
        <v>2105</v>
      </c>
      <c r="BE2" s="230">
        <v>-1854</v>
      </c>
      <c r="BF2" s="229">
        <v>-0.88080000000000003</v>
      </c>
      <c r="BG2" s="230">
        <v>22469</v>
      </c>
      <c r="BH2" s="230">
        <v>15302</v>
      </c>
      <c r="BI2" s="230">
        <v>7167</v>
      </c>
      <c r="BJ2" s="229">
        <v>0.46839999999999998</v>
      </c>
      <c r="BK2" s="230">
        <v>15075</v>
      </c>
      <c r="BL2" s="230">
        <v>14892</v>
      </c>
      <c r="BM2" s="228">
        <v>183</v>
      </c>
      <c r="BN2" s="229">
        <v>1.23E-2</v>
      </c>
      <c r="BO2" s="230">
        <v>45282</v>
      </c>
      <c r="BP2" s="230">
        <v>39207</v>
      </c>
      <c r="BQ2" s="230">
        <v>6075</v>
      </c>
      <c r="BR2" s="229">
        <v>0.15490000000000001</v>
      </c>
      <c r="BS2" s="230">
        <v>1305991</v>
      </c>
      <c r="BT2" s="230">
        <v>1656013</v>
      </c>
      <c r="BU2" s="230">
        <v>-350022</v>
      </c>
      <c r="BV2" s="229">
        <v>-0.2114</v>
      </c>
      <c r="BW2" s="230">
        <v>18666381</v>
      </c>
      <c r="BX2" s="230">
        <v>18750738</v>
      </c>
      <c r="BY2" s="230">
        <v>-84357</v>
      </c>
      <c r="BZ2" s="229">
        <v>-4.4999999999999997E-3</v>
      </c>
      <c r="CA2" s="230">
        <v>16201797</v>
      </c>
      <c r="CB2" s="230">
        <v>16324470</v>
      </c>
      <c r="CC2" s="230">
        <v>-122673</v>
      </c>
      <c r="CD2" s="229">
        <v>-7.4999999999999997E-3</v>
      </c>
      <c r="CE2" s="230">
        <v>1426035</v>
      </c>
      <c r="CF2" s="230">
        <v>1402551</v>
      </c>
      <c r="CG2" s="230">
        <v>23484</v>
      </c>
      <c r="CH2" s="229">
        <v>1.67E-2</v>
      </c>
      <c r="CI2" s="230">
        <v>1038549</v>
      </c>
      <c r="CJ2" s="230">
        <v>1023717</v>
      </c>
      <c r="CK2" s="230">
        <v>14832</v>
      </c>
      <c r="CL2" s="229">
        <v>1.4500000000000001E-2</v>
      </c>
      <c r="CM2" s="230">
        <v>5054004</v>
      </c>
      <c r="CN2" s="230">
        <v>4627584</v>
      </c>
      <c r="CO2" s="230">
        <v>426420</v>
      </c>
      <c r="CP2" s="229">
        <v>9.2100000000000001E-2</v>
      </c>
      <c r="CQ2" s="230">
        <v>4777758</v>
      </c>
      <c r="CR2" s="230">
        <v>4547553</v>
      </c>
      <c r="CS2" s="230">
        <v>230205</v>
      </c>
      <c r="CT2" s="229">
        <v>5.0599999999999999E-2</v>
      </c>
      <c r="CU2" s="230">
        <v>28498143</v>
      </c>
      <c r="CV2" s="230">
        <v>27925875</v>
      </c>
      <c r="CW2" s="230">
        <v>572268</v>
      </c>
      <c r="CX2" s="229">
        <v>2.0500000000000001E-2</v>
      </c>
      <c r="CY2" s="228">
        <v>35.85</v>
      </c>
      <c r="CZ2" s="228">
        <v>40.9</v>
      </c>
      <c r="DA2" s="228">
        <v>-5.05</v>
      </c>
      <c r="DB2" s="228">
        <v>-5.05</v>
      </c>
      <c r="DC2" s="228">
        <v>48.48</v>
      </c>
      <c r="DD2" s="228">
        <v>48.57</v>
      </c>
      <c r="DE2" s="228">
        <v>-12.63</v>
      </c>
      <c r="DF2" s="228">
        <v>-0.09</v>
      </c>
      <c r="DG2" s="228">
        <v>35.1</v>
      </c>
      <c r="DH2" s="228">
        <v>39.33</v>
      </c>
      <c r="DI2" s="228">
        <v>-4.2300000000000004</v>
      </c>
      <c r="DJ2" s="228">
        <v>-4.2300000000000004</v>
      </c>
      <c r="DK2" s="228">
        <v>36.97</v>
      </c>
      <c r="DL2" s="228">
        <v>42.52</v>
      </c>
      <c r="DM2" s="228">
        <v>-5.55</v>
      </c>
      <c r="DN2" s="228">
        <v>-5.55</v>
      </c>
      <c r="DO2" s="228">
        <v>0.95</v>
      </c>
      <c r="DP2" s="228">
        <v>0.98</v>
      </c>
      <c r="DQ2" s="228">
        <v>-0.03</v>
      </c>
      <c r="DR2" s="229">
        <v>-3.0599999999999999E-2</v>
      </c>
      <c r="DS2" s="231">
        <v>2200</v>
      </c>
      <c r="DT2" s="231">
        <v>2200</v>
      </c>
      <c r="DU2" s="228">
        <v>0.67</v>
      </c>
      <c r="DV2" s="228">
        <v>0.97</v>
      </c>
      <c r="DW2" s="228">
        <v>-0.3</v>
      </c>
      <c r="DX2" s="229">
        <v>-0.30930000000000002</v>
      </c>
      <c r="DY2" s="229">
        <v>0.13200000000000001</v>
      </c>
      <c r="DZ2" s="230">
        <v>2426268</v>
      </c>
      <c r="EA2" s="229">
        <v>2.0999999999999999E-3</v>
      </c>
      <c r="EB2" s="229">
        <v>0.13200000000000001</v>
      </c>
      <c r="EC2" s="228">
        <v>-1.17</v>
      </c>
      <c r="ED2" s="229">
        <v>-5.9999999999999995E-4</v>
      </c>
      <c r="EE2" s="230">
        <v>294873</v>
      </c>
      <c r="EF2" s="230">
        <v>653062</v>
      </c>
      <c r="EG2" s="229">
        <v>-0.54849999999999999</v>
      </c>
      <c r="EH2" s="229">
        <v>0.2258</v>
      </c>
      <c r="EI2" s="231">
        <v>153575.20000000001</v>
      </c>
      <c r="EJ2" s="231">
        <v>97213.14</v>
      </c>
      <c r="EK2" s="231">
        <v>49495.95</v>
      </c>
      <c r="EL2" s="231">
        <v>9154</v>
      </c>
      <c r="EM2" s="231">
        <v>300284.28999999998</v>
      </c>
      <c r="EN2" s="231">
        <v>258764.24</v>
      </c>
      <c r="EO2" s="231">
        <v>41520.050000000003</v>
      </c>
      <c r="EP2" s="229">
        <v>0.1605</v>
      </c>
      <c r="EQ2" s="231">
        <v>113047</v>
      </c>
      <c r="ER2" s="231">
        <v>102264</v>
      </c>
      <c r="ES2" s="231">
        <v>391457</v>
      </c>
      <c r="ET2" s="231">
        <v>49117354</v>
      </c>
      <c r="EU2" s="231">
        <v>606769</v>
      </c>
      <c r="EV2" s="231">
        <v>589995</v>
      </c>
      <c r="EW2" s="231">
        <v>16774</v>
      </c>
      <c r="EX2" s="229">
        <v>2.8400000000000002E-2</v>
      </c>
      <c r="EY2" s="229">
        <v>0.58020000000000005</v>
      </c>
    </row>
    <row r="3" spans="1:155" ht="17.25" thickBot="1" x14ac:dyDescent="0.3">
      <c r="A3" s="226">
        <v>46086</v>
      </c>
      <c r="B3" s="227" t="s">
        <v>215</v>
      </c>
      <c r="C3" s="227" t="s">
        <v>160</v>
      </c>
      <c r="D3" s="231">
        <v>1501.8</v>
      </c>
      <c r="E3" s="231">
        <v>1440.9</v>
      </c>
      <c r="F3" s="228">
        <v>60.9</v>
      </c>
      <c r="G3" s="229">
        <v>4.2299999999999997E-2</v>
      </c>
      <c r="H3" s="231">
        <v>1499.3</v>
      </c>
      <c r="I3" s="231">
        <v>1434.4</v>
      </c>
      <c r="J3" s="228">
        <v>64.900000000000006</v>
      </c>
      <c r="K3" s="229">
        <v>4.5199999999999997E-2</v>
      </c>
      <c r="L3" s="231">
        <v>1501.8</v>
      </c>
      <c r="M3" s="231">
        <v>1440.9</v>
      </c>
      <c r="N3" s="228">
        <v>60.9</v>
      </c>
      <c r="O3" s="229">
        <v>4.2299999999999997E-2</v>
      </c>
      <c r="P3" s="231">
        <v>1510.6</v>
      </c>
      <c r="Q3" s="231">
        <v>1449.9</v>
      </c>
      <c r="R3" s="228">
        <v>60.7</v>
      </c>
      <c r="S3" s="229">
        <v>4.19E-2</v>
      </c>
      <c r="T3" s="231">
        <v>1518.8</v>
      </c>
      <c r="U3" s="231">
        <v>1458</v>
      </c>
      <c r="V3" s="228">
        <v>60.8</v>
      </c>
      <c r="W3" s="229">
        <v>4.1700000000000001E-2</v>
      </c>
      <c r="X3" s="228">
        <v>2.5</v>
      </c>
      <c r="Y3" s="228">
        <v>6.5</v>
      </c>
      <c r="Z3" s="228">
        <v>-4</v>
      </c>
      <c r="AA3" s="229">
        <v>1.6999999999999999E-3</v>
      </c>
      <c r="AB3" s="228">
        <v>2.5</v>
      </c>
      <c r="AC3" s="228">
        <v>6.5</v>
      </c>
      <c r="AD3" s="228">
        <v>-4</v>
      </c>
      <c r="AE3" s="229">
        <v>1.6999999999999999E-3</v>
      </c>
      <c r="AF3" s="228">
        <v>11.3</v>
      </c>
      <c r="AG3" s="228">
        <v>15.5</v>
      </c>
      <c r="AH3" s="228">
        <v>-4.2</v>
      </c>
      <c r="AI3" s="229">
        <v>7.4999999999999997E-3</v>
      </c>
      <c r="AJ3" s="228">
        <v>19.5</v>
      </c>
      <c r="AK3" s="228">
        <v>23.6</v>
      </c>
      <c r="AL3" s="228">
        <v>-4.0999999999999996</v>
      </c>
      <c r="AM3" s="229">
        <v>1.2999999999999999E-2</v>
      </c>
      <c r="AN3" s="231">
        <v>1479.86</v>
      </c>
      <c r="AO3" s="231">
        <v>1490.65</v>
      </c>
      <c r="AP3" s="228">
        <v>0</v>
      </c>
      <c r="AQ3" s="230">
        <v>9581</v>
      </c>
      <c r="AR3" s="230">
        <v>8765</v>
      </c>
      <c r="AS3" s="228">
        <v>816</v>
      </c>
      <c r="AT3" s="229">
        <v>9.3100000000000002E-2</v>
      </c>
      <c r="AU3" s="230">
        <v>9182</v>
      </c>
      <c r="AV3" s="230">
        <v>8020</v>
      </c>
      <c r="AW3" s="230">
        <v>1162</v>
      </c>
      <c r="AX3" s="229">
        <v>0.1449</v>
      </c>
      <c r="AY3" s="228">
        <v>364</v>
      </c>
      <c r="AZ3" s="228">
        <v>547</v>
      </c>
      <c r="BA3" s="228">
        <v>-183</v>
      </c>
      <c r="BB3" s="229">
        <v>-0.33460000000000001</v>
      </c>
      <c r="BC3" s="228">
        <v>35</v>
      </c>
      <c r="BD3" s="228">
        <v>198</v>
      </c>
      <c r="BE3" s="228">
        <v>-163</v>
      </c>
      <c r="BF3" s="229">
        <v>-0.82320000000000004</v>
      </c>
      <c r="BG3" s="230">
        <v>24684</v>
      </c>
      <c r="BH3" s="230">
        <v>20300</v>
      </c>
      <c r="BI3" s="230">
        <v>4384</v>
      </c>
      <c r="BJ3" s="229">
        <v>0.216</v>
      </c>
      <c r="BK3" s="230">
        <v>20502</v>
      </c>
      <c r="BL3" s="230">
        <v>32506</v>
      </c>
      <c r="BM3" s="230">
        <v>-12004</v>
      </c>
      <c r="BN3" s="229">
        <v>-0.36930000000000002</v>
      </c>
      <c r="BO3" s="230">
        <v>54767</v>
      </c>
      <c r="BP3" s="230">
        <v>61571</v>
      </c>
      <c r="BQ3" s="230">
        <v>-6804</v>
      </c>
      <c r="BR3" s="229">
        <v>-0.1105</v>
      </c>
      <c r="BS3" s="230">
        <v>3346045</v>
      </c>
      <c r="BT3" s="230">
        <v>3537704</v>
      </c>
      <c r="BU3" s="230">
        <v>-191659</v>
      </c>
      <c r="BV3" s="229">
        <v>-5.4199999999999998E-2</v>
      </c>
      <c r="BW3" s="230">
        <v>21037750</v>
      </c>
      <c r="BX3" s="230">
        <v>21393050</v>
      </c>
      <c r="BY3" s="230">
        <v>-355300</v>
      </c>
      <c r="BZ3" s="229">
        <v>-1.66E-2</v>
      </c>
      <c r="CA3" s="230">
        <v>20369425</v>
      </c>
      <c r="CB3" s="230">
        <v>20716175</v>
      </c>
      <c r="CC3" s="230">
        <v>-346750</v>
      </c>
      <c r="CD3" s="229">
        <v>-1.67E-2</v>
      </c>
      <c r="CE3" s="230">
        <v>551000</v>
      </c>
      <c r="CF3" s="230">
        <v>562400</v>
      </c>
      <c r="CG3" s="230">
        <v>-11400</v>
      </c>
      <c r="CH3" s="229">
        <v>-2.0299999999999999E-2</v>
      </c>
      <c r="CI3" s="230">
        <v>117325</v>
      </c>
      <c r="CJ3" s="230">
        <v>114475</v>
      </c>
      <c r="CK3" s="230">
        <v>2850</v>
      </c>
      <c r="CL3" s="229">
        <v>2.4899999999999999E-2</v>
      </c>
      <c r="CM3" s="230">
        <v>6978225</v>
      </c>
      <c r="CN3" s="230">
        <v>6791075</v>
      </c>
      <c r="CO3" s="230">
        <v>187150</v>
      </c>
      <c r="CP3" s="229">
        <v>2.76E-2</v>
      </c>
      <c r="CQ3" s="230">
        <v>6400625</v>
      </c>
      <c r="CR3" s="230">
        <v>6363100</v>
      </c>
      <c r="CS3" s="230">
        <v>37525</v>
      </c>
      <c r="CT3" s="229">
        <v>5.8999999999999999E-3</v>
      </c>
      <c r="CU3" s="230">
        <v>34416600</v>
      </c>
      <c r="CV3" s="230">
        <v>34547225</v>
      </c>
      <c r="CW3" s="230">
        <v>-130625</v>
      </c>
      <c r="CX3" s="229">
        <v>-3.8E-3</v>
      </c>
      <c r="CY3" s="228">
        <v>32.64</v>
      </c>
      <c r="CZ3" s="228">
        <v>38.200000000000003</v>
      </c>
      <c r="DA3" s="228">
        <v>-5.56</v>
      </c>
      <c r="DB3" s="228">
        <v>-5.56</v>
      </c>
      <c r="DC3" s="228">
        <v>39.04</v>
      </c>
      <c r="DD3" s="228">
        <v>38.69</v>
      </c>
      <c r="DE3" s="228">
        <v>-6.4</v>
      </c>
      <c r="DF3" s="228">
        <v>0.35</v>
      </c>
      <c r="DG3" s="228">
        <v>31.17</v>
      </c>
      <c r="DH3" s="228">
        <v>35.32</v>
      </c>
      <c r="DI3" s="228">
        <v>-4.1500000000000004</v>
      </c>
      <c r="DJ3" s="228">
        <v>-4.1500000000000004</v>
      </c>
      <c r="DK3" s="228">
        <v>34.409999999999997</v>
      </c>
      <c r="DL3" s="228">
        <v>39.99</v>
      </c>
      <c r="DM3" s="228">
        <v>-5.58</v>
      </c>
      <c r="DN3" s="228">
        <v>-5.58</v>
      </c>
      <c r="DO3" s="228">
        <v>0.92</v>
      </c>
      <c r="DP3" s="228">
        <v>0.94</v>
      </c>
      <c r="DQ3" s="228">
        <v>-0.02</v>
      </c>
      <c r="DR3" s="229">
        <v>-2.1299999999999999E-2</v>
      </c>
      <c r="DS3" s="231">
        <v>1500</v>
      </c>
      <c r="DT3" s="231">
        <v>1400</v>
      </c>
      <c r="DU3" s="228">
        <v>0.83</v>
      </c>
      <c r="DV3" s="228">
        <v>1.6</v>
      </c>
      <c r="DW3" s="228">
        <v>-0.77</v>
      </c>
      <c r="DX3" s="229">
        <v>-0.48130000000000001</v>
      </c>
      <c r="DY3" s="229">
        <v>3.1800000000000002E-2</v>
      </c>
      <c r="DZ3" s="230">
        <v>676875</v>
      </c>
      <c r="EA3" s="229">
        <v>5.8999999999999999E-3</v>
      </c>
      <c r="EB3" s="229">
        <v>3.1800000000000002E-2</v>
      </c>
      <c r="EC3" s="228">
        <v>10.79</v>
      </c>
      <c r="ED3" s="229">
        <v>7.3000000000000001E-3</v>
      </c>
      <c r="EE3" s="230">
        <v>1600232</v>
      </c>
      <c r="EF3" s="230">
        <v>1541686</v>
      </c>
      <c r="EG3" s="229">
        <v>3.7999999999999999E-2</v>
      </c>
      <c r="EH3" s="229">
        <v>0.47820000000000001</v>
      </c>
      <c r="EI3" s="231">
        <v>183630.19</v>
      </c>
      <c r="EJ3" s="231">
        <v>139777.72</v>
      </c>
      <c r="EK3" s="231">
        <v>67368.91</v>
      </c>
      <c r="EL3" s="231">
        <v>7246</v>
      </c>
      <c r="EM3" s="231">
        <v>390776.82</v>
      </c>
      <c r="EN3" s="231">
        <v>426006.6</v>
      </c>
      <c r="EO3" s="231">
        <v>-35229.78</v>
      </c>
      <c r="EP3" s="229">
        <v>-8.2699999999999996E-2</v>
      </c>
      <c r="EQ3" s="231">
        <v>110285</v>
      </c>
      <c r="ER3" s="231">
        <v>91406</v>
      </c>
      <c r="ES3" s="231">
        <v>316013</v>
      </c>
      <c r="ET3" s="231">
        <v>84394936</v>
      </c>
      <c r="EU3" s="231">
        <v>517705</v>
      </c>
      <c r="EV3" s="231">
        <v>506062</v>
      </c>
      <c r="EW3" s="231">
        <v>11643</v>
      </c>
      <c r="EX3" s="229">
        <v>2.3E-2</v>
      </c>
      <c r="EY3" s="229">
        <v>0.4078</v>
      </c>
    </row>
    <row r="4" spans="1:155" ht="17.25" thickBot="1" x14ac:dyDescent="0.3">
      <c r="A4" s="226">
        <v>46086</v>
      </c>
      <c r="B4" s="227" t="s">
        <v>170</v>
      </c>
      <c r="C4" s="227" t="s">
        <v>165</v>
      </c>
      <c r="D4" s="231">
        <v>7787.5</v>
      </c>
      <c r="E4" s="231">
        <v>7680</v>
      </c>
      <c r="F4" s="228">
        <v>107.5</v>
      </c>
      <c r="G4" s="229">
        <v>1.4E-2</v>
      </c>
      <c r="H4" s="231">
        <v>7775</v>
      </c>
      <c r="I4" s="231">
        <v>7666</v>
      </c>
      <c r="J4" s="228">
        <v>109</v>
      </c>
      <c r="K4" s="229">
        <v>1.4200000000000001E-2</v>
      </c>
      <c r="L4" s="231">
        <v>7787.5</v>
      </c>
      <c r="M4" s="231">
        <v>7680</v>
      </c>
      <c r="N4" s="228">
        <v>107.5</v>
      </c>
      <c r="O4" s="229">
        <v>1.4E-2</v>
      </c>
      <c r="P4" s="231">
        <v>7833.5</v>
      </c>
      <c r="Q4" s="231">
        <v>7734.5</v>
      </c>
      <c r="R4" s="228">
        <v>99</v>
      </c>
      <c r="S4" s="229">
        <v>1.2800000000000001E-2</v>
      </c>
      <c r="T4" s="231">
        <v>7898</v>
      </c>
      <c r="U4" s="231">
        <v>7767.5</v>
      </c>
      <c r="V4" s="228">
        <v>130.5</v>
      </c>
      <c r="W4" s="229">
        <v>1.6799999999999999E-2</v>
      </c>
      <c r="X4" s="228">
        <v>12.5</v>
      </c>
      <c r="Y4" s="228">
        <v>14</v>
      </c>
      <c r="Z4" s="228">
        <v>-1.5</v>
      </c>
      <c r="AA4" s="229">
        <v>1.6000000000000001E-3</v>
      </c>
      <c r="AB4" s="228">
        <v>12.5</v>
      </c>
      <c r="AC4" s="228">
        <v>14</v>
      </c>
      <c r="AD4" s="228">
        <v>-1.5</v>
      </c>
      <c r="AE4" s="229">
        <v>1.6000000000000001E-3</v>
      </c>
      <c r="AF4" s="228">
        <v>58.5</v>
      </c>
      <c r="AG4" s="228">
        <v>68.5</v>
      </c>
      <c r="AH4" s="228">
        <v>-10</v>
      </c>
      <c r="AI4" s="229">
        <v>7.4999999999999997E-3</v>
      </c>
      <c r="AJ4" s="228">
        <v>123</v>
      </c>
      <c r="AK4" s="228">
        <v>101.5</v>
      </c>
      <c r="AL4" s="228">
        <v>21.5</v>
      </c>
      <c r="AM4" s="229">
        <v>1.5800000000000002E-2</v>
      </c>
      <c r="AN4" s="231">
        <v>7741.68</v>
      </c>
      <c r="AO4" s="231">
        <v>7783.33</v>
      </c>
      <c r="AP4" s="228">
        <v>0</v>
      </c>
      <c r="AQ4" s="230">
        <v>3681</v>
      </c>
      <c r="AR4" s="230">
        <v>4918</v>
      </c>
      <c r="AS4" s="230">
        <v>-1237</v>
      </c>
      <c r="AT4" s="229">
        <v>-0.2515</v>
      </c>
      <c r="AU4" s="230">
        <v>3590</v>
      </c>
      <c r="AV4" s="230">
        <v>4697</v>
      </c>
      <c r="AW4" s="230">
        <v>-1107</v>
      </c>
      <c r="AX4" s="229">
        <v>-0.23569999999999999</v>
      </c>
      <c r="AY4" s="228">
        <v>83</v>
      </c>
      <c r="AZ4" s="228">
        <v>196</v>
      </c>
      <c r="BA4" s="228">
        <v>-113</v>
      </c>
      <c r="BB4" s="229">
        <v>-0.57650000000000001</v>
      </c>
      <c r="BC4" s="228">
        <v>8</v>
      </c>
      <c r="BD4" s="228">
        <v>25</v>
      </c>
      <c r="BE4" s="228">
        <v>-17</v>
      </c>
      <c r="BF4" s="229">
        <v>-0.68</v>
      </c>
      <c r="BG4" s="230">
        <v>13674</v>
      </c>
      <c r="BH4" s="230">
        <v>18333</v>
      </c>
      <c r="BI4" s="230">
        <v>-4659</v>
      </c>
      <c r="BJ4" s="229">
        <v>-0.25409999999999999</v>
      </c>
      <c r="BK4" s="230">
        <v>7842</v>
      </c>
      <c r="BL4" s="230">
        <v>13511</v>
      </c>
      <c r="BM4" s="230">
        <v>-5669</v>
      </c>
      <c r="BN4" s="229">
        <v>-0.41959999999999997</v>
      </c>
      <c r="BO4" s="230">
        <v>25197</v>
      </c>
      <c r="BP4" s="230">
        <v>36762</v>
      </c>
      <c r="BQ4" s="230">
        <v>-11565</v>
      </c>
      <c r="BR4" s="229">
        <v>-0.31459999999999999</v>
      </c>
      <c r="BS4" s="230">
        <v>458588</v>
      </c>
      <c r="BT4" s="230">
        <v>648481</v>
      </c>
      <c r="BU4" s="230">
        <v>-189893</v>
      </c>
      <c r="BV4" s="229">
        <v>-0.2928</v>
      </c>
      <c r="BW4" s="230">
        <v>2547375</v>
      </c>
      <c r="BX4" s="230">
        <v>2635375</v>
      </c>
      <c r="BY4" s="230">
        <v>-88000</v>
      </c>
      <c r="BZ4" s="229">
        <v>-3.3399999999999999E-2</v>
      </c>
      <c r="CA4" s="230">
        <v>2520000</v>
      </c>
      <c r="CB4" s="230">
        <v>2608500</v>
      </c>
      <c r="CC4" s="230">
        <v>-88500</v>
      </c>
      <c r="CD4" s="229">
        <v>-3.39E-2</v>
      </c>
      <c r="CE4" s="230">
        <v>23375</v>
      </c>
      <c r="CF4" s="230">
        <v>23375</v>
      </c>
      <c r="CG4" s="228">
        <v>0</v>
      </c>
      <c r="CH4" s="229">
        <v>0</v>
      </c>
      <c r="CI4" s="230">
        <v>4000</v>
      </c>
      <c r="CJ4" s="230">
        <v>3500</v>
      </c>
      <c r="CK4" s="228">
        <v>500</v>
      </c>
      <c r="CL4" s="229">
        <v>0.1429</v>
      </c>
      <c r="CM4" s="230">
        <v>923000</v>
      </c>
      <c r="CN4" s="230">
        <v>857500</v>
      </c>
      <c r="CO4" s="230">
        <v>65500</v>
      </c>
      <c r="CP4" s="229">
        <v>7.6399999999999996E-2</v>
      </c>
      <c r="CQ4" s="230">
        <v>691375</v>
      </c>
      <c r="CR4" s="230">
        <v>580375</v>
      </c>
      <c r="CS4" s="230">
        <v>111000</v>
      </c>
      <c r="CT4" s="229">
        <v>0.1913</v>
      </c>
      <c r="CU4" s="230">
        <v>4161750</v>
      </c>
      <c r="CV4" s="230">
        <v>4073250</v>
      </c>
      <c r="CW4" s="230">
        <v>88500</v>
      </c>
      <c r="CX4" s="229">
        <v>2.1700000000000001E-2</v>
      </c>
      <c r="CY4" s="228">
        <v>20.87</v>
      </c>
      <c r="CZ4" s="228">
        <v>23.83</v>
      </c>
      <c r="DA4" s="228">
        <v>-2.96</v>
      </c>
      <c r="DB4" s="228">
        <v>-2.96</v>
      </c>
      <c r="DC4" s="228">
        <v>24.65</v>
      </c>
      <c r="DD4" s="228">
        <v>24.63</v>
      </c>
      <c r="DE4" s="228">
        <v>-3.78</v>
      </c>
      <c r="DF4" s="228">
        <v>0.02</v>
      </c>
      <c r="DG4" s="228">
        <v>20.28</v>
      </c>
      <c r="DH4" s="228">
        <v>22.71</v>
      </c>
      <c r="DI4" s="228">
        <v>-2.4300000000000002</v>
      </c>
      <c r="DJ4" s="228">
        <v>-2.4300000000000002</v>
      </c>
      <c r="DK4" s="228">
        <v>21.9</v>
      </c>
      <c r="DL4" s="228">
        <v>25.33</v>
      </c>
      <c r="DM4" s="228">
        <v>-3.43</v>
      </c>
      <c r="DN4" s="228">
        <v>-3.43</v>
      </c>
      <c r="DO4" s="228">
        <v>0.75</v>
      </c>
      <c r="DP4" s="228">
        <v>0.68</v>
      </c>
      <c r="DQ4" s="228">
        <v>7.0000000000000007E-2</v>
      </c>
      <c r="DR4" s="229">
        <v>0.10290000000000001</v>
      </c>
      <c r="DS4" s="231">
        <v>7700</v>
      </c>
      <c r="DT4" s="231">
        <v>7000</v>
      </c>
      <c r="DU4" s="228">
        <v>0.56999999999999995</v>
      </c>
      <c r="DV4" s="228">
        <v>0.74</v>
      </c>
      <c r="DW4" s="228">
        <v>-0.17</v>
      </c>
      <c r="DX4" s="229">
        <v>-0.22969999999999999</v>
      </c>
      <c r="DY4" s="229">
        <v>1.0699999999999999E-2</v>
      </c>
      <c r="DZ4" s="230">
        <v>26875</v>
      </c>
      <c r="EA4" s="229">
        <v>5.8999999999999999E-3</v>
      </c>
      <c r="EB4" s="229">
        <v>1.0699999999999999E-2</v>
      </c>
      <c r="EC4" s="228">
        <v>41.65</v>
      </c>
      <c r="ED4" s="229">
        <v>5.4000000000000003E-3</v>
      </c>
      <c r="EE4" s="230">
        <v>264797</v>
      </c>
      <c r="EF4" s="230">
        <v>424030</v>
      </c>
      <c r="EG4" s="229">
        <v>-0.3755</v>
      </c>
      <c r="EH4" s="229">
        <v>0.57740000000000002</v>
      </c>
      <c r="EI4" s="231">
        <v>137601.32999999999</v>
      </c>
      <c r="EJ4" s="231">
        <v>73356.820000000007</v>
      </c>
      <c r="EK4" s="231">
        <v>35626.67</v>
      </c>
      <c r="EL4" s="231">
        <v>3093</v>
      </c>
      <c r="EM4" s="231">
        <v>246584.82</v>
      </c>
      <c r="EN4" s="231">
        <v>356481.49</v>
      </c>
      <c r="EO4" s="231">
        <v>-109896.67</v>
      </c>
      <c r="EP4" s="229">
        <v>-0.30830000000000002</v>
      </c>
      <c r="EQ4" s="231">
        <v>73759</v>
      </c>
      <c r="ER4" s="231">
        <v>51042</v>
      </c>
      <c r="ES4" s="231">
        <v>198392</v>
      </c>
      <c r="ET4" s="231">
        <v>15524629</v>
      </c>
      <c r="EU4" s="231">
        <v>323193</v>
      </c>
      <c r="EV4" s="231">
        <v>313764</v>
      </c>
      <c r="EW4" s="231">
        <v>9429</v>
      </c>
      <c r="EX4" s="229">
        <v>3.0099999999999998E-2</v>
      </c>
      <c r="EY4" s="229">
        <v>0.2681</v>
      </c>
    </row>
    <row r="5" spans="1:155" ht="17.25" thickBot="1" x14ac:dyDescent="0.3">
      <c r="A5" s="226">
        <v>46086</v>
      </c>
      <c r="B5" s="227" t="s">
        <v>168</v>
      </c>
      <c r="C5" s="227" t="s">
        <v>169</v>
      </c>
      <c r="D5" s="231">
        <v>2298.8000000000002</v>
      </c>
      <c r="E5" s="231">
        <v>2293.1</v>
      </c>
      <c r="F5" s="228">
        <v>5.7</v>
      </c>
      <c r="G5" s="229">
        <v>2.5000000000000001E-3</v>
      </c>
      <c r="H5" s="231">
        <v>2287.8000000000002</v>
      </c>
      <c r="I5" s="231">
        <v>2285.1999999999998</v>
      </c>
      <c r="J5" s="228">
        <v>2.6</v>
      </c>
      <c r="K5" s="229">
        <v>1.1000000000000001E-3</v>
      </c>
      <c r="L5" s="231">
        <v>2298.8000000000002</v>
      </c>
      <c r="M5" s="231">
        <v>2293.1</v>
      </c>
      <c r="N5" s="228">
        <v>5.7</v>
      </c>
      <c r="O5" s="229">
        <v>2.5000000000000001E-3</v>
      </c>
      <c r="P5" s="231">
        <v>2310.8000000000002</v>
      </c>
      <c r="Q5" s="231">
        <v>2306.8000000000002</v>
      </c>
      <c r="R5" s="228">
        <v>4</v>
      </c>
      <c r="S5" s="229">
        <v>1.6999999999999999E-3</v>
      </c>
      <c r="T5" s="231">
        <v>2326.5</v>
      </c>
      <c r="U5" s="231">
        <v>2317.3000000000002</v>
      </c>
      <c r="V5" s="228">
        <v>9.1999999999999993</v>
      </c>
      <c r="W5" s="229">
        <v>4.0000000000000001E-3</v>
      </c>
      <c r="X5" s="228">
        <v>11</v>
      </c>
      <c r="Y5" s="228">
        <v>7.9</v>
      </c>
      <c r="Z5" s="228">
        <v>3.1</v>
      </c>
      <c r="AA5" s="229">
        <v>4.7999999999999996E-3</v>
      </c>
      <c r="AB5" s="228">
        <v>11</v>
      </c>
      <c r="AC5" s="228">
        <v>7.9</v>
      </c>
      <c r="AD5" s="228">
        <v>3.1</v>
      </c>
      <c r="AE5" s="229">
        <v>4.7999999999999996E-3</v>
      </c>
      <c r="AF5" s="228">
        <v>23</v>
      </c>
      <c r="AG5" s="228">
        <v>21.6</v>
      </c>
      <c r="AH5" s="228">
        <v>1.4</v>
      </c>
      <c r="AI5" s="229">
        <v>1.01E-2</v>
      </c>
      <c r="AJ5" s="228">
        <v>38.700000000000003</v>
      </c>
      <c r="AK5" s="228">
        <v>32.1</v>
      </c>
      <c r="AL5" s="228">
        <v>6.6</v>
      </c>
      <c r="AM5" s="229">
        <v>1.6899999999999998E-2</v>
      </c>
      <c r="AN5" s="231">
        <v>2287.89</v>
      </c>
      <c r="AO5" s="231">
        <v>2298.11</v>
      </c>
      <c r="AP5" s="228">
        <v>0</v>
      </c>
      <c r="AQ5" s="230">
        <v>5453</v>
      </c>
      <c r="AR5" s="230">
        <v>7754</v>
      </c>
      <c r="AS5" s="230">
        <v>-2301</v>
      </c>
      <c r="AT5" s="229">
        <v>-0.29680000000000001</v>
      </c>
      <c r="AU5" s="230">
        <v>5212</v>
      </c>
      <c r="AV5" s="230">
        <v>7317</v>
      </c>
      <c r="AW5" s="230">
        <v>-2105</v>
      </c>
      <c r="AX5" s="229">
        <v>-0.28770000000000001</v>
      </c>
      <c r="AY5" s="228">
        <v>190</v>
      </c>
      <c r="AZ5" s="228">
        <v>337</v>
      </c>
      <c r="BA5" s="228">
        <v>-147</v>
      </c>
      <c r="BB5" s="229">
        <v>-0.43619999999999998</v>
      </c>
      <c r="BC5" s="228">
        <v>51</v>
      </c>
      <c r="BD5" s="228">
        <v>100</v>
      </c>
      <c r="BE5" s="228">
        <v>-49</v>
      </c>
      <c r="BF5" s="229">
        <v>-0.49</v>
      </c>
      <c r="BG5" s="230">
        <v>20013</v>
      </c>
      <c r="BH5" s="230">
        <v>22319</v>
      </c>
      <c r="BI5" s="230">
        <v>-2306</v>
      </c>
      <c r="BJ5" s="229">
        <v>-0.1033</v>
      </c>
      <c r="BK5" s="230">
        <v>17668</v>
      </c>
      <c r="BL5" s="230">
        <v>36409</v>
      </c>
      <c r="BM5" s="230">
        <v>-18741</v>
      </c>
      <c r="BN5" s="229">
        <v>-0.51470000000000005</v>
      </c>
      <c r="BO5" s="230">
        <v>43134</v>
      </c>
      <c r="BP5" s="230">
        <v>66482</v>
      </c>
      <c r="BQ5" s="230">
        <v>-23348</v>
      </c>
      <c r="BR5" s="229">
        <v>-0.35120000000000001</v>
      </c>
      <c r="BS5" s="230">
        <v>985038</v>
      </c>
      <c r="BT5" s="230">
        <v>1720117</v>
      </c>
      <c r="BU5" s="230">
        <v>-735079</v>
      </c>
      <c r="BV5" s="229">
        <v>-0.42730000000000001</v>
      </c>
      <c r="BW5" s="230">
        <v>12795250</v>
      </c>
      <c r="BX5" s="230">
        <v>12792000</v>
      </c>
      <c r="BY5" s="230">
        <v>3250</v>
      </c>
      <c r="BZ5" s="229">
        <v>2.9999999999999997E-4</v>
      </c>
      <c r="CA5" s="230">
        <v>12544250</v>
      </c>
      <c r="CB5" s="230">
        <v>12545250</v>
      </c>
      <c r="CC5" s="230">
        <v>-1000</v>
      </c>
      <c r="CD5" s="229">
        <v>-1E-4</v>
      </c>
      <c r="CE5" s="230">
        <v>213000</v>
      </c>
      <c r="CF5" s="230">
        <v>214500</v>
      </c>
      <c r="CG5" s="230">
        <v>-1500</v>
      </c>
      <c r="CH5" s="229">
        <v>-7.0000000000000001E-3</v>
      </c>
      <c r="CI5" s="230">
        <v>38000</v>
      </c>
      <c r="CJ5" s="230">
        <v>32250</v>
      </c>
      <c r="CK5" s="230">
        <v>5750</v>
      </c>
      <c r="CL5" s="229">
        <v>0.17829999999999999</v>
      </c>
      <c r="CM5" s="230">
        <v>4314000</v>
      </c>
      <c r="CN5" s="230">
        <v>4154500</v>
      </c>
      <c r="CO5" s="230">
        <v>159500</v>
      </c>
      <c r="CP5" s="229">
        <v>3.8399999999999997E-2</v>
      </c>
      <c r="CQ5" s="230">
        <v>3864750</v>
      </c>
      <c r="CR5" s="230">
        <v>4048750</v>
      </c>
      <c r="CS5" s="230">
        <v>-184000</v>
      </c>
      <c r="CT5" s="229">
        <v>-4.5400000000000003E-2</v>
      </c>
      <c r="CU5" s="230">
        <v>20974000</v>
      </c>
      <c r="CV5" s="230">
        <v>20995250</v>
      </c>
      <c r="CW5" s="230">
        <v>-21250</v>
      </c>
      <c r="CX5" s="229">
        <v>-1E-3</v>
      </c>
      <c r="CY5" s="228">
        <v>25.33</v>
      </c>
      <c r="CZ5" s="228">
        <v>31</v>
      </c>
      <c r="DA5" s="228">
        <v>-5.67</v>
      </c>
      <c r="DB5" s="228">
        <v>-5.67</v>
      </c>
      <c r="DC5" s="228">
        <v>26.34</v>
      </c>
      <c r="DD5" s="228">
        <v>26.41</v>
      </c>
      <c r="DE5" s="228">
        <v>-1.01</v>
      </c>
      <c r="DF5" s="228">
        <v>-7.0000000000000007E-2</v>
      </c>
      <c r="DG5" s="228">
        <v>23.6</v>
      </c>
      <c r="DH5" s="228">
        <v>27.63</v>
      </c>
      <c r="DI5" s="228">
        <v>-4.03</v>
      </c>
      <c r="DJ5" s="228">
        <v>-4.03</v>
      </c>
      <c r="DK5" s="228">
        <v>27.29</v>
      </c>
      <c r="DL5" s="228">
        <v>33.06</v>
      </c>
      <c r="DM5" s="228">
        <v>-5.77</v>
      </c>
      <c r="DN5" s="228">
        <v>-5.77</v>
      </c>
      <c r="DO5" s="228">
        <v>0.9</v>
      </c>
      <c r="DP5" s="228">
        <v>0.97</v>
      </c>
      <c r="DQ5" s="228">
        <v>-7.0000000000000007E-2</v>
      </c>
      <c r="DR5" s="229">
        <v>-7.22E-2</v>
      </c>
      <c r="DS5" s="231">
        <v>2500</v>
      </c>
      <c r="DT5" s="231">
        <v>2300</v>
      </c>
      <c r="DU5" s="228">
        <v>0.88</v>
      </c>
      <c r="DV5" s="228">
        <v>1.63</v>
      </c>
      <c r="DW5" s="228">
        <v>-0.75</v>
      </c>
      <c r="DX5" s="229">
        <v>-0.46010000000000001</v>
      </c>
      <c r="DY5" s="229">
        <v>1.9599999999999999E-2</v>
      </c>
      <c r="DZ5" s="230">
        <v>246750</v>
      </c>
      <c r="EA5" s="229">
        <v>5.1999999999999998E-3</v>
      </c>
      <c r="EB5" s="229">
        <v>1.9599999999999999E-2</v>
      </c>
      <c r="EC5" s="228">
        <v>10.220000000000001</v>
      </c>
      <c r="ED5" s="229">
        <v>4.4999999999999997E-3</v>
      </c>
      <c r="EE5" s="230">
        <v>513252</v>
      </c>
      <c r="EF5" s="230">
        <v>924981</v>
      </c>
      <c r="EG5" s="229">
        <v>-0.4451</v>
      </c>
      <c r="EH5" s="229">
        <v>0.52100000000000002</v>
      </c>
      <c r="EI5" s="231">
        <v>121587.94</v>
      </c>
      <c r="EJ5" s="231">
        <v>98914.31</v>
      </c>
      <c r="EK5" s="231">
        <v>31196.61</v>
      </c>
      <c r="EL5" s="231">
        <v>6333</v>
      </c>
      <c r="EM5" s="231">
        <v>251698.86</v>
      </c>
      <c r="EN5" s="231">
        <v>384641.47</v>
      </c>
      <c r="EO5" s="231">
        <v>-132942.60999999999</v>
      </c>
      <c r="EP5" s="229">
        <v>-0.34560000000000002</v>
      </c>
      <c r="EQ5" s="231">
        <v>107231</v>
      </c>
      <c r="ER5" s="231">
        <v>87162</v>
      </c>
      <c r="ES5" s="231">
        <v>294173</v>
      </c>
      <c r="ET5" s="231">
        <v>49389162</v>
      </c>
      <c r="EU5" s="231">
        <v>488566</v>
      </c>
      <c r="EV5" s="231">
        <v>487946</v>
      </c>
      <c r="EW5" s="228">
        <v>620</v>
      </c>
      <c r="EX5" s="229">
        <v>1.2999999999999999E-3</v>
      </c>
      <c r="EY5" s="229">
        <v>0.42470000000000002</v>
      </c>
    </row>
    <row r="6" spans="1:155" ht="17.25" thickBot="1" x14ac:dyDescent="0.3">
      <c r="A6" s="226">
        <v>46086</v>
      </c>
      <c r="B6" s="227" t="s">
        <v>172</v>
      </c>
      <c r="C6" s="227" t="s">
        <v>173</v>
      </c>
      <c r="D6" s="231">
        <v>1356.1</v>
      </c>
      <c r="E6" s="231">
        <v>1353.8</v>
      </c>
      <c r="F6" s="228">
        <v>2.2999999999999998</v>
      </c>
      <c r="G6" s="229">
        <v>1.6999999999999999E-3</v>
      </c>
      <c r="H6" s="231">
        <v>1349.1</v>
      </c>
      <c r="I6" s="231">
        <v>1351.3</v>
      </c>
      <c r="J6" s="228">
        <v>-2.2000000000000002</v>
      </c>
      <c r="K6" s="229">
        <v>-1.6000000000000001E-3</v>
      </c>
      <c r="L6" s="231">
        <v>1356.1</v>
      </c>
      <c r="M6" s="231">
        <v>1353.8</v>
      </c>
      <c r="N6" s="228">
        <v>2.2999999999999998</v>
      </c>
      <c r="O6" s="229">
        <v>1.6999999999999999E-3</v>
      </c>
      <c r="P6" s="231">
        <v>1364.9</v>
      </c>
      <c r="Q6" s="231">
        <v>1361.8</v>
      </c>
      <c r="R6" s="228">
        <v>3.1</v>
      </c>
      <c r="S6" s="229">
        <v>2.3E-3</v>
      </c>
      <c r="T6" s="231">
        <v>1367.2</v>
      </c>
      <c r="U6" s="231">
        <v>1370.5</v>
      </c>
      <c r="V6" s="228">
        <v>-3.3</v>
      </c>
      <c r="W6" s="229">
        <v>-2.3999999999999998E-3</v>
      </c>
      <c r="X6" s="228">
        <v>7</v>
      </c>
      <c r="Y6" s="228">
        <v>2.5</v>
      </c>
      <c r="Z6" s="228">
        <v>4.5</v>
      </c>
      <c r="AA6" s="229">
        <v>5.1999999999999998E-3</v>
      </c>
      <c r="AB6" s="228">
        <v>7</v>
      </c>
      <c r="AC6" s="228">
        <v>2.5</v>
      </c>
      <c r="AD6" s="228">
        <v>4.5</v>
      </c>
      <c r="AE6" s="229">
        <v>5.1999999999999998E-3</v>
      </c>
      <c r="AF6" s="228">
        <v>15.8</v>
      </c>
      <c r="AG6" s="228">
        <v>10.5</v>
      </c>
      <c r="AH6" s="228">
        <v>5.3</v>
      </c>
      <c r="AI6" s="229">
        <v>1.17E-2</v>
      </c>
      <c r="AJ6" s="228">
        <v>18.100000000000001</v>
      </c>
      <c r="AK6" s="228">
        <v>19.2</v>
      </c>
      <c r="AL6" s="228">
        <v>-1.1000000000000001</v>
      </c>
      <c r="AM6" s="229">
        <v>1.34E-2</v>
      </c>
      <c r="AN6" s="231">
        <v>1353.04</v>
      </c>
      <c r="AO6" s="231">
        <v>1360.44</v>
      </c>
      <c r="AP6" s="228">
        <v>0</v>
      </c>
      <c r="AQ6" s="230">
        <v>14112</v>
      </c>
      <c r="AR6" s="230">
        <v>16708</v>
      </c>
      <c r="AS6" s="230">
        <v>-2596</v>
      </c>
      <c r="AT6" s="229">
        <v>-0.15540000000000001</v>
      </c>
      <c r="AU6" s="230">
        <v>13552</v>
      </c>
      <c r="AV6" s="230">
        <v>16241</v>
      </c>
      <c r="AW6" s="230">
        <v>-2689</v>
      </c>
      <c r="AX6" s="229">
        <v>-0.1656</v>
      </c>
      <c r="AY6" s="228">
        <v>507</v>
      </c>
      <c r="AZ6" s="228">
        <v>435</v>
      </c>
      <c r="BA6" s="228">
        <v>72</v>
      </c>
      <c r="BB6" s="229">
        <v>0.16550000000000001</v>
      </c>
      <c r="BC6" s="228">
        <v>53</v>
      </c>
      <c r="BD6" s="228">
        <v>32</v>
      </c>
      <c r="BE6" s="228">
        <v>21</v>
      </c>
      <c r="BF6" s="229">
        <v>0.65629999999999999</v>
      </c>
      <c r="BG6" s="230">
        <v>27225</v>
      </c>
      <c r="BH6" s="230">
        <v>41735</v>
      </c>
      <c r="BI6" s="230">
        <v>-14510</v>
      </c>
      <c r="BJ6" s="229">
        <v>-0.34770000000000001</v>
      </c>
      <c r="BK6" s="230">
        <v>20910</v>
      </c>
      <c r="BL6" s="230">
        <v>30320</v>
      </c>
      <c r="BM6" s="230">
        <v>-9410</v>
      </c>
      <c r="BN6" s="229">
        <v>-0.31040000000000001</v>
      </c>
      <c r="BO6" s="230">
        <v>62247</v>
      </c>
      <c r="BP6" s="230">
        <v>88763</v>
      </c>
      <c r="BQ6" s="230">
        <v>-26516</v>
      </c>
      <c r="BR6" s="229">
        <v>-0.29870000000000002</v>
      </c>
      <c r="BS6" s="230">
        <v>6328560</v>
      </c>
      <c r="BT6" s="230">
        <v>5967107</v>
      </c>
      <c r="BU6" s="230">
        <v>361453</v>
      </c>
      <c r="BV6" s="229">
        <v>6.0600000000000001E-2</v>
      </c>
      <c r="BW6" s="230">
        <v>63453125</v>
      </c>
      <c r="BX6" s="230">
        <v>62548125</v>
      </c>
      <c r="BY6" s="230">
        <v>905000</v>
      </c>
      <c r="BZ6" s="229">
        <v>1.4500000000000001E-2</v>
      </c>
      <c r="CA6" s="230">
        <v>62717500</v>
      </c>
      <c r="CB6" s="230">
        <v>61943125</v>
      </c>
      <c r="CC6" s="230">
        <v>774375</v>
      </c>
      <c r="CD6" s="229">
        <v>1.2500000000000001E-2</v>
      </c>
      <c r="CE6" s="230">
        <v>672500</v>
      </c>
      <c r="CF6" s="230">
        <v>552500</v>
      </c>
      <c r="CG6" s="230">
        <v>120000</v>
      </c>
      <c r="CH6" s="229">
        <v>0.2172</v>
      </c>
      <c r="CI6" s="230">
        <v>63125</v>
      </c>
      <c r="CJ6" s="230">
        <v>52500</v>
      </c>
      <c r="CK6" s="230">
        <v>10625</v>
      </c>
      <c r="CL6" s="229">
        <v>0.2024</v>
      </c>
      <c r="CM6" s="230">
        <v>15836250</v>
      </c>
      <c r="CN6" s="230">
        <v>14695625</v>
      </c>
      <c r="CO6" s="230">
        <v>1140625</v>
      </c>
      <c r="CP6" s="229">
        <v>7.7600000000000002E-2</v>
      </c>
      <c r="CQ6" s="230">
        <v>9182500</v>
      </c>
      <c r="CR6" s="230">
        <v>9039375</v>
      </c>
      <c r="CS6" s="230">
        <v>143125</v>
      </c>
      <c r="CT6" s="229">
        <v>1.5800000000000002E-2</v>
      </c>
      <c r="CU6" s="230">
        <v>88471875</v>
      </c>
      <c r="CV6" s="230">
        <v>86283125</v>
      </c>
      <c r="CW6" s="230">
        <v>2188750</v>
      </c>
      <c r="CX6" s="229">
        <v>2.5399999999999999E-2</v>
      </c>
      <c r="CY6" s="228">
        <v>19.13</v>
      </c>
      <c r="CZ6" s="228">
        <v>22.82</v>
      </c>
      <c r="DA6" s="228">
        <v>-3.69</v>
      </c>
      <c r="DB6" s="228">
        <v>-3.69</v>
      </c>
      <c r="DC6" s="228">
        <v>26.35</v>
      </c>
      <c r="DD6" s="228">
        <v>26.42</v>
      </c>
      <c r="DE6" s="228">
        <v>-7.22</v>
      </c>
      <c r="DF6" s="228">
        <v>-7.0000000000000007E-2</v>
      </c>
      <c r="DG6" s="228">
        <v>18.03</v>
      </c>
      <c r="DH6" s="228">
        <v>21.38</v>
      </c>
      <c r="DI6" s="228">
        <v>-3.35</v>
      </c>
      <c r="DJ6" s="228">
        <v>-3.35</v>
      </c>
      <c r="DK6" s="228">
        <v>20.56</v>
      </c>
      <c r="DL6" s="228">
        <v>24.79</v>
      </c>
      <c r="DM6" s="228">
        <v>-4.2300000000000004</v>
      </c>
      <c r="DN6" s="228">
        <v>-4.2300000000000004</v>
      </c>
      <c r="DO6" s="228">
        <v>0.57999999999999996</v>
      </c>
      <c r="DP6" s="228">
        <v>0.62</v>
      </c>
      <c r="DQ6" s="228">
        <v>-0.04</v>
      </c>
      <c r="DR6" s="229">
        <v>-6.4500000000000002E-2</v>
      </c>
      <c r="DS6" s="231">
        <v>1350</v>
      </c>
      <c r="DT6" s="231">
        <v>1340</v>
      </c>
      <c r="DU6" s="228">
        <v>0.77</v>
      </c>
      <c r="DV6" s="228">
        <v>0.73</v>
      </c>
      <c r="DW6" s="228">
        <v>0.04</v>
      </c>
      <c r="DX6" s="229">
        <v>5.4800000000000001E-2</v>
      </c>
      <c r="DY6" s="229">
        <v>1.1599999999999999E-2</v>
      </c>
      <c r="DZ6" s="230">
        <v>605000</v>
      </c>
      <c r="EA6" s="229">
        <v>6.4999999999999997E-3</v>
      </c>
      <c r="EB6" s="229">
        <v>1.1599999999999999E-2</v>
      </c>
      <c r="EC6" s="228">
        <v>7.4</v>
      </c>
      <c r="ED6" s="229">
        <v>5.4999999999999997E-3</v>
      </c>
      <c r="EE6" s="230">
        <v>3834549</v>
      </c>
      <c r="EF6" s="230">
        <v>4075177</v>
      </c>
      <c r="EG6" s="229">
        <v>-5.8999999999999997E-2</v>
      </c>
      <c r="EH6" s="229">
        <v>0.60589999999999999</v>
      </c>
      <c r="EI6" s="231">
        <v>238293.12</v>
      </c>
      <c r="EJ6" s="231">
        <v>175204.14</v>
      </c>
      <c r="EK6" s="231">
        <v>119366.11</v>
      </c>
      <c r="EL6" s="231">
        <v>11662</v>
      </c>
      <c r="EM6" s="231">
        <v>532863.37</v>
      </c>
      <c r="EN6" s="231">
        <v>759618.5</v>
      </c>
      <c r="EO6" s="231">
        <v>-226755.13</v>
      </c>
      <c r="EP6" s="229">
        <v>-0.29849999999999999</v>
      </c>
      <c r="EQ6" s="231">
        <v>222422</v>
      </c>
      <c r="ER6" s="231">
        <v>121681</v>
      </c>
      <c r="ES6" s="231">
        <v>860554</v>
      </c>
      <c r="ET6" s="231">
        <v>296371456</v>
      </c>
      <c r="EU6" s="231">
        <v>1204658</v>
      </c>
      <c r="EV6" s="231">
        <v>1173550</v>
      </c>
      <c r="EW6" s="231">
        <v>31108</v>
      </c>
      <c r="EX6" s="229">
        <v>2.6499999999999999E-2</v>
      </c>
      <c r="EY6" s="229">
        <v>0.29849999999999999</v>
      </c>
    </row>
    <row r="7" spans="1:155" ht="17.25" thickBot="1" x14ac:dyDescent="0.3">
      <c r="A7" s="226">
        <v>46086</v>
      </c>
      <c r="B7" s="227" t="s">
        <v>162</v>
      </c>
      <c r="C7" s="227" t="s">
        <v>174</v>
      </c>
      <c r="D7" s="231">
        <v>9788.5</v>
      </c>
      <c r="E7" s="231">
        <v>9645</v>
      </c>
      <c r="F7" s="228">
        <v>143.5</v>
      </c>
      <c r="G7" s="229">
        <v>1.49E-2</v>
      </c>
      <c r="H7" s="231">
        <v>9804.5</v>
      </c>
      <c r="I7" s="231">
        <v>9652.5</v>
      </c>
      <c r="J7" s="228">
        <v>152</v>
      </c>
      <c r="K7" s="229">
        <v>1.5699999999999999E-2</v>
      </c>
      <c r="L7" s="231">
        <v>9788.5</v>
      </c>
      <c r="M7" s="231">
        <v>9645</v>
      </c>
      <c r="N7" s="228">
        <v>143.5</v>
      </c>
      <c r="O7" s="229">
        <v>1.49E-2</v>
      </c>
      <c r="P7" s="231">
        <v>9839.5</v>
      </c>
      <c r="Q7" s="231">
        <v>9668.5</v>
      </c>
      <c r="R7" s="228">
        <v>171</v>
      </c>
      <c r="S7" s="229">
        <v>1.77E-2</v>
      </c>
      <c r="T7" s="231">
        <v>9850</v>
      </c>
      <c r="U7" s="231">
        <v>9704.5</v>
      </c>
      <c r="V7" s="228">
        <v>145.5</v>
      </c>
      <c r="W7" s="229">
        <v>1.4999999999999999E-2</v>
      </c>
      <c r="X7" s="228">
        <v>-16</v>
      </c>
      <c r="Y7" s="228">
        <v>-7.5</v>
      </c>
      <c r="Z7" s="228">
        <v>-8.5</v>
      </c>
      <c r="AA7" s="229">
        <v>-1.6000000000000001E-3</v>
      </c>
      <c r="AB7" s="228">
        <v>-16</v>
      </c>
      <c r="AC7" s="228">
        <v>-7.5</v>
      </c>
      <c r="AD7" s="228">
        <v>-8.5</v>
      </c>
      <c r="AE7" s="229">
        <v>-1.6000000000000001E-3</v>
      </c>
      <c r="AF7" s="228">
        <v>35</v>
      </c>
      <c r="AG7" s="228">
        <v>16</v>
      </c>
      <c r="AH7" s="228">
        <v>19</v>
      </c>
      <c r="AI7" s="229">
        <v>3.5999999999999999E-3</v>
      </c>
      <c r="AJ7" s="228">
        <v>45.5</v>
      </c>
      <c r="AK7" s="228">
        <v>52</v>
      </c>
      <c r="AL7" s="228">
        <v>-6.5</v>
      </c>
      <c r="AM7" s="229">
        <v>4.5999999999999999E-3</v>
      </c>
      <c r="AN7" s="231">
        <v>9738.31</v>
      </c>
      <c r="AO7" s="231">
        <v>9788.18</v>
      </c>
      <c r="AP7" s="228">
        <v>0</v>
      </c>
      <c r="AQ7" s="230">
        <v>6185</v>
      </c>
      <c r="AR7" s="230">
        <v>6371</v>
      </c>
      <c r="AS7" s="228">
        <v>-186</v>
      </c>
      <c r="AT7" s="229">
        <v>-2.92E-2</v>
      </c>
      <c r="AU7" s="230">
        <v>6038</v>
      </c>
      <c r="AV7" s="230">
        <v>6159</v>
      </c>
      <c r="AW7" s="228">
        <v>-121</v>
      </c>
      <c r="AX7" s="229">
        <v>-1.9599999999999999E-2</v>
      </c>
      <c r="AY7" s="228">
        <v>141</v>
      </c>
      <c r="AZ7" s="228">
        <v>189</v>
      </c>
      <c r="BA7" s="228">
        <v>-48</v>
      </c>
      <c r="BB7" s="229">
        <v>-0.254</v>
      </c>
      <c r="BC7" s="228">
        <v>6</v>
      </c>
      <c r="BD7" s="228">
        <v>23</v>
      </c>
      <c r="BE7" s="228">
        <v>-17</v>
      </c>
      <c r="BF7" s="229">
        <v>-0.73909999999999998</v>
      </c>
      <c r="BG7" s="230">
        <v>19715</v>
      </c>
      <c r="BH7" s="230">
        <v>22723</v>
      </c>
      <c r="BI7" s="230">
        <v>-3008</v>
      </c>
      <c r="BJ7" s="229">
        <v>-0.13239999999999999</v>
      </c>
      <c r="BK7" s="230">
        <v>13355</v>
      </c>
      <c r="BL7" s="230">
        <v>16731</v>
      </c>
      <c r="BM7" s="230">
        <v>-3376</v>
      </c>
      <c r="BN7" s="229">
        <v>-0.20180000000000001</v>
      </c>
      <c r="BO7" s="230">
        <v>39255</v>
      </c>
      <c r="BP7" s="230">
        <v>45825</v>
      </c>
      <c r="BQ7" s="230">
        <v>-6570</v>
      </c>
      <c r="BR7" s="229">
        <v>-0.1434</v>
      </c>
      <c r="BS7" s="230">
        <v>305406</v>
      </c>
      <c r="BT7" s="230">
        <v>335443</v>
      </c>
      <c r="BU7" s="230">
        <v>-30037</v>
      </c>
      <c r="BV7" s="229">
        <v>-8.9499999999999996E-2</v>
      </c>
      <c r="BW7" s="230">
        <v>3058950</v>
      </c>
      <c r="BX7" s="230">
        <v>3024300</v>
      </c>
      <c r="BY7" s="230">
        <v>34650</v>
      </c>
      <c r="BZ7" s="229">
        <v>1.15E-2</v>
      </c>
      <c r="CA7" s="230">
        <v>3035700</v>
      </c>
      <c r="CB7" s="230">
        <v>2999400</v>
      </c>
      <c r="CC7" s="230">
        <v>36300</v>
      </c>
      <c r="CD7" s="229">
        <v>1.21E-2</v>
      </c>
      <c r="CE7" s="230">
        <v>21000</v>
      </c>
      <c r="CF7" s="230">
        <v>22875</v>
      </c>
      <c r="CG7" s="230">
        <v>-1875</v>
      </c>
      <c r="CH7" s="229">
        <v>-8.2000000000000003E-2</v>
      </c>
      <c r="CI7" s="230">
        <v>2250</v>
      </c>
      <c r="CJ7" s="230">
        <v>2025</v>
      </c>
      <c r="CK7" s="228">
        <v>225</v>
      </c>
      <c r="CL7" s="229">
        <v>0.1111</v>
      </c>
      <c r="CM7" s="230">
        <v>1316850</v>
      </c>
      <c r="CN7" s="230">
        <v>1387350</v>
      </c>
      <c r="CO7" s="230">
        <v>-70500</v>
      </c>
      <c r="CP7" s="229">
        <v>-5.0799999999999998E-2</v>
      </c>
      <c r="CQ7" s="230">
        <v>690525</v>
      </c>
      <c r="CR7" s="230">
        <v>668025</v>
      </c>
      <c r="CS7" s="230">
        <v>22500</v>
      </c>
      <c r="CT7" s="229">
        <v>3.3700000000000001E-2</v>
      </c>
      <c r="CU7" s="230">
        <v>5066325</v>
      </c>
      <c r="CV7" s="230">
        <v>5079675</v>
      </c>
      <c r="CW7" s="230">
        <v>-13350</v>
      </c>
      <c r="CX7" s="229">
        <v>-2.5999999999999999E-3</v>
      </c>
      <c r="CY7" s="228">
        <v>24.66</v>
      </c>
      <c r="CZ7" s="228">
        <v>26.5</v>
      </c>
      <c r="DA7" s="228">
        <v>-1.84</v>
      </c>
      <c r="DB7" s="228">
        <v>-1.84</v>
      </c>
      <c r="DC7" s="228">
        <v>27.41</v>
      </c>
      <c r="DD7" s="228">
        <v>27.4</v>
      </c>
      <c r="DE7" s="228">
        <v>-2.75</v>
      </c>
      <c r="DF7" s="228">
        <v>0.01</v>
      </c>
      <c r="DG7" s="228">
        <v>22.79</v>
      </c>
      <c r="DH7" s="228">
        <v>25.18</v>
      </c>
      <c r="DI7" s="228">
        <v>-2.39</v>
      </c>
      <c r="DJ7" s="228">
        <v>-2.39</v>
      </c>
      <c r="DK7" s="228">
        <v>27.43</v>
      </c>
      <c r="DL7" s="228">
        <v>28.29</v>
      </c>
      <c r="DM7" s="228">
        <v>-0.86</v>
      </c>
      <c r="DN7" s="228">
        <v>-0.86</v>
      </c>
      <c r="DO7" s="228">
        <v>0.52</v>
      </c>
      <c r="DP7" s="228">
        <v>0.48</v>
      </c>
      <c r="DQ7" s="228">
        <v>0.04</v>
      </c>
      <c r="DR7" s="229">
        <v>8.3299999999999999E-2</v>
      </c>
      <c r="DS7" s="231">
        <v>10500</v>
      </c>
      <c r="DT7" s="231">
        <v>9000</v>
      </c>
      <c r="DU7" s="228">
        <v>0.68</v>
      </c>
      <c r="DV7" s="228">
        <v>0.74</v>
      </c>
      <c r="DW7" s="228">
        <v>-0.06</v>
      </c>
      <c r="DX7" s="229">
        <v>-8.1100000000000005E-2</v>
      </c>
      <c r="DY7" s="229">
        <v>7.6E-3</v>
      </c>
      <c r="DZ7" s="230">
        <v>24900</v>
      </c>
      <c r="EA7" s="229">
        <v>5.1999999999999998E-3</v>
      </c>
      <c r="EB7" s="229">
        <v>7.6E-3</v>
      </c>
      <c r="EC7" s="228">
        <v>49.87</v>
      </c>
      <c r="ED7" s="229">
        <v>5.1000000000000004E-3</v>
      </c>
      <c r="EE7" s="230">
        <v>170654</v>
      </c>
      <c r="EF7" s="230">
        <v>177630</v>
      </c>
      <c r="EG7" s="229">
        <v>-3.9300000000000002E-2</v>
      </c>
      <c r="EH7" s="229">
        <v>0.55879999999999996</v>
      </c>
      <c r="EI7" s="231">
        <v>152826.51</v>
      </c>
      <c r="EJ7" s="231">
        <v>91418.21</v>
      </c>
      <c r="EK7" s="231">
        <v>45179.03</v>
      </c>
      <c r="EL7" s="231">
        <v>5640</v>
      </c>
      <c r="EM7" s="231">
        <v>289423.75</v>
      </c>
      <c r="EN7" s="231">
        <v>337960.9</v>
      </c>
      <c r="EO7" s="231">
        <v>-48537.15</v>
      </c>
      <c r="EP7" s="229">
        <v>-0.14360000000000001</v>
      </c>
      <c r="EQ7" s="231">
        <v>136727</v>
      </c>
      <c r="ER7" s="231">
        <v>64301</v>
      </c>
      <c r="ES7" s="231">
        <v>299437</v>
      </c>
      <c r="ET7" s="231">
        <v>15906526</v>
      </c>
      <c r="EU7" s="231">
        <v>500466</v>
      </c>
      <c r="EV7" s="231">
        <v>497806</v>
      </c>
      <c r="EW7" s="231">
        <v>2660</v>
      </c>
      <c r="EX7" s="229">
        <v>5.3E-3</v>
      </c>
      <c r="EY7" s="229">
        <v>0.31850000000000001</v>
      </c>
    </row>
    <row r="8" spans="1:155" ht="17.25" thickBot="1" x14ac:dyDescent="0.3">
      <c r="A8" s="226">
        <v>46086</v>
      </c>
      <c r="B8" s="227" t="s">
        <v>175</v>
      </c>
      <c r="C8" s="227" t="s">
        <v>176</v>
      </c>
      <c r="D8" s="231">
        <v>1917.9</v>
      </c>
      <c r="E8" s="231">
        <v>1891.8</v>
      </c>
      <c r="F8" s="228">
        <v>26.1</v>
      </c>
      <c r="G8" s="229">
        <v>1.38E-2</v>
      </c>
      <c r="H8" s="231">
        <v>1911.8</v>
      </c>
      <c r="I8" s="231">
        <v>1889.3</v>
      </c>
      <c r="J8" s="228">
        <v>22.5</v>
      </c>
      <c r="K8" s="229">
        <v>1.1900000000000001E-2</v>
      </c>
      <c r="L8" s="231">
        <v>1917.9</v>
      </c>
      <c r="M8" s="231">
        <v>1891.8</v>
      </c>
      <c r="N8" s="228">
        <v>26.1</v>
      </c>
      <c r="O8" s="229">
        <v>1.38E-2</v>
      </c>
      <c r="P8" s="231">
        <v>1929.4</v>
      </c>
      <c r="Q8" s="231">
        <v>1903.7</v>
      </c>
      <c r="R8" s="228">
        <v>25.7</v>
      </c>
      <c r="S8" s="229">
        <v>1.35E-2</v>
      </c>
      <c r="T8" s="231">
        <v>1941.8</v>
      </c>
      <c r="U8" s="231">
        <v>1911.3</v>
      </c>
      <c r="V8" s="228">
        <v>30.5</v>
      </c>
      <c r="W8" s="229">
        <v>1.6E-2</v>
      </c>
      <c r="X8" s="228">
        <v>6.1</v>
      </c>
      <c r="Y8" s="228">
        <v>2.5</v>
      </c>
      <c r="Z8" s="228">
        <v>3.6</v>
      </c>
      <c r="AA8" s="229">
        <v>3.2000000000000002E-3</v>
      </c>
      <c r="AB8" s="228">
        <v>6.1</v>
      </c>
      <c r="AC8" s="228">
        <v>2.5</v>
      </c>
      <c r="AD8" s="228">
        <v>3.6</v>
      </c>
      <c r="AE8" s="229">
        <v>3.2000000000000002E-3</v>
      </c>
      <c r="AF8" s="228">
        <v>17.600000000000001</v>
      </c>
      <c r="AG8" s="228">
        <v>14.4</v>
      </c>
      <c r="AH8" s="228">
        <v>3.2</v>
      </c>
      <c r="AI8" s="229">
        <v>9.1999999999999998E-3</v>
      </c>
      <c r="AJ8" s="228">
        <v>30</v>
      </c>
      <c r="AK8" s="228">
        <v>22</v>
      </c>
      <c r="AL8" s="228">
        <v>8</v>
      </c>
      <c r="AM8" s="229">
        <v>1.5699999999999999E-2</v>
      </c>
      <c r="AN8" s="231">
        <v>1902.77</v>
      </c>
      <c r="AO8" s="231">
        <v>1914.12</v>
      </c>
      <c r="AP8" s="228">
        <v>0</v>
      </c>
      <c r="AQ8" s="230">
        <v>7780</v>
      </c>
      <c r="AR8" s="230">
        <v>8006</v>
      </c>
      <c r="AS8" s="228">
        <v>-226</v>
      </c>
      <c r="AT8" s="229">
        <v>-2.8199999999999999E-2</v>
      </c>
      <c r="AU8" s="230">
        <v>7301</v>
      </c>
      <c r="AV8" s="230">
        <v>7506</v>
      </c>
      <c r="AW8" s="228">
        <v>-205</v>
      </c>
      <c r="AX8" s="229">
        <v>-2.7300000000000001E-2</v>
      </c>
      <c r="AY8" s="228">
        <v>415</v>
      </c>
      <c r="AZ8" s="228">
        <v>416</v>
      </c>
      <c r="BA8" s="228">
        <v>-1</v>
      </c>
      <c r="BB8" s="229">
        <v>-2.3999999999999998E-3</v>
      </c>
      <c r="BC8" s="228">
        <v>64</v>
      </c>
      <c r="BD8" s="228">
        <v>84</v>
      </c>
      <c r="BE8" s="228">
        <v>-20</v>
      </c>
      <c r="BF8" s="229">
        <v>-0.23810000000000001</v>
      </c>
      <c r="BG8" s="230">
        <v>17200</v>
      </c>
      <c r="BH8" s="230">
        <v>33876</v>
      </c>
      <c r="BI8" s="230">
        <v>-16676</v>
      </c>
      <c r="BJ8" s="229">
        <v>-0.49230000000000002</v>
      </c>
      <c r="BK8" s="230">
        <v>6821</v>
      </c>
      <c r="BL8" s="230">
        <v>19476</v>
      </c>
      <c r="BM8" s="230">
        <v>-12655</v>
      </c>
      <c r="BN8" s="229">
        <v>-0.64980000000000004</v>
      </c>
      <c r="BO8" s="230">
        <v>31801</v>
      </c>
      <c r="BP8" s="230">
        <v>61358</v>
      </c>
      <c r="BQ8" s="230">
        <v>-29557</v>
      </c>
      <c r="BR8" s="229">
        <v>-0.48170000000000002</v>
      </c>
      <c r="BS8" s="230">
        <v>1624631</v>
      </c>
      <c r="BT8" s="230">
        <v>2325658</v>
      </c>
      <c r="BU8" s="230">
        <v>-701027</v>
      </c>
      <c r="BV8" s="229">
        <v>-0.3014</v>
      </c>
      <c r="BW8" s="230">
        <v>12489000</v>
      </c>
      <c r="BX8" s="230">
        <v>12693250</v>
      </c>
      <c r="BY8" s="230">
        <v>-204250</v>
      </c>
      <c r="BZ8" s="229">
        <v>-1.61E-2</v>
      </c>
      <c r="CA8" s="230">
        <v>12319500</v>
      </c>
      <c r="CB8" s="230">
        <v>12523000</v>
      </c>
      <c r="CC8" s="230">
        <v>-203500</v>
      </c>
      <c r="CD8" s="229">
        <v>-1.6299999999999999E-2</v>
      </c>
      <c r="CE8" s="230">
        <v>134000</v>
      </c>
      <c r="CF8" s="230">
        <v>143500</v>
      </c>
      <c r="CG8" s="230">
        <v>-9500</v>
      </c>
      <c r="CH8" s="229">
        <v>-6.6199999999999995E-2</v>
      </c>
      <c r="CI8" s="230">
        <v>35500</v>
      </c>
      <c r="CJ8" s="230">
        <v>26750</v>
      </c>
      <c r="CK8" s="230">
        <v>8750</v>
      </c>
      <c r="CL8" s="229">
        <v>0.3271</v>
      </c>
      <c r="CM8" s="230">
        <v>5583000</v>
      </c>
      <c r="CN8" s="230">
        <v>5169250</v>
      </c>
      <c r="CO8" s="230">
        <v>413750</v>
      </c>
      <c r="CP8" s="229">
        <v>0.08</v>
      </c>
      <c r="CQ8" s="230">
        <v>3198250</v>
      </c>
      <c r="CR8" s="230">
        <v>3196750</v>
      </c>
      <c r="CS8" s="230">
        <v>1500</v>
      </c>
      <c r="CT8" s="229">
        <v>5.0000000000000001E-4</v>
      </c>
      <c r="CU8" s="230">
        <v>21270250</v>
      </c>
      <c r="CV8" s="230">
        <v>21059250</v>
      </c>
      <c r="CW8" s="230">
        <v>211000</v>
      </c>
      <c r="CX8" s="229">
        <v>0.01</v>
      </c>
      <c r="CY8" s="228">
        <v>20.79</v>
      </c>
      <c r="CZ8" s="228">
        <v>24.09</v>
      </c>
      <c r="DA8" s="228">
        <v>-3.3</v>
      </c>
      <c r="DB8" s="228">
        <v>-3.3</v>
      </c>
      <c r="DC8" s="228">
        <v>27.93</v>
      </c>
      <c r="DD8" s="228">
        <v>27.94</v>
      </c>
      <c r="DE8" s="228">
        <v>-7.14</v>
      </c>
      <c r="DF8" s="228">
        <v>-0.01</v>
      </c>
      <c r="DG8" s="228">
        <v>19.84</v>
      </c>
      <c r="DH8" s="228">
        <v>22.64</v>
      </c>
      <c r="DI8" s="228">
        <v>-2.8</v>
      </c>
      <c r="DJ8" s="228">
        <v>-2.8</v>
      </c>
      <c r="DK8" s="228">
        <v>23.19</v>
      </c>
      <c r="DL8" s="228">
        <v>26.63</v>
      </c>
      <c r="DM8" s="228">
        <v>-3.44</v>
      </c>
      <c r="DN8" s="228">
        <v>-3.44</v>
      </c>
      <c r="DO8" s="228">
        <v>0.56999999999999995</v>
      </c>
      <c r="DP8" s="228">
        <v>0.62</v>
      </c>
      <c r="DQ8" s="228">
        <v>-0.05</v>
      </c>
      <c r="DR8" s="229">
        <v>-8.0600000000000005E-2</v>
      </c>
      <c r="DS8" s="231">
        <v>2100</v>
      </c>
      <c r="DT8" s="231">
        <v>1920</v>
      </c>
      <c r="DU8" s="228">
        <v>0.4</v>
      </c>
      <c r="DV8" s="228">
        <v>0.56999999999999995</v>
      </c>
      <c r="DW8" s="228">
        <v>-0.17</v>
      </c>
      <c r="DX8" s="229">
        <v>-0.29820000000000002</v>
      </c>
      <c r="DY8" s="229">
        <v>1.3599999999999999E-2</v>
      </c>
      <c r="DZ8" s="230">
        <v>170250</v>
      </c>
      <c r="EA8" s="229">
        <v>6.0000000000000001E-3</v>
      </c>
      <c r="EB8" s="229">
        <v>1.3599999999999999E-2</v>
      </c>
      <c r="EC8" s="228">
        <v>11.35</v>
      </c>
      <c r="ED8" s="229">
        <v>6.0000000000000001E-3</v>
      </c>
      <c r="EE8" s="230">
        <v>978701</v>
      </c>
      <c r="EF8" s="230">
        <v>1482072</v>
      </c>
      <c r="EG8" s="229">
        <v>-0.33960000000000001</v>
      </c>
      <c r="EH8" s="229">
        <v>0.60240000000000005</v>
      </c>
      <c r="EI8" s="231">
        <v>86490.11</v>
      </c>
      <c r="EJ8" s="231">
        <v>32000.91</v>
      </c>
      <c r="EK8" s="231">
        <v>37024.239999999998</v>
      </c>
      <c r="EL8" s="231">
        <v>5087</v>
      </c>
      <c r="EM8" s="231">
        <v>155515.26</v>
      </c>
      <c r="EN8" s="231">
        <v>299039.01</v>
      </c>
      <c r="EO8" s="231">
        <v>-143523.75</v>
      </c>
      <c r="EP8" s="229">
        <v>-0.47989999999999999</v>
      </c>
      <c r="EQ8" s="231">
        <v>113090</v>
      </c>
      <c r="ER8" s="231">
        <v>61598</v>
      </c>
      <c r="ES8" s="231">
        <v>239550</v>
      </c>
      <c r="ET8" s="231">
        <v>65701623</v>
      </c>
      <c r="EU8" s="231">
        <v>414238</v>
      </c>
      <c r="EV8" s="231">
        <v>406780</v>
      </c>
      <c r="EW8" s="231">
        <v>7458</v>
      </c>
      <c r="EX8" s="229">
        <v>1.83E-2</v>
      </c>
      <c r="EY8" s="229">
        <v>0.32369999999999999</v>
      </c>
    </row>
    <row r="9" spans="1:155" ht="17.25" thickBot="1" x14ac:dyDescent="0.3">
      <c r="A9" s="226">
        <v>46086</v>
      </c>
      <c r="B9" s="227" t="s">
        <v>175</v>
      </c>
      <c r="C9" s="227" t="s">
        <v>177</v>
      </c>
      <c r="D9" s="228">
        <v>964.15</v>
      </c>
      <c r="E9" s="228">
        <v>949.6</v>
      </c>
      <c r="F9" s="228">
        <v>14.55</v>
      </c>
      <c r="G9" s="229">
        <v>1.5299999999999999E-2</v>
      </c>
      <c r="H9" s="228">
        <v>962.4</v>
      </c>
      <c r="I9" s="228">
        <v>945.1</v>
      </c>
      <c r="J9" s="228">
        <v>17.3</v>
      </c>
      <c r="K9" s="229">
        <v>1.83E-2</v>
      </c>
      <c r="L9" s="228">
        <v>964.15</v>
      </c>
      <c r="M9" s="228">
        <v>949.6</v>
      </c>
      <c r="N9" s="228">
        <v>14.55</v>
      </c>
      <c r="O9" s="229">
        <v>1.5299999999999999E-2</v>
      </c>
      <c r="P9" s="228">
        <v>970.25</v>
      </c>
      <c r="Q9" s="228">
        <v>955.8</v>
      </c>
      <c r="R9" s="228">
        <v>14.45</v>
      </c>
      <c r="S9" s="229">
        <v>1.5100000000000001E-2</v>
      </c>
      <c r="T9" s="228">
        <v>974.95</v>
      </c>
      <c r="U9" s="228">
        <v>961.85</v>
      </c>
      <c r="V9" s="228">
        <v>13.1</v>
      </c>
      <c r="W9" s="229">
        <v>1.3599999999999999E-2</v>
      </c>
      <c r="X9" s="228">
        <v>1.75</v>
      </c>
      <c r="Y9" s="228">
        <v>4.5</v>
      </c>
      <c r="Z9" s="228">
        <v>-2.75</v>
      </c>
      <c r="AA9" s="229">
        <v>1.8E-3</v>
      </c>
      <c r="AB9" s="228">
        <v>1.75</v>
      </c>
      <c r="AC9" s="228">
        <v>4.5</v>
      </c>
      <c r="AD9" s="228">
        <v>-2.75</v>
      </c>
      <c r="AE9" s="229">
        <v>1.8E-3</v>
      </c>
      <c r="AF9" s="228">
        <v>7.85</v>
      </c>
      <c r="AG9" s="228">
        <v>10.7</v>
      </c>
      <c r="AH9" s="228">
        <v>-2.85</v>
      </c>
      <c r="AI9" s="229">
        <v>8.2000000000000007E-3</v>
      </c>
      <c r="AJ9" s="228">
        <v>12.55</v>
      </c>
      <c r="AK9" s="228">
        <v>16.75</v>
      </c>
      <c r="AL9" s="228">
        <v>-4.2</v>
      </c>
      <c r="AM9" s="229">
        <v>1.2999999999999999E-2</v>
      </c>
      <c r="AN9" s="228">
        <v>959.99</v>
      </c>
      <c r="AO9" s="228">
        <v>965.79</v>
      </c>
      <c r="AP9" s="228">
        <v>0</v>
      </c>
      <c r="AQ9" s="230">
        <v>8710</v>
      </c>
      <c r="AR9" s="230">
        <v>13555</v>
      </c>
      <c r="AS9" s="230">
        <v>-4845</v>
      </c>
      <c r="AT9" s="229">
        <v>-0.3574</v>
      </c>
      <c r="AU9" s="230">
        <v>8174</v>
      </c>
      <c r="AV9" s="230">
        <v>12825</v>
      </c>
      <c r="AW9" s="230">
        <v>-4651</v>
      </c>
      <c r="AX9" s="229">
        <v>-0.36270000000000002</v>
      </c>
      <c r="AY9" s="228">
        <v>458</v>
      </c>
      <c r="AZ9" s="228">
        <v>587</v>
      </c>
      <c r="BA9" s="228">
        <v>-129</v>
      </c>
      <c r="BB9" s="229">
        <v>-0.2198</v>
      </c>
      <c r="BC9" s="228">
        <v>78</v>
      </c>
      <c r="BD9" s="228">
        <v>143</v>
      </c>
      <c r="BE9" s="228">
        <v>-65</v>
      </c>
      <c r="BF9" s="229">
        <v>-0.45450000000000002</v>
      </c>
      <c r="BG9" s="230">
        <v>19551</v>
      </c>
      <c r="BH9" s="230">
        <v>20218</v>
      </c>
      <c r="BI9" s="228">
        <v>-667</v>
      </c>
      <c r="BJ9" s="229">
        <v>-3.3000000000000002E-2</v>
      </c>
      <c r="BK9" s="230">
        <v>14091</v>
      </c>
      <c r="BL9" s="230">
        <v>18246</v>
      </c>
      <c r="BM9" s="230">
        <v>-4155</v>
      </c>
      <c r="BN9" s="229">
        <v>-0.22770000000000001</v>
      </c>
      <c r="BO9" s="230">
        <v>42352</v>
      </c>
      <c r="BP9" s="230">
        <v>52019</v>
      </c>
      <c r="BQ9" s="230">
        <v>-9667</v>
      </c>
      <c r="BR9" s="229">
        <v>-0.18579999999999999</v>
      </c>
      <c r="BS9" s="230">
        <v>6509620</v>
      </c>
      <c r="BT9" s="230">
        <v>10122545</v>
      </c>
      <c r="BU9" s="230">
        <v>-3612925</v>
      </c>
      <c r="BV9" s="229">
        <v>-0.3569</v>
      </c>
      <c r="BW9" s="230">
        <v>77542500</v>
      </c>
      <c r="BX9" s="230">
        <v>78920250</v>
      </c>
      <c r="BY9" s="230">
        <v>-1377750</v>
      </c>
      <c r="BZ9" s="229">
        <v>-1.7500000000000002E-2</v>
      </c>
      <c r="CA9" s="230">
        <v>75914250</v>
      </c>
      <c r="CB9" s="230">
        <v>77342250</v>
      </c>
      <c r="CC9" s="230">
        <v>-1428000</v>
      </c>
      <c r="CD9" s="229">
        <v>-1.8499999999999999E-2</v>
      </c>
      <c r="CE9" s="230">
        <v>1486500</v>
      </c>
      <c r="CF9" s="230">
        <v>1444500</v>
      </c>
      <c r="CG9" s="230">
        <v>42000</v>
      </c>
      <c r="CH9" s="229">
        <v>2.9100000000000001E-2</v>
      </c>
      <c r="CI9" s="230">
        <v>141750</v>
      </c>
      <c r="CJ9" s="230">
        <v>133500</v>
      </c>
      <c r="CK9" s="230">
        <v>8250</v>
      </c>
      <c r="CL9" s="229">
        <v>6.1800000000000001E-2</v>
      </c>
      <c r="CM9" s="230">
        <v>14562750</v>
      </c>
      <c r="CN9" s="230">
        <v>13974000</v>
      </c>
      <c r="CO9" s="230">
        <v>588750</v>
      </c>
      <c r="CP9" s="229">
        <v>4.2099999999999999E-2</v>
      </c>
      <c r="CQ9" s="230">
        <v>12646500</v>
      </c>
      <c r="CR9" s="230">
        <v>12381750</v>
      </c>
      <c r="CS9" s="230">
        <v>264750</v>
      </c>
      <c r="CT9" s="229">
        <v>2.1399999999999999E-2</v>
      </c>
      <c r="CU9" s="230">
        <v>104751750</v>
      </c>
      <c r="CV9" s="230">
        <v>105276000</v>
      </c>
      <c r="CW9" s="230">
        <v>-524250</v>
      </c>
      <c r="CX9" s="229">
        <v>-5.0000000000000001E-3</v>
      </c>
      <c r="CY9" s="228">
        <v>25.74</v>
      </c>
      <c r="CZ9" s="228">
        <v>29</v>
      </c>
      <c r="DA9" s="228">
        <v>-3.26</v>
      </c>
      <c r="DB9" s="228">
        <v>-3.26</v>
      </c>
      <c r="DC9" s="228">
        <v>31.64</v>
      </c>
      <c r="DD9" s="228">
        <v>31.62</v>
      </c>
      <c r="DE9" s="228">
        <v>-5.9</v>
      </c>
      <c r="DF9" s="228">
        <v>0.02</v>
      </c>
      <c r="DG9" s="228">
        <v>24.84</v>
      </c>
      <c r="DH9" s="228">
        <v>27.78</v>
      </c>
      <c r="DI9" s="228">
        <v>-2.94</v>
      </c>
      <c r="DJ9" s="228">
        <v>-2.94</v>
      </c>
      <c r="DK9" s="228">
        <v>27</v>
      </c>
      <c r="DL9" s="228">
        <v>30.35</v>
      </c>
      <c r="DM9" s="228">
        <v>-3.35</v>
      </c>
      <c r="DN9" s="228">
        <v>-3.35</v>
      </c>
      <c r="DO9" s="228">
        <v>0.87</v>
      </c>
      <c r="DP9" s="228">
        <v>0.89</v>
      </c>
      <c r="DQ9" s="228">
        <v>-0.02</v>
      </c>
      <c r="DR9" s="229">
        <v>-2.2499999999999999E-2</v>
      </c>
      <c r="DS9" s="231">
        <v>1100</v>
      </c>
      <c r="DT9" s="228">
        <v>960</v>
      </c>
      <c r="DU9" s="228">
        <v>0.72</v>
      </c>
      <c r="DV9" s="228">
        <v>0.9</v>
      </c>
      <c r="DW9" s="228">
        <v>-0.18</v>
      </c>
      <c r="DX9" s="229">
        <v>-0.2</v>
      </c>
      <c r="DY9" s="229">
        <v>2.1000000000000001E-2</v>
      </c>
      <c r="DZ9" s="230">
        <v>1578000</v>
      </c>
      <c r="EA9" s="229">
        <v>6.3E-3</v>
      </c>
      <c r="EB9" s="229">
        <v>2.1000000000000001E-2</v>
      </c>
      <c r="EC9" s="228">
        <v>5.8</v>
      </c>
      <c r="ED9" s="229">
        <v>6.0000000000000001E-3</v>
      </c>
      <c r="EE9" s="230">
        <v>3468628</v>
      </c>
      <c r="EF9" s="230">
        <v>6419441</v>
      </c>
      <c r="EG9" s="229">
        <v>-0.4597</v>
      </c>
      <c r="EH9" s="229">
        <v>0.53280000000000005</v>
      </c>
      <c r="EI9" s="231">
        <v>148412.94</v>
      </c>
      <c r="EJ9" s="231">
        <v>99782.92</v>
      </c>
      <c r="EK9" s="231">
        <v>62737.34</v>
      </c>
      <c r="EL9" s="231">
        <v>10894</v>
      </c>
      <c r="EM9" s="231">
        <v>310933.2</v>
      </c>
      <c r="EN9" s="231">
        <v>380074.76</v>
      </c>
      <c r="EO9" s="231">
        <v>-69141.56</v>
      </c>
      <c r="EP9" s="229">
        <v>-0.18190000000000001</v>
      </c>
      <c r="EQ9" s="231">
        <v>151397</v>
      </c>
      <c r="ER9" s="231">
        <v>122615</v>
      </c>
      <c r="ES9" s="231">
        <v>747732</v>
      </c>
      <c r="ET9" s="231">
        <v>317526833</v>
      </c>
      <c r="EU9" s="231">
        <v>1021743</v>
      </c>
      <c r="EV9" s="231">
        <v>1015632</v>
      </c>
      <c r="EW9" s="231">
        <v>6111</v>
      </c>
      <c r="EX9" s="229">
        <v>6.0000000000000001E-3</v>
      </c>
      <c r="EY9" s="229">
        <v>0.32990000000000003</v>
      </c>
    </row>
    <row r="10" spans="1:155" ht="17.25" thickBot="1" x14ac:dyDescent="0.3">
      <c r="A10" s="226">
        <v>46086</v>
      </c>
      <c r="B10" s="227" t="s">
        <v>184</v>
      </c>
      <c r="C10" s="227" t="s">
        <v>185</v>
      </c>
      <c r="D10" s="228">
        <v>459.85</v>
      </c>
      <c r="E10" s="228">
        <v>445.8</v>
      </c>
      <c r="F10" s="228">
        <v>14.05</v>
      </c>
      <c r="G10" s="229">
        <v>3.15E-2</v>
      </c>
      <c r="H10" s="228">
        <v>460</v>
      </c>
      <c r="I10" s="228">
        <v>446.85</v>
      </c>
      <c r="J10" s="228">
        <v>13.15</v>
      </c>
      <c r="K10" s="229">
        <v>2.9399999999999999E-2</v>
      </c>
      <c r="L10" s="228">
        <v>459.85</v>
      </c>
      <c r="M10" s="228">
        <v>445.8</v>
      </c>
      <c r="N10" s="228">
        <v>14.05</v>
      </c>
      <c r="O10" s="229">
        <v>3.15E-2</v>
      </c>
      <c r="P10" s="228">
        <v>462.85</v>
      </c>
      <c r="Q10" s="228">
        <v>448.5</v>
      </c>
      <c r="R10" s="228">
        <v>14.35</v>
      </c>
      <c r="S10" s="229">
        <v>3.2000000000000001E-2</v>
      </c>
      <c r="T10" s="228">
        <v>465.45</v>
      </c>
      <c r="U10" s="228">
        <v>450.7</v>
      </c>
      <c r="V10" s="228">
        <v>14.75</v>
      </c>
      <c r="W10" s="229">
        <v>3.27E-2</v>
      </c>
      <c r="X10" s="228">
        <v>-0.15</v>
      </c>
      <c r="Y10" s="228">
        <v>-1.05</v>
      </c>
      <c r="Z10" s="228">
        <v>0.9</v>
      </c>
      <c r="AA10" s="229">
        <v>-2.9999999999999997E-4</v>
      </c>
      <c r="AB10" s="228">
        <v>-0.15</v>
      </c>
      <c r="AC10" s="228">
        <v>-1.05</v>
      </c>
      <c r="AD10" s="228">
        <v>0.9</v>
      </c>
      <c r="AE10" s="229">
        <v>-2.9999999999999997E-4</v>
      </c>
      <c r="AF10" s="228">
        <v>2.85</v>
      </c>
      <c r="AG10" s="228">
        <v>1.65</v>
      </c>
      <c r="AH10" s="228">
        <v>1.2</v>
      </c>
      <c r="AI10" s="229">
        <v>6.1999999999999998E-3</v>
      </c>
      <c r="AJ10" s="228">
        <v>5.45</v>
      </c>
      <c r="AK10" s="228">
        <v>3.85</v>
      </c>
      <c r="AL10" s="228">
        <v>1.6</v>
      </c>
      <c r="AM10" s="229">
        <v>1.18E-2</v>
      </c>
      <c r="AN10" s="228">
        <v>460.57</v>
      </c>
      <c r="AO10" s="228">
        <v>463.31</v>
      </c>
      <c r="AP10" s="228">
        <v>0</v>
      </c>
      <c r="AQ10" s="230">
        <v>33463</v>
      </c>
      <c r="AR10" s="230">
        <v>26887</v>
      </c>
      <c r="AS10" s="230">
        <v>6576</v>
      </c>
      <c r="AT10" s="229">
        <v>0.24460000000000001</v>
      </c>
      <c r="AU10" s="230">
        <v>30377</v>
      </c>
      <c r="AV10" s="230">
        <v>24875</v>
      </c>
      <c r="AW10" s="230">
        <v>5502</v>
      </c>
      <c r="AX10" s="229">
        <v>0.22120000000000001</v>
      </c>
      <c r="AY10" s="230">
        <v>2547</v>
      </c>
      <c r="AZ10" s="230">
        <v>1653</v>
      </c>
      <c r="BA10" s="228">
        <v>894</v>
      </c>
      <c r="BB10" s="229">
        <v>0.54079999999999995</v>
      </c>
      <c r="BC10" s="228">
        <v>539</v>
      </c>
      <c r="BD10" s="228">
        <v>359</v>
      </c>
      <c r="BE10" s="228">
        <v>180</v>
      </c>
      <c r="BF10" s="229">
        <v>0.50139999999999996</v>
      </c>
      <c r="BG10" s="230">
        <v>144049</v>
      </c>
      <c r="BH10" s="230">
        <v>79163</v>
      </c>
      <c r="BI10" s="230">
        <v>64886</v>
      </c>
      <c r="BJ10" s="229">
        <v>0.81969999999999998</v>
      </c>
      <c r="BK10" s="230">
        <v>67543</v>
      </c>
      <c r="BL10" s="230">
        <v>36024</v>
      </c>
      <c r="BM10" s="230">
        <v>31519</v>
      </c>
      <c r="BN10" s="229">
        <v>0.87490000000000001</v>
      </c>
      <c r="BO10" s="230">
        <v>245055</v>
      </c>
      <c r="BP10" s="230">
        <v>142074</v>
      </c>
      <c r="BQ10" s="230">
        <v>102981</v>
      </c>
      <c r="BR10" s="229">
        <v>0.7248</v>
      </c>
      <c r="BS10" s="230">
        <v>39879751</v>
      </c>
      <c r="BT10" s="230">
        <v>37141581</v>
      </c>
      <c r="BU10" s="230">
        <v>2738170</v>
      </c>
      <c r="BV10" s="229">
        <v>7.3700000000000002E-2</v>
      </c>
      <c r="BW10" s="230">
        <v>109451400</v>
      </c>
      <c r="BX10" s="230">
        <v>112865700</v>
      </c>
      <c r="BY10" s="230">
        <v>-3414300</v>
      </c>
      <c r="BZ10" s="229">
        <v>-3.0300000000000001E-2</v>
      </c>
      <c r="CA10" s="230">
        <v>104244450</v>
      </c>
      <c r="CB10" s="230">
        <v>107628825</v>
      </c>
      <c r="CC10" s="230">
        <v>-3384375</v>
      </c>
      <c r="CD10" s="229">
        <v>-3.1399999999999997E-2</v>
      </c>
      <c r="CE10" s="230">
        <v>4011375</v>
      </c>
      <c r="CF10" s="230">
        <v>4034175</v>
      </c>
      <c r="CG10" s="230">
        <v>-22800</v>
      </c>
      <c r="CH10" s="229">
        <v>-5.7000000000000002E-3</v>
      </c>
      <c r="CI10" s="230">
        <v>1195575</v>
      </c>
      <c r="CJ10" s="230">
        <v>1202700</v>
      </c>
      <c r="CK10" s="230">
        <v>-7125</v>
      </c>
      <c r="CL10" s="229">
        <v>-5.8999999999999999E-3</v>
      </c>
      <c r="CM10" s="230">
        <v>41847975</v>
      </c>
      <c r="CN10" s="230">
        <v>48092325</v>
      </c>
      <c r="CO10" s="230">
        <v>-6244350</v>
      </c>
      <c r="CP10" s="229">
        <v>-0.1298</v>
      </c>
      <c r="CQ10" s="230">
        <v>27925725</v>
      </c>
      <c r="CR10" s="230">
        <v>25258125</v>
      </c>
      <c r="CS10" s="230">
        <v>2667600</v>
      </c>
      <c r="CT10" s="229">
        <v>0.1056</v>
      </c>
      <c r="CU10" s="230">
        <v>179225100</v>
      </c>
      <c r="CV10" s="230">
        <v>186216150</v>
      </c>
      <c r="CW10" s="230">
        <v>-6991050</v>
      </c>
      <c r="CX10" s="229">
        <v>-3.7499999999999999E-2</v>
      </c>
      <c r="CY10" s="228">
        <v>29.01</v>
      </c>
      <c r="CZ10" s="228">
        <v>33.659999999999997</v>
      </c>
      <c r="DA10" s="228">
        <v>-4.6500000000000004</v>
      </c>
      <c r="DB10" s="228">
        <v>-4.6500000000000004</v>
      </c>
      <c r="DC10" s="228">
        <v>36.93</v>
      </c>
      <c r="DD10" s="228">
        <v>36.79</v>
      </c>
      <c r="DE10" s="228">
        <v>-7.92</v>
      </c>
      <c r="DF10" s="228">
        <v>0.14000000000000001</v>
      </c>
      <c r="DG10" s="228">
        <v>28.68</v>
      </c>
      <c r="DH10" s="228">
        <v>33.39</v>
      </c>
      <c r="DI10" s="228">
        <v>-4.71</v>
      </c>
      <c r="DJ10" s="228">
        <v>-4.71</v>
      </c>
      <c r="DK10" s="228">
        <v>29.72</v>
      </c>
      <c r="DL10" s="228">
        <v>34.25</v>
      </c>
      <c r="DM10" s="228">
        <v>-4.53</v>
      </c>
      <c r="DN10" s="228">
        <v>-4.53</v>
      </c>
      <c r="DO10" s="228">
        <v>0.67</v>
      </c>
      <c r="DP10" s="228">
        <v>0.53</v>
      </c>
      <c r="DQ10" s="228">
        <v>0.14000000000000001</v>
      </c>
      <c r="DR10" s="229">
        <v>0.26419999999999999</v>
      </c>
      <c r="DS10" s="228">
        <v>500</v>
      </c>
      <c r="DT10" s="228">
        <v>440</v>
      </c>
      <c r="DU10" s="228">
        <v>0.47</v>
      </c>
      <c r="DV10" s="228">
        <v>0.46</v>
      </c>
      <c r="DW10" s="228">
        <v>0.01</v>
      </c>
      <c r="DX10" s="229">
        <v>2.1700000000000001E-2</v>
      </c>
      <c r="DY10" s="229">
        <v>4.7600000000000003E-2</v>
      </c>
      <c r="DZ10" s="230">
        <v>5236875</v>
      </c>
      <c r="EA10" s="229">
        <v>6.4999999999999997E-3</v>
      </c>
      <c r="EB10" s="229">
        <v>4.7600000000000003E-2</v>
      </c>
      <c r="EC10" s="228">
        <v>2.74</v>
      </c>
      <c r="ED10" s="229">
        <v>5.8999999999999999E-3</v>
      </c>
      <c r="EE10" s="230">
        <v>15402452</v>
      </c>
      <c r="EF10" s="230">
        <v>19057427</v>
      </c>
      <c r="EG10" s="229">
        <v>-0.1918</v>
      </c>
      <c r="EH10" s="229">
        <v>0.38619999999999999</v>
      </c>
      <c r="EI10" s="231">
        <v>991957.42</v>
      </c>
      <c r="EJ10" s="231">
        <v>431104.9</v>
      </c>
      <c r="EK10" s="231">
        <v>219766.51</v>
      </c>
      <c r="EL10" s="231">
        <v>19689</v>
      </c>
      <c r="EM10" s="231">
        <v>1642828.83</v>
      </c>
      <c r="EN10" s="231">
        <v>938005.4</v>
      </c>
      <c r="EO10" s="231">
        <v>704823.43</v>
      </c>
      <c r="EP10" s="229">
        <v>0.75139999999999996</v>
      </c>
      <c r="EQ10" s="231">
        <v>196389</v>
      </c>
      <c r="ER10" s="231">
        <v>120437</v>
      </c>
      <c r="ES10" s="231">
        <v>503500</v>
      </c>
      <c r="ET10" s="231">
        <v>535778534</v>
      </c>
      <c r="EU10" s="231">
        <v>820325</v>
      </c>
      <c r="EV10" s="231">
        <v>834085</v>
      </c>
      <c r="EW10" s="231">
        <v>-13760</v>
      </c>
      <c r="EX10" s="229">
        <v>-1.6500000000000001E-2</v>
      </c>
      <c r="EY10" s="229">
        <v>0.33450000000000002</v>
      </c>
    </row>
    <row r="11" spans="1:155" ht="17.25" thickBot="1" x14ac:dyDescent="0.3">
      <c r="A11" s="226">
        <v>46086</v>
      </c>
      <c r="B11" s="227" t="s">
        <v>188</v>
      </c>
      <c r="C11" s="227" t="s">
        <v>189</v>
      </c>
      <c r="D11" s="231">
        <v>1914.5</v>
      </c>
      <c r="E11" s="231">
        <v>1912.3</v>
      </c>
      <c r="F11" s="228">
        <v>2.2000000000000002</v>
      </c>
      <c r="G11" s="229">
        <v>1.1999999999999999E-3</v>
      </c>
      <c r="H11" s="231">
        <v>1907</v>
      </c>
      <c r="I11" s="231">
        <v>1905.9</v>
      </c>
      <c r="J11" s="228">
        <v>1.1000000000000001</v>
      </c>
      <c r="K11" s="229">
        <v>5.9999999999999995E-4</v>
      </c>
      <c r="L11" s="231">
        <v>1914.5</v>
      </c>
      <c r="M11" s="231">
        <v>1912.3</v>
      </c>
      <c r="N11" s="228">
        <v>2.2000000000000002</v>
      </c>
      <c r="O11" s="229">
        <v>1.1999999999999999E-3</v>
      </c>
      <c r="P11" s="231">
        <v>1926.3</v>
      </c>
      <c r="Q11" s="231">
        <v>1924.6</v>
      </c>
      <c r="R11" s="228">
        <v>1.7</v>
      </c>
      <c r="S11" s="229">
        <v>8.9999999999999998E-4</v>
      </c>
      <c r="T11" s="231">
        <v>1938.3</v>
      </c>
      <c r="U11" s="231">
        <v>1932.7</v>
      </c>
      <c r="V11" s="228">
        <v>5.6</v>
      </c>
      <c r="W11" s="229">
        <v>2.8999999999999998E-3</v>
      </c>
      <c r="X11" s="228">
        <v>7.5</v>
      </c>
      <c r="Y11" s="228">
        <v>6.4</v>
      </c>
      <c r="Z11" s="228">
        <v>1.1000000000000001</v>
      </c>
      <c r="AA11" s="229">
        <v>3.8999999999999998E-3</v>
      </c>
      <c r="AB11" s="228">
        <v>7.5</v>
      </c>
      <c r="AC11" s="228">
        <v>6.4</v>
      </c>
      <c r="AD11" s="228">
        <v>1.1000000000000001</v>
      </c>
      <c r="AE11" s="229">
        <v>3.8999999999999998E-3</v>
      </c>
      <c r="AF11" s="228">
        <v>19.3</v>
      </c>
      <c r="AG11" s="228">
        <v>18.7</v>
      </c>
      <c r="AH11" s="228">
        <v>0.6</v>
      </c>
      <c r="AI11" s="229">
        <v>1.01E-2</v>
      </c>
      <c r="AJ11" s="228">
        <v>31.3</v>
      </c>
      <c r="AK11" s="228">
        <v>26.8</v>
      </c>
      <c r="AL11" s="228">
        <v>4.5</v>
      </c>
      <c r="AM11" s="229">
        <v>1.6400000000000001E-2</v>
      </c>
      <c r="AN11" s="231">
        <v>1916.56</v>
      </c>
      <c r="AO11" s="231">
        <v>1928.64</v>
      </c>
      <c r="AP11" s="228">
        <v>0</v>
      </c>
      <c r="AQ11" s="230">
        <v>13917</v>
      </c>
      <c r="AR11" s="230">
        <v>26073</v>
      </c>
      <c r="AS11" s="230">
        <v>-12156</v>
      </c>
      <c r="AT11" s="229">
        <v>-0.4662</v>
      </c>
      <c r="AU11" s="230">
        <v>12910</v>
      </c>
      <c r="AV11" s="230">
        <v>23996</v>
      </c>
      <c r="AW11" s="230">
        <v>-11086</v>
      </c>
      <c r="AX11" s="229">
        <v>-0.46200000000000002</v>
      </c>
      <c r="AY11" s="228">
        <v>963</v>
      </c>
      <c r="AZ11" s="230">
        <v>1958</v>
      </c>
      <c r="BA11" s="228">
        <v>-995</v>
      </c>
      <c r="BB11" s="229">
        <v>-0.50819999999999999</v>
      </c>
      <c r="BC11" s="228">
        <v>44</v>
      </c>
      <c r="BD11" s="228">
        <v>119</v>
      </c>
      <c r="BE11" s="228">
        <v>-75</v>
      </c>
      <c r="BF11" s="229">
        <v>-0.63029999999999997</v>
      </c>
      <c r="BG11" s="230">
        <v>45153</v>
      </c>
      <c r="BH11" s="230">
        <v>108713</v>
      </c>
      <c r="BI11" s="230">
        <v>-63560</v>
      </c>
      <c r="BJ11" s="229">
        <v>-0.5847</v>
      </c>
      <c r="BK11" s="230">
        <v>29039</v>
      </c>
      <c r="BL11" s="230">
        <v>51757</v>
      </c>
      <c r="BM11" s="230">
        <v>-22718</v>
      </c>
      <c r="BN11" s="229">
        <v>-0.43890000000000001</v>
      </c>
      <c r="BO11" s="230">
        <v>88109</v>
      </c>
      <c r="BP11" s="230">
        <v>186543</v>
      </c>
      <c r="BQ11" s="230">
        <v>-98434</v>
      </c>
      <c r="BR11" s="229">
        <v>-0.52769999999999995</v>
      </c>
      <c r="BS11" s="230">
        <v>13300106</v>
      </c>
      <c r="BT11" s="230">
        <v>21231269</v>
      </c>
      <c r="BU11" s="230">
        <v>-7931163</v>
      </c>
      <c r="BV11" s="229">
        <v>-0.37359999999999999</v>
      </c>
      <c r="BW11" s="230">
        <v>59609650</v>
      </c>
      <c r="BX11" s="230">
        <v>61022775</v>
      </c>
      <c r="BY11" s="230">
        <v>-1413125</v>
      </c>
      <c r="BZ11" s="229">
        <v>-2.3199999999999998E-2</v>
      </c>
      <c r="CA11" s="230">
        <v>57000950</v>
      </c>
      <c r="CB11" s="230">
        <v>58472025</v>
      </c>
      <c r="CC11" s="230">
        <v>-1471075</v>
      </c>
      <c r="CD11" s="229">
        <v>-2.52E-2</v>
      </c>
      <c r="CE11" s="230">
        <v>2484725</v>
      </c>
      <c r="CF11" s="230">
        <v>2426775</v>
      </c>
      <c r="CG11" s="230">
        <v>57950</v>
      </c>
      <c r="CH11" s="229">
        <v>2.3900000000000001E-2</v>
      </c>
      <c r="CI11" s="230">
        <v>123975</v>
      </c>
      <c r="CJ11" s="230">
        <v>123975</v>
      </c>
      <c r="CK11" s="228">
        <v>0</v>
      </c>
      <c r="CL11" s="229">
        <v>0</v>
      </c>
      <c r="CM11" s="230">
        <v>14461850</v>
      </c>
      <c r="CN11" s="230">
        <v>14408175</v>
      </c>
      <c r="CO11" s="230">
        <v>53675</v>
      </c>
      <c r="CP11" s="229">
        <v>3.7000000000000002E-3</v>
      </c>
      <c r="CQ11" s="230">
        <v>8076425</v>
      </c>
      <c r="CR11" s="230">
        <v>8723375</v>
      </c>
      <c r="CS11" s="230">
        <v>-646950</v>
      </c>
      <c r="CT11" s="229">
        <v>-7.4200000000000002E-2</v>
      </c>
      <c r="CU11" s="230">
        <v>82147925</v>
      </c>
      <c r="CV11" s="230">
        <v>84154325</v>
      </c>
      <c r="CW11" s="230">
        <v>-2006400</v>
      </c>
      <c r="CX11" s="229">
        <v>-2.3800000000000002E-2</v>
      </c>
      <c r="CY11" s="228">
        <v>21.21</v>
      </c>
      <c r="CZ11" s="228">
        <v>22.61</v>
      </c>
      <c r="DA11" s="228">
        <v>-1.4</v>
      </c>
      <c r="DB11" s="228">
        <v>-1.4</v>
      </c>
      <c r="DC11" s="228">
        <v>23.84</v>
      </c>
      <c r="DD11" s="228">
        <v>23.9</v>
      </c>
      <c r="DE11" s="228">
        <v>-2.63</v>
      </c>
      <c r="DF11" s="228">
        <v>-0.06</v>
      </c>
      <c r="DG11" s="228">
        <v>20.79</v>
      </c>
      <c r="DH11" s="228">
        <v>21.78</v>
      </c>
      <c r="DI11" s="228">
        <v>-0.99</v>
      </c>
      <c r="DJ11" s="228">
        <v>-0.99</v>
      </c>
      <c r="DK11" s="228">
        <v>21.87</v>
      </c>
      <c r="DL11" s="228">
        <v>24.36</v>
      </c>
      <c r="DM11" s="228">
        <v>-2.4900000000000002</v>
      </c>
      <c r="DN11" s="228">
        <v>-2.4900000000000002</v>
      </c>
      <c r="DO11" s="228">
        <v>0.56000000000000005</v>
      </c>
      <c r="DP11" s="228">
        <v>0.61</v>
      </c>
      <c r="DQ11" s="228">
        <v>-0.05</v>
      </c>
      <c r="DR11" s="229">
        <v>-8.2000000000000003E-2</v>
      </c>
      <c r="DS11" s="231">
        <v>2000</v>
      </c>
      <c r="DT11" s="231">
        <v>1900</v>
      </c>
      <c r="DU11" s="228">
        <v>0.64</v>
      </c>
      <c r="DV11" s="228">
        <v>0.48</v>
      </c>
      <c r="DW11" s="228">
        <v>0.16</v>
      </c>
      <c r="DX11" s="229">
        <v>0.33329999999999999</v>
      </c>
      <c r="DY11" s="229">
        <v>4.3799999999999999E-2</v>
      </c>
      <c r="DZ11" s="230">
        <v>2550750</v>
      </c>
      <c r="EA11" s="229">
        <v>6.1999999999999998E-3</v>
      </c>
      <c r="EB11" s="229">
        <v>4.3799999999999999E-2</v>
      </c>
      <c r="EC11" s="228">
        <v>12.08</v>
      </c>
      <c r="ED11" s="229">
        <v>6.3E-3</v>
      </c>
      <c r="EE11" s="230">
        <v>7893010</v>
      </c>
      <c r="EF11" s="230">
        <v>14410688</v>
      </c>
      <c r="EG11" s="229">
        <v>-0.45229999999999998</v>
      </c>
      <c r="EH11" s="229">
        <v>0.59350000000000003</v>
      </c>
      <c r="EI11" s="231">
        <v>428573.01</v>
      </c>
      <c r="EJ11" s="231">
        <v>260725.4</v>
      </c>
      <c r="EK11" s="231">
        <v>126756.02</v>
      </c>
      <c r="EL11" s="231">
        <v>19256</v>
      </c>
      <c r="EM11" s="231">
        <v>816054.43</v>
      </c>
      <c r="EN11" s="231">
        <v>1720037.9</v>
      </c>
      <c r="EO11" s="231">
        <v>-903983.47</v>
      </c>
      <c r="EP11" s="229">
        <v>-0.52559999999999996</v>
      </c>
      <c r="EQ11" s="231">
        <v>291003</v>
      </c>
      <c r="ER11" s="231">
        <v>151251</v>
      </c>
      <c r="ES11" s="231">
        <v>1141549</v>
      </c>
      <c r="ET11" s="231">
        <v>367085962</v>
      </c>
      <c r="EU11" s="231">
        <v>1583803</v>
      </c>
      <c r="EV11" s="231">
        <v>1620087</v>
      </c>
      <c r="EW11" s="231">
        <v>-36284</v>
      </c>
      <c r="EX11" s="229">
        <v>-2.24E-2</v>
      </c>
      <c r="EY11" s="229">
        <v>0.2238</v>
      </c>
    </row>
    <row r="12" spans="1:155" ht="17.25" thickBot="1" x14ac:dyDescent="0.3">
      <c r="A12" s="226">
        <v>46086</v>
      </c>
      <c r="B12" s="227" t="s">
        <v>170</v>
      </c>
      <c r="C12" s="227" t="s">
        <v>199</v>
      </c>
      <c r="D12" s="231">
        <v>1332.3</v>
      </c>
      <c r="E12" s="231">
        <v>1319.7</v>
      </c>
      <c r="F12" s="228">
        <v>12.6</v>
      </c>
      <c r="G12" s="229">
        <v>9.4999999999999998E-3</v>
      </c>
      <c r="H12" s="231">
        <v>1326.4</v>
      </c>
      <c r="I12" s="231">
        <v>1313.2</v>
      </c>
      <c r="J12" s="228">
        <v>13.2</v>
      </c>
      <c r="K12" s="229">
        <v>1.01E-2</v>
      </c>
      <c r="L12" s="231">
        <v>1332.3</v>
      </c>
      <c r="M12" s="231">
        <v>1319.7</v>
      </c>
      <c r="N12" s="228">
        <v>12.6</v>
      </c>
      <c r="O12" s="229">
        <v>9.4999999999999998E-3</v>
      </c>
      <c r="P12" s="231">
        <v>1341</v>
      </c>
      <c r="Q12" s="231">
        <v>1328.7</v>
      </c>
      <c r="R12" s="228">
        <v>12.3</v>
      </c>
      <c r="S12" s="229">
        <v>9.2999999999999992E-3</v>
      </c>
      <c r="T12" s="231">
        <v>1345.2</v>
      </c>
      <c r="U12" s="231">
        <v>1334.8</v>
      </c>
      <c r="V12" s="228">
        <v>10.4</v>
      </c>
      <c r="W12" s="229">
        <v>7.7999999999999996E-3</v>
      </c>
      <c r="X12" s="228">
        <v>5.9</v>
      </c>
      <c r="Y12" s="228">
        <v>6.5</v>
      </c>
      <c r="Z12" s="228">
        <v>-0.6</v>
      </c>
      <c r="AA12" s="229">
        <v>4.4000000000000003E-3</v>
      </c>
      <c r="AB12" s="228">
        <v>5.9</v>
      </c>
      <c r="AC12" s="228">
        <v>6.5</v>
      </c>
      <c r="AD12" s="228">
        <v>-0.6</v>
      </c>
      <c r="AE12" s="229">
        <v>4.4000000000000003E-3</v>
      </c>
      <c r="AF12" s="228">
        <v>14.6</v>
      </c>
      <c r="AG12" s="228">
        <v>15.5</v>
      </c>
      <c r="AH12" s="228">
        <v>-0.9</v>
      </c>
      <c r="AI12" s="229">
        <v>1.0999999999999999E-2</v>
      </c>
      <c r="AJ12" s="228">
        <v>18.8</v>
      </c>
      <c r="AK12" s="228">
        <v>21.6</v>
      </c>
      <c r="AL12" s="228">
        <v>-2.8</v>
      </c>
      <c r="AM12" s="229">
        <v>1.4200000000000001E-2</v>
      </c>
      <c r="AN12" s="231">
        <v>1329.45</v>
      </c>
      <c r="AO12" s="231">
        <v>1337.66</v>
      </c>
      <c r="AP12" s="228">
        <v>0</v>
      </c>
      <c r="AQ12" s="230">
        <v>3452</v>
      </c>
      <c r="AR12" s="230">
        <v>5357</v>
      </c>
      <c r="AS12" s="230">
        <v>-1905</v>
      </c>
      <c r="AT12" s="229">
        <v>-0.35560000000000003</v>
      </c>
      <c r="AU12" s="230">
        <v>3317</v>
      </c>
      <c r="AV12" s="230">
        <v>4964</v>
      </c>
      <c r="AW12" s="230">
        <v>-1647</v>
      </c>
      <c r="AX12" s="229">
        <v>-0.33179999999999998</v>
      </c>
      <c r="AY12" s="228">
        <v>119</v>
      </c>
      <c r="AZ12" s="228">
        <v>318</v>
      </c>
      <c r="BA12" s="228">
        <v>-199</v>
      </c>
      <c r="BB12" s="229">
        <v>-0.62580000000000002</v>
      </c>
      <c r="BC12" s="228">
        <v>16</v>
      </c>
      <c r="BD12" s="228">
        <v>75</v>
      </c>
      <c r="BE12" s="228">
        <v>-59</v>
      </c>
      <c r="BF12" s="229">
        <v>-0.78669999999999995</v>
      </c>
      <c r="BG12" s="230">
        <v>7739</v>
      </c>
      <c r="BH12" s="230">
        <v>15840</v>
      </c>
      <c r="BI12" s="230">
        <v>-8101</v>
      </c>
      <c r="BJ12" s="229">
        <v>-0.51139999999999997</v>
      </c>
      <c r="BK12" s="230">
        <v>3668</v>
      </c>
      <c r="BL12" s="230">
        <v>7390</v>
      </c>
      <c r="BM12" s="230">
        <v>-3722</v>
      </c>
      <c r="BN12" s="229">
        <v>-0.50370000000000004</v>
      </c>
      <c r="BO12" s="230">
        <v>14859</v>
      </c>
      <c r="BP12" s="230">
        <v>28587</v>
      </c>
      <c r="BQ12" s="230">
        <v>-13728</v>
      </c>
      <c r="BR12" s="229">
        <v>-0.48020000000000002</v>
      </c>
      <c r="BS12" s="230">
        <v>1216232</v>
      </c>
      <c r="BT12" s="230">
        <v>2065547</v>
      </c>
      <c r="BU12" s="230">
        <v>-849315</v>
      </c>
      <c r="BV12" s="229">
        <v>-0.41120000000000001</v>
      </c>
      <c r="BW12" s="230">
        <v>13269375</v>
      </c>
      <c r="BX12" s="230">
        <v>13321500</v>
      </c>
      <c r="BY12" s="230">
        <v>-52125</v>
      </c>
      <c r="BZ12" s="229">
        <v>-3.8999999999999998E-3</v>
      </c>
      <c r="CA12" s="230">
        <v>13060500</v>
      </c>
      <c r="CB12" s="230">
        <v>13118625</v>
      </c>
      <c r="CC12" s="230">
        <v>-58125</v>
      </c>
      <c r="CD12" s="229">
        <v>-4.4000000000000003E-3</v>
      </c>
      <c r="CE12" s="230">
        <v>172500</v>
      </c>
      <c r="CF12" s="230">
        <v>167625</v>
      </c>
      <c r="CG12" s="230">
        <v>4875</v>
      </c>
      <c r="CH12" s="229">
        <v>2.9100000000000001E-2</v>
      </c>
      <c r="CI12" s="230">
        <v>36375</v>
      </c>
      <c r="CJ12" s="230">
        <v>35250</v>
      </c>
      <c r="CK12" s="230">
        <v>1125</v>
      </c>
      <c r="CL12" s="229">
        <v>3.1899999999999998E-2</v>
      </c>
      <c r="CM12" s="230">
        <v>4858125</v>
      </c>
      <c r="CN12" s="230">
        <v>5116125</v>
      </c>
      <c r="CO12" s="230">
        <v>-258000</v>
      </c>
      <c r="CP12" s="229">
        <v>-5.04E-2</v>
      </c>
      <c r="CQ12" s="230">
        <v>3033750</v>
      </c>
      <c r="CR12" s="230">
        <v>3006375</v>
      </c>
      <c r="CS12" s="230">
        <v>27375</v>
      </c>
      <c r="CT12" s="229">
        <v>9.1000000000000004E-3</v>
      </c>
      <c r="CU12" s="230">
        <v>21161250</v>
      </c>
      <c r="CV12" s="230">
        <v>21444000</v>
      </c>
      <c r="CW12" s="230">
        <v>-282750</v>
      </c>
      <c r="CX12" s="229">
        <v>-1.32E-2</v>
      </c>
      <c r="CY12" s="228">
        <v>21.47</v>
      </c>
      <c r="CZ12" s="228">
        <v>24.21</v>
      </c>
      <c r="DA12" s="228">
        <v>-2.74</v>
      </c>
      <c r="DB12" s="228">
        <v>-2.74</v>
      </c>
      <c r="DC12" s="228">
        <v>25.27</v>
      </c>
      <c r="DD12" s="228">
        <v>25.3</v>
      </c>
      <c r="DE12" s="228">
        <v>-3.8</v>
      </c>
      <c r="DF12" s="228">
        <v>-0.03</v>
      </c>
      <c r="DG12" s="228">
        <v>20.62</v>
      </c>
      <c r="DH12" s="228">
        <v>23.48</v>
      </c>
      <c r="DI12" s="228">
        <v>-2.86</v>
      </c>
      <c r="DJ12" s="228">
        <v>-2.86</v>
      </c>
      <c r="DK12" s="228">
        <v>23.26</v>
      </c>
      <c r="DL12" s="228">
        <v>25.77</v>
      </c>
      <c r="DM12" s="228">
        <v>-2.5099999999999998</v>
      </c>
      <c r="DN12" s="228">
        <v>-2.5099999999999998</v>
      </c>
      <c r="DO12" s="228">
        <v>0.62</v>
      </c>
      <c r="DP12" s="228">
        <v>0.59</v>
      </c>
      <c r="DQ12" s="228">
        <v>0.03</v>
      </c>
      <c r="DR12" s="229">
        <v>5.0799999999999998E-2</v>
      </c>
      <c r="DS12" s="231">
        <v>1500</v>
      </c>
      <c r="DT12" s="231">
        <v>1260</v>
      </c>
      <c r="DU12" s="228">
        <v>0.47</v>
      </c>
      <c r="DV12" s="228">
        <v>0.47</v>
      </c>
      <c r="DW12" s="228">
        <v>0</v>
      </c>
      <c r="DX12" s="229">
        <v>0</v>
      </c>
      <c r="DY12" s="229">
        <v>1.5699999999999999E-2</v>
      </c>
      <c r="DZ12" s="230">
        <v>202875</v>
      </c>
      <c r="EA12" s="229">
        <v>6.4999999999999997E-3</v>
      </c>
      <c r="EB12" s="229">
        <v>1.5699999999999999E-2</v>
      </c>
      <c r="EC12" s="228">
        <v>8.2100000000000009</v>
      </c>
      <c r="ED12" s="229">
        <v>6.1999999999999998E-3</v>
      </c>
      <c r="EE12" s="230">
        <v>720072</v>
      </c>
      <c r="EF12" s="230">
        <v>1300002</v>
      </c>
      <c r="EG12" s="229">
        <v>-0.4461</v>
      </c>
      <c r="EH12" s="229">
        <v>0.59209999999999996</v>
      </c>
      <c r="EI12" s="231">
        <v>40628.89</v>
      </c>
      <c r="EJ12" s="231">
        <v>17732.810000000001</v>
      </c>
      <c r="EK12" s="231">
        <v>17214.310000000001</v>
      </c>
      <c r="EL12" s="231">
        <v>4911</v>
      </c>
      <c r="EM12" s="231">
        <v>75576.009999999995</v>
      </c>
      <c r="EN12" s="231">
        <v>146456.26</v>
      </c>
      <c r="EO12" s="231">
        <v>-70880.25</v>
      </c>
      <c r="EP12" s="229">
        <v>-0.48399999999999999</v>
      </c>
      <c r="EQ12" s="231">
        <v>68693</v>
      </c>
      <c r="ER12" s="231">
        <v>39161</v>
      </c>
      <c r="ES12" s="231">
        <v>176808</v>
      </c>
      <c r="ET12" s="231">
        <v>59297360</v>
      </c>
      <c r="EU12" s="231">
        <v>284661</v>
      </c>
      <c r="EV12" s="231">
        <v>286818</v>
      </c>
      <c r="EW12" s="231">
        <v>-2157</v>
      </c>
      <c r="EX12" s="229">
        <v>-7.4999999999999997E-3</v>
      </c>
      <c r="EY12" s="229">
        <v>0.3569</v>
      </c>
    </row>
    <row r="13" spans="1:155" ht="17.25" thickBot="1" x14ac:dyDescent="0.3">
      <c r="A13" s="226">
        <v>46086</v>
      </c>
      <c r="B13" s="227" t="s">
        <v>227</v>
      </c>
      <c r="C13" s="227" t="s">
        <v>200</v>
      </c>
      <c r="D13" s="228">
        <v>450.5</v>
      </c>
      <c r="E13" s="228">
        <v>436.85</v>
      </c>
      <c r="F13" s="228">
        <v>13.65</v>
      </c>
      <c r="G13" s="229">
        <v>3.1199999999999999E-2</v>
      </c>
      <c r="H13" s="228">
        <v>449.4</v>
      </c>
      <c r="I13" s="228">
        <v>435.15</v>
      </c>
      <c r="J13" s="228">
        <v>14.25</v>
      </c>
      <c r="K13" s="229">
        <v>3.27E-2</v>
      </c>
      <c r="L13" s="228">
        <v>450.5</v>
      </c>
      <c r="M13" s="228">
        <v>436.85</v>
      </c>
      <c r="N13" s="228">
        <v>13.65</v>
      </c>
      <c r="O13" s="229">
        <v>3.1199999999999999E-2</v>
      </c>
      <c r="P13" s="228">
        <v>453.3</v>
      </c>
      <c r="Q13" s="228">
        <v>439.15</v>
      </c>
      <c r="R13" s="228">
        <v>14.15</v>
      </c>
      <c r="S13" s="229">
        <v>3.2199999999999999E-2</v>
      </c>
      <c r="T13" s="228">
        <v>455</v>
      </c>
      <c r="U13" s="228">
        <v>441.9</v>
      </c>
      <c r="V13" s="228">
        <v>13.1</v>
      </c>
      <c r="W13" s="229">
        <v>2.9600000000000001E-2</v>
      </c>
      <c r="X13" s="228">
        <v>1.1000000000000001</v>
      </c>
      <c r="Y13" s="228">
        <v>1.7</v>
      </c>
      <c r="Z13" s="228">
        <v>-0.6</v>
      </c>
      <c r="AA13" s="229">
        <v>2.3999999999999998E-3</v>
      </c>
      <c r="AB13" s="228">
        <v>1.1000000000000001</v>
      </c>
      <c r="AC13" s="228">
        <v>1.7</v>
      </c>
      <c r="AD13" s="228">
        <v>-0.6</v>
      </c>
      <c r="AE13" s="229">
        <v>2.3999999999999998E-3</v>
      </c>
      <c r="AF13" s="228">
        <v>3.9</v>
      </c>
      <c r="AG13" s="228">
        <v>4</v>
      </c>
      <c r="AH13" s="228">
        <v>-0.1</v>
      </c>
      <c r="AI13" s="229">
        <v>8.6999999999999994E-3</v>
      </c>
      <c r="AJ13" s="228">
        <v>5.6</v>
      </c>
      <c r="AK13" s="228">
        <v>6.75</v>
      </c>
      <c r="AL13" s="228">
        <v>-1.1499999999999999</v>
      </c>
      <c r="AM13" s="229">
        <v>1.2500000000000001E-2</v>
      </c>
      <c r="AN13" s="228">
        <v>453.58</v>
      </c>
      <c r="AO13" s="228">
        <v>455.44</v>
      </c>
      <c r="AP13" s="228">
        <v>0</v>
      </c>
      <c r="AQ13" s="230">
        <v>22463</v>
      </c>
      <c r="AR13" s="230">
        <v>16535</v>
      </c>
      <c r="AS13" s="230">
        <v>5928</v>
      </c>
      <c r="AT13" s="229">
        <v>0.35849999999999999</v>
      </c>
      <c r="AU13" s="230">
        <v>21053</v>
      </c>
      <c r="AV13" s="230">
        <v>15522</v>
      </c>
      <c r="AW13" s="230">
        <v>5531</v>
      </c>
      <c r="AX13" s="229">
        <v>0.35630000000000001</v>
      </c>
      <c r="AY13" s="230">
        <v>1237</v>
      </c>
      <c r="AZ13" s="228">
        <v>890</v>
      </c>
      <c r="BA13" s="228">
        <v>347</v>
      </c>
      <c r="BB13" s="229">
        <v>0.38990000000000002</v>
      </c>
      <c r="BC13" s="228">
        <v>173</v>
      </c>
      <c r="BD13" s="228">
        <v>123</v>
      </c>
      <c r="BE13" s="228">
        <v>50</v>
      </c>
      <c r="BF13" s="229">
        <v>0.40649999999999997</v>
      </c>
      <c r="BG13" s="230">
        <v>133554</v>
      </c>
      <c r="BH13" s="230">
        <v>73635</v>
      </c>
      <c r="BI13" s="230">
        <v>59919</v>
      </c>
      <c r="BJ13" s="229">
        <v>0.81369999999999998</v>
      </c>
      <c r="BK13" s="230">
        <v>57689</v>
      </c>
      <c r="BL13" s="230">
        <v>28815</v>
      </c>
      <c r="BM13" s="230">
        <v>28874</v>
      </c>
      <c r="BN13" s="229">
        <v>1.002</v>
      </c>
      <c r="BO13" s="230">
        <v>213706</v>
      </c>
      <c r="BP13" s="230">
        <v>118985</v>
      </c>
      <c r="BQ13" s="230">
        <v>94721</v>
      </c>
      <c r="BR13" s="229">
        <v>0.79610000000000003</v>
      </c>
      <c r="BS13" s="230">
        <v>32390589</v>
      </c>
      <c r="BT13" s="230">
        <v>19950117</v>
      </c>
      <c r="BU13" s="230">
        <v>12440472</v>
      </c>
      <c r="BV13" s="229">
        <v>0.62360000000000004</v>
      </c>
      <c r="BW13" s="230">
        <v>46484550</v>
      </c>
      <c r="BX13" s="230">
        <v>46252350</v>
      </c>
      <c r="BY13" s="230">
        <v>232200</v>
      </c>
      <c r="BZ13" s="229">
        <v>5.0000000000000001E-3</v>
      </c>
      <c r="CA13" s="230">
        <v>41316750</v>
      </c>
      <c r="CB13" s="230">
        <v>41077800</v>
      </c>
      <c r="CC13" s="230">
        <v>238950</v>
      </c>
      <c r="CD13" s="229">
        <v>5.7999999999999996E-3</v>
      </c>
      <c r="CE13" s="230">
        <v>5024700</v>
      </c>
      <c r="CF13" s="230">
        <v>5038200</v>
      </c>
      <c r="CG13" s="230">
        <v>-13500</v>
      </c>
      <c r="CH13" s="229">
        <v>-2.7000000000000001E-3</v>
      </c>
      <c r="CI13" s="230">
        <v>143100</v>
      </c>
      <c r="CJ13" s="230">
        <v>136350</v>
      </c>
      <c r="CK13" s="230">
        <v>6750</v>
      </c>
      <c r="CL13" s="229">
        <v>4.9500000000000002E-2</v>
      </c>
      <c r="CM13" s="230">
        <v>28588950</v>
      </c>
      <c r="CN13" s="230">
        <v>25407000</v>
      </c>
      <c r="CO13" s="230">
        <v>3181950</v>
      </c>
      <c r="CP13" s="229">
        <v>0.12520000000000001</v>
      </c>
      <c r="CQ13" s="230">
        <v>21231450</v>
      </c>
      <c r="CR13" s="230">
        <v>15670800</v>
      </c>
      <c r="CS13" s="230">
        <v>5560650</v>
      </c>
      <c r="CT13" s="229">
        <v>0.3548</v>
      </c>
      <c r="CU13" s="230">
        <v>96304950</v>
      </c>
      <c r="CV13" s="230">
        <v>87330150</v>
      </c>
      <c r="CW13" s="230">
        <v>8974800</v>
      </c>
      <c r="CX13" s="229">
        <v>0.1028</v>
      </c>
      <c r="CY13" s="228">
        <v>27.29</v>
      </c>
      <c r="CZ13" s="228">
        <v>28.59</v>
      </c>
      <c r="DA13" s="228">
        <v>-1.3</v>
      </c>
      <c r="DB13" s="228">
        <v>-1.3</v>
      </c>
      <c r="DC13" s="228">
        <v>30.01</v>
      </c>
      <c r="DD13" s="228">
        <v>29.79</v>
      </c>
      <c r="DE13" s="228">
        <v>-2.72</v>
      </c>
      <c r="DF13" s="228">
        <v>0.22</v>
      </c>
      <c r="DG13" s="228">
        <v>27.1</v>
      </c>
      <c r="DH13" s="228">
        <v>28.43</v>
      </c>
      <c r="DI13" s="228">
        <v>-1.33</v>
      </c>
      <c r="DJ13" s="228">
        <v>-1.33</v>
      </c>
      <c r="DK13" s="228">
        <v>27.72</v>
      </c>
      <c r="DL13" s="228">
        <v>29.01</v>
      </c>
      <c r="DM13" s="228">
        <v>-1.29</v>
      </c>
      <c r="DN13" s="228">
        <v>-1.29</v>
      </c>
      <c r="DO13" s="228">
        <v>0.74</v>
      </c>
      <c r="DP13" s="228">
        <v>0.62</v>
      </c>
      <c r="DQ13" s="228">
        <v>0.12</v>
      </c>
      <c r="DR13" s="229">
        <v>0.19350000000000001</v>
      </c>
      <c r="DS13" s="228">
        <v>455</v>
      </c>
      <c r="DT13" s="228">
        <v>410</v>
      </c>
      <c r="DU13" s="228">
        <v>0.43</v>
      </c>
      <c r="DV13" s="228">
        <v>0.39</v>
      </c>
      <c r="DW13" s="228">
        <v>0.04</v>
      </c>
      <c r="DX13" s="229">
        <v>0.1026</v>
      </c>
      <c r="DY13" s="229">
        <v>0.11119999999999999</v>
      </c>
      <c r="DZ13" s="230">
        <v>5174550</v>
      </c>
      <c r="EA13" s="229">
        <v>6.1999999999999998E-3</v>
      </c>
      <c r="EB13" s="229">
        <v>0.11119999999999999</v>
      </c>
      <c r="EC13" s="228">
        <v>1.86</v>
      </c>
      <c r="ED13" s="229">
        <v>4.1000000000000003E-3</v>
      </c>
      <c r="EE13" s="230">
        <v>13299898</v>
      </c>
      <c r="EF13" s="230">
        <v>8185565</v>
      </c>
      <c r="EG13" s="229">
        <v>0.62480000000000002</v>
      </c>
      <c r="EH13" s="229">
        <v>0.41060000000000002</v>
      </c>
      <c r="EI13" s="231">
        <v>857633.16</v>
      </c>
      <c r="EJ13" s="231">
        <v>346009.31</v>
      </c>
      <c r="EK13" s="231">
        <v>137588.93</v>
      </c>
      <c r="EL13" s="231">
        <v>11567</v>
      </c>
      <c r="EM13" s="231">
        <v>1341231.3999999999</v>
      </c>
      <c r="EN13" s="231">
        <v>721940.65</v>
      </c>
      <c r="EO13" s="231">
        <v>619290.75</v>
      </c>
      <c r="EP13" s="229">
        <v>0.85780000000000001</v>
      </c>
      <c r="EQ13" s="231">
        <v>131437</v>
      </c>
      <c r="ER13" s="231">
        <v>90568</v>
      </c>
      <c r="ES13" s="231">
        <v>209560</v>
      </c>
      <c r="ET13" s="231">
        <v>278206904</v>
      </c>
      <c r="EU13" s="231">
        <v>431565</v>
      </c>
      <c r="EV13" s="231">
        <v>382544</v>
      </c>
      <c r="EW13" s="231">
        <v>49021</v>
      </c>
      <c r="EX13" s="229">
        <v>0.12809999999999999</v>
      </c>
      <c r="EY13" s="229">
        <v>0.34620000000000001</v>
      </c>
    </row>
    <row r="14" spans="1:155" ht="17.25" thickBot="1" x14ac:dyDescent="0.3">
      <c r="A14" s="226">
        <v>46086</v>
      </c>
      <c r="B14" s="227" t="s">
        <v>170</v>
      </c>
      <c r="C14" s="227" t="s">
        <v>208</v>
      </c>
      <c r="D14" s="231">
        <v>1318</v>
      </c>
      <c r="E14" s="231">
        <v>1293.8</v>
      </c>
      <c r="F14" s="228">
        <v>24.2</v>
      </c>
      <c r="G14" s="229">
        <v>1.8700000000000001E-2</v>
      </c>
      <c r="H14" s="231">
        <v>1313.5</v>
      </c>
      <c r="I14" s="231">
        <v>1291.2</v>
      </c>
      <c r="J14" s="228">
        <v>22.3</v>
      </c>
      <c r="K14" s="229">
        <v>1.7299999999999999E-2</v>
      </c>
      <c r="L14" s="231">
        <v>1318</v>
      </c>
      <c r="M14" s="231">
        <v>1293.8</v>
      </c>
      <c r="N14" s="228">
        <v>24.2</v>
      </c>
      <c r="O14" s="229">
        <v>1.8700000000000001E-2</v>
      </c>
      <c r="P14" s="231">
        <v>1325.8</v>
      </c>
      <c r="Q14" s="231">
        <v>1301.9000000000001</v>
      </c>
      <c r="R14" s="228">
        <v>23.9</v>
      </c>
      <c r="S14" s="229">
        <v>1.84E-2</v>
      </c>
      <c r="T14" s="231">
        <v>1331.2</v>
      </c>
      <c r="U14" s="231">
        <v>1314</v>
      </c>
      <c r="V14" s="228">
        <v>17.2</v>
      </c>
      <c r="W14" s="229">
        <v>1.3100000000000001E-2</v>
      </c>
      <c r="X14" s="228">
        <v>4.5</v>
      </c>
      <c r="Y14" s="228">
        <v>2.6</v>
      </c>
      <c r="Z14" s="228">
        <v>1.9</v>
      </c>
      <c r="AA14" s="229">
        <v>3.3999999999999998E-3</v>
      </c>
      <c r="AB14" s="228">
        <v>4.5</v>
      </c>
      <c r="AC14" s="228">
        <v>2.6</v>
      </c>
      <c r="AD14" s="228">
        <v>1.9</v>
      </c>
      <c r="AE14" s="229">
        <v>3.3999999999999998E-3</v>
      </c>
      <c r="AF14" s="228">
        <v>12.3</v>
      </c>
      <c r="AG14" s="228">
        <v>10.7</v>
      </c>
      <c r="AH14" s="228">
        <v>1.6</v>
      </c>
      <c r="AI14" s="229">
        <v>9.4000000000000004E-3</v>
      </c>
      <c r="AJ14" s="228">
        <v>17.7</v>
      </c>
      <c r="AK14" s="228">
        <v>22.8</v>
      </c>
      <c r="AL14" s="228">
        <v>-5.0999999999999996</v>
      </c>
      <c r="AM14" s="229">
        <v>1.35E-2</v>
      </c>
      <c r="AN14" s="231">
        <v>1314.08</v>
      </c>
      <c r="AO14" s="231">
        <v>1319.59</v>
      </c>
      <c r="AP14" s="228">
        <v>0</v>
      </c>
      <c r="AQ14" s="230">
        <v>3253</v>
      </c>
      <c r="AR14" s="230">
        <v>3171</v>
      </c>
      <c r="AS14" s="228">
        <v>82</v>
      </c>
      <c r="AT14" s="229">
        <v>2.5899999999999999E-2</v>
      </c>
      <c r="AU14" s="230">
        <v>3090</v>
      </c>
      <c r="AV14" s="230">
        <v>3081</v>
      </c>
      <c r="AW14" s="228">
        <v>9</v>
      </c>
      <c r="AX14" s="229">
        <v>2.8999999999999998E-3</v>
      </c>
      <c r="AY14" s="228">
        <v>156</v>
      </c>
      <c r="AZ14" s="228">
        <v>74</v>
      </c>
      <c r="BA14" s="228">
        <v>82</v>
      </c>
      <c r="BB14" s="229">
        <v>1.1081000000000001</v>
      </c>
      <c r="BC14" s="228">
        <v>7</v>
      </c>
      <c r="BD14" s="228">
        <v>16</v>
      </c>
      <c r="BE14" s="228">
        <v>-9</v>
      </c>
      <c r="BF14" s="229">
        <v>-0.5625</v>
      </c>
      <c r="BG14" s="230">
        <v>12126</v>
      </c>
      <c r="BH14" s="230">
        <v>10311</v>
      </c>
      <c r="BI14" s="230">
        <v>1815</v>
      </c>
      <c r="BJ14" s="229">
        <v>0.17599999999999999</v>
      </c>
      <c r="BK14" s="230">
        <v>4345</v>
      </c>
      <c r="BL14" s="230">
        <v>5694</v>
      </c>
      <c r="BM14" s="230">
        <v>-1349</v>
      </c>
      <c r="BN14" s="229">
        <v>-0.2369</v>
      </c>
      <c r="BO14" s="230">
        <v>19724</v>
      </c>
      <c r="BP14" s="230">
        <v>19176</v>
      </c>
      <c r="BQ14" s="228">
        <v>548</v>
      </c>
      <c r="BR14" s="229">
        <v>2.86E-2</v>
      </c>
      <c r="BS14" s="230">
        <v>1109930</v>
      </c>
      <c r="BT14" s="230">
        <v>1945580</v>
      </c>
      <c r="BU14" s="230">
        <v>-835650</v>
      </c>
      <c r="BV14" s="229">
        <v>-0.42949999999999999</v>
      </c>
      <c r="BW14" s="230">
        <v>15733750</v>
      </c>
      <c r="BX14" s="230">
        <v>15901250</v>
      </c>
      <c r="BY14" s="230">
        <v>-167500</v>
      </c>
      <c r="BZ14" s="229">
        <v>-1.0500000000000001E-2</v>
      </c>
      <c r="CA14" s="230">
        <v>15538750</v>
      </c>
      <c r="CB14" s="230">
        <v>15689375</v>
      </c>
      <c r="CC14" s="230">
        <v>-150625</v>
      </c>
      <c r="CD14" s="229">
        <v>-9.5999999999999992E-3</v>
      </c>
      <c r="CE14" s="230">
        <v>176875</v>
      </c>
      <c r="CF14" s="230">
        <v>194375</v>
      </c>
      <c r="CG14" s="230">
        <v>-17500</v>
      </c>
      <c r="CH14" s="229">
        <v>-0.09</v>
      </c>
      <c r="CI14" s="230">
        <v>18125</v>
      </c>
      <c r="CJ14" s="230">
        <v>17500</v>
      </c>
      <c r="CK14" s="228">
        <v>625</v>
      </c>
      <c r="CL14" s="229">
        <v>3.5700000000000003E-2</v>
      </c>
      <c r="CM14" s="230">
        <v>4626250</v>
      </c>
      <c r="CN14" s="230">
        <v>4390625</v>
      </c>
      <c r="CO14" s="230">
        <v>235625</v>
      </c>
      <c r="CP14" s="229">
        <v>5.3699999999999998E-2</v>
      </c>
      <c r="CQ14" s="230">
        <v>3076250</v>
      </c>
      <c r="CR14" s="230">
        <v>2926250</v>
      </c>
      <c r="CS14" s="230">
        <v>150000</v>
      </c>
      <c r="CT14" s="229">
        <v>5.1299999999999998E-2</v>
      </c>
      <c r="CU14" s="230">
        <v>23436250</v>
      </c>
      <c r="CV14" s="230">
        <v>23218125</v>
      </c>
      <c r="CW14" s="230">
        <v>218125</v>
      </c>
      <c r="CX14" s="229">
        <v>9.4000000000000004E-3</v>
      </c>
      <c r="CY14" s="228">
        <v>22.06</v>
      </c>
      <c r="CZ14" s="228">
        <v>24.65</v>
      </c>
      <c r="DA14" s="228">
        <v>-2.59</v>
      </c>
      <c r="DB14" s="228">
        <v>-2.59</v>
      </c>
      <c r="DC14" s="228">
        <v>25.01</v>
      </c>
      <c r="DD14" s="228">
        <v>24.97</v>
      </c>
      <c r="DE14" s="228">
        <v>-2.95</v>
      </c>
      <c r="DF14" s="228">
        <v>0.04</v>
      </c>
      <c r="DG14" s="228">
        <v>21.35</v>
      </c>
      <c r="DH14" s="228">
        <v>23.6</v>
      </c>
      <c r="DI14" s="228">
        <v>-2.25</v>
      </c>
      <c r="DJ14" s="228">
        <v>-2.25</v>
      </c>
      <c r="DK14" s="228">
        <v>24.06</v>
      </c>
      <c r="DL14" s="228">
        <v>26.54</v>
      </c>
      <c r="DM14" s="228">
        <v>-2.48</v>
      </c>
      <c r="DN14" s="228">
        <v>-2.48</v>
      </c>
      <c r="DO14" s="228">
        <v>0.66</v>
      </c>
      <c r="DP14" s="228">
        <v>0.67</v>
      </c>
      <c r="DQ14" s="228">
        <v>-0.01</v>
      </c>
      <c r="DR14" s="229">
        <v>-1.49E-2</v>
      </c>
      <c r="DS14" s="231">
        <v>1360</v>
      </c>
      <c r="DT14" s="231">
        <v>1300</v>
      </c>
      <c r="DU14" s="228">
        <v>0.36</v>
      </c>
      <c r="DV14" s="228">
        <v>0.55000000000000004</v>
      </c>
      <c r="DW14" s="228">
        <v>-0.19</v>
      </c>
      <c r="DX14" s="229">
        <v>-0.34549999999999997</v>
      </c>
      <c r="DY14" s="229">
        <v>1.24E-2</v>
      </c>
      <c r="DZ14" s="230">
        <v>211875</v>
      </c>
      <c r="EA14" s="229">
        <v>5.8999999999999999E-3</v>
      </c>
      <c r="EB14" s="229">
        <v>1.24E-2</v>
      </c>
      <c r="EC14" s="228">
        <v>5.51</v>
      </c>
      <c r="ED14" s="229">
        <v>4.1999999999999997E-3</v>
      </c>
      <c r="EE14" s="230">
        <v>529623</v>
      </c>
      <c r="EF14" s="230">
        <v>1253017</v>
      </c>
      <c r="EG14" s="229">
        <v>-0.57730000000000004</v>
      </c>
      <c r="EH14" s="229">
        <v>0.47720000000000001</v>
      </c>
      <c r="EI14" s="231">
        <v>103052.51</v>
      </c>
      <c r="EJ14" s="231">
        <v>35048.19</v>
      </c>
      <c r="EK14" s="231">
        <v>26722.75</v>
      </c>
      <c r="EL14" s="231">
        <v>3338</v>
      </c>
      <c r="EM14" s="231">
        <v>164823.45000000001</v>
      </c>
      <c r="EN14" s="231">
        <v>157526.82999999999</v>
      </c>
      <c r="EO14" s="231">
        <v>7296.62</v>
      </c>
      <c r="EP14" s="229">
        <v>4.6300000000000001E-2</v>
      </c>
      <c r="EQ14" s="231">
        <v>62592</v>
      </c>
      <c r="ER14" s="231">
        <v>37809</v>
      </c>
      <c r="ES14" s="231">
        <v>207387</v>
      </c>
      <c r="ET14" s="231">
        <v>91531454</v>
      </c>
      <c r="EU14" s="231">
        <v>307788</v>
      </c>
      <c r="EV14" s="231">
        <v>300758</v>
      </c>
      <c r="EW14" s="231">
        <v>7030</v>
      </c>
      <c r="EX14" s="229">
        <v>2.3400000000000001E-2</v>
      </c>
      <c r="EY14" s="229">
        <v>0.25600000000000001</v>
      </c>
    </row>
    <row r="15" spans="1:155" ht="17.25" thickBot="1" x14ac:dyDescent="0.3">
      <c r="A15" s="226">
        <v>46086</v>
      </c>
      <c r="B15" s="227" t="s">
        <v>162</v>
      </c>
      <c r="C15" s="227" t="s">
        <v>209</v>
      </c>
      <c r="D15" s="231">
        <v>7768</v>
      </c>
      <c r="E15" s="231">
        <v>7654</v>
      </c>
      <c r="F15" s="228">
        <v>114</v>
      </c>
      <c r="G15" s="229">
        <v>1.49E-2</v>
      </c>
      <c r="H15" s="231">
        <v>7755</v>
      </c>
      <c r="I15" s="231">
        <v>7626.5</v>
      </c>
      <c r="J15" s="228">
        <v>128.5</v>
      </c>
      <c r="K15" s="229">
        <v>1.6799999999999999E-2</v>
      </c>
      <c r="L15" s="231">
        <v>7768</v>
      </c>
      <c r="M15" s="231">
        <v>7654</v>
      </c>
      <c r="N15" s="228">
        <v>114</v>
      </c>
      <c r="O15" s="229">
        <v>1.49E-2</v>
      </c>
      <c r="P15" s="231">
        <v>7814.5</v>
      </c>
      <c r="Q15" s="231">
        <v>7703.5</v>
      </c>
      <c r="R15" s="228">
        <v>111</v>
      </c>
      <c r="S15" s="229">
        <v>1.44E-2</v>
      </c>
      <c r="T15" s="231">
        <v>7850</v>
      </c>
      <c r="U15" s="231">
        <v>7739</v>
      </c>
      <c r="V15" s="228">
        <v>111</v>
      </c>
      <c r="W15" s="229">
        <v>1.43E-2</v>
      </c>
      <c r="X15" s="228">
        <v>13</v>
      </c>
      <c r="Y15" s="228">
        <v>27.5</v>
      </c>
      <c r="Z15" s="228">
        <v>-14.5</v>
      </c>
      <c r="AA15" s="229">
        <v>1.6999999999999999E-3</v>
      </c>
      <c r="AB15" s="228">
        <v>13</v>
      </c>
      <c r="AC15" s="228">
        <v>27.5</v>
      </c>
      <c r="AD15" s="228">
        <v>-14.5</v>
      </c>
      <c r="AE15" s="229">
        <v>1.6999999999999999E-3</v>
      </c>
      <c r="AF15" s="228">
        <v>59.5</v>
      </c>
      <c r="AG15" s="228">
        <v>77</v>
      </c>
      <c r="AH15" s="228">
        <v>-17.5</v>
      </c>
      <c r="AI15" s="229">
        <v>7.7000000000000002E-3</v>
      </c>
      <c r="AJ15" s="228">
        <v>95</v>
      </c>
      <c r="AK15" s="228">
        <v>112.5</v>
      </c>
      <c r="AL15" s="228">
        <v>-17.5</v>
      </c>
      <c r="AM15" s="229">
        <v>1.23E-2</v>
      </c>
      <c r="AN15" s="231">
        <v>7722.72</v>
      </c>
      <c r="AO15" s="231">
        <v>7775.54</v>
      </c>
      <c r="AP15" s="228">
        <v>0</v>
      </c>
      <c r="AQ15" s="230">
        <v>4760</v>
      </c>
      <c r="AR15" s="230">
        <v>5446</v>
      </c>
      <c r="AS15" s="228">
        <v>-686</v>
      </c>
      <c r="AT15" s="229">
        <v>-0.126</v>
      </c>
      <c r="AU15" s="230">
        <v>4536</v>
      </c>
      <c r="AV15" s="230">
        <v>4924</v>
      </c>
      <c r="AW15" s="228">
        <v>-388</v>
      </c>
      <c r="AX15" s="229">
        <v>-7.8799999999999995E-2</v>
      </c>
      <c r="AY15" s="228">
        <v>168</v>
      </c>
      <c r="AZ15" s="228">
        <v>420</v>
      </c>
      <c r="BA15" s="228">
        <v>-252</v>
      </c>
      <c r="BB15" s="229">
        <v>-0.6</v>
      </c>
      <c r="BC15" s="228">
        <v>56</v>
      </c>
      <c r="BD15" s="228">
        <v>102</v>
      </c>
      <c r="BE15" s="228">
        <v>-46</v>
      </c>
      <c r="BF15" s="229">
        <v>-0.45100000000000001</v>
      </c>
      <c r="BG15" s="230">
        <v>17265</v>
      </c>
      <c r="BH15" s="230">
        <v>15273</v>
      </c>
      <c r="BI15" s="230">
        <v>1992</v>
      </c>
      <c r="BJ15" s="229">
        <v>0.13039999999999999</v>
      </c>
      <c r="BK15" s="230">
        <v>8070</v>
      </c>
      <c r="BL15" s="230">
        <v>14596</v>
      </c>
      <c r="BM15" s="230">
        <v>-6526</v>
      </c>
      <c r="BN15" s="229">
        <v>-0.4471</v>
      </c>
      <c r="BO15" s="230">
        <v>30095</v>
      </c>
      <c r="BP15" s="230">
        <v>35315</v>
      </c>
      <c r="BQ15" s="230">
        <v>-5220</v>
      </c>
      <c r="BR15" s="229">
        <v>-0.14779999999999999</v>
      </c>
      <c r="BS15" s="230">
        <v>581924</v>
      </c>
      <c r="BT15" s="230">
        <v>609822</v>
      </c>
      <c r="BU15" s="230">
        <v>-27898</v>
      </c>
      <c r="BV15" s="229">
        <v>-4.5699999999999998E-2</v>
      </c>
      <c r="BW15" s="230">
        <v>3029900</v>
      </c>
      <c r="BX15" s="230">
        <v>3034900</v>
      </c>
      <c r="BY15" s="230">
        <v>-5000</v>
      </c>
      <c r="BZ15" s="229">
        <v>-1.6000000000000001E-3</v>
      </c>
      <c r="CA15" s="230">
        <v>2964600</v>
      </c>
      <c r="CB15" s="230">
        <v>2972300</v>
      </c>
      <c r="CC15" s="230">
        <v>-7700</v>
      </c>
      <c r="CD15" s="229">
        <v>-2.5999999999999999E-3</v>
      </c>
      <c r="CE15" s="230">
        <v>54300</v>
      </c>
      <c r="CF15" s="230">
        <v>52200</v>
      </c>
      <c r="CG15" s="230">
        <v>2100</v>
      </c>
      <c r="CH15" s="229">
        <v>4.02E-2</v>
      </c>
      <c r="CI15" s="230">
        <v>11000</v>
      </c>
      <c r="CJ15" s="230">
        <v>10400</v>
      </c>
      <c r="CK15" s="228">
        <v>600</v>
      </c>
      <c r="CL15" s="229">
        <v>5.7700000000000001E-2</v>
      </c>
      <c r="CM15" s="230">
        <v>1786900</v>
      </c>
      <c r="CN15" s="230">
        <v>1736000</v>
      </c>
      <c r="CO15" s="230">
        <v>50900</v>
      </c>
      <c r="CP15" s="229">
        <v>2.93E-2</v>
      </c>
      <c r="CQ15" s="230">
        <v>1096200</v>
      </c>
      <c r="CR15" s="230">
        <v>1091000</v>
      </c>
      <c r="CS15" s="230">
        <v>5200</v>
      </c>
      <c r="CT15" s="229">
        <v>4.7999999999999996E-3</v>
      </c>
      <c r="CU15" s="230">
        <v>5913000</v>
      </c>
      <c r="CV15" s="230">
        <v>5861900</v>
      </c>
      <c r="CW15" s="230">
        <v>51100</v>
      </c>
      <c r="CX15" s="229">
        <v>8.6999999999999994E-3</v>
      </c>
      <c r="CY15" s="228">
        <v>25.9</v>
      </c>
      <c r="CZ15" s="228">
        <v>30.3</v>
      </c>
      <c r="DA15" s="228">
        <v>-4.4000000000000004</v>
      </c>
      <c r="DB15" s="228">
        <v>-4.4000000000000004</v>
      </c>
      <c r="DC15" s="228">
        <v>28.24</v>
      </c>
      <c r="DD15" s="228">
        <v>28.22</v>
      </c>
      <c r="DE15" s="228">
        <v>-2.34</v>
      </c>
      <c r="DF15" s="228">
        <v>0.02</v>
      </c>
      <c r="DG15" s="228">
        <v>24.86</v>
      </c>
      <c r="DH15" s="228">
        <v>27.87</v>
      </c>
      <c r="DI15" s="228">
        <v>-3.01</v>
      </c>
      <c r="DJ15" s="228">
        <v>-3.01</v>
      </c>
      <c r="DK15" s="228">
        <v>28.12</v>
      </c>
      <c r="DL15" s="228">
        <v>32.840000000000003</v>
      </c>
      <c r="DM15" s="228">
        <v>-4.72</v>
      </c>
      <c r="DN15" s="228">
        <v>-4.72</v>
      </c>
      <c r="DO15" s="228">
        <v>0.61</v>
      </c>
      <c r="DP15" s="228">
        <v>0.63</v>
      </c>
      <c r="DQ15" s="228">
        <v>-0.02</v>
      </c>
      <c r="DR15" s="229">
        <v>-3.1699999999999999E-2</v>
      </c>
      <c r="DS15" s="231">
        <v>9000</v>
      </c>
      <c r="DT15" s="231">
        <v>7500</v>
      </c>
      <c r="DU15" s="228">
        <v>0.47</v>
      </c>
      <c r="DV15" s="228">
        <v>0.96</v>
      </c>
      <c r="DW15" s="228">
        <v>-0.49</v>
      </c>
      <c r="DX15" s="229">
        <v>-0.51039999999999996</v>
      </c>
      <c r="DY15" s="229">
        <v>2.1600000000000001E-2</v>
      </c>
      <c r="DZ15" s="230">
        <v>62600</v>
      </c>
      <c r="EA15" s="229">
        <v>6.0000000000000001E-3</v>
      </c>
      <c r="EB15" s="229">
        <v>2.1600000000000001E-2</v>
      </c>
      <c r="EC15" s="228">
        <v>52.82</v>
      </c>
      <c r="ED15" s="229">
        <v>6.7999999999999996E-3</v>
      </c>
      <c r="EE15" s="230">
        <v>349047</v>
      </c>
      <c r="EF15" s="230">
        <v>366946</v>
      </c>
      <c r="EG15" s="229">
        <v>-4.8800000000000003E-2</v>
      </c>
      <c r="EH15" s="229">
        <v>0.5998</v>
      </c>
      <c r="EI15" s="231">
        <v>143591.74</v>
      </c>
      <c r="EJ15" s="231">
        <v>59744.95</v>
      </c>
      <c r="EK15" s="231">
        <v>36774.800000000003</v>
      </c>
      <c r="EL15" s="231">
        <v>6480</v>
      </c>
      <c r="EM15" s="231">
        <v>240111.49</v>
      </c>
      <c r="EN15" s="231">
        <v>273718.19</v>
      </c>
      <c r="EO15" s="231">
        <v>-33606.699999999997</v>
      </c>
      <c r="EP15" s="229">
        <v>-0.12280000000000001</v>
      </c>
      <c r="EQ15" s="231">
        <v>148559</v>
      </c>
      <c r="ER15" s="231">
        <v>83682</v>
      </c>
      <c r="ES15" s="231">
        <v>235397</v>
      </c>
      <c r="ET15" s="231">
        <v>19199175</v>
      </c>
      <c r="EU15" s="231">
        <v>467637</v>
      </c>
      <c r="EV15" s="231">
        <v>459851</v>
      </c>
      <c r="EW15" s="231">
        <v>7786</v>
      </c>
      <c r="EX15" s="229">
        <v>1.6899999999999998E-2</v>
      </c>
      <c r="EY15" s="229">
        <v>0.308</v>
      </c>
    </row>
    <row r="16" spans="1:155" ht="17.25" thickBot="1" x14ac:dyDescent="0.3">
      <c r="A16" s="226">
        <v>46086</v>
      </c>
      <c r="B16" s="227" t="s">
        <v>615</v>
      </c>
      <c r="C16" s="227" t="s">
        <v>666</v>
      </c>
      <c r="D16" s="228">
        <v>240.67</v>
      </c>
      <c r="E16" s="228">
        <v>241.18</v>
      </c>
      <c r="F16" s="228">
        <v>-0.51</v>
      </c>
      <c r="G16" s="229">
        <v>-2.0999999999999999E-3</v>
      </c>
      <c r="H16" s="228">
        <v>240.14</v>
      </c>
      <c r="I16" s="228">
        <v>240.73</v>
      </c>
      <c r="J16" s="228">
        <v>-0.59</v>
      </c>
      <c r="K16" s="229">
        <v>-2.5000000000000001E-3</v>
      </c>
      <c r="L16" s="228">
        <v>240.67</v>
      </c>
      <c r="M16" s="228">
        <v>241.18</v>
      </c>
      <c r="N16" s="228">
        <v>-0.51</v>
      </c>
      <c r="O16" s="229">
        <v>-2.0999999999999999E-3</v>
      </c>
      <c r="P16" s="228">
        <v>242.21</v>
      </c>
      <c r="Q16" s="228">
        <v>242.8</v>
      </c>
      <c r="R16" s="228">
        <v>-0.59</v>
      </c>
      <c r="S16" s="229">
        <v>-2.3999999999999998E-3</v>
      </c>
      <c r="T16" s="228">
        <v>243.43</v>
      </c>
      <c r="U16" s="228">
        <v>244.11</v>
      </c>
      <c r="V16" s="228">
        <v>-0.68</v>
      </c>
      <c r="W16" s="229">
        <v>-2.8E-3</v>
      </c>
      <c r="X16" s="228">
        <v>0.53</v>
      </c>
      <c r="Y16" s="228">
        <v>0.45</v>
      </c>
      <c r="Z16" s="228">
        <v>0.08</v>
      </c>
      <c r="AA16" s="229">
        <v>2.2000000000000001E-3</v>
      </c>
      <c r="AB16" s="228">
        <v>0.53</v>
      </c>
      <c r="AC16" s="228">
        <v>0.45</v>
      </c>
      <c r="AD16" s="228">
        <v>0.08</v>
      </c>
      <c r="AE16" s="229">
        <v>2.2000000000000001E-3</v>
      </c>
      <c r="AF16" s="228">
        <v>2.0699999999999998</v>
      </c>
      <c r="AG16" s="228">
        <v>2.0699999999999998</v>
      </c>
      <c r="AH16" s="228">
        <v>0</v>
      </c>
      <c r="AI16" s="229">
        <v>8.6E-3</v>
      </c>
      <c r="AJ16" s="228">
        <v>3.29</v>
      </c>
      <c r="AK16" s="228">
        <v>3.38</v>
      </c>
      <c r="AL16" s="228">
        <v>-0.09</v>
      </c>
      <c r="AM16" s="229">
        <v>1.37E-2</v>
      </c>
      <c r="AN16" s="228">
        <v>238.41</v>
      </c>
      <c r="AO16" s="228">
        <v>240.31</v>
      </c>
      <c r="AP16" s="228">
        <v>0</v>
      </c>
      <c r="AQ16" s="230">
        <v>18450</v>
      </c>
      <c r="AR16" s="230">
        <v>16825</v>
      </c>
      <c r="AS16" s="230">
        <v>1625</v>
      </c>
      <c r="AT16" s="229">
        <v>9.6600000000000005E-2</v>
      </c>
      <c r="AU16" s="230">
        <v>16540</v>
      </c>
      <c r="AV16" s="230">
        <v>15682</v>
      </c>
      <c r="AW16" s="228">
        <v>858</v>
      </c>
      <c r="AX16" s="229">
        <v>5.4699999999999999E-2</v>
      </c>
      <c r="AY16" s="230">
        <v>1572</v>
      </c>
      <c r="AZ16" s="228">
        <v>873</v>
      </c>
      <c r="BA16" s="228">
        <v>699</v>
      </c>
      <c r="BB16" s="229">
        <v>0.80069999999999997</v>
      </c>
      <c r="BC16" s="228">
        <v>338</v>
      </c>
      <c r="BD16" s="228">
        <v>270</v>
      </c>
      <c r="BE16" s="228">
        <v>68</v>
      </c>
      <c r="BF16" s="229">
        <v>0.25190000000000001</v>
      </c>
      <c r="BG16" s="230">
        <v>42737</v>
      </c>
      <c r="BH16" s="230">
        <v>31125</v>
      </c>
      <c r="BI16" s="230">
        <v>11612</v>
      </c>
      <c r="BJ16" s="229">
        <v>0.37309999999999999</v>
      </c>
      <c r="BK16" s="230">
        <v>20077</v>
      </c>
      <c r="BL16" s="230">
        <v>15023</v>
      </c>
      <c r="BM16" s="230">
        <v>5054</v>
      </c>
      <c r="BN16" s="229">
        <v>0.33639999999999998</v>
      </c>
      <c r="BO16" s="230">
        <v>81264</v>
      </c>
      <c r="BP16" s="230">
        <v>62973</v>
      </c>
      <c r="BQ16" s="230">
        <v>18291</v>
      </c>
      <c r="BR16" s="229">
        <v>0.29049999999999998</v>
      </c>
      <c r="BS16" s="230">
        <v>48507681</v>
      </c>
      <c r="BT16" s="230">
        <v>51514721</v>
      </c>
      <c r="BU16" s="230">
        <v>-3007040</v>
      </c>
      <c r="BV16" s="229">
        <v>-5.8400000000000001E-2</v>
      </c>
      <c r="BW16" s="230">
        <v>291885125</v>
      </c>
      <c r="BX16" s="230">
        <v>293619000</v>
      </c>
      <c r="BY16" s="230">
        <v>-1733875</v>
      </c>
      <c r="BZ16" s="229">
        <v>-5.8999999999999999E-3</v>
      </c>
      <c r="CA16" s="230">
        <v>262465025</v>
      </c>
      <c r="CB16" s="230">
        <v>265935200</v>
      </c>
      <c r="CC16" s="230">
        <v>-3470175</v>
      </c>
      <c r="CD16" s="229">
        <v>-1.2999999999999999E-2</v>
      </c>
      <c r="CE16" s="230">
        <v>17947425</v>
      </c>
      <c r="CF16" s="230">
        <v>16477875</v>
      </c>
      <c r="CG16" s="230">
        <v>1469550</v>
      </c>
      <c r="CH16" s="229">
        <v>8.9200000000000002E-2</v>
      </c>
      <c r="CI16" s="230">
        <v>11472675</v>
      </c>
      <c r="CJ16" s="230">
        <v>11205925</v>
      </c>
      <c r="CK16" s="230">
        <v>266750</v>
      </c>
      <c r="CL16" s="229">
        <v>2.3800000000000002E-2</v>
      </c>
      <c r="CM16" s="230">
        <v>111225050</v>
      </c>
      <c r="CN16" s="230">
        <v>102730275</v>
      </c>
      <c r="CO16" s="230">
        <v>8494775</v>
      </c>
      <c r="CP16" s="229">
        <v>8.2699999999999996E-2</v>
      </c>
      <c r="CQ16" s="230">
        <v>54623125</v>
      </c>
      <c r="CR16" s="230">
        <v>50423025</v>
      </c>
      <c r="CS16" s="230">
        <v>4200100</v>
      </c>
      <c r="CT16" s="229">
        <v>8.3299999999999999E-2</v>
      </c>
      <c r="CU16" s="230">
        <v>457733300</v>
      </c>
      <c r="CV16" s="230">
        <v>446772300</v>
      </c>
      <c r="CW16" s="230">
        <v>10961000</v>
      </c>
      <c r="CX16" s="229">
        <v>2.4500000000000001E-2</v>
      </c>
      <c r="CY16" s="228">
        <v>38.75</v>
      </c>
      <c r="CZ16" s="228">
        <v>41.56</v>
      </c>
      <c r="DA16" s="228">
        <v>-2.81</v>
      </c>
      <c r="DB16" s="228">
        <v>-2.81</v>
      </c>
      <c r="DC16" s="228">
        <v>44.69</v>
      </c>
      <c r="DD16" s="228">
        <v>44.8</v>
      </c>
      <c r="DE16" s="228">
        <v>-5.94</v>
      </c>
      <c r="DF16" s="228">
        <v>-0.11</v>
      </c>
      <c r="DG16" s="228">
        <v>38.659999999999997</v>
      </c>
      <c r="DH16" s="228">
        <v>40.98</v>
      </c>
      <c r="DI16" s="228">
        <v>-2.3199999999999998</v>
      </c>
      <c r="DJ16" s="228">
        <v>-2.3199999999999998</v>
      </c>
      <c r="DK16" s="228">
        <v>38.950000000000003</v>
      </c>
      <c r="DL16" s="228">
        <v>42.75</v>
      </c>
      <c r="DM16" s="228">
        <v>-3.8</v>
      </c>
      <c r="DN16" s="228">
        <v>-3.8</v>
      </c>
      <c r="DO16" s="228">
        <v>0.49</v>
      </c>
      <c r="DP16" s="228">
        <v>0.49</v>
      </c>
      <c r="DQ16" s="228">
        <v>0</v>
      </c>
      <c r="DR16" s="229">
        <v>0</v>
      </c>
      <c r="DS16" s="228">
        <v>300</v>
      </c>
      <c r="DT16" s="228">
        <v>250</v>
      </c>
      <c r="DU16" s="228">
        <v>0.47</v>
      </c>
      <c r="DV16" s="228">
        <v>0.48</v>
      </c>
      <c r="DW16" s="228">
        <v>-0.01</v>
      </c>
      <c r="DX16" s="229">
        <v>-2.0799999999999999E-2</v>
      </c>
      <c r="DY16" s="229">
        <v>0.1008</v>
      </c>
      <c r="DZ16" s="230">
        <v>27683800</v>
      </c>
      <c r="EA16" s="229">
        <v>6.4000000000000003E-3</v>
      </c>
      <c r="EB16" s="229">
        <v>0.1008</v>
      </c>
      <c r="EC16" s="228">
        <v>1.9</v>
      </c>
      <c r="ED16" s="229">
        <v>8.0000000000000002E-3</v>
      </c>
      <c r="EE16" s="230">
        <v>21073464</v>
      </c>
      <c r="EF16" s="230">
        <v>28216982</v>
      </c>
      <c r="EG16" s="229">
        <v>-0.25319999999999998</v>
      </c>
      <c r="EH16" s="229">
        <v>0.43440000000000001</v>
      </c>
      <c r="EI16" s="231">
        <v>272580.56</v>
      </c>
      <c r="EJ16" s="231">
        <v>117295.85</v>
      </c>
      <c r="EK16" s="231">
        <v>106761.84</v>
      </c>
      <c r="EL16" s="231">
        <v>25650</v>
      </c>
      <c r="EM16" s="231">
        <v>496638.25</v>
      </c>
      <c r="EN16" s="231">
        <v>385632.35</v>
      </c>
      <c r="EO16" s="231">
        <v>111005.9</v>
      </c>
      <c r="EP16" s="229">
        <v>0.28789999999999999</v>
      </c>
      <c r="EQ16" s="231">
        <v>304486</v>
      </c>
      <c r="ER16" s="231">
        <v>138072</v>
      </c>
      <c r="ES16" s="231">
        <v>703073</v>
      </c>
      <c r="ET16" s="231">
        <v>1251309857</v>
      </c>
      <c r="EU16" s="231">
        <v>1145631</v>
      </c>
      <c r="EV16" s="231">
        <v>1119634</v>
      </c>
      <c r="EW16" s="231">
        <v>25997</v>
      </c>
      <c r="EX16" s="229">
        <v>2.3199999999999998E-2</v>
      </c>
      <c r="EY16" s="229">
        <v>0.36580000000000001</v>
      </c>
    </row>
    <row r="17" spans="1:155" ht="17.25" thickBot="1" x14ac:dyDescent="0.3">
      <c r="A17" s="226">
        <v>46086</v>
      </c>
      <c r="B17" s="227" t="s">
        <v>157</v>
      </c>
      <c r="C17" s="227" t="s">
        <v>219</v>
      </c>
      <c r="D17" s="231">
        <v>2730</v>
      </c>
      <c r="E17" s="231">
        <v>2688.3</v>
      </c>
      <c r="F17" s="228">
        <v>41.7</v>
      </c>
      <c r="G17" s="229">
        <v>1.55E-2</v>
      </c>
      <c r="H17" s="231">
        <v>2724.1</v>
      </c>
      <c r="I17" s="231">
        <v>2683.2</v>
      </c>
      <c r="J17" s="228">
        <v>40.9</v>
      </c>
      <c r="K17" s="229">
        <v>1.52E-2</v>
      </c>
      <c r="L17" s="231">
        <v>2730</v>
      </c>
      <c r="M17" s="231">
        <v>2688.3</v>
      </c>
      <c r="N17" s="228">
        <v>41.7</v>
      </c>
      <c r="O17" s="229">
        <v>1.55E-2</v>
      </c>
      <c r="P17" s="231">
        <v>2742.9</v>
      </c>
      <c r="Q17" s="231">
        <v>2707.3</v>
      </c>
      <c r="R17" s="228">
        <v>35.6</v>
      </c>
      <c r="S17" s="229">
        <v>1.3100000000000001E-2</v>
      </c>
      <c r="T17" s="231">
        <v>2720.4</v>
      </c>
      <c r="U17" s="231">
        <v>2729</v>
      </c>
      <c r="V17" s="228">
        <v>-8.6</v>
      </c>
      <c r="W17" s="229">
        <v>-3.2000000000000002E-3</v>
      </c>
      <c r="X17" s="228">
        <v>5.9</v>
      </c>
      <c r="Y17" s="228">
        <v>5.0999999999999996</v>
      </c>
      <c r="Z17" s="228">
        <v>0.8</v>
      </c>
      <c r="AA17" s="229">
        <v>2.2000000000000001E-3</v>
      </c>
      <c r="AB17" s="228">
        <v>5.9</v>
      </c>
      <c r="AC17" s="228">
        <v>5.0999999999999996</v>
      </c>
      <c r="AD17" s="228">
        <v>0.8</v>
      </c>
      <c r="AE17" s="229">
        <v>2.2000000000000001E-3</v>
      </c>
      <c r="AF17" s="228">
        <v>18.8</v>
      </c>
      <c r="AG17" s="228">
        <v>24.1</v>
      </c>
      <c r="AH17" s="228">
        <v>-5.3</v>
      </c>
      <c r="AI17" s="229">
        <v>6.8999999999999999E-3</v>
      </c>
      <c r="AJ17" s="228">
        <v>-3.7</v>
      </c>
      <c r="AK17" s="228">
        <v>45.8</v>
      </c>
      <c r="AL17" s="228">
        <v>-49.5</v>
      </c>
      <c r="AM17" s="229">
        <v>-1.4E-3</v>
      </c>
      <c r="AN17" s="231">
        <v>2700.34</v>
      </c>
      <c r="AO17" s="231">
        <v>2714.06</v>
      </c>
      <c r="AP17" s="228">
        <v>0</v>
      </c>
      <c r="AQ17" s="230">
        <v>7345</v>
      </c>
      <c r="AR17" s="230">
        <v>6044</v>
      </c>
      <c r="AS17" s="230">
        <v>1301</v>
      </c>
      <c r="AT17" s="229">
        <v>0.21529999999999999</v>
      </c>
      <c r="AU17" s="230">
        <v>7243</v>
      </c>
      <c r="AV17" s="230">
        <v>5903</v>
      </c>
      <c r="AW17" s="230">
        <v>1340</v>
      </c>
      <c r="AX17" s="229">
        <v>0.22700000000000001</v>
      </c>
      <c r="AY17" s="228">
        <v>97</v>
      </c>
      <c r="AZ17" s="228">
        <v>126</v>
      </c>
      <c r="BA17" s="228">
        <v>-29</v>
      </c>
      <c r="BB17" s="229">
        <v>-0.23019999999999999</v>
      </c>
      <c r="BC17" s="228">
        <v>5</v>
      </c>
      <c r="BD17" s="228">
        <v>15</v>
      </c>
      <c r="BE17" s="228">
        <v>-10</v>
      </c>
      <c r="BF17" s="229">
        <v>-0.66669999999999996</v>
      </c>
      <c r="BG17" s="230">
        <v>10136</v>
      </c>
      <c r="BH17" s="230">
        <v>12565</v>
      </c>
      <c r="BI17" s="230">
        <v>-2429</v>
      </c>
      <c r="BJ17" s="229">
        <v>-0.1933</v>
      </c>
      <c r="BK17" s="230">
        <v>4225</v>
      </c>
      <c r="BL17" s="230">
        <v>9165</v>
      </c>
      <c r="BM17" s="230">
        <v>-4940</v>
      </c>
      <c r="BN17" s="229">
        <v>-0.53900000000000003</v>
      </c>
      <c r="BO17" s="230">
        <v>21706</v>
      </c>
      <c r="BP17" s="230">
        <v>27774</v>
      </c>
      <c r="BQ17" s="230">
        <v>-6068</v>
      </c>
      <c r="BR17" s="229">
        <v>-0.2185</v>
      </c>
      <c r="BS17" s="230">
        <v>1110899</v>
      </c>
      <c r="BT17" s="230">
        <v>937352</v>
      </c>
      <c r="BU17" s="230">
        <v>173547</v>
      </c>
      <c r="BV17" s="229">
        <v>0.18509999999999999</v>
      </c>
      <c r="BW17" s="230">
        <v>16308750</v>
      </c>
      <c r="BX17" s="230">
        <v>16402750</v>
      </c>
      <c r="BY17" s="230">
        <v>-94000</v>
      </c>
      <c r="BZ17" s="229">
        <v>-5.7000000000000002E-3</v>
      </c>
      <c r="CA17" s="230">
        <v>16255250</v>
      </c>
      <c r="CB17" s="230">
        <v>16355250</v>
      </c>
      <c r="CC17" s="230">
        <v>-100000</v>
      </c>
      <c r="CD17" s="229">
        <v>-6.1000000000000004E-3</v>
      </c>
      <c r="CE17" s="230">
        <v>46750</v>
      </c>
      <c r="CF17" s="230">
        <v>41500</v>
      </c>
      <c r="CG17" s="230">
        <v>5250</v>
      </c>
      <c r="CH17" s="229">
        <v>0.1265</v>
      </c>
      <c r="CI17" s="230">
        <v>6750</v>
      </c>
      <c r="CJ17" s="230">
        <v>6000</v>
      </c>
      <c r="CK17" s="228">
        <v>750</v>
      </c>
      <c r="CL17" s="229">
        <v>0.125</v>
      </c>
      <c r="CM17" s="230">
        <v>1887750</v>
      </c>
      <c r="CN17" s="230">
        <v>1793000</v>
      </c>
      <c r="CO17" s="230">
        <v>94750</v>
      </c>
      <c r="CP17" s="229">
        <v>5.28E-2</v>
      </c>
      <c r="CQ17" s="230">
        <v>1016000</v>
      </c>
      <c r="CR17" s="230">
        <v>929500</v>
      </c>
      <c r="CS17" s="230">
        <v>86500</v>
      </c>
      <c r="CT17" s="229">
        <v>9.3100000000000002E-2</v>
      </c>
      <c r="CU17" s="230">
        <v>19212500</v>
      </c>
      <c r="CV17" s="230">
        <v>19125250</v>
      </c>
      <c r="CW17" s="230">
        <v>87250</v>
      </c>
      <c r="CX17" s="229">
        <v>4.5999999999999999E-3</v>
      </c>
      <c r="CY17" s="228">
        <v>21.99</v>
      </c>
      <c r="CZ17" s="228">
        <v>24.84</v>
      </c>
      <c r="DA17" s="228">
        <v>-2.85</v>
      </c>
      <c r="DB17" s="228">
        <v>-2.85</v>
      </c>
      <c r="DC17" s="228">
        <v>25.85</v>
      </c>
      <c r="DD17" s="228">
        <v>25.83</v>
      </c>
      <c r="DE17" s="228">
        <v>-3.86</v>
      </c>
      <c r="DF17" s="228">
        <v>0.02</v>
      </c>
      <c r="DG17" s="228">
        <v>21.53</v>
      </c>
      <c r="DH17" s="228">
        <v>24.15</v>
      </c>
      <c r="DI17" s="228">
        <v>-2.62</v>
      </c>
      <c r="DJ17" s="228">
        <v>-2.62</v>
      </c>
      <c r="DK17" s="228">
        <v>23.11</v>
      </c>
      <c r="DL17" s="228">
        <v>25.78</v>
      </c>
      <c r="DM17" s="228">
        <v>-2.67</v>
      </c>
      <c r="DN17" s="228">
        <v>-2.67</v>
      </c>
      <c r="DO17" s="228">
        <v>0.54</v>
      </c>
      <c r="DP17" s="228">
        <v>0.52</v>
      </c>
      <c r="DQ17" s="228">
        <v>0.02</v>
      </c>
      <c r="DR17" s="229">
        <v>3.85E-2</v>
      </c>
      <c r="DS17" s="231">
        <v>2860</v>
      </c>
      <c r="DT17" s="231">
        <v>2660</v>
      </c>
      <c r="DU17" s="228">
        <v>0.42</v>
      </c>
      <c r="DV17" s="228">
        <v>0.73</v>
      </c>
      <c r="DW17" s="228">
        <v>-0.31</v>
      </c>
      <c r="DX17" s="229">
        <v>-0.42470000000000002</v>
      </c>
      <c r="DY17" s="229">
        <v>3.3E-3</v>
      </c>
      <c r="DZ17" s="230">
        <v>47500</v>
      </c>
      <c r="EA17" s="229">
        <v>4.7000000000000002E-3</v>
      </c>
      <c r="EB17" s="229">
        <v>3.3E-3</v>
      </c>
      <c r="EC17" s="228">
        <v>13.72</v>
      </c>
      <c r="ED17" s="229">
        <v>5.1000000000000004E-3</v>
      </c>
      <c r="EE17" s="230">
        <v>690802</v>
      </c>
      <c r="EF17" s="230">
        <v>534977</v>
      </c>
      <c r="EG17" s="229">
        <v>0.2913</v>
      </c>
      <c r="EH17" s="229">
        <v>0.62180000000000002</v>
      </c>
      <c r="EI17" s="231">
        <v>72906.53</v>
      </c>
      <c r="EJ17" s="231">
        <v>28267.53</v>
      </c>
      <c r="EK17" s="231">
        <v>49588.59</v>
      </c>
      <c r="EL17" s="231">
        <v>4518</v>
      </c>
      <c r="EM17" s="231">
        <v>150762.65</v>
      </c>
      <c r="EN17" s="231">
        <v>192641.33</v>
      </c>
      <c r="EO17" s="231">
        <v>-41878.68</v>
      </c>
      <c r="EP17" s="229">
        <v>-0.21740000000000001</v>
      </c>
      <c r="EQ17" s="231">
        <v>55115</v>
      </c>
      <c r="ER17" s="231">
        <v>27486</v>
      </c>
      <c r="ES17" s="231">
        <v>445234</v>
      </c>
      <c r="ET17" s="231">
        <v>38505832</v>
      </c>
      <c r="EU17" s="231">
        <v>527835</v>
      </c>
      <c r="EV17" s="231">
        <v>518764</v>
      </c>
      <c r="EW17" s="231">
        <v>9071</v>
      </c>
      <c r="EX17" s="229">
        <v>1.7500000000000002E-2</v>
      </c>
      <c r="EY17" s="229">
        <v>0.499</v>
      </c>
    </row>
    <row r="18" spans="1:155" ht="17.25" thickBot="1" x14ac:dyDescent="0.3">
      <c r="A18" s="226">
        <v>46086</v>
      </c>
      <c r="B18" s="227" t="s">
        <v>221</v>
      </c>
      <c r="C18" s="227" t="s">
        <v>222</v>
      </c>
      <c r="D18" s="231">
        <v>1355.9</v>
      </c>
      <c r="E18" s="231">
        <v>1366.8</v>
      </c>
      <c r="F18" s="228">
        <v>-10.9</v>
      </c>
      <c r="G18" s="229">
        <v>-8.0000000000000002E-3</v>
      </c>
      <c r="H18" s="231">
        <v>1354.1</v>
      </c>
      <c r="I18" s="231">
        <v>1364</v>
      </c>
      <c r="J18" s="228">
        <v>-9.9</v>
      </c>
      <c r="K18" s="229">
        <v>-7.3000000000000001E-3</v>
      </c>
      <c r="L18" s="231">
        <v>1355.9</v>
      </c>
      <c r="M18" s="231">
        <v>1366.8</v>
      </c>
      <c r="N18" s="228">
        <v>-10.9</v>
      </c>
      <c r="O18" s="229">
        <v>-8.0000000000000002E-3</v>
      </c>
      <c r="P18" s="231">
        <v>1353.6</v>
      </c>
      <c r="Q18" s="231">
        <v>1363.5</v>
      </c>
      <c r="R18" s="228">
        <v>-9.9</v>
      </c>
      <c r="S18" s="229">
        <v>-7.3000000000000001E-3</v>
      </c>
      <c r="T18" s="231">
        <v>1352.1</v>
      </c>
      <c r="U18" s="231">
        <v>1362.9</v>
      </c>
      <c r="V18" s="228">
        <v>-10.8</v>
      </c>
      <c r="W18" s="229">
        <v>-7.9000000000000008E-3</v>
      </c>
      <c r="X18" s="228">
        <v>1.8</v>
      </c>
      <c r="Y18" s="228">
        <v>2.8</v>
      </c>
      <c r="Z18" s="228">
        <v>-1</v>
      </c>
      <c r="AA18" s="229">
        <v>1.2999999999999999E-3</v>
      </c>
      <c r="AB18" s="228">
        <v>1.8</v>
      </c>
      <c r="AC18" s="228">
        <v>2.8</v>
      </c>
      <c r="AD18" s="228">
        <v>-1</v>
      </c>
      <c r="AE18" s="229">
        <v>1.2999999999999999E-3</v>
      </c>
      <c r="AF18" s="228">
        <v>-0.5</v>
      </c>
      <c r="AG18" s="228">
        <v>-0.5</v>
      </c>
      <c r="AH18" s="228">
        <v>0</v>
      </c>
      <c r="AI18" s="229">
        <v>-4.0000000000000002E-4</v>
      </c>
      <c r="AJ18" s="228">
        <v>-2</v>
      </c>
      <c r="AK18" s="228">
        <v>-1.1000000000000001</v>
      </c>
      <c r="AL18" s="228">
        <v>-0.9</v>
      </c>
      <c r="AM18" s="229">
        <v>-1.5E-3</v>
      </c>
      <c r="AN18" s="231">
        <v>1349.94</v>
      </c>
      <c r="AO18" s="231">
        <v>1347.3</v>
      </c>
      <c r="AP18" s="228">
        <v>0</v>
      </c>
      <c r="AQ18" s="230">
        <v>7926</v>
      </c>
      <c r="AR18" s="230">
        <v>7415</v>
      </c>
      <c r="AS18" s="228">
        <v>511</v>
      </c>
      <c r="AT18" s="229">
        <v>6.8900000000000003E-2</v>
      </c>
      <c r="AU18" s="230">
        <v>7618</v>
      </c>
      <c r="AV18" s="230">
        <v>7191</v>
      </c>
      <c r="AW18" s="228">
        <v>427</v>
      </c>
      <c r="AX18" s="229">
        <v>5.9400000000000001E-2</v>
      </c>
      <c r="AY18" s="228">
        <v>259</v>
      </c>
      <c r="AZ18" s="228">
        <v>183</v>
      </c>
      <c r="BA18" s="228">
        <v>76</v>
      </c>
      <c r="BB18" s="229">
        <v>0.4153</v>
      </c>
      <c r="BC18" s="228">
        <v>49</v>
      </c>
      <c r="BD18" s="228">
        <v>41</v>
      </c>
      <c r="BE18" s="228">
        <v>8</v>
      </c>
      <c r="BF18" s="229">
        <v>0.1951</v>
      </c>
      <c r="BG18" s="230">
        <v>17790</v>
      </c>
      <c r="BH18" s="230">
        <v>13781</v>
      </c>
      <c r="BI18" s="230">
        <v>4009</v>
      </c>
      <c r="BJ18" s="229">
        <v>0.29089999999999999</v>
      </c>
      <c r="BK18" s="230">
        <v>13707</v>
      </c>
      <c r="BL18" s="230">
        <v>7926</v>
      </c>
      <c r="BM18" s="230">
        <v>5781</v>
      </c>
      <c r="BN18" s="229">
        <v>0.72940000000000005</v>
      </c>
      <c r="BO18" s="230">
        <v>39423</v>
      </c>
      <c r="BP18" s="230">
        <v>29122</v>
      </c>
      <c r="BQ18" s="230">
        <v>10301</v>
      </c>
      <c r="BR18" s="229">
        <v>0.35370000000000001</v>
      </c>
      <c r="BS18" s="230">
        <v>2315964</v>
      </c>
      <c r="BT18" s="230">
        <v>3220097</v>
      </c>
      <c r="BU18" s="230">
        <v>-904133</v>
      </c>
      <c r="BV18" s="229">
        <v>-0.28079999999999999</v>
      </c>
      <c r="BW18" s="230">
        <v>27292300</v>
      </c>
      <c r="BX18" s="230">
        <v>27308050</v>
      </c>
      <c r="BY18" s="230">
        <v>-15750</v>
      </c>
      <c r="BZ18" s="229">
        <v>-5.9999999999999995E-4</v>
      </c>
      <c r="CA18" s="230">
        <v>26801950</v>
      </c>
      <c r="CB18" s="230">
        <v>26844300</v>
      </c>
      <c r="CC18" s="230">
        <v>-42350</v>
      </c>
      <c r="CD18" s="229">
        <v>-1.6000000000000001E-3</v>
      </c>
      <c r="CE18" s="230">
        <v>447300</v>
      </c>
      <c r="CF18" s="230">
        <v>426300</v>
      </c>
      <c r="CG18" s="230">
        <v>21000</v>
      </c>
      <c r="CH18" s="229">
        <v>4.9299999999999997E-2</v>
      </c>
      <c r="CI18" s="230">
        <v>43050</v>
      </c>
      <c r="CJ18" s="230">
        <v>37450</v>
      </c>
      <c r="CK18" s="230">
        <v>5600</v>
      </c>
      <c r="CL18" s="229">
        <v>0.14949999999999999</v>
      </c>
      <c r="CM18" s="230">
        <v>5676650</v>
      </c>
      <c r="CN18" s="230">
        <v>5216400</v>
      </c>
      <c r="CO18" s="230">
        <v>460250</v>
      </c>
      <c r="CP18" s="229">
        <v>8.8200000000000001E-2</v>
      </c>
      <c r="CQ18" s="230">
        <v>3415650</v>
      </c>
      <c r="CR18" s="230">
        <v>3145450</v>
      </c>
      <c r="CS18" s="230">
        <v>270200</v>
      </c>
      <c r="CT18" s="229">
        <v>8.5900000000000004E-2</v>
      </c>
      <c r="CU18" s="230">
        <v>36384600</v>
      </c>
      <c r="CV18" s="230">
        <v>35669900</v>
      </c>
      <c r="CW18" s="230">
        <v>714700</v>
      </c>
      <c r="CX18" s="229">
        <v>0.02</v>
      </c>
      <c r="CY18" s="228">
        <v>31.48</v>
      </c>
      <c r="CZ18" s="228">
        <v>33.01</v>
      </c>
      <c r="DA18" s="228">
        <v>-1.53</v>
      </c>
      <c r="DB18" s="228">
        <v>-1.53</v>
      </c>
      <c r="DC18" s="228">
        <v>29.25</v>
      </c>
      <c r="DD18" s="228">
        <v>29.31</v>
      </c>
      <c r="DE18" s="228">
        <v>2.23</v>
      </c>
      <c r="DF18" s="228">
        <v>-0.06</v>
      </c>
      <c r="DG18" s="228">
        <v>30.64</v>
      </c>
      <c r="DH18" s="228">
        <v>32.159999999999997</v>
      </c>
      <c r="DI18" s="228">
        <v>-1.52</v>
      </c>
      <c r="DJ18" s="228">
        <v>-1.52</v>
      </c>
      <c r="DK18" s="228">
        <v>32.57</v>
      </c>
      <c r="DL18" s="228">
        <v>34.479999999999997</v>
      </c>
      <c r="DM18" s="228">
        <v>-1.91</v>
      </c>
      <c r="DN18" s="228">
        <v>-1.91</v>
      </c>
      <c r="DO18" s="228">
        <v>0.6</v>
      </c>
      <c r="DP18" s="228">
        <v>0.6</v>
      </c>
      <c r="DQ18" s="228">
        <v>0</v>
      </c>
      <c r="DR18" s="229">
        <v>0</v>
      </c>
      <c r="DS18" s="231">
        <v>1500</v>
      </c>
      <c r="DT18" s="231">
        <v>1360</v>
      </c>
      <c r="DU18" s="228">
        <v>0.77</v>
      </c>
      <c r="DV18" s="228">
        <v>0.57999999999999996</v>
      </c>
      <c r="DW18" s="228">
        <v>0.19</v>
      </c>
      <c r="DX18" s="229">
        <v>0.3276</v>
      </c>
      <c r="DY18" s="229">
        <v>1.7999999999999999E-2</v>
      </c>
      <c r="DZ18" s="230">
        <v>463750</v>
      </c>
      <c r="EA18" s="229">
        <v>-1.6999999999999999E-3</v>
      </c>
      <c r="EB18" s="229">
        <v>1.7999999999999999E-2</v>
      </c>
      <c r="EC18" s="228">
        <v>-2.64</v>
      </c>
      <c r="ED18" s="229">
        <v>-2E-3</v>
      </c>
      <c r="EE18" s="230">
        <v>1115816</v>
      </c>
      <c r="EF18" s="230">
        <v>1899168</v>
      </c>
      <c r="EG18" s="229">
        <v>-0.41249999999999998</v>
      </c>
      <c r="EH18" s="229">
        <v>0.48180000000000001</v>
      </c>
      <c r="EI18" s="231">
        <v>91504.97</v>
      </c>
      <c r="EJ18" s="231">
        <v>63714.82</v>
      </c>
      <c r="EK18" s="231">
        <v>37445.599999999999</v>
      </c>
      <c r="EL18" s="231">
        <v>10102</v>
      </c>
      <c r="EM18" s="231">
        <v>192665.39</v>
      </c>
      <c r="EN18" s="231">
        <v>144081.29</v>
      </c>
      <c r="EO18" s="231">
        <v>48584.1</v>
      </c>
      <c r="EP18" s="229">
        <v>0.3372</v>
      </c>
      <c r="EQ18" s="231">
        <v>84711</v>
      </c>
      <c r="ER18" s="231">
        <v>46007</v>
      </c>
      <c r="ES18" s="231">
        <v>370044</v>
      </c>
      <c r="ET18" s="231">
        <v>106857976</v>
      </c>
      <c r="EU18" s="231">
        <v>500762</v>
      </c>
      <c r="EV18" s="231">
        <v>493812</v>
      </c>
      <c r="EW18" s="231">
        <v>6950</v>
      </c>
      <c r="EX18" s="229">
        <v>1.41E-2</v>
      </c>
      <c r="EY18" s="229">
        <v>0.34050000000000002</v>
      </c>
    </row>
    <row r="19" spans="1:155" ht="17.25" thickBot="1" x14ac:dyDescent="0.3">
      <c r="A19" s="226">
        <v>46086</v>
      </c>
      <c r="B19" s="227" t="s">
        <v>172</v>
      </c>
      <c r="C19" s="227" t="s">
        <v>224</v>
      </c>
      <c r="D19" s="228">
        <v>882.2</v>
      </c>
      <c r="E19" s="228">
        <v>874.05</v>
      </c>
      <c r="F19" s="228">
        <v>8.15</v>
      </c>
      <c r="G19" s="229">
        <v>9.2999999999999992E-3</v>
      </c>
      <c r="H19" s="228">
        <v>877.75</v>
      </c>
      <c r="I19" s="228">
        <v>868.65</v>
      </c>
      <c r="J19" s="228">
        <v>9.1</v>
      </c>
      <c r="K19" s="229">
        <v>1.0500000000000001E-2</v>
      </c>
      <c r="L19" s="228">
        <v>882.2</v>
      </c>
      <c r="M19" s="228">
        <v>874.05</v>
      </c>
      <c r="N19" s="228">
        <v>8.15</v>
      </c>
      <c r="O19" s="229">
        <v>9.2999999999999992E-3</v>
      </c>
      <c r="P19" s="228">
        <v>888.5</v>
      </c>
      <c r="Q19" s="228">
        <v>879.85</v>
      </c>
      <c r="R19" s="228">
        <v>8.65</v>
      </c>
      <c r="S19" s="229">
        <v>9.7999999999999997E-3</v>
      </c>
      <c r="T19" s="228">
        <v>886.8</v>
      </c>
      <c r="U19" s="228">
        <v>881</v>
      </c>
      <c r="V19" s="228">
        <v>5.8</v>
      </c>
      <c r="W19" s="229">
        <v>6.6E-3</v>
      </c>
      <c r="X19" s="228">
        <v>4.45</v>
      </c>
      <c r="Y19" s="228">
        <v>5.4</v>
      </c>
      <c r="Z19" s="228">
        <v>-0.95</v>
      </c>
      <c r="AA19" s="229">
        <v>5.1000000000000004E-3</v>
      </c>
      <c r="AB19" s="228">
        <v>4.45</v>
      </c>
      <c r="AC19" s="228">
        <v>5.4</v>
      </c>
      <c r="AD19" s="228">
        <v>-0.95</v>
      </c>
      <c r="AE19" s="229">
        <v>5.1000000000000004E-3</v>
      </c>
      <c r="AF19" s="228">
        <v>10.75</v>
      </c>
      <c r="AG19" s="228">
        <v>11.2</v>
      </c>
      <c r="AH19" s="228">
        <v>-0.45</v>
      </c>
      <c r="AI19" s="229">
        <v>1.2200000000000001E-2</v>
      </c>
      <c r="AJ19" s="228">
        <v>9.0500000000000007</v>
      </c>
      <c r="AK19" s="228">
        <v>12.35</v>
      </c>
      <c r="AL19" s="228">
        <v>-3.3</v>
      </c>
      <c r="AM19" s="229">
        <v>1.03E-2</v>
      </c>
      <c r="AN19" s="228">
        <v>877.46</v>
      </c>
      <c r="AO19" s="228">
        <v>883.18</v>
      </c>
      <c r="AP19" s="228">
        <v>0</v>
      </c>
      <c r="AQ19" s="230">
        <v>86050</v>
      </c>
      <c r="AR19" s="230">
        <v>75246</v>
      </c>
      <c r="AS19" s="230">
        <v>10804</v>
      </c>
      <c r="AT19" s="229">
        <v>0.14360000000000001</v>
      </c>
      <c r="AU19" s="230">
        <v>63565</v>
      </c>
      <c r="AV19" s="230">
        <v>69888</v>
      </c>
      <c r="AW19" s="230">
        <v>-6323</v>
      </c>
      <c r="AX19" s="229">
        <v>-9.0499999999999997E-2</v>
      </c>
      <c r="AY19" s="230">
        <v>22107</v>
      </c>
      <c r="AZ19" s="230">
        <v>4832</v>
      </c>
      <c r="BA19" s="230">
        <v>17275</v>
      </c>
      <c r="BB19" s="229">
        <v>3.5750999999999999</v>
      </c>
      <c r="BC19" s="228">
        <v>378</v>
      </c>
      <c r="BD19" s="228">
        <v>526</v>
      </c>
      <c r="BE19" s="228">
        <v>-148</v>
      </c>
      <c r="BF19" s="229">
        <v>-0.28139999999999998</v>
      </c>
      <c r="BG19" s="230">
        <v>111684</v>
      </c>
      <c r="BH19" s="230">
        <v>151987</v>
      </c>
      <c r="BI19" s="230">
        <v>-40303</v>
      </c>
      <c r="BJ19" s="229">
        <v>-0.26519999999999999</v>
      </c>
      <c r="BK19" s="230">
        <v>72156</v>
      </c>
      <c r="BL19" s="230">
        <v>136001</v>
      </c>
      <c r="BM19" s="230">
        <v>-63845</v>
      </c>
      <c r="BN19" s="229">
        <v>-0.46939999999999998</v>
      </c>
      <c r="BO19" s="230">
        <v>269890</v>
      </c>
      <c r="BP19" s="230">
        <v>363234</v>
      </c>
      <c r="BQ19" s="230">
        <v>-93344</v>
      </c>
      <c r="BR19" s="229">
        <v>-0.25700000000000001</v>
      </c>
      <c r="BS19" s="230">
        <v>33108139</v>
      </c>
      <c r="BT19" s="230">
        <v>41546658</v>
      </c>
      <c r="BU19" s="230">
        <v>-8438519</v>
      </c>
      <c r="BV19" s="229">
        <v>-0.2031</v>
      </c>
      <c r="BW19" s="230">
        <v>317230650</v>
      </c>
      <c r="BX19" s="230">
        <v>315580100</v>
      </c>
      <c r="BY19" s="230">
        <v>1650550</v>
      </c>
      <c r="BZ19" s="229">
        <v>5.1999999999999998E-3</v>
      </c>
      <c r="CA19" s="230">
        <v>295326900</v>
      </c>
      <c r="CB19" s="230">
        <v>304558100</v>
      </c>
      <c r="CC19" s="230">
        <v>-9231200</v>
      </c>
      <c r="CD19" s="229">
        <v>-3.0300000000000001E-2</v>
      </c>
      <c r="CE19" s="230">
        <v>21138150</v>
      </c>
      <c r="CF19" s="230">
        <v>10335600</v>
      </c>
      <c r="CG19" s="230">
        <v>10802550</v>
      </c>
      <c r="CH19" s="229">
        <v>1.0451999999999999</v>
      </c>
      <c r="CI19" s="230">
        <v>765600</v>
      </c>
      <c r="CJ19" s="230">
        <v>686400</v>
      </c>
      <c r="CK19" s="230">
        <v>79200</v>
      </c>
      <c r="CL19" s="229">
        <v>0.1154</v>
      </c>
      <c r="CM19" s="230">
        <v>61264500</v>
      </c>
      <c r="CN19" s="230">
        <v>58859350</v>
      </c>
      <c r="CO19" s="230">
        <v>2405150</v>
      </c>
      <c r="CP19" s="229">
        <v>4.0899999999999999E-2</v>
      </c>
      <c r="CQ19" s="230">
        <v>36359400</v>
      </c>
      <c r="CR19" s="230">
        <v>35135100</v>
      </c>
      <c r="CS19" s="230">
        <v>1224300</v>
      </c>
      <c r="CT19" s="229">
        <v>3.4799999999999998E-2</v>
      </c>
      <c r="CU19" s="230">
        <v>414854550</v>
      </c>
      <c r="CV19" s="230">
        <v>409574550</v>
      </c>
      <c r="CW19" s="230">
        <v>5280000</v>
      </c>
      <c r="CX19" s="229">
        <v>1.29E-2</v>
      </c>
      <c r="CY19" s="228">
        <v>20.329999999999998</v>
      </c>
      <c r="CZ19" s="228">
        <v>23.88</v>
      </c>
      <c r="DA19" s="228">
        <v>-3.55</v>
      </c>
      <c r="DB19" s="228">
        <v>-3.55</v>
      </c>
      <c r="DC19" s="228">
        <v>19.63</v>
      </c>
      <c r="DD19" s="228">
        <v>19.63</v>
      </c>
      <c r="DE19" s="228">
        <v>0.7</v>
      </c>
      <c r="DF19" s="228">
        <v>0</v>
      </c>
      <c r="DG19" s="228">
        <v>19.86</v>
      </c>
      <c r="DH19" s="228">
        <v>22.83</v>
      </c>
      <c r="DI19" s="228">
        <v>-2.97</v>
      </c>
      <c r="DJ19" s="228">
        <v>-2.97</v>
      </c>
      <c r="DK19" s="228">
        <v>21.07</v>
      </c>
      <c r="DL19" s="228">
        <v>25.05</v>
      </c>
      <c r="DM19" s="228">
        <v>-3.98</v>
      </c>
      <c r="DN19" s="228">
        <v>-3.98</v>
      </c>
      <c r="DO19" s="228">
        <v>0.59</v>
      </c>
      <c r="DP19" s="228">
        <v>0.6</v>
      </c>
      <c r="DQ19" s="228">
        <v>-0.01</v>
      </c>
      <c r="DR19" s="229">
        <v>-1.67E-2</v>
      </c>
      <c r="DS19" s="228">
        <v>900</v>
      </c>
      <c r="DT19" s="228">
        <v>870</v>
      </c>
      <c r="DU19" s="228">
        <v>0.65</v>
      </c>
      <c r="DV19" s="228">
        <v>0.89</v>
      </c>
      <c r="DW19" s="228">
        <v>-0.24</v>
      </c>
      <c r="DX19" s="229">
        <v>-0.2697</v>
      </c>
      <c r="DY19" s="229">
        <v>6.9000000000000006E-2</v>
      </c>
      <c r="DZ19" s="230">
        <v>11022000</v>
      </c>
      <c r="EA19" s="229">
        <v>7.1000000000000004E-3</v>
      </c>
      <c r="EB19" s="229">
        <v>6.9000000000000006E-2</v>
      </c>
      <c r="EC19" s="228">
        <v>5.72</v>
      </c>
      <c r="ED19" s="229">
        <v>6.4999999999999997E-3</v>
      </c>
      <c r="EE19" s="230">
        <v>13964015</v>
      </c>
      <c r="EF19" s="230">
        <v>23564811</v>
      </c>
      <c r="EG19" s="229">
        <v>-0.40739999999999998</v>
      </c>
      <c r="EH19" s="229">
        <v>0.42180000000000001</v>
      </c>
      <c r="EI19" s="231">
        <v>560965.52</v>
      </c>
      <c r="EJ19" s="231">
        <v>343771.53</v>
      </c>
      <c r="EK19" s="231">
        <v>415988.57</v>
      </c>
      <c r="EL19" s="231">
        <v>55101</v>
      </c>
      <c r="EM19" s="231">
        <v>1320725.6200000001</v>
      </c>
      <c r="EN19" s="231">
        <v>1779651.25</v>
      </c>
      <c r="EO19" s="231">
        <v>-458925.63</v>
      </c>
      <c r="EP19" s="229">
        <v>-0.25790000000000002</v>
      </c>
      <c r="EQ19" s="231">
        <v>569586</v>
      </c>
      <c r="ER19" s="231">
        <v>324168</v>
      </c>
      <c r="ES19" s="231">
        <v>2799976</v>
      </c>
      <c r="ET19" s="231">
        <v>1330694977</v>
      </c>
      <c r="EU19" s="231">
        <v>3693730</v>
      </c>
      <c r="EV19" s="231">
        <v>3620806</v>
      </c>
      <c r="EW19" s="231">
        <v>72924</v>
      </c>
      <c r="EX19" s="229">
        <v>2.01E-2</v>
      </c>
      <c r="EY19" s="229">
        <v>0.31180000000000002</v>
      </c>
    </row>
    <row r="20" spans="1:155" ht="17.25" thickBot="1" x14ac:dyDescent="0.3">
      <c r="A20" s="226">
        <v>46086</v>
      </c>
      <c r="B20" s="227" t="s">
        <v>175</v>
      </c>
      <c r="C20" s="227" t="s">
        <v>225</v>
      </c>
      <c r="D20" s="228">
        <v>686.35</v>
      </c>
      <c r="E20" s="228">
        <v>687.65</v>
      </c>
      <c r="F20" s="228">
        <v>-1.3</v>
      </c>
      <c r="G20" s="229">
        <v>-1.9E-3</v>
      </c>
      <c r="H20" s="228">
        <v>684.3</v>
      </c>
      <c r="I20" s="228">
        <v>684.6</v>
      </c>
      <c r="J20" s="228">
        <v>-0.3</v>
      </c>
      <c r="K20" s="229">
        <v>-4.0000000000000002E-4</v>
      </c>
      <c r="L20" s="228">
        <v>686.35</v>
      </c>
      <c r="M20" s="228">
        <v>687.65</v>
      </c>
      <c r="N20" s="228">
        <v>-1.3</v>
      </c>
      <c r="O20" s="229">
        <v>-1.9E-3</v>
      </c>
      <c r="P20" s="228">
        <v>690.55</v>
      </c>
      <c r="Q20" s="228">
        <v>691.75</v>
      </c>
      <c r="R20" s="228">
        <v>-1.2</v>
      </c>
      <c r="S20" s="229">
        <v>-1.6999999999999999E-3</v>
      </c>
      <c r="T20" s="228">
        <v>686.1</v>
      </c>
      <c r="U20" s="228">
        <v>695.9</v>
      </c>
      <c r="V20" s="228">
        <v>-9.8000000000000007</v>
      </c>
      <c r="W20" s="229">
        <v>-1.41E-2</v>
      </c>
      <c r="X20" s="228">
        <v>2.0499999999999998</v>
      </c>
      <c r="Y20" s="228">
        <v>3.05</v>
      </c>
      <c r="Z20" s="228">
        <v>-1</v>
      </c>
      <c r="AA20" s="229">
        <v>3.0000000000000001E-3</v>
      </c>
      <c r="AB20" s="228">
        <v>2.0499999999999998</v>
      </c>
      <c r="AC20" s="228">
        <v>3.05</v>
      </c>
      <c r="AD20" s="228">
        <v>-1</v>
      </c>
      <c r="AE20" s="229">
        <v>3.0000000000000001E-3</v>
      </c>
      <c r="AF20" s="228">
        <v>6.25</v>
      </c>
      <c r="AG20" s="228">
        <v>7.15</v>
      </c>
      <c r="AH20" s="228">
        <v>-0.9</v>
      </c>
      <c r="AI20" s="229">
        <v>9.1000000000000004E-3</v>
      </c>
      <c r="AJ20" s="228">
        <v>1.8</v>
      </c>
      <c r="AK20" s="228">
        <v>11.3</v>
      </c>
      <c r="AL20" s="228">
        <v>-9.5</v>
      </c>
      <c r="AM20" s="229">
        <v>2.5999999999999999E-3</v>
      </c>
      <c r="AN20" s="228">
        <v>681.06</v>
      </c>
      <c r="AO20" s="228">
        <v>685.62</v>
      </c>
      <c r="AP20" s="228">
        <v>0</v>
      </c>
      <c r="AQ20" s="230">
        <v>5832</v>
      </c>
      <c r="AR20" s="230">
        <v>5572</v>
      </c>
      <c r="AS20" s="228">
        <v>260</v>
      </c>
      <c r="AT20" s="229">
        <v>4.6699999999999998E-2</v>
      </c>
      <c r="AU20" s="230">
        <v>5495</v>
      </c>
      <c r="AV20" s="230">
        <v>5168</v>
      </c>
      <c r="AW20" s="228">
        <v>327</v>
      </c>
      <c r="AX20" s="229">
        <v>6.3299999999999995E-2</v>
      </c>
      <c r="AY20" s="228">
        <v>305</v>
      </c>
      <c r="AZ20" s="228">
        <v>369</v>
      </c>
      <c r="BA20" s="228">
        <v>-64</v>
      </c>
      <c r="BB20" s="229">
        <v>-0.1734</v>
      </c>
      <c r="BC20" s="228">
        <v>32</v>
      </c>
      <c r="BD20" s="228">
        <v>35</v>
      </c>
      <c r="BE20" s="228">
        <v>-3</v>
      </c>
      <c r="BF20" s="229">
        <v>-8.5699999999999998E-2</v>
      </c>
      <c r="BG20" s="230">
        <v>13386</v>
      </c>
      <c r="BH20" s="230">
        <v>12453</v>
      </c>
      <c r="BI20" s="228">
        <v>933</v>
      </c>
      <c r="BJ20" s="229">
        <v>7.4899999999999994E-2</v>
      </c>
      <c r="BK20" s="230">
        <v>9065</v>
      </c>
      <c r="BL20" s="230">
        <v>6905</v>
      </c>
      <c r="BM20" s="230">
        <v>2160</v>
      </c>
      <c r="BN20" s="229">
        <v>0.31280000000000002</v>
      </c>
      <c r="BO20" s="230">
        <v>28283</v>
      </c>
      <c r="BP20" s="230">
        <v>24930</v>
      </c>
      <c r="BQ20" s="230">
        <v>3353</v>
      </c>
      <c r="BR20" s="229">
        <v>0.13450000000000001</v>
      </c>
      <c r="BS20" s="230">
        <v>5522440</v>
      </c>
      <c r="BT20" s="230">
        <v>7775897</v>
      </c>
      <c r="BU20" s="230">
        <v>-2253457</v>
      </c>
      <c r="BV20" s="229">
        <v>-0.2898</v>
      </c>
      <c r="BW20" s="230">
        <v>36208700</v>
      </c>
      <c r="BX20" s="230">
        <v>35657600</v>
      </c>
      <c r="BY20" s="230">
        <v>551100</v>
      </c>
      <c r="BZ20" s="229">
        <v>1.55E-2</v>
      </c>
      <c r="CA20" s="230">
        <v>35619100</v>
      </c>
      <c r="CB20" s="230">
        <v>35168100</v>
      </c>
      <c r="CC20" s="230">
        <v>451000</v>
      </c>
      <c r="CD20" s="229">
        <v>1.2800000000000001E-2</v>
      </c>
      <c r="CE20" s="230">
        <v>522500</v>
      </c>
      <c r="CF20" s="230">
        <v>432300</v>
      </c>
      <c r="CG20" s="230">
        <v>90200</v>
      </c>
      <c r="CH20" s="229">
        <v>0.2087</v>
      </c>
      <c r="CI20" s="230">
        <v>67100</v>
      </c>
      <c r="CJ20" s="230">
        <v>57200</v>
      </c>
      <c r="CK20" s="230">
        <v>9900</v>
      </c>
      <c r="CL20" s="229">
        <v>0.1731</v>
      </c>
      <c r="CM20" s="230">
        <v>12276000</v>
      </c>
      <c r="CN20" s="230">
        <v>10553400</v>
      </c>
      <c r="CO20" s="230">
        <v>1722600</v>
      </c>
      <c r="CP20" s="229">
        <v>0.16320000000000001</v>
      </c>
      <c r="CQ20" s="230">
        <v>5189800</v>
      </c>
      <c r="CR20" s="230">
        <v>4446200</v>
      </c>
      <c r="CS20" s="230">
        <v>743600</v>
      </c>
      <c r="CT20" s="229">
        <v>0.16719999999999999</v>
      </c>
      <c r="CU20" s="230">
        <v>53674500</v>
      </c>
      <c r="CV20" s="230">
        <v>50657200</v>
      </c>
      <c r="CW20" s="230">
        <v>3017300</v>
      </c>
      <c r="CX20" s="229">
        <v>5.96E-2</v>
      </c>
      <c r="CY20" s="228">
        <v>23</v>
      </c>
      <c r="CZ20" s="228">
        <v>24.82</v>
      </c>
      <c r="DA20" s="228">
        <v>-1.82</v>
      </c>
      <c r="DB20" s="228">
        <v>-1.82</v>
      </c>
      <c r="DC20" s="228">
        <v>24.91</v>
      </c>
      <c r="DD20" s="228">
        <v>24.98</v>
      </c>
      <c r="DE20" s="228">
        <v>-1.91</v>
      </c>
      <c r="DF20" s="228">
        <v>-7.0000000000000007E-2</v>
      </c>
      <c r="DG20" s="228">
        <v>22.64</v>
      </c>
      <c r="DH20" s="228">
        <v>24.46</v>
      </c>
      <c r="DI20" s="228">
        <v>-1.82</v>
      </c>
      <c r="DJ20" s="228">
        <v>-1.82</v>
      </c>
      <c r="DK20" s="228">
        <v>23.52</v>
      </c>
      <c r="DL20" s="228">
        <v>25.47</v>
      </c>
      <c r="DM20" s="228">
        <v>-1.95</v>
      </c>
      <c r="DN20" s="228">
        <v>-1.95</v>
      </c>
      <c r="DO20" s="228">
        <v>0.42</v>
      </c>
      <c r="DP20" s="228">
        <v>0.42</v>
      </c>
      <c r="DQ20" s="228">
        <v>0</v>
      </c>
      <c r="DR20" s="229">
        <v>0</v>
      </c>
      <c r="DS20" s="228">
        <v>750</v>
      </c>
      <c r="DT20" s="228">
        <v>650</v>
      </c>
      <c r="DU20" s="228">
        <v>0.68</v>
      </c>
      <c r="DV20" s="228">
        <v>0.55000000000000004</v>
      </c>
      <c r="DW20" s="228">
        <v>0.13</v>
      </c>
      <c r="DX20" s="229">
        <v>0.2364</v>
      </c>
      <c r="DY20" s="229">
        <v>1.6299999999999999E-2</v>
      </c>
      <c r="DZ20" s="230">
        <v>489500</v>
      </c>
      <c r="EA20" s="229">
        <v>6.1000000000000004E-3</v>
      </c>
      <c r="EB20" s="229">
        <v>1.6299999999999999E-2</v>
      </c>
      <c r="EC20" s="228">
        <v>4.5599999999999996</v>
      </c>
      <c r="ED20" s="229">
        <v>6.7000000000000002E-3</v>
      </c>
      <c r="EE20" s="230">
        <v>3655111</v>
      </c>
      <c r="EF20" s="230">
        <v>5526251</v>
      </c>
      <c r="EG20" s="229">
        <v>-0.33860000000000001</v>
      </c>
      <c r="EH20" s="229">
        <v>0.66190000000000004</v>
      </c>
      <c r="EI20" s="231">
        <v>107070.24</v>
      </c>
      <c r="EJ20" s="231">
        <v>68005.88</v>
      </c>
      <c r="EK20" s="231">
        <v>43709.14</v>
      </c>
      <c r="EL20" s="231">
        <v>3662</v>
      </c>
      <c r="EM20" s="231">
        <v>218785.26</v>
      </c>
      <c r="EN20" s="231">
        <v>197030.38</v>
      </c>
      <c r="EO20" s="231">
        <v>21754.880000000001</v>
      </c>
      <c r="EP20" s="229">
        <v>0.1104</v>
      </c>
      <c r="EQ20" s="231">
        <v>92622</v>
      </c>
      <c r="ER20" s="231">
        <v>35762</v>
      </c>
      <c r="ES20" s="231">
        <v>248540</v>
      </c>
      <c r="ET20" s="231">
        <v>128849634</v>
      </c>
      <c r="EU20" s="231">
        <v>376924</v>
      </c>
      <c r="EV20" s="231">
        <v>356403</v>
      </c>
      <c r="EW20" s="231">
        <v>20521</v>
      </c>
      <c r="EX20" s="229">
        <v>5.7599999999999998E-2</v>
      </c>
      <c r="EY20" s="229">
        <v>0.41660000000000003</v>
      </c>
    </row>
    <row r="21" spans="1:155" ht="17.25" thickBot="1" x14ac:dyDescent="0.3">
      <c r="A21" s="226">
        <v>46086</v>
      </c>
      <c r="B21" s="227" t="s">
        <v>227</v>
      </c>
      <c r="C21" s="227" t="s">
        <v>228</v>
      </c>
      <c r="D21" s="228">
        <v>956.75</v>
      </c>
      <c r="E21" s="228">
        <v>925.95</v>
      </c>
      <c r="F21" s="228">
        <v>30.8</v>
      </c>
      <c r="G21" s="229">
        <v>3.3300000000000003E-2</v>
      </c>
      <c r="H21" s="228">
        <v>954.95</v>
      </c>
      <c r="I21" s="228">
        <v>921.8</v>
      </c>
      <c r="J21" s="228">
        <v>33.15</v>
      </c>
      <c r="K21" s="229">
        <v>3.5999999999999997E-2</v>
      </c>
      <c r="L21" s="228">
        <v>956.75</v>
      </c>
      <c r="M21" s="228">
        <v>925.95</v>
      </c>
      <c r="N21" s="228">
        <v>30.8</v>
      </c>
      <c r="O21" s="229">
        <v>3.3300000000000003E-2</v>
      </c>
      <c r="P21" s="228">
        <v>963.3</v>
      </c>
      <c r="Q21" s="228">
        <v>931.4</v>
      </c>
      <c r="R21" s="228">
        <v>31.9</v>
      </c>
      <c r="S21" s="229">
        <v>3.4200000000000001E-2</v>
      </c>
      <c r="T21" s="228">
        <v>972.45</v>
      </c>
      <c r="U21" s="228">
        <v>936.15</v>
      </c>
      <c r="V21" s="228">
        <v>36.299999999999997</v>
      </c>
      <c r="W21" s="229">
        <v>3.8800000000000001E-2</v>
      </c>
      <c r="X21" s="228">
        <v>1.8</v>
      </c>
      <c r="Y21" s="228">
        <v>4.1500000000000004</v>
      </c>
      <c r="Z21" s="228">
        <v>-2.35</v>
      </c>
      <c r="AA21" s="229">
        <v>1.9E-3</v>
      </c>
      <c r="AB21" s="228">
        <v>1.8</v>
      </c>
      <c r="AC21" s="228">
        <v>4.1500000000000004</v>
      </c>
      <c r="AD21" s="228">
        <v>-2.35</v>
      </c>
      <c r="AE21" s="229">
        <v>1.9E-3</v>
      </c>
      <c r="AF21" s="228">
        <v>8.35</v>
      </c>
      <c r="AG21" s="228">
        <v>9.6</v>
      </c>
      <c r="AH21" s="228">
        <v>-1.25</v>
      </c>
      <c r="AI21" s="229">
        <v>8.6999999999999994E-3</v>
      </c>
      <c r="AJ21" s="228">
        <v>17.5</v>
      </c>
      <c r="AK21" s="228">
        <v>14.35</v>
      </c>
      <c r="AL21" s="228">
        <v>3.15</v>
      </c>
      <c r="AM21" s="229">
        <v>1.83E-2</v>
      </c>
      <c r="AN21" s="228">
        <v>966.85</v>
      </c>
      <c r="AO21" s="228">
        <v>974.81</v>
      </c>
      <c r="AP21" s="228">
        <v>0</v>
      </c>
      <c r="AQ21" s="230">
        <v>37476</v>
      </c>
      <c r="AR21" s="230">
        <v>16294</v>
      </c>
      <c r="AS21" s="230">
        <v>21182</v>
      </c>
      <c r="AT21" s="229">
        <v>1.3</v>
      </c>
      <c r="AU21" s="230">
        <v>33913</v>
      </c>
      <c r="AV21" s="230">
        <v>15861</v>
      </c>
      <c r="AW21" s="230">
        <v>18052</v>
      </c>
      <c r="AX21" s="229">
        <v>1.1380999999999999</v>
      </c>
      <c r="AY21" s="230">
        <v>2123</v>
      </c>
      <c r="AZ21" s="228">
        <v>353</v>
      </c>
      <c r="BA21" s="230">
        <v>1770</v>
      </c>
      <c r="BB21" s="229">
        <v>5.0141999999999998</v>
      </c>
      <c r="BC21" s="230">
        <v>1440</v>
      </c>
      <c r="BD21" s="228">
        <v>80</v>
      </c>
      <c r="BE21" s="230">
        <v>1360</v>
      </c>
      <c r="BF21" s="229">
        <v>17</v>
      </c>
      <c r="BG21" s="230">
        <v>121419</v>
      </c>
      <c r="BH21" s="230">
        <v>26954</v>
      </c>
      <c r="BI21" s="230">
        <v>94465</v>
      </c>
      <c r="BJ21" s="229">
        <v>3.5047000000000001</v>
      </c>
      <c r="BK21" s="230">
        <v>56912</v>
      </c>
      <c r="BL21" s="230">
        <v>26538</v>
      </c>
      <c r="BM21" s="230">
        <v>30374</v>
      </c>
      <c r="BN21" s="229">
        <v>1.1445000000000001</v>
      </c>
      <c r="BO21" s="230">
        <v>215807</v>
      </c>
      <c r="BP21" s="230">
        <v>69786</v>
      </c>
      <c r="BQ21" s="230">
        <v>146021</v>
      </c>
      <c r="BR21" s="229">
        <v>2.0924</v>
      </c>
      <c r="BS21" s="230">
        <v>17581239</v>
      </c>
      <c r="BT21" s="230">
        <v>7806842</v>
      </c>
      <c r="BU21" s="230">
        <v>9774397</v>
      </c>
      <c r="BV21" s="229">
        <v>1.252</v>
      </c>
      <c r="BW21" s="230">
        <v>43016400</v>
      </c>
      <c r="BX21" s="230">
        <v>43995000</v>
      </c>
      <c r="BY21" s="230">
        <v>-978600</v>
      </c>
      <c r="BZ21" s="229">
        <v>-2.2200000000000001E-2</v>
      </c>
      <c r="CA21" s="230">
        <v>38226300</v>
      </c>
      <c r="CB21" s="230">
        <v>40742800</v>
      </c>
      <c r="CC21" s="230">
        <v>-2516500</v>
      </c>
      <c r="CD21" s="229">
        <v>-6.1800000000000001E-2</v>
      </c>
      <c r="CE21" s="230">
        <v>2549400</v>
      </c>
      <c r="CF21" s="230">
        <v>1799700</v>
      </c>
      <c r="CG21" s="230">
        <v>749700</v>
      </c>
      <c r="CH21" s="229">
        <v>0.41660000000000003</v>
      </c>
      <c r="CI21" s="230">
        <v>2240700</v>
      </c>
      <c r="CJ21" s="230">
        <v>1452500</v>
      </c>
      <c r="CK21" s="230">
        <v>788200</v>
      </c>
      <c r="CL21" s="229">
        <v>0.54269999999999996</v>
      </c>
      <c r="CM21" s="230">
        <v>10821300</v>
      </c>
      <c r="CN21" s="230">
        <v>8633100</v>
      </c>
      <c r="CO21" s="230">
        <v>2188200</v>
      </c>
      <c r="CP21" s="229">
        <v>0.2535</v>
      </c>
      <c r="CQ21" s="230">
        <v>9162300</v>
      </c>
      <c r="CR21" s="230">
        <v>7253400</v>
      </c>
      <c r="CS21" s="230">
        <v>1908900</v>
      </c>
      <c r="CT21" s="229">
        <v>0.26319999999999999</v>
      </c>
      <c r="CU21" s="230">
        <v>63000000</v>
      </c>
      <c r="CV21" s="230">
        <v>59881500</v>
      </c>
      <c r="CW21" s="230">
        <v>3118500</v>
      </c>
      <c r="CX21" s="229">
        <v>5.21E-2</v>
      </c>
      <c r="CY21" s="228">
        <v>34.15</v>
      </c>
      <c r="CZ21" s="228">
        <v>34.159999999999997</v>
      </c>
      <c r="DA21" s="228">
        <v>-0.01</v>
      </c>
      <c r="DB21" s="228">
        <v>-0.01</v>
      </c>
      <c r="DC21" s="228">
        <v>35.28</v>
      </c>
      <c r="DD21" s="228">
        <v>35.04</v>
      </c>
      <c r="DE21" s="228">
        <v>-1.1299999999999999</v>
      </c>
      <c r="DF21" s="228">
        <v>0.24</v>
      </c>
      <c r="DG21" s="228">
        <v>34.14</v>
      </c>
      <c r="DH21" s="228">
        <v>33.46</v>
      </c>
      <c r="DI21" s="228">
        <v>0.68</v>
      </c>
      <c r="DJ21" s="228">
        <v>0.68</v>
      </c>
      <c r="DK21" s="228">
        <v>34.159999999999997</v>
      </c>
      <c r="DL21" s="228">
        <v>34.869999999999997</v>
      </c>
      <c r="DM21" s="228">
        <v>-0.71</v>
      </c>
      <c r="DN21" s="228">
        <v>-0.71</v>
      </c>
      <c r="DO21" s="228">
        <v>0.85</v>
      </c>
      <c r="DP21" s="228">
        <v>0.84</v>
      </c>
      <c r="DQ21" s="228">
        <v>0.01</v>
      </c>
      <c r="DR21" s="229">
        <v>1.1900000000000001E-2</v>
      </c>
      <c r="DS21" s="231">
        <v>1000</v>
      </c>
      <c r="DT21" s="228">
        <v>900</v>
      </c>
      <c r="DU21" s="228">
        <v>0.47</v>
      </c>
      <c r="DV21" s="228">
        <v>0.98</v>
      </c>
      <c r="DW21" s="228">
        <v>-0.51</v>
      </c>
      <c r="DX21" s="229">
        <v>-0.52039999999999997</v>
      </c>
      <c r="DY21" s="229">
        <v>0.1114</v>
      </c>
      <c r="DZ21" s="230">
        <v>3252200</v>
      </c>
      <c r="EA21" s="229">
        <v>6.7999999999999996E-3</v>
      </c>
      <c r="EB21" s="229">
        <v>0.1114</v>
      </c>
      <c r="EC21" s="228">
        <v>7.96</v>
      </c>
      <c r="ED21" s="229">
        <v>8.2000000000000007E-3</v>
      </c>
      <c r="EE21" s="230">
        <v>6495548</v>
      </c>
      <c r="EF21" s="230">
        <v>4117484</v>
      </c>
      <c r="EG21" s="229">
        <v>0.5776</v>
      </c>
      <c r="EH21" s="229">
        <v>0.3695</v>
      </c>
      <c r="EI21" s="231">
        <v>878601.15</v>
      </c>
      <c r="EJ21" s="231">
        <v>376307.41</v>
      </c>
      <c r="EK21" s="231">
        <v>253894.22</v>
      </c>
      <c r="EL21" s="231">
        <v>12531</v>
      </c>
      <c r="EM21" s="231">
        <v>1508802.78</v>
      </c>
      <c r="EN21" s="231">
        <v>459914.06</v>
      </c>
      <c r="EO21" s="231">
        <v>1048888.72</v>
      </c>
      <c r="EP21" s="229">
        <v>2.2806000000000002</v>
      </c>
      <c r="EQ21" s="231">
        <v>108179</v>
      </c>
      <c r="ER21" s="231">
        <v>82354</v>
      </c>
      <c r="ES21" s="231">
        <v>412078</v>
      </c>
      <c r="ET21" s="231">
        <v>212176873</v>
      </c>
      <c r="EU21" s="231">
        <v>602611</v>
      </c>
      <c r="EV21" s="231">
        <v>555743</v>
      </c>
      <c r="EW21" s="231">
        <v>46868</v>
      </c>
      <c r="EX21" s="229">
        <v>8.43E-2</v>
      </c>
      <c r="EY21" s="229">
        <v>0.2969</v>
      </c>
    </row>
    <row r="22" spans="1:155" ht="17.25" thickBot="1" x14ac:dyDescent="0.3">
      <c r="A22" s="226">
        <v>46086</v>
      </c>
      <c r="B22" s="227" t="s">
        <v>168</v>
      </c>
      <c r="C22" s="227" t="s">
        <v>230</v>
      </c>
      <c r="D22" s="231">
        <v>2266.6</v>
      </c>
      <c r="E22" s="231">
        <v>2269.6999999999998</v>
      </c>
      <c r="F22" s="228">
        <v>-3.1</v>
      </c>
      <c r="G22" s="229">
        <v>-1.4E-3</v>
      </c>
      <c r="H22" s="231">
        <v>2255</v>
      </c>
      <c r="I22" s="231">
        <v>2261.3000000000002</v>
      </c>
      <c r="J22" s="228">
        <v>-6.3</v>
      </c>
      <c r="K22" s="229">
        <v>-2.8E-3</v>
      </c>
      <c r="L22" s="231">
        <v>2266.6</v>
      </c>
      <c r="M22" s="231">
        <v>2269.6999999999998</v>
      </c>
      <c r="N22" s="228">
        <v>-3.1</v>
      </c>
      <c r="O22" s="229">
        <v>-1.4E-3</v>
      </c>
      <c r="P22" s="231">
        <v>2278.9</v>
      </c>
      <c r="Q22" s="231">
        <v>2284.1999999999998</v>
      </c>
      <c r="R22" s="228">
        <v>-5.3</v>
      </c>
      <c r="S22" s="229">
        <v>-2.3E-3</v>
      </c>
      <c r="T22" s="231">
        <v>2294.5</v>
      </c>
      <c r="U22" s="231">
        <v>2295.6</v>
      </c>
      <c r="V22" s="228">
        <v>-1.1000000000000001</v>
      </c>
      <c r="W22" s="229">
        <v>-5.0000000000000001E-4</v>
      </c>
      <c r="X22" s="228">
        <v>11.6</v>
      </c>
      <c r="Y22" s="228">
        <v>8.4</v>
      </c>
      <c r="Z22" s="228">
        <v>3.2</v>
      </c>
      <c r="AA22" s="229">
        <v>5.1000000000000004E-3</v>
      </c>
      <c r="AB22" s="228">
        <v>11.6</v>
      </c>
      <c r="AC22" s="228">
        <v>8.4</v>
      </c>
      <c r="AD22" s="228">
        <v>3.2</v>
      </c>
      <c r="AE22" s="229">
        <v>5.1000000000000004E-3</v>
      </c>
      <c r="AF22" s="228">
        <v>23.9</v>
      </c>
      <c r="AG22" s="228">
        <v>22.9</v>
      </c>
      <c r="AH22" s="228">
        <v>1</v>
      </c>
      <c r="AI22" s="229">
        <v>1.06E-2</v>
      </c>
      <c r="AJ22" s="228">
        <v>39.5</v>
      </c>
      <c r="AK22" s="228">
        <v>34.299999999999997</v>
      </c>
      <c r="AL22" s="228">
        <v>5.2</v>
      </c>
      <c r="AM22" s="229">
        <v>1.7500000000000002E-2</v>
      </c>
      <c r="AN22" s="231">
        <v>2257.48</v>
      </c>
      <c r="AO22" s="231">
        <v>2267.33</v>
      </c>
      <c r="AP22" s="228">
        <v>0</v>
      </c>
      <c r="AQ22" s="230">
        <v>6892</v>
      </c>
      <c r="AR22" s="230">
        <v>6530</v>
      </c>
      <c r="AS22" s="228">
        <v>362</v>
      </c>
      <c r="AT22" s="229">
        <v>5.5399999999999998E-2</v>
      </c>
      <c r="AU22" s="230">
        <v>6409</v>
      </c>
      <c r="AV22" s="230">
        <v>6056</v>
      </c>
      <c r="AW22" s="228">
        <v>353</v>
      </c>
      <c r="AX22" s="229">
        <v>5.8299999999999998E-2</v>
      </c>
      <c r="AY22" s="228">
        <v>419</v>
      </c>
      <c r="AZ22" s="228">
        <v>379</v>
      </c>
      <c r="BA22" s="228">
        <v>40</v>
      </c>
      <c r="BB22" s="229">
        <v>0.1055</v>
      </c>
      <c r="BC22" s="228">
        <v>64</v>
      </c>
      <c r="BD22" s="228">
        <v>95</v>
      </c>
      <c r="BE22" s="228">
        <v>-31</v>
      </c>
      <c r="BF22" s="229">
        <v>-0.32629999999999998</v>
      </c>
      <c r="BG22" s="230">
        <v>26439</v>
      </c>
      <c r="BH22" s="230">
        <v>23675</v>
      </c>
      <c r="BI22" s="230">
        <v>2764</v>
      </c>
      <c r="BJ22" s="229">
        <v>0.1167</v>
      </c>
      <c r="BK22" s="230">
        <v>14300</v>
      </c>
      <c r="BL22" s="230">
        <v>17257</v>
      </c>
      <c r="BM22" s="230">
        <v>-2957</v>
      </c>
      <c r="BN22" s="229">
        <v>-0.1714</v>
      </c>
      <c r="BO22" s="230">
        <v>47631</v>
      </c>
      <c r="BP22" s="230">
        <v>47462</v>
      </c>
      <c r="BQ22" s="228">
        <v>169</v>
      </c>
      <c r="BR22" s="229">
        <v>3.5999999999999999E-3</v>
      </c>
      <c r="BS22" s="230">
        <v>1836853</v>
      </c>
      <c r="BT22" s="230">
        <v>2715262</v>
      </c>
      <c r="BU22" s="230">
        <v>-878409</v>
      </c>
      <c r="BV22" s="229">
        <v>-0.32350000000000001</v>
      </c>
      <c r="BW22" s="230">
        <v>16083300</v>
      </c>
      <c r="BX22" s="230">
        <v>15925500</v>
      </c>
      <c r="BY22" s="230">
        <v>157800</v>
      </c>
      <c r="BZ22" s="229">
        <v>9.9000000000000008E-3</v>
      </c>
      <c r="CA22" s="230">
        <v>15795000</v>
      </c>
      <c r="CB22" s="230">
        <v>15670500</v>
      </c>
      <c r="CC22" s="230">
        <v>124500</v>
      </c>
      <c r="CD22" s="229">
        <v>7.9000000000000008E-3</v>
      </c>
      <c r="CE22" s="230">
        <v>256500</v>
      </c>
      <c r="CF22" s="230">
        <v>232500</v>
      </c>
      <c r="CG22" s="230">
        <v>24000</v>
      </c>
      <c r="CH22" s="229">
        <v>0.1032</v>
      </c>
      <c r="CI22" s="230">
        <v>31800</v>
      </c>
      <c r="CJ22" s="230">
        <v>22500</v>
      </c>
      <c r="CK22" s="230">
        <v>9300</v>
      </c>
      <c r="CL22" s="229">
        <v>0.4133</v>
      </c>
      <c r="CM22" s="230">
        <v>4847700</v>
      </c>
      <c r="CN22" s="230">
        <v>4739100</v>
      </c>
      <c r="CO22" s="230">
        <v>108600</v>
      </c>
      <c r="CP22" s="229">
        <v>2.29E-2</v>
      </c>
      <c r="CQ22" s="230">
        <v>2643300</v>
      </c>
      <c r="CR22" s="230">
        <v>2444700</v>
      </c>
      <c r="CS22" s="230">
        <v>198600</v>
      </c>
      <c r="CT22" s="229">
        <v>8.1199999999999994E-2</v>
      </c>
      <c r="CU22" s="230">
        <v>23574300</v>
      </c>
      <c r="CV22" s="230">
        <v>23109300</v>
      </c>
      <c r="CW22" s="230">
        <v>465000</v>
      </c>
      <c r="CX22" s="229">
        <v>2.01E-2</v>
      </c>
      <c r="CY22" s="228">
        <v>19.920000000000002</v>
      </c>
      <c r="CZ22" s="228">
        <v>21.48</v>
      </c>
      <c r="DA22" s="228">
        <v>-1.56</v>
      </c>
      <c r="DB22" s="228">
        <v>-1.56</v>
      </c>
      <c r="DC22" s="228">
        <v>22.71</v>
      </c>
      <c r="DD22" s="228">
        <v>22.77</v>
      </c>
      <c r="DE22" s="228">
        <v>-2.79</v>
      </c>
      <c r="DF22" s="228">
        <v>-0.06</v>
      </c>
      <c r="DG22" s="228">
        <v>19.63</v>
      </c>
      <c r="DH22" s="228">
        <v>21.19</v>
      </c>
      <c r="DI22" s="228">
        <v>-1.56</v>
      </c>
      <c r="DJ22" s="228">
        <v>-1.56</v>
      </c>
      <c r="DK22" s="228">
        <v>20.45</v>
      </c>
      <c r="DL22" s="228">
        <v>21.88</v>
      </c>
      <c r="DM22" s="228">
        <v>-1.43</v>
      </c>
      <c r="DN22" s="228">
        <v>-1.43</v>
      </c>
      <c r="DO22" s="228">
        <v>0.55000000000000004</v>
      </c>
      <c r="DP22" s="228">
        <v>0.52</v>
      </c>
      <c r="DQ22" s="228">
        <v>0.03</v>
      </c>
      <c r="DR22" s="229">
        <v>5.7700000000000001E-2</v>
      </c>
      <c r="DS22" s="231">
        <v>2500</v>
      </c>
      <c r="DT22" s="231">
        <v>2200</v>
      </c>
      <c r="DU22" s="228">
        <v>0.54</v>
      </c>
      <c r="DV22" s="228">
        <v>0.73</v>
      </c>
      <c r="DW22" s="228">
        <v>-0.19</v>
      </c>
      <c r="DX22" s="229">
        <v>-0.26029999999999998</v>
      </c>
      <c r="DY22" s="229">
        <v>1.7899999999999999E-2</v>
      </c>
      <c r="DZ22" s="230">
        <v>255000</v>
      </c>
      <c r="EA22" s="229">
        <v>5.4000000000000003E-3</v>
      </c>
      <c r="EB22" s="229">
        <v>1.7899999999999999E-2</v>
      </c>
      <c r="EC22" s="228">
        <v>9.85</v>
      </c>
      <c r="ED22" s="229">
        <v>4.4000000000000003E-3</v>
      </c>
      <c r="EE22" s="230">
        <v>990245</v>
      </c>
      <c r="EF22" s="230">
        <v>1760466</v>
      </c>
      <c r="EG22" s="229">
        <v>-0.4375</v>
      </c>
      <c r="EH22" s="229">
        <v>0.53910000000000002</v>
      </c>
      <c r="EI22" s="231">
        <v>189004.05</v>
      </c>
      <c r="EJ22" s="231">
        <v>96223.4</v>
      </c>
      <c r="EK22" s="231">
        <v>46692.71</v>
      </c>
      <c r="EL22" s="231">
        <v>5753</v>
      </c>
      <c r="EM22" s="231">
        <v>331920.15999999997</v>
      </c>
      <c r="EN22" s="231">
        <v>333193.15999999997</v>
      </c>
      <c r="EO22" s="231">
        <v>-1273</v>
      </c>
      <c r="EP22" s="229">
        <v>-3.8E-3</v>
      </c>
      <c r="EQ22" s="231">
        <v>117595</v>
      </c>
      <c r="ER22" s="231">
        <v>59376</v>
      </c>
      <c r="ES22" s="231">
        <v>364584</v>
      </c>
      <c r="ET22" s="231">
        <v>91001773</v>
      </c>
      <c r="EU22" s="231">
        <v>541556</v>
      </c>
      <c r="EV22" s="231">
        <v>532209</v>
      </c>
      <c r="EW22" s="231">
        <v>9347</v>
      </c>
      <c r="EX22" s="229">
        <v>1.7600000000000001E-2</v>
      </c>
      <c r="EY22" s="229">
        <v>0.2591</v>
      </c>
    </row>
    <row r="23" spans="1:155" ht="17.25" thickBot="1" x14ac:dyDescent="0.3">
      <c r="A23" s="226">
        <v>46086</v>
      </c>
      <c r="B23" s="227" t="s">
        <v>172</v>
      </c>
      <c r="C23" s="227" t="s">
        <v>232</v>
      </c>
      <c r="D23" s="231">
        <v>1361.3</v>
      </c>
      <c r="E23" s="231">
        <v>1369.5</v>
      </c>
      <c r="F23" s="228">
        <v>-8.1999999999999993</v>
      </c>
      <c r="G23" s="229">
        <v>-6.0000000000000001E-3</v>
      </c>
      <c r="H23" s="231">
        <v>1357.6</v>
      </c>
      <c r="I23" s="231">
        <v>1365.4</v>
      </c>
      <c r="J23" s="228">
        <v>-7.8</v>
      </c>
      <c r="K23" s="229">
        <v>-5.7000000000000002E-3</v>
      </c>
      <c r="L23" s="231">
        <v>1361.3</v>
      </c>
      <c r="M23" s="231">
        <v>1369.5</v>
      </c>
      <c r="N23" s="228">
        <v>-8.1999999999999993</v>
      </c>
      <c r="O23" s="229">
        <v>-6.0000000000000001E-3</v>
      </c>
      <c r="P23" s="231">
        <v>1369</v>
      </c>
      <c r="Q23" s="231">
        <v>1377.4</v>
      </c>
      <c r="R23" s="228">
        <v>-8.4</v>
      </c>
      <c r="S23" s="229">
        <v>-6.1000000000000004E-3</v>
      </c>
      <c r="T23" s="231">
        <v>1375.6</v>
      </c>
      <c r="U23" s="231">
        <v>1382.9</v>
      </c>
      <c r="V23" s="228">
        <v>-7.3</v>
      </c>
      <c r="W23" s="229">
        <v>-5.3E-3</v>
      </c>
      <c r="X23" s="228">
        <v>3.7</v>
      </c>
      <c r="Y23" s="228">
        <v>4.0999999999999996</v>
      </c>
      <c r="Z23" s="228">
        <v>-0.4</v>
      </c>
      <c r="AA23" s="229">
        <v>2.7000000000000001E-3</v>
      </c>
      <c r="AB23" s="228">
        <v>3.7</v>
      </c>
      <c r="AC23" s="228">
        <v>4.0999999999999996</v>
      </c>
      <c r="AD23" s="228">
        <v>-0.4</v>
      </c>
      <c r="AE23" s="229">
        <v>2.7000000000000001E-3</v>
      </c>
      <c r="AF23" s="228">
        <v>11.4</v>
      </c>
      <c r="AG23" s="228">
        <v>12</v>
      </c>
      <c r="AH23" s="228">
        <v>-0.6</v>
      </c>
      <c r="AI23" s="229">
        <v>8.3999999999999995E-3</v>
      </c>
      <c r="AJ23" s="228">
        <v>18</v>
      </c>
      <c r="AK23" s="228">
        <v>17.5</v>
      </c>
      <c r="AL23" s="228">
        <v>0.5</v>
      </c>
      <c r="AM23" s="229">
        <v>1.3299999999999999E-2</v>
      </c>
      <c r="AN23" s="231">
        <v>1362.34</v>
      </c>
      <c r="AO23" s="231">
        <v>1370.17</v>
      </c>
      <c r="AP23" s="228">
        <v>0</v>
      </c>
      <c r="AQ23" s="230">
        <v>19811</v>
      </c>
      <c r="AR23" s="230">
        <v>24523</v>
      </c>
      <c r="AS23" s="230">
        <v>-4712</v>
      </c>
      <c r="AT23" s="229">
        <v>-0.19209999999999999</v>
      </c>
      <c r="AU23" s="230">
        <v>18929</v>
      </c>
      <c r="AV23" s="230">
        <v>23816</v>
      </c>
      <c r="AW23" s="230">
        <v>-4887</v>
      </c>
      <c r="AX23" s="229">
        <v>-0.20519999999999999</v>
      </c>
      <c r="AY23" s="228">
        <v>791</v>
      </c>
      <c r="AZ23" s="228">
        <v>536</v>
      </c>
      <c r="BA23" s="228">
        <v>255</v>
      </c>
      <c r="BB23" s="229">
        <v>0.47570000000000001</v>
      </c>
      <c r="BC23" s="228">
        <v>91</v>
      </c>
      <c r="BD23" s="228">
        <v>171</v>
      </c>
      <c r="BE23" s="228">
        <v>-80</v>
      </c>
      <c r="BF23" s="229">
        <v>-0.46779999999999999</v>
      </c>
      <c r="BG23" s="230">
        <v>51801</v>
      </c>
      <c r="BH23" s="230">
        <v>59870</v>
      </c>
      <c r="BI23" s="230">
        <v>-8069</v>
      </c>
      <c r="BJ23" s="229">
        <v>-0.1348</v>
      </c>
      <c r="BK23" s="230">
        <v>27047</v>
      </c>
      <c r="BL23" s="230">
        <v>41251</v>
      </c>
      <c r="BM23" s="230">
        <v>-14204</v>
      </c>
      <c r="BN23" s="229">
        <v>-0.34429999999999999</v>
      </c>
      <c r="BO23" s="230">
        <v>98659</v>
      </c>
      <c r="BP23" s="230">
        <v>125644</v>
      </c>
      <c r="BQ23" s="230">
        <v>-26985</v>
      </c>
      <c r="BR23" s="229">
        <v>-0.21479999999999999</v>
      </c>
      <c r="BS23" s="230">
        <v>18249839</v>
      </c>
      <c r="BT23" s="230">
        <v>20682955</v>
      </c>
      <c r="BU23" s="230">
        <v>-2433116</v>
      </c>
      <c r="BV23" s="229">
        <v>-0.1176</v>
      </c>
      <c r="BW23" s="230">
        <v>116623500</v>
      </c>
      <c r="BX23" s="230">
        <v>114411500</v>
      </c>
      <c r="BY23" s="230">
        <v>2212000</v>
      </c>
      <c r="BZ23" s="229">
        <v>1.9300000000000001E-2</v>
      </c>
      <c r="CA23" s="230">
        <v>114966600</v>
      </c>
      <c r="CB23" s="230">
        <v>112977200</v>
      </c>
      <c r="CC23" s="230">
        <v>1989400</v>
      </c>
      <c r="CD23" s="229">
        <v>1.7600000000000001E-2</v>
      </c>
      <c r="CE23" s="230">
        <v>1448300</v>
      </c>
      <c r="CF23" s="230">
        <v>1246700</v>
      </c>
      <c r="CG23" s="230">
        <v>201600</v>
      </c>
      <c r="CH23" s="229">
        <v>0.16170000000000001</v>
      </c>
      <c r="CI23" s="230">
        <v>208600</v>
      </c>
      <c r="CJ23" s="230">
        <v>187600</v>
      </c>
      <c r="CK23" s="230">
        <v>21000</v>
      </c>
      <c r="CL23" s="229">
        <v>0.1119</v>
      </c>
      <c r="CM23" s="230">
        <v>23703400</v>
      </c>
      <c r="CN23" s="230">
        <v>21338100</v>
      </c>
      <c r="CO23" s="230">
        <v>2365300</v>
      </c>
      <c r="CP23" s="229">
        <v>0.1108</v>
      </c>
      <c r="CQ23" s="230">
        <v>14872900</v>
      </c>
      <c r="CR23" s="230">
        <v>15117200</v>
      </c>
      <c r="CS23" s="230">
        <v>-244300</v>
      </c>
      <c r="CT23" s="229">
        <v>-1.6199999999999999E-2</v>
      </c>
      <c r="CU23" s="230">
        <v>155199800</v>
      </c>
      <c r="CV23" s="230">
        <v>150866800</v>
      </c>
      <c r="CW23" s="230">
        <v>4333000</v>
      </c>
      <c r="CX23" s="229">
        <v>2.87E-2</v>
      </c>
      <c r="CY23" s="228">
        <v>16.920000000000002</v>
      </c>
      <c r="CZ23" s="228">
        <v>19.63</v>
      </c>
      <c r="DA23" s="228">
        <v>-2.71</v>
      </c>
      <c r="DB23" s="228">
        <v>-2.71</v>
      </c>
      <c r="DC23" s="228">
        <v>20.85</v>
      </c>
      <c r="DD23" s="228">
        <v>20.89</v>
      </c>
      <c r="DE23" s="228">
        <v>-3.93</v>
      </c>
      <c r="DF23" s="228">
        <v>-0.04</v>
      </c>
      <c r="DG23" s="228">
        <v>16.45</v>
      </c>
      <c r="DH23" s="228">
        <v>18.510000000000002</v>
      </c>
      <c r="DI23" s="228">
        <v>-2.06</v>
      </c>
      <c r="DJ23" s="228">
        <v>-2.06</v>
      </c>
      <c r="DK23" s="228">
        <v>17.829999999999998</v>
      </c>
      <c r="DL23" s="228">
        <v>21.27</v>
      </c>
      <c r="DM23" s="228">
        <v>-3.44</v>
      </c>
      <c r="DN23" s="228">
        <v>-3.44</v>
      </c>
      <c r="DO23" s="228">
        <v>0.63</v>
      </c>
      <c r="DP23" s="228">
        <v>0.71</v>
      </c>
      <c r="DQ23" s="228">
        <v>-0.08</v>
      </c>
      <c r="DR23" s="229">
        <v>-0.11269999999999999</v>
      </c>
      <c r="DS23" s="231">
        <v>1400</v>
      </c>
      <c r="DT23" s="231">
        <v>1400</v>
      </c>
      <c r="DU23" s="228">
        <v>0.52</v>
      </c>
      <c r="DV23" s="228">
        <v>0.69</v>
      </c>
      <c r="DW23" s="228">
        <v>-0.17</v>
      </c>
      <c r="DX23" s="229">
        <v>-0.24640000000000001</v>
      </c>
      <c r="DY23" s="229">
        <v>1.4200000000000001E-2</v>
      </c>
      <c r="DZ23" s="230">
        <v>1434300</v>
      </c>
      <c r="EA23" s="229">
        <v>5.7000000000000002E-3</v>
      </c>
      <c r="EB23" s="229">
        <v>1.4200000000000001E-2</v>
      </c>
      <c r="EC23" s="228">
        <v>7.83</v>
      </c>
      <c r="ED23" s="229">
        <v>5.7000000000000002E-3</v>
      </c>
      <c r="EE23" s="230">
        <v>7787598</v>
      </c>
      <c r="EF23" s="230">
        <v>12969006</v>
      </c>
      <c r="EG23" s="229">
        <v>-0.39950000000000002</v>
      </c>
      <c r="EH23" s="229">
        <v>0.42670000000000002</v>
      </c>
      <c r="EI23" s="231">
        <v>509593.69</v>
      </c>
      <c r="EJ23" s="231">
        <v>256145.81</v>
      </c>
      <c r="EK23" s="231">
        <v>188977.57</v>
      </c>
      <c r="EL23" s="231">
        <v>20673</v>
      </c>
      <c r="EM23" s="231">
        <v>954717.07</v>
      </c>
      <c r="EN23" s="231">
        <v>1214854.6499999999</v>
      </c>
      <c r="EO23" s="231">
        <v>-260137.58</v>
      </c>
      <c r="EP23" s="229">
        <v>-0.21410000000000001</v>
      </c>
      <c r="EQ23" s="231">
        <v>335237</v>
      </c>
      <c r="ER23" s="231">
        <v>201092</v>
      </c>
      <c r="ES23" s="231">
        <v>1587737</v>
      </c>
      <c r="ET23" s="231">
        <v>580601807</v>
      </c>
      <c r="EU23" s="231">
        <v>2124066</v>
      </c>
      <c r="EV23" s="231">
        <v>2073781</v>
      </c>
      <c r="EW23" s="231">
        <v>50285</v>
      </c>
      <c r="EX23" s="229">
        <v>2.4199999999999999E-2</v>
      </c>
      <c r="EY23" s="229">
        <v>0.26729999999999998</v>
      </c>
    </row>
    <row r="24" spans="1:155" ht="17.25" thickBot="1" x14ac:dyDescent="0.3">
      <c r="A24" s="226">
        <v>46086</v>
      </c>
      <c r="B24" s="227" t="s">
        <v>215</v>
      </c>
      <c r="C24" s="227" t="s">
        <v>238</v>
      </c>
      <c r="D24" s="231">
        <v>4520.1000000000004</v>
      </c>
      <c r="E24" s="231">
        <v>4412.3</v>
      </c>
      <c r="F24" s="228">
        <v>107.8</v>
      </c>
      <c r="G24" s="229">
        <v>2.4400000000000002E-2</v>
      </c>
      <c r="H24" s="231">
        <v>4512.8</v>
      </c>
      <c r="I24" s="231">
        <v>4392.8999999999996</v>
      </c>
      <c r="J24" s="228">
        <v>119.9</v>
      </c>
      <c r="K24" s="229">
        <v>2.7300000000000001E-2</v>
      </c>
      <c r="L24" s="231">
        <v>4520.1000000000004</v>
      </c>
      <c r="M24" s="231">
        <v>4412.3</v>
      </c>
      <c r="N24" s="228">
        <v>107.8</v>
      </c>
      <c r="O24" s="229">
        <v>2.4400000000000002E-2</v>
      </c>
      <c r="P24" s="231">
        <v>4548.5</v>
      </c>
      <c r="Q24" s="231">
        <v>4436.7</v>
      </c>
      <c r="R24" s="228">
        <v>111.8</v>
      </c>
      <c r="S24" s="229">
        <v>2.52E-2</v>
      </c>
      <c r="T24" s="231">
        <v>4575.2</v>
      </c>
      <c r="U24" s="231">
        <v>4450.5</v>
      </c>
      <c r="V24" s="228">
        <v>124.7</v>
      </c>
      <c r="W24" s="229">
        <v>2.8000000000000001E-2</v>
      </c>
      <c r="X24" s="228">
        <v>7.3</v>
      </c>
      <c r="Y24" s="228">
        <v>19.399999999999999</v>
      </c>
      <c r="Z24" s="228">
        <v>-12.1</v>
      </c>
      <c r="AA24" s="229">
        <v>1.6000000000000001E-3</v>
      </c>
      <c r="AB24" s="228">
        <v>7.3</v>
      </c>
      <c r="AC24" s="228">
        <v>19.399999999999999</v>
      </c>
      <c r="AD24" s="228">
        <v>-12.1</v>
      </c>
      <c r="AE24" s="229">
        <v>1.6000000000000001E-3</v>
      </c>
      <c r="AF24" s="228">
        <v>35.700000000000003</v>
      </c>
      <c r="AG24" s="228">
        <v>43.8</v>
      </c>
      <c r="AH24" s="228">
        <v>-8.1</v>
      </c>
      <c r="AI24" s="229">
        <v>7.9000000000000008E-3</v>
      </c>
      <c r="AJ24" s="228">
        <v>62.4</v>
      </c>
      <c r="AK24" s="228">
        <v>57.6</v>
      </c>
      <c r="AL24" s="228">
        <v>4.8</v>
      </c>
      <c r="AM24" s="229">
        <v>1.38E-2</v>
      </c>
      <c r="AN24" s="231">
        <v>4449.46</v>
      </c>
      <c r="AO24" s="231">
        <v>4464.37</v>
      </c>
      <c r="AP24" s="228">
        <v>0</v>
      </c>
      <c r="AQ24" s="230">
        <v>27895</v>
      </c>
      <c r="AR24" s="230">
        <v>23440</v>
      </c>
      <c r="AS24" s="230">
        <v>4455</v>
      </c>
      <c r="AT24" s="229">
        <v>0.19009999999999999</v>
      </c>
      <c r="AU24" s="230">
        <v>25949</v>
      </c>
      <c r="AV24" s="230">
        <v>22187</v>
      </c>
      <c r="AW24" s="230">
        <v>3762</v>
      </c>
      <c r="AX24" s="229">
        <v>0.1696</v>
      </c>
      <c r="AY24" s="230">
        <v>1264</v>
      </c>
      <c r="AZ24" s="230">
        <v>1048</v>
      </c>
      <c r="BA24" s="228">
        <v>216</v>
      </c>
      <c r="BB24" s="229">
        <v>0.20610000000000001</v>
      </c>
      <c r="BC24" s="228">
        <v>682</v>
      </c>
      <c r="BD24" s="228">
        <v>205</v>
      </c>
      <c r="BE24" s="228">
        <v>477</v>
      </c>
      <c r="BF24" s="229">
        <v>2.3268</v>
      </c>
      <c r="BG24" s="230">
        <v>64186</v>
      </c>
      <c r="BH24" s="230">
        <v>63999</v>
      </c>
      <c r="BI24" s="228">
        <v>187</v>
      </c>
      <c r="BJ24" s="229">
        <v>2.8999999999999998E-3</v>
      </c>
      <c r="BK24" s="230">
        <v>62209</v>
      </c>
      <c r="BL24" s="230">
        <v>81280</v>
      </c>
      <c r="BM24" s="230">
        <v>-19071</v>
      </c>
      <c r="BN24" s="229">
        <v>-0.2346</v>
      </c>
      <c r="BO24" s="230">
        <v>154290</v>
      </c>
      <c r="BP24" s="230">
        <v>168719</v>
      </c>
      <c r="BQ24" s="230">
        <v>-14429</v>
      </c>
      <c r="BR24" s="229">
        <v>-8.5500000000000007E-2</v>
      </c>
      <c r="BS24" s="230">
        <v>2746192</v>
      </c>
      <c r="BT24" s="230">
        <v>3089306</v>
      </c>
      <c r="BU24" s="230">
        <v>-343114</v>
      </c>
      <c r="BV24" s="229">
        <v>-0.1111</v>
      </c>
      <c r="BW24" s="230">
        <v>9210750</v>
      </c>
      <c r="BX24" s="230">
        <v>9353100</v>
      </c>
      <c r="BY24" s="230">
        <v>-142350</v>
      </c>
      <c r="BZ24" s="229">
        <v>-1.52E-2</v>
      </c>
      <c r="CA24" s="230">
        <v>8387400</v>
      </c>
      <c r="CB24" s="230">
        <v>8547000</v>
      </c>
      <c r="CC24" s="230">
        <v>-159600</v>
      </c>
      <c r="CD24" s="229">
        <v>-1.8700000000000001E-2</v>
      </c>
      <c r="CE24" s="230">
        <v>480000</v>
      </c>
      <c r="CF24" s="230">
        <v>465750</v>
      </c>
      <c r="CG24" s="230">
        <v>14250</v>
      </c>
      <c r="CH24" s="229">
        <v>3.0599999999999999E-2</v>
      </c>
      <c r="CI24" s="230">
        <v>343350</v>
      </c>
      <c r="CJ24" s="230">
        <v>340350</v>
      </c>
      <c r="CK24" s="230">
        <v>3000</v>
      </c>
      <c r="CL24" s="229">
        <v>8.8000000000000005E-3</v>
      </c>
      <c r="CM24" s="230">
        <v>5236200</v>
      </c>
      <c r="CN24" s="230">
        <v>4534650</v>
      </c>
      <c r="CO24" s="230">
        <v>701550</v>
      </c>
      <c r="CP24" s="229">
        <v>0.1547</v>
      </c>
      <c r="CQ24" s="230">
        <v>3843150</v>
      </c>
      <c r="CR24" s="230">
        <v>3457500</v>
      </c>
      <c r="CS24" s="230">
        <v>385650</v>
      </c>
      <c r="CT24" s="229">
        <v>0.1115</v>
      </c>
      <c r="CU24" s="230">
        <v>18290100</v>
      </c>
      <c r="CV24" s="230">
        <v>17345250</v>
      </c>
      <c r="CW24" s="230">
        <v>944850</v>
      </c>
      <c r="CX24" s="229">
        <v>5.45E-2</v>
      </c>
      <c r="CY24" s="228">
        <v>32.729999999999997</v>
      </c>
      <c r="CZ24" s="228">
        <v>40.340000000000003</v>
      </c>
      <c r="DA24" s="228">
        <v>-7.61</v>
      </c>
      <c r="DB24" s="228">
        <v>-7.61</v>
      </c>
      <c r="DC24" s="228">
        <v>34.79</v>
      </c>
      <c r="DD24" s="228">
        <v>34.68</v>
      </c>
      <c r="DE24" s="228">
        <v>-2.06</v>
      </c>
      <c r="DF24" s="228">
        <v>0.11</v>
      </c>
      <c r="DG24" s="228">
        <v>29.15</v>
      </c>
      <c r="DH24" s="228">
        <v>35.47</v>
      </c>
      <c r="DI24" s="228">
        <v>-6.32</v>
      </c>
      <c r="DJ24" s="228">
        <v>-6.32</v>
      </c>
      <c r="DK24" s="228">
        <v>36.42</v>
      </c>
      <c r="DL24" s="228">
        <v>44.17</v>
      </c>
      <c r="DM24" s="228">
        <v>-7.75</v>
      </c>
      <c r="DN24" s="228">
        <v>-7.75</v>
      </c>
      <c r="DO24" s="228">
        <v>0.73</v>
      </c>
      <c r="DP24" s="228">
        <v>0.76</v>
      </c>
      <c r="DQ24" s="228">
        <v>-0.03</v>
      </c>
      <c r="DR24" s="229">
        <v>-3.95E-2</v>
      </c>
      <c r="DS24" s="231">
        <v>4600</v>
      </c>
      <c r="DT24" s="231">
        <v>4300</v>
      </c>
      <c r="DU24" s="228">
        <v>0.97</v>
      </c>
      <c r="DV24" s="228">
        <v>1.27</v>
      </c>
      <c r="DW24" s="228">
        <v>-0.3</v>
      </c>
      <c r="DX24" s="229">
        <v>-0.23619999999999999</v>
      </c>
      <c r="DY24" s="229">
        <v>8.9399999999999993E-2</v>
      </c>
      <c r="DZ24" s="230">
        <v>806100</v>
      </c>
      <c r="EA24" s="229">
        <v>6.3E-3</v>
      </c>
      <c r="EB24" s="229">
        <v>8.9399999999999993E-2</v>
      </c>
      <c r="EC24" s="228">
        <v>14.91</v>
      </c>
      <c r="ED24" s="229">
        <v>3.3999999999999998E-3</v>
      </c>
      <c r="EE24" s="230">
        <v>1396084</v>
      </c>
      <c r="EF24" s="230">
        <v>1583284</v>
      </c>
      <c r="EG24" s="229">
        <v>-0.1182</v>
      </c>
      <c r="EH24" s="229">
        <v>0.50839999999999996</v>
      </c>
      <c r="EI24" s="231">
        <v>455632.4</v>
      </c>
      <c r="EJ24" s="231">
        <v>406151.04</v>
      </c>
      <c r="EK24" s="231">
        <v>186191.38</v>
      </c>
      <c r="EL24" s="231">
        <v>17495</v>
      </c>
      <c r="EM24" s="231">
        <v>1047974.82</v>
      </c>
      <c r="EN24" s="231">
        <v>1141964.81</v>
      </c>
      <c r="EO24" s="231">
        <v>-93989.99</v>
      </c>
      <c r="EP24" s="229">
        <v>-8.2299999999999998E-2</v>
      </c>
      <c r="EQ24" s="231">
        <v>249591</v>
      </c>
      <c r="ER24" s="231">
        <v>172432</v>
      </c>
      <c r="ES24" s="231">
        <v>416661</v>
      </c>
      <c r="ET24" s="231">
        <v>33874835</v>
      </c>
      <c r="EU24" s="231">
        <v>838684</v>
      </c>
      <c r="EV24" s="231">
        <v>785761</v>
      </c>
      <c r="EW24" s="231">
        <v>52923</v>
      </c>
      <c r="EX24" s="229">
        <v>6.7400000000000002E-2</v>
      </c>
      <c r="EY24" s="229">
        <v>0.53990000000000005</v>
      </c>
    </row>
    <row r="25" spans="1:155" ht="17.25" thickBot="1" x14ac:dyDescent="0.3">
      <c r="A25" s="226">
        <v>46086</v>
      </c>
      <c r="B25" s="227" t="s">
        <v>221</v>
      </c>
      <c r="C25" s="227" t="s">
        <v>240</v>
      </c>
      <c r="D25" s="231">
        <v>1309.3</v>
      </c>
      <c r="E25" s="231">
        <v>1311.7</v>
      </c>
      <c r="F25" s="228">
        <v>-2.4</v>
      </c>
      <c r="G25" s="229">
        <v>-1.8E-3</v>
      </c>
      <c r="H25" s="231">
        <v>1305.8</v>
      </c>
      <c r="I25" s="231">
        <v>1307.4000000000001</v>
      </c>
      <c r="J25" s="228">
        <v>-1.6</v>
      </c>
      <c r="K25" s="229">
        <v>-1.1999999999999999E-3</v>
      </c>
      <c r="L25" s="231">
        <v>1309.3</v>
      </c>
      <c r="M25" s="231">
        <v>1311.7</v>
      </c>
      <c r="N25" s="228">
        <v>-2.4</v>
      </c>
      <c r="O25" s="229">
        <v>-1.8E-3</v>
      </c>
      <c r="P25" s="231">
        <v>1313.6</v>
      </c>
      <c r="Q25" s="231">
        <v>1316.3</v>
      </c>
      <c r="R25" s="228">
        <v>-2.7</v>
      </c>
      <c r="S25" s="229">
        <v>-2.0999999999999999E-3</v>
      </c>
      <c r="T25" s="231">
        <v>1318</v>
      </c>
      <c r="U25" s="231">
        <v>1320.6</v>
      </c>
      <c r="V25" s="228">
        <v>-2.6</v>
      </c>
      <c r="W25" s="229">
        <v>-2E-3</v>
      </c>
      <c r="X25" s="228">
        <v>3.5</v>
      </c>
      <c r="Y25" s="228">
        <v>4.3</v>
      </c>
      <c r="Z25" s="228">
        <v>-0.8</v>
      </c>
      <c r="AA25" s="229">
        <v>2.7000000000000001E-3</v>
      </c>
      <c r="AB25" s="228">
        <v>3.5</v>
      </c>
      <c r="AC25" s="228">
        <v>4.3</v>
      </c>
      <c r="AD25" s="228">
        <v>-0.8</v>
      </c>
      <c r="AE25" s="229">
        <v>2.7000000000000001E-3</v>
      </c>
      <c r="AF25" s="228">
        <v>7.8</v>
      </c>
      <c r="AG25" s="228">
        <v>8.9</v>
      </c>
      <c r="AH25" s="228">
        <v>-1.1000000000000001</v>
      </c>
      <c r="AI25" s="229">
        <v>6.0000000000000001E-3</v>
      </c>
      <c r="AJ25" s="228">
        <v>12.2</v>
      </c>
      <c r="AK25" s="228">
        <v>13.2</v>
      </c>
      <c r="AL25" s="228">
        <v>-1</v>
      </c>
      <c r="AM25" s="229">
        <v>9.2999999999999992E-3</v>
      </c>
      <c r="AN25" s="231">
        <v>1304.79</v>
      </c>
      <c r="AO25" s="231">
        <v>1308.8800000000001</v>
      </c>
      <c r="AP25" s="228">
        <v>0</v>
      </c>
      <c r="AQ25" s="230">
        <v>23682</v>
      </c>
      <c r="AR25" s="230">
        <v>34719</v>
      </c>
      <c r="AS25" s="230">
        <v>-11037</v>
      </c>
      <c r="AT25" s="229">
        <v>-0.31790000000000002</v>
      </c>
      <c r="AU25" s="230">
        <v>22405</v>
      </c>
      <c r="AV25" s="230">
        <v>32650</v>
      </c>
      <c r="AW25" s="230">
        <v>-10245</v>
      </c>
      <c r="AX25" s="229">
        <v>-0.31380000000000002</v>
      </c>
      <c r="AY25" s="230">
        <v>1106</v>
      </c>
      <c r="AZ25" s="230">
        <v>1745</v>
      </c>
      <c r="BA25" s="228">
        <v>-639</v>
      </c>
      <c r="BB25" s="229">
        <v>-0.36620000000000003</v>
      </c>
      <c r="BC25" s="228">
        <v>171</v>
      </c>
      <c r="BD25" s="228">
        <v>324</v>
      </c>
      <c r="BE25" s="228">
        <v>-153</v>
      </c>
      <c r="BF25" s="229">
        <v>-0.47220000000000001</v>
      </c>
      <c r="BG25" s="230">
        <v>63545</v>
      </c>
      <c r="BH25" s="230">
        <v>114129</v>
      </c>
      <c r="BI25" s="230">
        <v>-50584</v>
      </c>
      <c r="BJ25" s="229">
        <v>-0.44319999999999998</v>
      </c>
      <c r="BK25" s="230">
        <v>43824</v>
      </c>
      <c r="BL25" s="230">
        <v>65837</v>
      </c>
      <c r="BM25" s="230">
        <v>-22013</v>
      </c>
      <c r="BN25" s="229">
        <v>-0.33439999999999998</v>
      </c>
      <c r="BO25" s="230">
        <v>131051</v>
      </c>
      <c r="BP25" s="230">
        <v>214685</v>
      </c>
      <c r="BQ25" s="230">
        <v>-83634</v>
      </c>
      <c r="BR25" s="229">
        <v>-0.3896</v>
      </c>
      <c r="BS25" s="230">
        <v>10729143</v>
      </c>
      <c r="BT25" s="230">
        <v>15629654</v>
      </c>
      <c r="BU25" s="230">
        <v>-4900511</v>
      </c>
      <c r="BV25" s="229">
        <v>-0.3135</v>
      </c>
      <c r="BW25" s="230">
        <v>81372800</v>
      </c>
      <c r="BX25" s="230">
        <v>82105600</v>
      </c>
      <c r="BY25" s="230">
        <v>-732800</v>
      </c>
      <c r="BZ25" s="229">
        <v>-8.8999999999999999E-3</v>
      </c>
      <c r="CA25" s="230">
        <v>75771600</v>
      </c>
      <c r="CB25" s="230">
        <v>76567600</v>
      </c>
      <c r="CC25" s="230">
        <v>-796000</v>
      </c>
      <c r="CD25" s="229">
        <v>-1.04E-2</v>
      </c>
      <c r="CE25" s="230">
        <v>4098400</v>
      </c>
      <c r="CF25" s="230">
        <v>4051600</v>
      </c>
      <c r="CG25" s="230">
        <v>46800</v>
      </c>
      <c r="CH25" s="229">
        <v>1.1599999999999999E-2</v>
      </c>
      <c r="CI25" s="230">
        <v>1502800</v>
      </c>
      <c r="CJ25" s="230">
        <v>1486400</v>
      </c>
      <c r="CK25" s="230">
        <v>16400</v>
      </c>
      <c r="CL25" s="229">
        <v>1.0999999999999999E-2</v>
      </c>
      <c r="CM25" s="230">
        <v>37096800</v>
      </c>
      <c r="CN25" s="230">
        <v>36468800</v>
      </c>
      <c r="CO25" s="230">
        <v>628000</v>
      </c>
      <c r="CP25" s="229">
        <v>1.72E-2</v>
      </c>
      <c r="CQ25" s="230">
        <v>20236400</v>
      </c>
      <c r="CR25" s="230">
        <v>20654000</v>
      </c>
      <c r="CS25" s="230">
        <v>-417600</v>
      </c>
      <c r="CT25" s="229">
        <v>-2.0199999999999999E-2</v>
      </c>
      <c r="CU25" s="230">
        <v>138706000</v>
      </c>
      <c r="CV25" s="230">
        <v>139228400</v>
      </c>
      <c r="CW25" s="230">
        <v>-522400</v>
      </c>
      <c r="CX25" s="229">
        <v>-3.8E-3</v>
      </c>
      <c r="CY25" s="228">
        <v>32.81</v>
      </c>
      <c r="CZ25" s="228">
        <v>34.549999999999997</v>
      </c>
      <c r="DA25" s="228">
        <v>-1.74</v>
      </c>
      <c r="DB25" s="228">
        <v>-1.74</v>
      </c>
      <c r="DC25" s="228">
        <v>30.77</v>
      </c>
      <c r="DD25" s="228">
        <v>30.85</v>
      </c>
      <c r="DE25" s="228">
        <v>2.04</v>
      </c>
      <c r="DF25" s="228">
        <v>-0.08</v>
      </c>
      <c r="DG25" s="228">
        <v>31.45</v>
      </c>
      <c r="DH25" s="228">
        <v>32.950000000000003</v>
      </c>
      <c r="DI25" s="228">
        <v>-1.5</v>
      </c>
      <c r="DJ25" s="228">
        <v>-1.5</v>
      </c>
      <c r="DK25" s="228">
        <v>34.770000000000003</v>
      </c>
      <c r="DL25" s="228">
        <v>37.299999999999997</v>
      </c>
      <c r="DM25" s="228">
        <v>-2.5299999999999998</v>
      </c>
      <c r="DN25" s="228">
        <v>-2.5299999999999998</v>
      </c>
      <c r="DO25" s="228">
        <v>0.55000000000000004</v>
      </c>
      <c r="DP25" s="228">
        <v>0.56999999999999995</v>
      </c>
      <c r="DQ25" s="228">
        <v>-0.02</v>
      </c>
      <c r="DR25" s="229">
        <v>-3.5099999999999999E-2</v>
      </c>
      <c r="DS25" s="231">
        <v>1400</v>
      </c>
      <c r="DT25" s="231">
        <v>1280</v>
      </c>
      <c r="DU25" s="228">
        <v>0.69</v>
      </c>
      <c r="DV25" s="228">
        <v>0.57999999999999996</v>
      </c>
      <c r="DW25" s="228">
        <v>0.11</v>
      </c>
      <c r="DX25" s="229">
        <v>0.18970000000000001</v>
      </c>
      <c r="DY25" s="229">
        <v>6.88E-2</v>
      </c>
      <c r="DZ25" s="230">
        <v>5538000</v>
      </c>
      <c r="EA25" s="229">
        <v>3.3E-3</v>
      </c>
      <c r="EB25" s="229">
        <v>6.88E-2</v>
      </c>
      <c r="EC25" s="228">
        <v>4.09</v>
      </c>
      <c r="ED25" s="229">
        <v>3.0999999999999999E-3</v>
      </c>
      <c r="EE25" s="230">
        <v>4905342</v>
      </c>
      <c r="EF25" s="230">
        <v>8023647</v>
      </c>
      <c r="EG25" s="229">
        <v>-0.3886</v>
      </c>
      <c r="EH25" s="229">
        <v>0.4572</v>
      </c>
      <c r="EI25" s="231">
        <v>358999.95</v>
      </c>
      <c r="EJ25" s="231">
        <v>223473.47</v>
      </c>
      <c r="EK25" s="231">
        <v>123623.56</v>
      </c>
      <c r="EL25" s="231">
        <v>36394</v>
      </c>
      <c r="EM25" s="231">
        <v>706096.98</v>
      </c>
      <c r="EN25" s="231">
        <v>1161663.8600000001</v>
      </c>
      <c r="EO25" s="231">
        <v>-455566.88</v>
      </c>
      <c r="EP25" s="229">
        <v>-0.39219999999999999</v>
      </c>
      <c r="EQ25" s="231">
        <v>534511</v>
      </c>
      <c r="ER25" s="231">
        <v>262005</v>
      </c>
      <c r="ES25" s="231">
        <v>1065721</v>
      </c>
      <c r="ET25" s="231">
        <v>368703409</v>
      </c>
      <c r="EU25" s="231">
        <v>1862237</v>
      </c>
      <c r="EV25" s="231">
        <v>1870243</v>
      </c>
      <c r="EW25" s="231">
        <v>-8006</v>
      </c>
      <c r="EX25" s="229">
        <v>-4.3E-3</v>
      </c>
      <c r="EY25" s="229">
        <v>0.37619999999999998</v>
      </c>
    </row>
    <row r="26" spans="1:155" ht="17.25" thickBot="1" x14ac:dyDescent="0.3">
      <c r="A26" s="226">
        <v>46086</v>
      </c>
      <c r="B26" s="227" t="s">
        <v>168</v>
      </c>
      <c r="C26" s="227" t="s">
        <v>242</v>
      </c>
      <c r="D26" s="228">
        <v>312.89999999999998</v>
      </c>
      <c r="E26" s="228">
        <v>312.60000000000002</v>
      </c>
      <c r="F26" s="228">
        <v>0.3</v>
      </c>
      <c r="G26" s="229">
        <v>1E-3</v>
      </c>
      <c r="H26" s="228">
        <v>311.5</v>
      </c>
      <c r="I26" s="228">
        <v>311.95</v>
      </c>
      <c r="J26" s="228">
        <v>-0.45</v>
      </c>
      <c r="K26" s="229">
        <v>-1.4E-3</v>
      </c>
      <c r="L26" s="228">
        <v>312.89999999999998</v>
      </c>
      <c r="M26" s="228">
        <v>312.60000000000002</v>
      </c>
      <c r="N26" s="228">
        <v>0.3</v>
      </c>
      <c r="O26" s="229">
        <v>1E-3</v>
      </c>
      <c r="P26" s="228">
        <v>314.85000000000002</v>
      </c>
      <c r="Q26" s="228">
        <v>314.7</v>
      </c>
      <c r="R26" s="228">
        <v>0.15</v>
      </c>
      <c r="S26" s="229">
        <v>5.0000000000000001E-4</v>
      </c>
      <c r="T26" s="228">
        <v>316.35000000000002</v>
      </c>
      <c r="U26" s="228">
        <v>316.25</v>
      </c>
      <c r="V26" s="228">
        <v>0.1</v>
      </c>
      <c r="W26" s="229">
        <v>2.9999999999999997E-4</v>
      </c>
      <c r="X26" s="228">
        <v>1.4</v>
      </c>
      <c r="Y26" s="228">
        <v>0.65</v>
      </c>
      <c r="Z26" s="228">
        <v>0.75</v>
      </c>
      <c r="AA26" s="229">
        <v>4.4999999999999997E-3</v>
      </c>
      <c r="AB26" s="228">
        <v>1.4</v>
      </c>
      <c r="AC26" s="228">
        <v>0.65</v>
      </c>
      <c r="AD26" s="228">
        <v>0.75</v>
      </c>
      <c r="AE26" s="229">
        <v>4.4999999999999997E-3</v>
      </c>
      <c r="AF26" s="228">
        <v>3.35</v>
      </c>
      <c r="AG26" s="228">
        <v>2.75</v>
      </c>
      <c r="AH26" s="228">
        <v>0.6</v>
      </c>
      <c r="AI26" s="229">
        <v>1.0800000000000001E-2</v>
      </c>
      <c r="AJ26" s="228">
        <v>4.8499999999999996</v>
      </c>
      <c r="AK26" s="228">
        <v>4.3</v>
      </c>
      <c r="AL26" s="228">
        <v>0.55000000000000004</v>
      </c>
      <c r="AM26" s="229">
        <v>1.5599999999999999E-2</v>
      </c>
      <c r="AN26" s="228">
        <v>311.74</v>
      </c>
      <c r="AO26" s="228">
        <v>313.57</v>
      </c>
      <c r="AP26" s="228">
        <v>0</v>
      </c>
      <c r="AQ26" s="230">
        <v>9489</v>
      </c>
      <c r="AR26" s="230">
        <v>11037</v>
      </c>
      <c r="AS26" s="230">
        <v>-1548</v>
      </c>
      <c r="AT26" s="229">
        <v>-0.14030000000000001</v>
      </c>
      <c r="AU26" s="230">
        <v>8322</v>
      </c>
      <c r="AV26" s="230">
        <v>10230</v>
      </c>
      <c r="AW26" s="230">
        <v>-1908</v>
      </c>
      <c r="AX26" s="229">
        <v>-0.1865</v>
      </c>
      <c r="AY26" s="228">
        <v>991</v>
      </c>
      <c r="AZ26" s="228">
        <v>664</v>
      </c>
      <c r="BA26" s="228">
        <v>327</v>
      </c>
      <c r="BB26" s="229">
        <v>0.49249999999999999</v>
      </c>
      <c r="BC26" s="228">
        <v>176</v>
      </c>
      <c r="BD26" s="228">
        <v>143</v>
      </c>
      <c r="BE26" s="228">
        <v>33</v>
      </c>
      <c r="BF26" s="229">
        <v>0.23080000000000001</v>
      </c>
      <c r="BG26" s="230">
        <v>61854</v>
      </c>
      <c r="BH26" s="230">
        <v>56069</v>
      </c>
      <c r="BI26" s="230">
        <v>5785</v>
      </c>
      <c r="BJ26" s="229">
        <v>0.1032</v>
      </c>
      <c r="BK26" s="230">
        <v>17784</v>
      </c>
      <c r="BL26" s="230">
        <v>23894</v>
      </c>
      <c r="BM26" s="230">
        <v>-6110</v>
      </c>
      <c r="BN26" s="229">
        <v>-0.25569999999999998</v>
      </c>
      <c r="BO26" s="230">
        <v>89127</v>
      </c>
      <c r="BP26" s="230">
        <v>91000</v>
      </c>
      <c r="BQ26" s="230">
        <v>-1873</v>
      </c>
      <c r="BR26" s="229">
        <v>-2.06E-2</v>
      </c>
      <c r="BS26" s="230">
        <v>20911201</v>
      </c>
      <c r="BT26" s="230">
        <v>25786267</v>
      </c>
      <c r="BU26" s="230">
        <v>-4875066</v>
      </c>
      <c r="BV26" s="229">
        <v>-0.18909999999999999</v>
      </c>
      <c r="BW26" s="230">
        <v>167980800</v>
      </c>
      <c r="BX26" s="230">
        <v>168883200</v>
      </c>
      <c r="BY26" s="230">
        <v>-902400</v>
      </c>
      <c r="BZ26" s="229">
        <v>-5.3E-3</v>
      </c>
      <c r="CA26" s="230">
        <v>157585600</v>
      </c>
      <c r="CB26" s="230">
        <v>159222400</v>
      </c>
      <c r="CC26" s="230">
        <v>-1636800</v>
      </c>
      <c r="CD26" s="229">
        <v>-1.03E-2</v>
      </c>
      <c r="CE26" s="230">
        <v>9508800</v>
      </c>
      <c r="CF26" s="230">
        <v>8899200</v>
      </c>
      <c r="CG26" s="230">
        <v>609600</v>
      </c>
      <c r="CH26" s="229">
        <v>6.8500000000000005E-2</v>
      </c>
      <c r="CI26" s="230">
        <v>886400</v>
      </c>
      <c r="CJ26" s="230">
        <v>761600</v>
      </c>
      <c r="CK26" s="230">
        <v>124800</v>
      </c>
      <c r="CL26" s="229">
        <v>0.16389999999999999</v>
      </c>
      <c r="CM26" s="230">
        <v>111120000</v>
      </c>
      <c r="CN26" s="230">
        <v>107451200</v>
      </c>
      <c r="CO26" s="230">
        <v>3668800</v>
      </c>
      <c r="CP26" s="229">
        <v>3.4099999999999998E-2</v>
      </c>
      <c r="CQ26" s="230">
        <v>49862400</v>
      </c>
      <c r="CR26" s="230">
        <v>48870400</v>
      </c>
      <c r="CS26" s="230">
        <v>992000</v>
      </c>
      <c r="CT26" s="229">
        <v>2.0299999999999999E-2</v>
      </c>
      <c r="CU26" s="230">
        <v>328963200</v>
      </c>
      <c r="CV26" s="230">
        <v>325204800</v>
      </c>
      <c r="CW26" s="230">
        <v>3758400</v>
      </c>
      <c r="CX26" s="229">
        <v>1.1599999999999999E-2</v>
      </c>
      <c r="CY26" s="228">
        <v>20.47</v>
      </c>
      <c r="CZ26" s="228">
        <v>20.97</v>
      </c>
      <c r="DA26" s="228">
        <v>-0.5</v>
      </c>
      <c r="DB26" s="228">
        <v>-0.5</v>
      </c>
      <c r="DC26" s="228">
        <v>24.35</v>
      </c>
      <c r="DD26" s="228">
        <v>24.41</v>
      </c>
      <c r="DE26" s="228">
        <v>-3.88</v>
      </c>
      <c r="DF26" s="228">
        <v>-0.06</v>
      </c>
      <c r="DG26" s="228">
        <v>20.81</v>
      </c>
      <c r="DH26" s="228">
        <v>21.05</v>
      </c>
      <c r="DI26" s="228">
        <v>-0.24</v>
      </c>
      <c r="DJ26" s="228">
        <v>-0.24</v>
      </c>
      <c r="DK26" s="228">
        <v>19.28</v>
      </c>
      <c r="DL26" s="228">
        <v>20.77</v>
      </c>
      <c r="DM26" s="228">
        <v>-1.49</v>
      </c>
      <c r="DN26" s="228">
        <v>-1.49</v>
      </c>
      <c r="DO26" s="228">
        <v>0.45</v>
      </c>
      <c r="DP26" s="228">
        <v>0.45</v>
      </c>
      <c r="DQ26" s="228">
        <v>0</v>
      </c>
      <c r="DR26" s="229">
        <v>0</v>
      </c>
      <c r="DS26" s="228">
        <v>320</v>
      </c>
      <c r="DT26" s="228">
        <v>320</v>
      </c>
      <c r="DU26" s="228">
        <v>0.28999999999999998</v>
      </c>
      <c r="DV26" s="228">
        <v>0.43</v>
      </c>
      <c r="DW26" s="228">
        <v>-0.14000000000000001</v>
      </c>
      <c r="DX26" s="229">
        <v>-0.3256</v>
      </c>
      <c r="DY26" s="229">
        <v>6.1899999999999997E-2</v>
      </c>
      <c r="DZ26" s="230">
        <v>9660800</v>
      </c>
      <c r="EA26" s="229">
        <v>6.1999999999999998E-3</v>
      </c>
      <c r="EB26" s="229">
        <v>6.1899999999999997E-2</v>
      </c>
      <c r="EC26" s="228">
        <v>1.83</v>
      </c>
      <c r="ED26" s="229">
        <v>5.8999999999999999E-3</v>
      </c>
      <c r="EE26" s="230">
        <v>12014817</v>
      </c>
      <c r="EF26" s="230">
        <v>17442361</v>
      </c>
      <c r="EG26" s="229">
        <v>-0.31119999999999998</v>
      </c>
      <c r="EH26" s="229">
        <v>0.5746</v>
      </c>
      <c r="EI26" s="231">
        <v>328924.08</v>
      </c>
      <c r="EJ26" s="231">
        <v>89106.26</v>
      </c>
      <c r="EK26" s="231">
        <v>47367.54</v>
      </c>
      <c r="EL26" s="231">
        <v>9883</v>
      </c>
      <c r="EM26" s="231">
        <v>465397.88</v>
      </c>
      <c r="EN26" s="231">
        <v>470982.35</v>
      </c>
      <c r="EO26" s="231">
        <v>-5584.47</v>
      </c>
      <c r="EP26" s="229">
        <v>-1.1900000000000001E-2</v>
      </c>
      <c r="EQ26" s="231">
        <v>373268</v>
      </c>
      <c r="ER26" s="231">
        <v>160771</v>
      </c>
      <c r="ES26" s="231">
        <v>525828</v>
      </c>
      <c r="ET26" s="231">
        <v>1252401670</v>
      </c>
      <c r="EU26" s="231">
        <v>1059867</v>
      </c>
      <c r="EV26" s="231">
        <v>1047443</v>
      </c>
      <c r="EW26" s="231">
        <v>12424</v>
      </c>
      <c r="EX26" s="229">
        <v>1.1900000000000001E-2</v>
      </c>
      <c r="EY26" s="229">
        <v>0.26269999999999999</v>
      </c>
    </row>
    <row r="27" spans="1:155" ht="17.25" thickBot="1" x14ac:dyDescent="0.3">
      <c r="A27" s="226">
        <v>46086</v>
      </c>
      <c r="B27" s="227" t="s">
        <v>175</v>
      </c>
      <c r="C27" s="227" t="s">
        <v>570</v>
      </c>
      <c r="D27" s="228">
        <v>244.1</v>
      </c>
      <c r="E27" s="228">
        <v>242</v>
      </c>
      <c r="F27" s="228">
        <v>2.1</v>
      </c>
      <c r="G27" s="229">
        <v>8.6999999999999994E-3</v>
      </c>
      <c r="H27" s="228">
        <v>243.1</v>
      </c>
      <c r="I27" s="228">
        <v>241.3</v>
      </c>
      <c r="J27" s="228">
        <v>1.8</v>
      </c>
      <c r="K27" s="229">
        <v>7.4999999999999997E-3</v>
      </c>
      <c r="L27" s="228">
        <v>244.1</v>
      </c>
      <c r="M27" s="228">
        <v>242</v>
      </c>
      <c r="N27" s="228">
        <v>2.1</v>
      </c>
      <c r="O27" s="229">
        <v>8.6999999999999994E-3</v>
      </c>
      <c r="P27" s="228">
        <v>245.65</v>
      </c>
      <c r="Q27" s="228">
        <v>243.5</v>
      </c>
      <c r="R27" s="228">
        <v>2.15</v>
      </c>
      <c r="S27" s="229">
        <v>8.8000000000000005E-3</v>
      </c>
      <c r="T27" s="228">
        <v>247</v>
      </c>
      <c r="U27" s="228">
        <v>244.7</v>
      </c>
      <c r="V27" s="228">
        <v>2.2999999999999998</v>
      </c>
      <c r="W27" s="229">
        <v>9.4000000000000004E-3</v>
      </c>
      <c r="X27" s="228">
        <v>1</v>
      </c>
      <c r="Y27" s="228">
        <v>0.7</v>
      </c>
      <c r="Z27" s="228">
        <v>0.3</v>
      </c>
      <c r="AA27" s="229">
        <v>4.1000000000000003E-3</v>
      </c>
      <c r="AB27" s="228">
        <v>1</v>
      </c>
      <c r="AC27" s="228">
        <v>0.7</v>
      </c>
      <c r="AD27" s="228">
        <v>0.3</v>
      </c>
      <c r="AE27" s="229">
        <v>4.1000000000000003E-3</v>
      </c>
      <c r="AF27" s="228">
        <v>2.5499999999999998</v>
      </c>
      <c r="AG27" s="228">
        <v>2.2000000000000002</v>
      </c>
      <c r="AH27" s="228">
        <v>0.35</v>
      </c>
      <c r="AI27" s="229">
        <v>1.0500000000000001E-2</v>
      </c>
      <c r="AJ27" s="228">
        <v>3.9</v>
      </c>
      <c r="AK27" s="228">
        <v>3.4</v>
      </c>
      <c r="AL27" s="228">
        <v>0.5</v>
      </c>
      <c r="AM27" s="229">
        <v>1.6E-2</v>
      </c>
      <c r="AN27" s="228">
        <v>242.08</v>
      </c>
      <c r="AO27" s="228">
        <v>243.04</v>
      </c>
      <c r="AP27" s="228">
        <v>0</v>
      </c>
      <c r="AQ27" s="230">
        <v>9151</v>
      </c>
      <c r="AR27" s="230">
        <v>7966</v>
      </c>
      <c r="AS27" s="230">
        <v>1185</v>
      </c>
      <c r="AT27" s="229">
        <v>0.14879999999999999</v>
      </c>
      <c r="AU27" s="230">
        <v>7262</v>
      </c>
      <c r="AV27" s="230">
        <v>6421</v>
      </c>
      <c r="AW27" s="228">
        <v>841</v>
      </c>
      <c r="AX27" s="229">
        <v>0.13100000000000001</v>
      </c>
      <c r="AY27" s="230">
        <v>1665</v>
      </c>
      <c r="AZ27" s="230">
        <v>1285</v>
      </c>
      <c r="BA27" s="228">
        <v>380</v>
      </c>
      <c r="BB27" s="229">
        <v>0.29570000000000002</v>
      </c>
      <c r="BC27" s="228">
        <v>224</v>
      </c>
      <c r="BD27" s="228">
        <v>260</v>
      </c>
      <c r="BE27" s="228">
        <v>-36</v>
      </c>
      <c r="BF27" s="229">
        <v>-0.13850000000000001</v>
      </c>
      <c r="BG27" s="230">
        <v>19281</v>
      </c>
      <c r="BH27" s="230">
        <v>17675</v>
      </c>
      <c r="BI27" s="230">
        <v>1606</v>
      </c>
      <c r="BJ27" s="229">
        <v>9.0899999999999995E-2</v>
      </c>
      <c r="BK27" s="230">
        <v>9164</v>
      </c>
      <c r="BL27" s="230">
        <v>11347</v>
      </c>
      <c r="BM27" s="230">
        <v>-2183</v>
      </c>
      <c r="BN27" s="229">
        <v>-0.19239999999999999</v>
      </c>
      <c r="BO27" s="230">
        <v>37596</v>
      </c>
      <c r="BP27" s="230">
        <v>36988</v>
      </c>
      <c r="BQ27" s="228">
        <v>608</v>
      </c>
      <c r="BR27" s="229">
        <v>1.6400000000000001E-2</v>
      </c>
      <c r="BS27" s="230">
        <v>14394497</v>
      </c>
      <c r="BT27" s="230">
        <v>14734583</v>
      </c>
      <c r="BU27" s="230">
        <v>-340086</v>
      </c>
      <c r="BV27" s="229">
        <v>-2.3099999999999999E-2</v>
      </c>
      <c r="BW27" s="230">
        <v>172863650</v>
      </c>
      <c r="BX27" s="230">
        <v>172078750</v>
      </c>
      <c r="BY27" s="230">
        <v>784900</v>
      </c>
      <c r="BZ27" s="229">
        <v>4.5999999999999999E-3</v>
      </c>
      <c r="CA27" s="230">
        <v>161141850</v>
      </c>
      <c r="CB27" s="230">
        <v>162288650</v>
      </c>
      <c r="CC27" s="230">
        <v>-1146800</v>
      </c>
      <c r="CD27" s="229">
        <v>-7.1000000000000004E-3</v>
      </c>
      <c r="CE27" s="230">
        <v>10755950</v>
      </c>
      <c r="CF27" s="230">
        <v>9031050</v>
      </c>
      <c r="CG27" s="230">
        <v>1724900</v>
      </c>
      <c r="CH27" s="229">
        <v>0.191</v>
      </c>
      <c r="CI27" s="230">
        <v>965850</v>
      </c>
      <c r="CJ27" s="230">
        <v>759050</v>
      </c>
      <c r="CK27" s="230">
        <v>206800</v>
      </c>
      <c r="CL27" s="229">
        <v>0.27239999999999998</v>
      </c>
      <c r="CM27" s="230">
        <v>45293900</v>
      </c>
      <c r="CN27" s="230">
        <v>42567900</v>
      </c>
      <c r="CO27" s="230">
        <v>2726000</v>
      </c>
      <c r="CP27" s="229">
        <v>6.4000000000000001E-2</v>
      </c>
      <c r="CQ27" s="230">
        <v>36321600</v>
      </c>
      <c r="CR27" s="230">
        <v>35508500</v>
      </c>
      <c r="CS27" s="230">
        <v>813100</v>
      </c>
      <c r="CT27" s="229">
        <v>2.29E-2</v>
      </c>
      <c r="CU27" s="230">
        <v>254479150</v>
      </c>
      <c r="CV27" s="230">
        <v>250155150</v>
      </c>
      <c r="CW27" s="230">
        <v>4324000</v>
      </c>
      <c r="CX27" s="229">
        <v>1.7299999999999999E-2</v>
      </c>
      <c r="CY27" s="228">
        <v>31.16</v>
      </c>
      <c r="CZ27" s="228">
        <v>34.24</v>
      </c>
      <c r="DA27" s="228">
        <v>-3.08</v>
      </c>
      <c r="DB27" s="228">
        <v>-3.08</v>
      </c>
      <c r="DC27" s="228">
        <v>34.81</v>
      </c>
      <c r="DD27" s="228">
        <v>34.869999999999997</v>
      </c>
      <c r="DE27" s="228">
        <v>-3.65</v>
      </c>
      <c r="DF27" s="228">
        <v>-0.06</v>
      </c>
      <c r="DG27" s="228">
        <v>30.93</v>
      </c>
      <c r="DH27" s="228">
        <v>33.76</v>
      </c>
      <c r="DI27" s="228">
        <v>-2.83</v>
      </c>
      <c r="DJ27" s="228">
        <v>-2.83</v>
      </c>
      <c r="DK27" s="228">
        <v>31.66</v>
      </c>
      <c r="DL27" s="228">
        <v>34.979999999999997</v>
      </c>
      <c r="DM27" s="228">
        <v>-3.32</v>
      </c>
      <c r="DN27" s="228">
        <v>-3.32</v>
      </c>
      <c r="DO27" s="228">
        <v>0.8</v>
      </c>
      <c r="DP27" s="228">
        <v>0.83</v>
      </c>
      <c r="DQ27" s="228">
        <v>-0.03</v>
      </c>
      <c r="DR27" s="229">
        <v>-3.61E-2</v>
      </c>
      <c r="DS27" s="228">
        <v>300</v>
      </c>
      <c r="DT27" s="228">
        <v>260</v>
      </c>
      <c r="DU27" s="228">
        <v>0.48</v>
      </c>
      <c r="DV27" s="228">
        <v>0.64</v>
      </c>
      <c r="DW27" s="228">
        <v>-0.16</v>
      </c>
      <c r="DX27" s="229">
        <v>-0.25</v>
      </c>
      <c r="DY27" s="229">
        <v>6.7799999999999999E-2</v>
      </c>
      <c r="DZ27" s="230">
        <v>9790100</v>
      </c>
      <c r="EA27" s="229">
        <v>6.3E-3</v>
      </c>
      <c r="EB27" s="229">
        <v>6.7799999999999999E-2</v>
      </c>
      <c r="EC27" s="228">
        <v>0.96</v>
      </c>
      <c r="ED27" s="229">
        <v>4.0000000000000001E-3</v>
      </c>
      <c r="EE27" s="230">
        <v>6654802</v>
      </c>
      <c r="EF27" s="230">
        <v>7093116</v>
      </c>
      <c r="EG27" s="229">
        <v>-6.1800000000000001E-2</v>
      </c>
      <c r="EH27" s="229">
        <v>0.46229999999999999</v>
      </c>
      <c r="EI27" s="231">
        <v>118493.04</v>
      </c>
      <c r="EJ27" s="231">
        <v>52105.58</v>
      </c>
      <c r="EK27" s="231">
        <v>52111.73</v>
      </c>
      <c r="EL27" s="231">
        <v>6227</v>
      </c>
      <c r="EM27" s="231">
        <v>222710.35</v>
      </c>
      <c r="EN27" s="231">
        <v>219799.26</v>
      </c>
      <c r="EO27" s="231">
        <v>2911.09</v>
      </c>
      <c r="EP27" s="229">
        <v>1.32E-2</v>
      </c>
      <c r="EQ27" s="231">
        <v>123533</v>
      </c>
      <c r="ER27" s="231">
        <v>95414</v>
      </c>
      <c r="ES27" s="231">
        <v>422155</v>
      </c>
      <c r="ET27" s="231">
        <v>355358091</v>
      </c>
      <c r="EU27" s="231">
        <v>641102</v>
      </c>
      <c r="EV27" s="231">
        <v>626821</v>
      </c>
      <c r="EW27" s="231">
        <v>14281</v>
      </c>
      <c r="EX27" s="229">
        <v>2.2800000000000001E-2</v>
      </c>
      <c r="EY27" s="229">
        <v>0.71609999999999996</v>
      </c>
    </row>
    <row r="28" spans="1:155" ht="17.25" thickBot="1" x14ac:dyDescent="0.3">
      <c r="A28" s="226">
        <v>46086</v>
      </c>
      <c r="B28" s="227" t="s">
        <v>227</v>
      </c>
      <c r="C28" s="227" t="s">
        <v>244</v>
      </c>
      <c r="D28" s="231">
        <v>1251.2</v>
      </c>
      <c r="E28" s="231">
        <v>1216.9000000000001</v>
      </c>
      <c r="F28" s="228">
        <v>34.299999999999997</v>
      </c>
      <c r="G28" s="229">
        <v>2.8199999999999999E-2</v>
      </c>
      <c r="H28" s="231">
        <v>1248.0999999999999</v>
      </c>
      <c r="I28" s="231">
        <v>1213</v>
      </c>
      <c r="J28" s="228">
        <v>35.1</v>
      </c>
      <c r="K28" s="229">
        <v>2.8899999999999999E-2</v>
      </c>
      <c r="L28" s="231">
        <v>1251.2</v>
      </c>
      <c r="M28" s="231">
        <v>1216.9000000000001</v>
      </c>
      <c r="N28" s="228">
        <v>34.299999999999997</v>
      </c>
      <c r="O28" s="229">
        <v>2.8199999999999999E-2</v>
      </c>
      <c r="P28" s="231">
        <v>1259.0999999999999</v>
      </c>
      <c r="Q28" s="231">
        <v>1224.5</v>
      </c>
      <c r="R28" s="228">
        <v>34.6</v>
      </c>
      <c r="S28" s="229">
        <v>2.8299999999999999E-2</v>
      </c>
      <c r="T28" s="231">
        <v>1269</v>
      </c>
      <c r="U28" s="231">
        <v>1218.9000000000001</v>
      </c>
      <c r="V28" s="228">
        <v>50.1</v>
      </c>
      <c r="W28" s="229">
        <v>4.1099999999999998E-2</v>
      </c>
      <c r="X28" s="228">
        <v>3.1</v>
      </c>
      <c r="Y28" s="228">
        <v>3.9</v>
      </c>
      <c r="Z28" s="228">
        <v>-0.8</v>
      </c>
      <c r="AA28" s="229">
        <v>2.5000000000000001E-3</v>
      </c>
      <c r="AB28" s="228">
        <v>3.1</v>
      </c>
      <c r="AC28" s="228">
        <v>3.9</v>
      </c>
      <c r="AD28" s="228">
        <v>-0.8</v>
      </c>
      <c r="AE28" s="229">
        <v>2.5000000000000001E-3</v>
      </c>
      <c r="AF28" s="228">
        <v>11</v>
      </c>
      <c r="AG28" s="228">
        <v>11.5</v>
      </c>
      <c r="AH28" s="228">
        <v>-0.5</v>
      </c>
      <c r="AI28" s="229">
        <v>8.8000000000000005E-3</v>
      </c>
      <c r="AJ28" s="228">
        <v>20.9</v>
      </c>
      <c r="AK28" s="228">
        <v>5.9</v>
      </c>
      <c r="AL28" s="228">
        <v>15</v>
      </c>
      <c r="AM28" s="229">
        <v>1.67E-2</v>
      </c>
      <c r="AN28" s="231">
        <v>1238.6400000000001</v>
      </c>
      <c r="AO28" s="231">
        <v>1249.52</v>
      </c>
      <c r="AP28" s="228">
        <v>0</v>
      </c>
      <c r="AQ28" s="230">
        <v>10150</v>
      </c>
      <c r="AR28" s="230">
        <v>8952</v>
      </c>
      <c r="AS28" s="230">
        <v>1198</v>
      </c>
      <c r="AT28" s="229">
        <v>0.1338</v>
      </c>
      <c r="AU28" s="230">
        <v>8716</v>
      </c>
      <c r="AV28" s="230">
        <v>8705</v>
      </c>
      <c r="AW28" s="228">
        <v>11</v>
      </c>
      <c r="AX28" s="229">
        <v>1.2999999999999999E-3</v>
      </c>
      <c r="AY28" s="230">
        <v>1427</v>
      </c>
      <c r="AZ28" s="228">
        <v>230</v>
      </c>
      <c r="BA28" s="230">
        <v>1197</v>
      </c>
      <c r="BB28" s="229">
        <v>5.2042999999999999</v>
      </c>
      <c r="BC28" s="228">
        <v>7</v>
      </c>
      <c r="BD28" s="228">
        <v>17</v>
      </c>
      <c r="BE28" s="228">
        <v>-10</v>
      </c>
      <c r="BF28" s="229">
        <v>-0.58819999999999995</v>
      </c>
      <c r="BG28" s="230">
        <v>13528</v>
      </c>
      <c r="BH28" s="230">
        <v>13455</v>
      </c>
      <c r="BI28" s="228">
        <v>73</v>
      </c>
      <c r="BJ28" s="229">
        <v>5.4000000000000003E-3</v>
      </c>
      <c r="BK28" s="230">
        <v>7417</v>
      </c>
      <c r="BL28" s="230">
        <v>14101</v>
      </c>
      <c r="BM28" s="230">
        <v>-6684</v>
      </c>
      <c r="BN28" s="229">
        <v>-0.47399999999999998</v>
      </c>
      <c r="BO28" s="230">
        <v>31095</v>
      </c>
      <c r="BP28" s="230">
        <v>36508</v>
      </c>
      <c r="BQ28" s="230">
        <v>-5413</v>
      </c>
      <c r="BR28" s="229">
        <v>-0.14829999999999999</v>
      </c>
      <c r="BS28" s="230">
        <v>1744474</v>
      </c>
      <c r="BT28" s="230">
        <v>1787175</v>
      </c>
      <c r="BU28" s="230">
        <v>-42701</v>
      </c>
      <c r="BV28" s="229">
        <v>-2.3900000000000001E-2</v>
      </c>
      <c r="BW28" s="230">
        <v>53298675</v>
      </c>
      <c r="BX28" s="230">
        <v>53104950</v>
      </c>
      <c r="BY28" s="230">
        <v>193725</v>
      </c>
      <c r="BZ28" s="229">
        <v>3.5999999999999999E-3</v>
      </c>
      <c r="CA28" s="230">
        <v>52285500</v>
      </c>
      <c r="CB28" s="230">
        <v>52965900</v>
      </c>
      <c r="CC28" s="230">
        <v>-680400</v>
      </c>
      <c r="CD28" s="229">
        <v>-1.2800000000000001E-2</v>
      </c>
      <c r="CE28" s="230">
        <v>994950</v>
      </c>
      <c r="CF28" s="230">
        <v>120150</v>
      </c>
      <c r="CG28" s="230">
        <v>874800</v>
      </c>
      <c r="CH28" s="229">
        <v>7.2808999999999999</v>
      </c>
      <c r="CI28" s="230">
        <v>18225</v>
      </c>
      <c r="CJ28" s="230">
        <v>18900</v>
      </c>
      <c r="CK28" s="228">
        <v>-675</v>
      </c>
      <c r="CL28" s="229">
        <v>-3.5700000000000003E-2</v>
      </c>
      <c r="CM28" s="230">
        <v>5942700</v>
      </c>
      <c r="CN28" s="230">
        <v>5595075</v>
      </c>
      <c r="CO28" s="230">
        <v>347625</v>
      </c>
      <c r="CP28" s="229">
        <v>6.2100000000000002E-2</v>
      </c>
      <c r="CQ28" s="230">
        <v>3553200</v>
      </c>
      <c r="CR28" s="230">
        <v>3306150</v>
      </c>
      <c r="CS28" s="230">
        <v>247050</v>
      </c>
      <c r="CT28" s="229">
        <v>7.4700000000000003E-2</v>
      </c>
      <c r="CU28" s="230">
        <v>62794575</v>
      </c>
      <c r="CV28" s="230">
        <v>62006175</v>
      </c>
      <c r="CW28" s="230">
        <v>788400</v>
      </c>
      <c r="CX28" s="229">
        <v>1.2699999999999999E-2</v>
      </c>
      <c r="CY28" s="228">
        <v>26.62</v>
      </c>
      <c r="CZ28" s="228">
        <v>29.22</v>
      </c>
      <c r="DA28" s="228">
        <v>-2.6</v>
      </c>
      <c r="DB28" s="228">
        <v>-2.6</v>
      </c>
      <c r="DC28" s="228">
        <v>29.59</v>
      </c>
      <c r="DD28" s="228">
        <v>29.42</v>
      </c>
      <c r="DE28" s="228">
        <v>-2.97</v>
      </c>
      <c r="DF28" s="228">
        <v>0.17</v>
      </c>
      <c r="DG28" s="228">
        <v>25.83</v>
      </c>
      <c r="DH28" s="228">
        <v>27.79</v>
      </c>
      <c r="DI28" s="228">
        <v>-1.96</v>
      </c>
      <c r="DJ28" s="228">
        <v>-1.96</v>
      </c>
      <c r="DK28" s="228">
        <v>28.06</v>
      </c>
      <c r="DL28" s="228">
        <v>30.58</v>
      </c>
      <c r="DM28" s="228">
        <v>-2.52</v>
      </c>
      <c r="DN28" s="228">
        <v>-2.52</v>
      </c>
      <c r="DO28" s="228">
        <v>0.6</v>
      </c>
      <c r="DP28" s="228">
        <v>0.59</v>
      </c>
      <c r="DQ28" s="228">
        <v>0.01</v>
      </c>
      <c r="DR28" s="229">
        <v>1.6899999999999998E-2</v>
      </c>
      <c r="DS28" s="231">
        <v>1300</v>
      </c>
      <c r="DT28" s="231">
        <v>1200</v>
      </c>
      <c r="DU28" s="228">
        <v>0.55000000000000004</v>
      </c>
      <c r="DV28" s="228">
        <v>1.05</v>
      </c>
      <c r="DW28" s="228">
        <v>-0.5</v>
      </c>
      <c r="DX28" s="229">
        <v>-0.47620000000000001</v>
      </c>
      <c r="DY28" s="229">
        <v>1.9E-2</v>
      </c>
      <c r="DZ28" s="230">
        <v>139050</v>
      </c>
      <c r="EA28" s="229">
        <v>6.3E-3</v>
      </c>
      <c r="EB28" s="229">
        <v>1.9E-2</v>
      </c>
      <c r="EC28" s="228">
        <v>10.88</v>
      </c>
      <c r="ED28" s="229">
        <v>8.8000000000000005E-3</v>
      </c>
      <c r="EE28" s="230">
        <v>723098</v>
      </c>
      <c r="EF28" s="230">
        <v>599213</v>
      </c>
      <c r="EG28" s="229">
        <v>0.20669999999999999</v>
      </c>
      <c r="EH28" s="229">
        <v>0.41449999999999998</v>
      </c>
      <c r="EI28" s="231">
        <v>120145.34</v>
      </c>
      <c r="EJ28" s="231">
        <v>60270.76</v>
      </c>
      <c r="EK28" s="231">
        <v>84968.06</v>
      </c>
      <c r="EL28" s="231">
        <v>4896</v>
      </c>
      <c r="EM28" s="231">
        <v>265384.15999999997</v>
      </c>
      <c r="EN28" s="231">
        <v>308438.03000000003</v>
      </c>
      <c r="EO28" s="231">
        <v>-43053.87</v>
      </c>
      <c r="EP28" s="229">
        <v>-0.1396</v>
      </c>
      <c r="EQ28" s="231">
        <v>78593</v>
      </c>
      <c r="ER28" s="231">
        <v>42573</v>
      </c>
      <c r="ES28" s="231">
        <v>666955</v>
      </c>
      <c r="ET28" s="231">
        <v>133434355</v>
      </c>
      <c r="EU28" s="231">
        <v>788121</v>
      </c>
      <c r="EV28" s="231">
        <v>759878</v>
      </c>
      <c r="EW28" s="231">
        <v>28243</v>
      </c>
      <c r="EX28" s="229">
        <v>3.7199999999999997E-2</v>
      </c>
      <c r="EY28" s="229">
        <v>0.47060000000000002</v>
      </c>
    </row>
    <row r="29" spans="1:155" ht="17.25" thickBot="1" x14ac:dyDescent="0.3">
      <c r="A29" s="226">
        <v>46086</v>
      </c>
      <c r="B29" s="227" t="s">
        <v>172</v>
      </c>
      <c r="C29" s="227" t="s">
        <v>246</v>
      </c>
      <c r="D29" s="228">
        <v>409.15</v>
      </c>
      <c r="E29" s="228">
        <v>405.3</v>
      </c>
      <c r="F29" s="228">
        <v>3.85</v>
      </c>
      <c r="G29" s="229">
        <v>9.4999999999999998E-3</v>
      </c>
      <c r="H29" s="228">
        <v>407.3</v>
      </c>
      <c r="I29" s="228">
        <v>403.35</v>
      </c>
      <c r="J29" s="228">
        <v>3.95</v>
      </c>
      <c r="K29" s="229">
        <v>9.7999999999999997E-3</v>
      </c>
      <c r="L29" s="228">
        <v>409.15</v>
      </c>
      <c r="M29" s="228">
        <v>405.3</v>
      </c>
      <c r="N29" s="228">
        <v>3.85</v>
      </c>
      <c r="O29" s="229">
        <v>9.4999999999999998E-3</v>
      </c>
      <c r="P29" s="228">
        <v>412.1</v>
      </c>
      <c r="Q29" s="228">
        <v>407.85</v>
      </c>
      <c r="R29" s="228">
        <v>4.25</v>
      </c>
      <c r="S29" s="229">
        <v>1.04E-2</v>
      </c>
      <c r="T29" s="228">
        <v>414.2</v>
      </c>
      <c r="U29" s="228">
        <v>409.95</v>
      </c>
      <c r="V29" s="228">
        <v>4.25</v>
      </c>
      <c r="W29" s="229">
        <v>1.04E-2</v>
      </c>
      <c r="X29" s="228">
        <v>1.85</v>
      </c>
      <c r="Y29" s="228">
        <v>1.95</v>
      </c>
      <c r="Z29" s="228">
        <v>-0.1</v>
      </c>
      <c r="AA29" s="229">
        <v>4.4999999999999997E-3</v>
      </c>
      <c r="AB29" s="228">
        <v>1.85</v>
      </c>
      <c r="AC29" s="228">
        <v>1.95</v>
      </c>
      <c r="AD29" s="228">
        <v>-0.1</v>
      </c>
      <c r="AE29" s="229">
        <v>4.4999999999999997E-3</v>
      </c>
      <c r="AF29" s="228">
        <v>4.8</v>
      </c>
      <c r="AG29" s="228">
        <v>4.5</v>
      </c>
      <c r="AH29" s="228">
        <v>0.3</v>
      </c>
      <c r="AI29" s="229">
        <v>1.18E-2</v>
      </c>
      <c r="AJ29" s="228">
        <v>6.9</v>
      </c>
      <c r="AK29" s="228">
        <v>6.6</v>
      </c>
      <c r="AL29" s="228">
        <v>0.3</v>
      </c>
      <c r="AM29" s="229">
        <v>1.6899999999999998E-2</v>
      </c>
      <c r="AN29" s="228">
        <v>408</v>
      </c>
      <c r="AO29" s="228">
        <v>411.71</v>
      </c>
      <c r="AP29" s="228">
        <v>0</v>
      </c>
      <c r="AQ29" s="230">
        <v>11314</v>
      </c>
      <c r="AR29" s="230">
        <v>13826</v>
      </c>
      <c r="AS29" s="230">
        <v>-2512</v>
      </c>
      <c r="AT29" s="229">
        <v>-0.1817</v>
      </c>
      <c r="AU29" s="230">
        <v>10829</v>
      </c>
      <c r="AV29" s="230">
        <v>13171</v>
      </c>
      <c r="AW29" s="230">
        <v>-2342</v>
      </c>
      <c r="AX29" s="229">
        <v>-0.17780000000000001</v>
      </c>
      <c r="AY29" s="228">
        <v>460</v>
      </c>
      <c r="AZ29" s="228">
        <v>566</v>
      </c>
      <c r="BA29" s="228">
        <v>-106</v>
      </c>
      <c r="BB29" s="229">
        <v>-0.18729999999999999</v>
      </c>
      <c r="BC29" s="228">
        <v>25</v>
      </c>
      <c r="BD29" s="228">
        <v>89</v>
      </c>
      <c r="BE29" s="228">
        <v>-64</v>
      </c>
      <c r="BF29" s="229">
        <v>-0.71909999999999996</v>
      </c>
      <c r="BG29" s="230">
        <v>11151</v>
      </c>
      <c r="BH29" s="230">
        <v>16247</v>
      </c>
      <c r="BI29" s="230">
        <v>-5096</v>
      </c>
      <c r="BJ29" s="229">
        <v>-0.31369999999999998</v>
      </c>
      <c r="BK29" s="230">
        <v>7179</v>
      </c>
      <c r="BL29" s="230">
        <v>9953</v>
      </c>
      <c r="BM29" s="230">
        <v>-2774</v>
      </c>
      <c r="BN29" s="229">
        <v>-0.2787</v>
      </c>
      <c r="BO29" s="230">
        <v>29644</v>
      </c>
      <c r="BP29" s="230">
        <v>40026</v>
      </c>
      <c r="BQ29" s="230">
        <v>-10382</v>
      </c>
      <c r="BR29" s="229">
        <v>-0.25940000000000002</v>
      </c>
      <c r="BS29" s="230">
        <v>15128662</v>
      </c>
      <c r="BT29" s="230">
        <v>18925294</v>
      </c>
      <c r="BU29" s="230">
        <v>-3796632</v>
      </c>
      <c r="BV29" s="229">
        <v>-0.2006</v>
      </c>
      <c r="BW29" s="230">
        <v>202876000</v>
      </c>
      <c r="BX29" s="230">
        <v>199482000</v>
      </c>
      <c r="BY29" s="230">
        <v>3394000</v>
      </c>
      <c r="BZ29" s="229">
        <v>1.7000000000000001E-2</v>
      </c>
      <c r="CA29" s="230">
        <v>199930000</v>
      </c>
      <c r="CB29" s="230">
        <v>197022000</v>
      </c>
      <c r="CC29" s="230">
        <v>2908000</v>
      </c>
      <c r="CD29" s="229">
        <v>1.4800000000000001E-2</v>
      </c>
      <c r="CE29" s="230">
        <v>2632000</v>
      </c>
      <c r="CF29" s="230">
        <v>2160000</v>
      </c>
      <c r="CG29" s="230">
        <v>472000</v>
      </c>
      <c r="CH29" s="229">
        <v>0.2185</v>
      </c>
      <c r="CI29" s="230">
        <v>314000</v>
      </c>
      <c r="CJ29" s="230">
        <v>300000</v>
      </c>
      <c r="CK29" s="230">
        <v>14000</v>
      </c>
      <c r="CL29" s="229">
        <v>4.6699999999999998E-2</v>
      </c>
      <c r="CM29" s="230">
        <v>30366000</v>
      </c>
      <c r="CN29" s="230">
        <v>29116000</v>
      </c>
      <c r="CO29" s="230">
        <v>1250000</v>
      </c>
      <c r="CP29" s="229">
        <v>4.2900000000000001E-2</v>
      </c>
      <c r="CQ29" s="230">
        <v>19744000</v>
      </c>
      <c r="CR29" s="230">
        <v>20304000</v>
      </c>
      <c r="CS29" s="230">
        <v>-560000</v>
      </c>
      <c r="CT29" s="229">
        <v>-2.76E-2</v>
      </c>
      <c r="CU29" s="230">
        <v>252986000</v>
      </c>
      <c r="CV29" s="230">
        <v>248902000</v>
      </c>
      <c r="CW29" s="230">
        <v>4084000</v>
      </c>
      <c r="CX29" s="229">
        <v>1.6400000000000001E-2</v>
      </c>
      <c r="CY29" s="228">
        <v>20.09</v>
      </c>
      <c r="CZ29" s="228">
        <v>22.64</v>
      </c>
      <c r="DA29" s="228">
        <v>-2.5499999999999998</v>
      </c>
      <c r="DB29" s="228">
        <v>-2.5499999999999998</v>
      </c>
      <c r="DC29" s="228">
        <v>25.39</v>
      </c>
      <c r="DD29" s="228">
        <v>25.42</v>
      </c>
      <c r="DE29" s="228">
        <v>-5.3</v>
      </c>
      <c r="DF29" s="228">
        <v>-0.03</v>
      </c>
      <c r="DG29" s="228">
        <v>19.920000000000002</v>
      </c>
      <c r="DH29" s="228">
        <v>22.06</v>
      </c>
      <c r="DI29" s="228">
        <v>-2.14</v>
      </c>
      <c r="DJ29" s="228">
        <v>-2.14</v>
      </c>
      <c r="DK29" s="228">
        <v>20.34</v>
      </c>
      <c r="DL29" s="228">
        <v>23.58</v>
      </c>
      <c r="DM29" s="228">
        <v>-3.24</v>
      </c>
      <c r="DN29" s="228">
        <v>-3.24</v>
      </c>
      <c r="DO29" s="228">
        <v>0.65</v>
      </c>
      <c r="DP29" s="228">
        <v>0.7</v>
      </c>
      <c r="DQ29" s="228">
        <v>-0.05</v>
      </c>
      <c r="DR29" s="229">
        <v>-7.1400000000000005E-2</v>
      </c>
      <c r="DS29" s="228">
        <v>440</v>
      </c>
      <c r="DT29" s="228">
        <v>400</v>
      </c>
      <c r="DU29" s="228">
        <v>0.64</v>
      </c>
      <c r="DV29" s="228">
        <v>0.61</v>
      </c>
      <c r="DW29" s="228">
        <v>0.03</v>
      </c>
      <c r="DX29" s="229">
        <v>4.9200000000000001E-2</v>
      </c>
      <c r="DY29" s="229">
        <v>1.4500000000000001E-2</v>
      </c>
      <c r="DZ29" s="230">
        <v>2460000</v>
      </c>
      <c r="EA29" s="229">
        <v>7.1999999999999998E-3</v>
      </c>
      <c r="EB29" s="229">
        <v>1.4500000000000001E-2</v>
      </c>
      <c r="EC29" s="228">
        <v>3.71</v>
      </c>
      <c r="ED29" s="229">
        <v>9.1000000000000004E-3</v>
      </c>
      <c r="EE29" s="230">
        <v>10765936</v>
      </c>
      <c r="EF29" s="230">
        <v>13546762</v>
      </c>
      <c r="EG29" s="229">
        <v>-0.20530000000000001</v>
      </c>
      <c r="EH29" s="229">
        <v>0.71160000000000001</v>
      </c>
      <c r="EI29" s="231">
        <v>94399.19</v>
      </c>
      <c r="EJ29" s="231">
        <v>58559.83</v>
      </c>
      <c r="EK29" s="231">
        <v>92359.08</v>
      </c>
      <c r="EL29" s="231">
        <v>9803</v>
      </c>
      <c r="EM29" s="231">
        <v>245318.1</v>
      </c>
      <c r="EN29" s="231">
        <v>333340.96999999997</v>
      </c>
      <c r="EO29" s="231">
        <v>-88022.87</v>
      </c>
      <c r="EP29" s="229">
        <v>-0.2641</v>
      </c>
      <c r="EQ29" s="231">
        <v>131731</v>
      </c>
      <c r="ER29" s="231">
        <v>80532</v>
      </c>
      <c r="ES29" s="231">
        <v>830161</v>
      </c>
      <c r="ET29" s="231">
        <v>781025350</v>
      </c>
      <c r="EU29" s="231">
        <v>1042424</v>
      </c>
      <c r="EV29" s="231">
        <v>1017969</v>
      </c>
      <c r="EW29" s="231">
        <v>24455</v>
      </c>
      <c r="EX29" s="229">
        <v>2.4E-2</v>
      </c>
      <c r="EY29" s="229">
        <v>0.32390000000000002</v>
      </c>
    </row>
    <row r="30" spans="1:155" ht="17.25" thickBot="1" x14ac:dyDescent="0.3">
      <c r="A30" s="226">
        <v>46086</v>
      </c>
      <c r="B30" s="227" t="s">
        <v>184</v>
      </c>
      <c r="C30" s="227" t="s">
        <v>249</v>
      </c>
      <c r="D30" s="231">
        <v>4039.9</v>
      </c>
      <c r="E30" s="231">
        <v>3888.8</v>
      </c>
      <c r="F30" s="228">
        <v>151.1</v>
      </c>
      <c r="G30" s="229">
        <v>3.8899999999999997E-2</v>
      </c>
      <c r="H30" s="231">
        <v>4038.7</v>
      </c>
      <c r="I30" s="231">
        <v>3882.6</v>
      </c>
      <c r="J30" s="228">
        <v>156.1</v>
      </c>
      <c r="K30" s="229">
        <v>4.02E-2</v>
      </c>
      <c r="L30" s="231">
        <v>4039.9</v>
      </c>
      <c r="M30" s="231">
        <v>3888.8</v>
      </c>
      <c r="N30" s="228">
        <v>151.1</v>
      </c>
      <c r="O30" s="229">
        <v>3.8899999999999997E-2</v>
      </c>
      <c r="P30" s="231">
        <v>4062.7</v>
      </c>
      <c r="Q30" s="231">
        <v>3913.4</v>
      </c>
      <c r="R30" s="228">
        <v>149.30000000000001</v>
      </c>
      <c r="S30" s="229">
        <v>3.8199999999999998E-2</v>
      </c>
      <c r="T30" s="231">
        <v>4077.3</v>
      </c>
      <c r="U30" s="231">
        <v>3934.2</v>
      </c>
      <c r="V30" s="228">
        <v>143.1</v>
      </c>
      <c r="W30" s="229">
        <v>3.6400000000000002E-2</v>
      </c>
      <c r="X30" s="228">
        <v>1.2</v>
      </c>
      <c r="Y30" s="228">
        <v>6.2</v>
      </c>
      <c r="Z30" s="228">
        <v>-5</v>
      </c>
      <c r="AA30" s="229">
        <v>2.9999999999999997E-4</v>
      </c>
      <c r="AB30" s="228">
        <v>1.2</v>
      </c>
      <c r="AC30" s="228">
        <v>6.2</v>
      </c>
      <c r="AD30" s="228">
        <v>-5</v>
      </c>
      <c r="AE30" s="229">
        <v>2.9999999999999997E-4</v>
      </c>
      <c r="AF30" s="228">
        <v>24</v>
      </c>
      <c r="AG30" s="228">
        <v>30.8</v>
      </c>
      <c r="AH30" s="228">
        <v>-6.8</v>
      </c>
      <c r="AI30" s="229">
        <v>5.8999999999999999E-3</v>
      </c>
      <c r="AJ30" s="228">
        <v>38.6</v>
      </c>
      <c r="AK30" s="228">
        <v>51.6</v>
      </c>
      <c r="AL30" s="228">
        <v>-13</v>
      </c>
      <c r="AM30" s="229">
        <v>9.5999999999999992E-3</v>
      </c>
      <c r="AN30" s="231">
        <v>4005.12</v>
      </c>
      <c r="AO30" s="231">
        <v>4024.43</v>
      </c>
      <c r="AP30" s="228">
        <v>0</v>
      </c>
      <c r="AQ30" s="230">
        <v>36340</v>
      </c>
      <c r="AR30" s="230">
        <v>33189</v>
      </c>
      <c r="AS30" s="230">
        <v>3151</v>
      </c>
      <c r="AT30" s="229">
        <v>9.4899999999999998E-2</v>
      </c>
      <c r="AU30" s="230">
        <v>34682</v>
      </c>
      <c r="AV30" s="230">
        <v>31006</v>
      </c>
      <c r="AW30" s="230">
        <v>3676</v>
      </c>
      <c r="AX30" s="229">
        <v>0.1186</v>
      </c>
      <c r="AY30" s="230">
        <v>1443</v>
      </c>
      <c r="AZ30" s="230">
        <v>1687</v>
      </c>
      <c r="BA30" s="228">
        <v>-244</v>
      </c>
      <c r="BB30" s="229">
        <v>-0.14460000000000001</v>
      </c>
      <c r="BC30" s="228">
        <v>215</v>
      </c>
      <c r="BD30" s="228">
        <v>496</v>
      </c>
      <c r="BE30" s="228">
        <v>-281</v>
      </c>
      <c r="BF30" s="229">
        <v>-0.5665</v>
      </c>
      <c r="BG30" s="230">
        <v>130358</v>
      </c>
      <c r="BH30" s="230">
        <v>143132</v>
      </c>
      <c r="BI30" s="230">
        <v>-12774</v>
      </c>
      <c r="BJ30" s="229">
        <v>-8.9200000000000002E-2</v>
      </c>
      <c r="BK30" s="230">
        <v>79956</v>
      </c>
      <c r="BL30" s="230">
        <v>102296</v>
      </c>
      <c r="BM30" s="230">
        <v>-22340</v>
      </c>
      <c r="BN30" s="229">
        <v>-0.21840000000000001</v>
      </c>
      <c r="BO30" s="230">
        <v>246654</v>
      </c>
      <c r="BP30" s="230">
        <v>278617</v>
      </c>
      <c r="BQ30" s="230">
        <v>-31963</v>
      </c>
      <c r="BR30" s="229">
        <v>-0.1147</v>
      </c>
      <c r="BS30" s="230">
        <v>5190796</v>
      </c>
      <c r="BT30" s="230">
        <v>7980441</v>
      </c>
      <c r="BU30" s="230">
        <v>-2789645</v>
      </c>
      <c r="BV30" s="229">
        <v>-0.34960000000000002</v>
      </c>
      <c r="BW30" s="230">
        <v>13587875</v>
      </c>
      <c r="BX30" s="230">
        <v>13707225</v>
      </c>
      <c r="BY30" s="230">
        <v>-119350</v>
      </c>
      <c r="BZ30" s="229">
        <v>-8.6999999999999994E-3</v>
      </c>
      <c r="CA30" s="230">
        <v>13182750</v>
      </c>
      <c r="CB30" s="230">
        <v>13315050</v>
      </c>
      <c r="CC30" s="230">
        <v>-132300</v>
      </c>
      <c r="CD30" s="229">
        <v>-9.9000000000000008E-3</v>
      </c>
      <c r="CE30" s="230">
        <v>340375</v>
      </c>
      <c r="CF30" s="230">
        <v>330050</v>
      </c>
      <c r="CG30" s="230">
        <v>10325</v>
      </c>
      <c r="CH30" s="229">
        <v>3.1300000000000001E-2</v>
      </c>
      <c r="CI30" s="230">
        <v>64750</v>
      </c>
      <c r="CJ30" s="230">
        <v>62125</v>
      </c>
      <c r="CK30" s="230">
        <v>2625</v>
      </c>
      <c r="CL30" s="229">
        <v>4.2299999999999997E-2</v>
      </c>
      <c r="CM30" s="230">
        <v>10235400</v>
      </c>
      <c r="CN30" s="230">
        <v>9792300</v>
      </c>
      <c r="CO30" s="230">
        <v>443100</v>
      </c>
      <c r="CP30" s="229">
        <v>4.5199999999999997E-2</v>
      </c>
      <c r="CQ30" s="230">
        <v>6207075</v>
      </c>
      <c r="CR30" s="230">
        <v>5176675</v>
      </c>
      <c r="CS30" s="230">
        <v>1030400</v>
      </c>
      <c r="CT30" s="229">
        <v>0.19900000000000001</v>
      </c>
      <c r="CU30" s="230">
        <v>30030350</v>
      </c>
      <c r="CV30" s="230">
        <v>28676200</v>
      </c>
      <c r="CW30" s="230">
        <v>1354150</v>
      </c>
      <c r="CX30" s="229">
        <v>4.7199999999999999E-2</v>
      </c>
      <c r="CY30" s="228">
        <v>24.46</v>
      </c>
      <c r="CZ30" s="228">
        <v>31.05</v>
      </c>
      <c r="DA30" s="228">
        <v>-6.59</v>
      </c>
      <c r="DB30" s="228">
        <v>-6.59</v>
      </c>
      <c r="DC30" s="228">
        <v>28.38</v>
      </c>
      <c r="DD30" s="228">
        <v>27.95</v>
      </c>
      <c r="DE30" s="228">
        <v>-3.92</v>
      </c>
      <c r="DF30" s="228">
        <v>0.43</v>
      </c>
      <c r="DG30" s="228">
        <v>22.3</v>
      </c>
      <c r="DH30" s="228">
        <v>28.83</v>
      </c>
      <c r="DI30" s="228">
        <v>-6.53</v>
      </c>
      <c r="DJ30" s="228">
        <v>-6.53</v>
      </c>
      <c r="DK30" s="228">
        <v>27.98</v>
      </c>
      <c r="DL30" s="228">
        <v>34.15</v>
      </c>
      <c r="DM30" s="228">
        <v>-6.17</v>
      </c>
      <c r="DN30" s="228">
        <v>-6.17</v>
      </c>
      <c r="DO30" s="228">
        <v>0.61</v>
      </c>
      <c r="DP30" s="228">
        <v>0.53</v>
      </c>
      <c r="DQ30" s="228">
        <v>0.08</v>
      </c>
      <c r="DR30" s="229">
        <v>0.15090000000000001</v>
      </c>
      <c r="DS30" s="231">
        <v>4100</v>
      </c>
      <c r="DT30" s="231">
        <v>3900</v>
      </c>
      <c r="DU30" s="228">
        <v>0.61</v>
      </c>
      <c r="DV30" s="228">
        <v>0.71</v>
      </c>
      <c r="DW30" s="228">
        <v>-0.1</v>
      </c>
      <c r="DX30" s="229">
        <v>-0.14080000000000001</v>
      </c>
      <c r="DY30" s="229">
        <v>2.98E-2</v>
      </c>
      <c r="DZ30" s="230">
        <v>392175</v>
      </c>
      <c r="EA30" s="229">
        <v>5.5999999999999999E-3</v>
      </c>
      <c r="EB30" s="229">
        <v>2.98E-2</v>
      </c>
      <c r="EC30" s="228">
        <v>19.309999999999999</v>
      </c>
      <c r="ED30" s="229">
        <v>4.7999999999999996E-3</v>
      </c>
      <c r="EE30" s="230">
        <v>2658006</v>
      </c>
      <c r="EF30" s="230">
        <v>4189866</v>
      </c>
      <c r="EG30" s="229">
        <v>-0.36559999999999998</v>
      </c>
      <c r="EH30" s="229">
        <v>0.5121</v>
      </c>
      <c r="EI30" s="231">
        <v>954547.14</v>
      </c>
      <c r="EJ30" s="231">
        <v>540707.23</v>
      </c>
      <c r="EK30" s="231">
        <v>254766.01</v>
      </c>
      <c r="EL30" s="231">
        <v>20040</v>
      </c>
      <c r="EM30" s="231">
        <v>1750020.38</v>
      </c>
      <c r="EN30" s="231">
        <v>1944136.66</v>
      </c>
      <c r="EO30" s="231">
        <v>-194116.28</v>
      </c>
      <c r="EP30" s="229">
        <v>-9.98E-2</v>
      </c>
      <c r="EQ30" s="231">
        <v>426768</v>
      </c>
      <c r="ER30" s="231">
        <v>243507</v>
      </c>
      <c r="ES30" s="231">
        <v>549038</v>
      </c>
      <c r="ET30" s="231">
        <v>136109374</v>
      </c>
      <c r="EU30" s="231">
        <v>1219313</v>
      </c>
      <c r="EV30" s="231">
        <v>1143871</v>
      </c>
      <c r="EW30" s="231">
        <v>75442</v>
      </c>
      <c r="EX30" s="229">
        <v>6.6000000000000003E-2</v>
      </c>
      <c r="EY30" s="229">
        <v>0.22059999999999999</v>
      </c>
    </row>
    <row r="31" spans="1:155" ht="17.25" thickBot="1" x14ac:dyDescent="0.3">
      <c r="A31" s="226">
        <v>46086</v>
      </c>
      <c r="B31" s="227" t="s">
        <v>162</v>
      </c>
      <c r="C31" s="227" t="s">
        <v>251</v>
      </c>
      <c r="D31" s="231">
        <v>3352.8</v>
      </c>
      <c r="E31" s="231">
        <v>3278.2</v>
      </c>
      <c r="F31" s="228">
        <v>74.599999999999994</v>
      </c>
      <c r="G31" s="229">
        <v>2.2800000000000001E-2</v>
      </c>
      <c r="H31" s="231">
        <v>3348</v>
      </c>
      <c r="I31" s="231">
        <v>3264.3</v>
      </c>
      <c r="J31" s="228">
        <v>83.7</v>
      </c>
      <c r="K31" s="229">
        <v>2.5600000000000001E-2</v>
      </c>
      <c r="L31" s="231">
        <v>3352.8</v>
      </c>
      <c r="M31" s="231">
        <v>3278.2</v>
      </c>
      <c r="N31" s="228">
        <v>74.599999999999994</v>
      </c>
      <c r="O31" s="229">
        <v>2.2800000000000001E-2</v>
      </c>
      <c r="P31" s="231">
        <v>3376.2</v>
      </c>
      <c r="Q31" s="231">
        <v>3297.1</v>
      </c>
      <c r="R31" s="228">
        <v>79.099999999999994</v>
      </c>
      <c r="S31" s="229">
        <v>2.4E-2</v>
      </c>
      <c r="T31" s="231">
        <v>3397.7</v>
      </c>
      <c r="U31" s="231">
        <v>3310.6</v>
      </c>
      <c r="V31" s="228">
        <v>87.1</v>
      </c>
      <c r="W31" s="229">
        <v>2.63E-2</v>
      </c>
      <c r="X31" s="228">
        <v>4.8</v>
      </c>
      <c r="Y31" s="228">
        <v>13.9</v>
      </c>
      <c r="Z31" s="228">
        <v>-9.1</v>
      </c>
      <c r="AA31" s="229">
        <v>1.4E-3</v>
      </c>
      <c r="AB31" s="228">
        <v>4.8</v>
      </c>
      <c r="AC31" s="228">
        <v>13.9</v>
      </c>
      <c r="AD31" s="228">
        <v>-9.1</v>
      </c>
      <c r="AE31" s="229">
        <v>1.4E-3</v>
      </c>
      <c r="AF31" s="228">
        <v>28.2</v>
      </c>
      <c r="AG31" s="228">
        <v>32.799999999999997</v>
      </c>
      <c r="AH31" s="228">
        <v>-4.5999999999999996</v>
      </c>
      <c r="AI31" s="229">
        <v>8.3999999999999995E-3</v>
      </c>
      <c r="AJ31" s="228">
        <v>49.7</v>
      </c>
      <c r="AK31" s="228">
        <v>46.3</v>
      </c>
      <c r="AL31" s="228">
        <v>3.4</v>
      </c>
      <c r="AM31" s="229">
        <v>1.4800000000000001E-2</v>
      </c>
      <c r="AN31" s="231">
        <v>3323.13</v>
      </c>
      <c r="AO31" s="231">
        <v>3341.28</v>
      </c>
      <c r="AP31" s="228">
        <v>0</v>
      </c>
      <c r="AQ31" s="230">
        <v>11621</v>
      </c>
      <c r="AR31" s="230">
        <v>12452</v>
      </c>
      <c r="AS31" s="228">
        <v>-831</v>
      </c>
      <c r="AT31" s="229">
        <v>-6.6699999999999995E-2</v>
      </c>
      <c r="AU31" s="230">
        <v>11067</v>
      </c>
      <c r="AV31" s="230">
        <v>11426</v>
      </c>
      <c r="AW31" s="228">
        <v>-359</v>
      </c>
      <c r="AX31" s="229">
        <v>-3.1399999999999997E-2</v>
      </c>
      <c r="AY31" s="228">
        <v>465</v>
      </c>
      <c r="AZ31" s="228">
        <v>736</v>
      </c>
      <c r="BA31" s="228">
        <v>-271</v>
      </c>
      <c r="BB31" s="229">
        <v>-0.36820000000000003</v>
      </c>
      <c r="BC31" s="228">
        <v>89</v>
      </c>
      <c r="BD31" s="228">
        <v>290</v>
      </c>
      <c r="BE31" s="228">
        <v>-201</v>
      </c>
      <c r="BF31" s="229">
        <v>-0.69310000000000005</v>
      </c>
      <c r="BG31" s="230">
        <v>29015</v>
      </c>
      <c r="BH31" s="230">
        <v>28072</v>
      </c>
      <c r="BI31" s="228">
        <v>943</v>
      </c>
      <c r="BJ31" s="229">
        <v>3.3599999999999998E-2</v>
      </c>
      <c r="BK31" s="230">
        <v>18957</v>
      </c>
      <c r="BL31" s="230">
        <v>22715</v>
      </c>
      <c r="BM31" s="230">
        <v>-3758</v>
      </c>
      <c r="BN31" s="229">
        <v>-0.16539999999999999</v>
      </c>
      <c r="BO31" s="230">
        <v>59593</v>
      </c>
      <c r="BP31" s="230">
        <v>63239</v>
      </c>
      <c r="BQ31" s="230">
        <v>-3646</v>
      </c>
      <c r="BR31" s="229">
        <v>-5.7700000000000001E-2</v>
      </c>
      <c r="BS31" s="230">
        <v>2378494</v>
      </c>
      <c r="BT31" s="230">
        <v>4697824</v>
      </c>
      <c r="BU31" s="230">
        <v>-2319330</v>
      </c>
      <c r="BV31" s="229">
        <v>-0.49370000000000003</v>
      </c>
      <c r="BW31" s="230">
        <v>17978400</v>
      </c>
      <c r="BX31" s="230">
        <v>18477200</v>
      </c>
      <c r="BY31" s="230">
        <v>-498800</v>
      </c>
      <c r="BZ31" s="229">
        <v>-2.7E-2</v>
      </c>
      <c r="CA31" s="230">
        <v>17627400</v>
      </c>
      <c r="CB31" s="230">
        <v>18122400</v>
      </c>
      <c r="CC31" s="230">
        <v>-495000</v>
      </c>
      <c r="CD31" s="229">
        <v>-2.7300000000000001E-2</v>
      </c>
      <c r="CE31" s="230">
        <v>281400</v>
      </c>
      <c r="CF31" s="230">
        <v>292400</v>
      </c>
      <c r="CG31" s="230">
        <v>-11000</v>
      </c>
      <c r="CH31" s="229">
        <v>-3.7600000000000001E-2</v>
      </c>
      <c r="CI31" s="230">
        <v>69600</v>
      </c>
      <c r="CJ31" s="230">
        <v>62400</v>
      </c>
      <c r="CK31" s="230">
        <v>7200</v>
      </c>
      <c r="CL31" s="229">
        <v>0.1154</v>
      </c>
      <c r="CM31" s="230">
        <v>4852800</v>
      </c>
      <c r="CN31" s="230">
        <v>4898200</v>
      </c>
      <c r="CO31" s="230">
        <v>-45400</v>
      </c>
      <c r="CP31" s="229">
        <v>-9.2999999999999992E-3</v>
      </c>
      <c r="CQ31" s="230">
        <v>3119400</v>
      </c>
      <c r="CR31" s="230">
        <v>3138800</v>
      </c>
      <c r="CS31" s="230">
        <v>-19400</v>
      </c>
      <c r="CT31" s="229">
        <v>-6.1999999999999998E-3</v>
      </c>
      <c r="CU31" s="230">
        <v>25950600</v>
      </c>
      <c r="CV31" s="230">
        <v>26514200</v>
      </c>
      <c r="CW31" s="230">
        <v>-563600</v>
      </c>
      <c r="CX31" s="229">
        <v>-2.1299999999999999E-2</v>
      </c>
      <c r="CY31" s="228">
        <v>27.17</v>
      </c>
      <c r="CZ31" s="228">
        <v>30.91</v>
      </c>
      <c r="DA31" s="228">
        <v>-3.74</v>
      </c>
      <c r="DB31" s="228">
        <v>-3.74</v>
      </c>
      <c r="DC31" s="228">
        <v>31.36</v>
      </c>
      <c r="DD31" s="228">
        <v>31.25</v>
      </c>
      <c r="DE31" s="228">
        <v>-4.1900000000000004</v>
      </c>
      <c r="DF31" s="228">
        <v>0.11</v>
      </c>
      <c r="DG31" s="228">
        <v>26.02</v>
      </c>
      <c r="DH31" s="228">
        <v>29.89</v>
      </c>
      <c r="DI31" s="228">
        <v>-3.87</v>
      </c>
      <c r="DJ31" s="228">
        <v>-3.87</v>
      </c>
      <c r="DK31" s="228">
        <v>28.92</v>
      </c>
      <c r="DL31" s="228">
        <v>32.17</v>
      </c>
      <c r="DM31" s="228">
        <v>-3.25</v>
      </c>
      <c r="DN31" s="228">
        <v>-3.25</v>
      </c>
      <c r="DO31" s="228">
        <v>0.64</v>
      </c>
      <c r="DP31" s="228">
        <v>0.64</v>
      </c>
      <c r="DQ31" s="228">
        <v>0</v>
      </c>
      <c r="DR31" s="229">
        <v>0</v>
      </c>
      <c r="DS31" s="231">
        <v>4000</v>
      </c>
      <c r="DT31" s="231">
        <v>3400</v>
      </c>
      <c r="DU31" s="228">
        <v>0.65</v>
      </c>
      <c r="DV31" s="228">
        <v>0.81</v>
      </c>
      <c r="DW31" s="228">
        <v>-0.16</v>
      </c>
      <c r="DX31" s="229">
        <v>-0.19750000000000001</v>
      </c>
      <c r="DY31" s="229">
        <v>1.95E-2</v>
      </c>
      <c r="DZ31" s="230">
        <v>354800</v>
      </c>
      <c r="EA31" s="229">
        <v>7.0000000000000001E-3</v>
      </c>
      <c r="EB31" s="229">
        <v>1.95E-2</v>
      </c>
      <c r="EC31" s="228">
        <v>18.149999999999999</v>
      </c>
      <c r="ED31" s="229">
        <v>5.4999999999999997E-3</v>
      </c>
      <c r="EE31" s="230">
        <v>1482197</v>
      </c>
      <c r="EF31" s="230">
        <v>2994220</v>
      </c>
      <c r="EG31" s="229">
        <v>-0.505</v>
      </c>
      <c r="EH31" s="229">
        <v>0.62319999999999998</v>
      </c>
      <c r="EI31" s="231">
        <v>204340.54</v>
      </c>
      <c r="EJ31" s="231">
        <v>123024.13</v>
      </c>
      <c r="EK31" s="231">
        <v>77259.58</v>
      </c>
      <c r="EL31" s="231">
        <v>10699</v>
      </c>
      <c r="EM31" s="231">
        <v>404624.25</v>
      </c>
      <c r="EN31" s="231">
        <v>425422.56</v>
      </c>
      <c r="EO31" s="231">
        <v>-20798.310000000001</v>
      </c>
      <c r="EP31" s="229">
        <v>-4.8899999999999999E-2</v>
      </c>
      <c r="EQ31" s="231">
        <v>176924</v>
      </c>
      <c r="ER31" s="231">
        <v>104182</v>
      </c>
      <c r="ES31" s="231">
        <v>602877</v>
      </c>
      <c r="ET31" s="231">
        <v>95452027</v>
      </c>
      <c r="EU31" s="231">
        <v>883982</v>
      </c>
      <c r="EV31" s="231">
        <v>889403</v>
      </c>
      <c r="EW31" s="231">
        <v>-5421</v>
      </c>
      <c r="EX31" s="229">
        <v>-6.1000000000000004E-3</v>
      </c>
      <c r="EY31" s="229">
        <v>0.27189999999999998</v>
      </c>
    </row>
    <row r="32" spans="1:155" ht="17.25" thickBot="1" x14ac:dyDescent="0.3">
      <c r="A32" s="226">
        <v>46086</v>
      </c>
      <c r="B32" s="227" t="s">
        <v>162</v>
      </c>
      <c r="C32" s="227" t="s">
        <v>255</v>
      </c>
      <c r="D32" s="231">
        <v>14439</v>
      </c>
      <c r="E32" s="231">
        <v>14185</v>
      </c>
      <c r="F32" s="228">
        <v>254</v>
      </c>
      <c r="G32" s="229">
        <v>1.7899999999999999E-2</v>
      </c>
      <c r="H32" s="231">
        <v>14415</v>
      </c>
      <c r="I32" s="231">
        <v>14158</v>
      </c>
      <c r="J32" s="228">
        <v>257</v>
      </c>
      <c r="K32" s="229">
        <v>1.8200000000000001E-2</v>
      </c>
      <c r="L32" s="231">
        <v>14439</v>
      </c>
      <c r="M32" s="231">
        <v>14185</v>
      </c>
      <c r="N32" s="228">
        <v>254</v>
      </c>
      <c r="O32" s="229">
        <v>1.7899999999999999E-2</v>
      </c>
      <c r="P32" s="231">
        <v>14526</v>
      </c>
      <c r="Q32" s="231">
        <v>14272</v>
      </c>
      <c r="R32" s="228">
        <v>254</v>
      </c>
      <c r="S32" s="229">
        <v>1.78E-2</v>
      </c>
      <c r="T32" s="231">
        <v>14628</v>
      </c>
      <c r="U32" s="231">
        <v>14346</v>
      </c>
      <c r="V32" s="228">
        <v>282</v>
      </c>
      <c r="W32" s="229">
        <v>1.9699999999999999E-2</v>
      </c>
      <c r="X32" s="228">
        <v>24</v>
      </c>
      <c r="Y32" s="228">
        <v>27</v>
      </c>
      <c r="Z32" s="228">
        <v>-3</v>
      </c>
      <c r="AA32" s="229">
        <v>1.6999999999999999E-3</v>
      </c>
      <c r="AB32" s="228">
        <v>24</v>
      </c>
      <c r="AC32" s="228">
        <v>27</v>
      </c>
      <c r="AD32" s="228">
        <v>-3</v>
      </c>
      <c r="AE32" s="229">
        <v>1.6999999999999999E-3</v>
      </c>
      <c r="AF32" s="228">
        <v>111</v>
      </c>
      <c r="AG32" s="228">
        <v>114</v>
      </c>
      <c r="AH32" s="228">
        <v>-3</v>
      </c>
      <c r="AI32" s="229">
        <v>7.7000000000000002E-3</v>
      </c>
      <c r="AJ32" s="228">
        <v>213</v>
      </c>
      <c r="AK32" s="228">
        <v>188</v>
      </c>
      <c r="AL32" s="228">
        <v>25</v>
      </c>
      <c r="AM32" s="229">
        <v>1.4800000000000001E-2</v>
      </c>
      <c r="AN32" s="231">
        <v>14332.14</v>
      </c>
      <c r="AO32" s="231">
        <v>14412.85</v>
      </c>
      <c r="AP32" s="228">
        <v>0</v>
      </c>
      <c r="AQ32" s="230">
        <v>8540</v>
      </c>
      <c r="AR32" s="230">
        <v>12191</v>
      </c>
      <c r="AS32" s="230">
        <v>-3651</v>
      </c>
      <c r="AT32" s="229">
        <v>-0.29949999999999999</v>
      </c>
      <c r="AU32" s="230">
        <v>8117</v>
      </c>
      <c r="AV32" s="230">
        <v>11650</v>
      </c>
      <c r="AW32" s="230">
        <v>-3533</v>
      </c>
      <c r="AX32" s="229">
        <v>-0.30330000000000001</v>
      </c>
      <c r="AY32" s="228">
        <v>369</v>
      </c>
      <c r="AZ32" s="228">
        <v>424</v>
      </c>
      <c r="BA32" s="228">
        <v>-55</v>
      </c>
      <c r="BB32" s="229">
        <v>-0.12970000000000001</v>
      </c>
      <c r="BC32" s="228">
        <v>54</v>
      </c>
      <c r="BD32" s="228">
        <v>117</v>
      </c>
      <c r="BE32" s="228">
        <v>-63</v>
      </c>
      <c r="BF32" s="229">
        <v>-0.53849999999999998</v>
      </c>
      <c r="BG32" s="230">
        <v>45577</v>
      </c>
      <c r="BH32" s="230">
        <v>70070</v>
      </c>
      <c r="BI32" s="230">
        <v>-24493</v>
      </c>
      <c r="BJ32" s="229">
        <v>-0.34960000000000002</v>
      </c>
      <c r="BK32" s="230">
        <v>27607</v>
      </c>
      <c r="BL32" s="230">
        <v>56013</v>
      </c>
      <c r="BM32" s="230">
        <v>-28406</v>
      </c>
      <c r="BN32" s="229">
        <v>-0.5071</v>
      </c>
      <c r="BO32" s="230">
        <v>81724</v>
      </c>
      <c r="BP32" s="230">
        <v>138274</v>
      </c>
      <c r="BQ32" s="230">
        <v>-56550</v>
      </c>
      <c r="BR32" s="229">
        <v>-0.40899999999999997</v>
      </c>
      <c r="BS32" s="230">
        <v>468924</v>
      </c>
      <c r="BT32" s="230">
        <v>734531</v>
      </c>
      <c r="BU32" s="230">
        <v>-265607</v>
      </c>
      <c r="BV32" s="229">
        <v>-0.36159999999999998</v>
      </c>
      <c r="BW32" s="230">
        <v>2811900</v>
      </c>
      <c r="BX32" s="230">
        <v>2830300</v>
      </c>
      <c r="BY32" s="230">
        <v>-18400</v>
      </c>
      <c r="BZ32" s="229">
        <v>-6.4999999999999997E-3</v>
      </c>
      <c r="CA32" s="230">
        <v>2765200</v>
      </c>
      <c r="CB32" s="230">
        <v>2787250</v>
      </c>
      <c r="CC32" s="230">
        <v>-22050</v>
      </c>
      <c r="CD32" s="229">
        <v>-7.9000000000000008E-3</v>
      </c>
      <c r="CE32" s="230">
        <v>38250</v>
      </c>
      <c r="CF32" s="230">
        <v>35300</v>
      </c>
      <c r="CG32" s="230">
        <v>2950</v>
      </c>
      <c r="CH32" s="229">
        <v>8.3599999999999994E-2</v>
      </c>
      <c r="CI32" s="230">
        <v>8450</v>
      </c>
      <c r="CJ32" s="230">
        <v>7750</v>
      </c>
      <c r="CK32" s="228">
        <v>700</v>
      </c>
      <c r="CL32" s="229">
        <v>9.0300000000000005E-2</v>
      </c>
      <c r="CM32" s="230">
        <v>1642500</v>
      </c>
      <c r="CN32" s="230">
        <v>1590350</v>
      </c>
      <c r="CO32" s="230">
        <v>52150</v>
      </c>
      <c r="CP32" s="229">
        <v>3.2800000000000003E-2</v>
      </c>
      <c r="CQ32" s="230">
        <v>831800</v>
      </c>
      <c r="CR32" s="230">
        <v>817250</v>
      </c>
      <c r="CS32" s="230">
        <v>14550</v>
      </c>
      <c r="CT32" s="229">
        <v>1.78E-2</v>
      </c>
      <c r="CU32" s="230">
        <v>5286200</v>
      </c>
      <c r="CV32" s="230">
        <v>5237900</v>
      </c>
      <c r="CW32" s="230">
        <v>48300</v>
      </c>
      <c r="CX32" s="229">
        <v>9.1999999999999998E-3</v>
      </c>
      <c r="CY32" s="228">
        <v>22.97</v>
      </c>
      <c r="CZ32" s="228">
        <v>26.51</v>
      </c>
      <c r="DA32" s="228">
        <v>-3.54</v>
      </c>
      <c r="DB32" s="228">
        <v>-3.54</v>
      </c>
      <c r="DC32" s="228">
        <v>25.32</v>
      </c>
      <c r="DD32" s="228">
        <v>25.26</v>
      </c>
      <c r="DE32" s="228">
        <v>-2.35</v>
      </c>
      <c r="DF32" s="228">
        <v>0.06</v>
      </c>
      <c r="DG32" s="228">
        <v>21.81</v>
      </c>
      <c r="DH32" s="228">
        <v>24.77</v>
      </c>
      <c r="DI32" s="228">
        <v>-2.96</v>
      </c>
      <c r="DJ32" s="228">
        <v>-2.96</v>
      </c>
      <c r="DK32" s="228">
        <v>24.87</v>
      </c>
      <c r="DL32" s="228">
        <v>28.68</v>
      </c>
      <c r="DM32" s="228">
        <v>-3.81</v>
      </c>
      <c r="DN32" s="228">
        <v>-3.81</v>
      </c>
      <c r="DO32" s="228">
        <v>0.51</v>
      </c>
      <c r="DP32" s="228">
        <v>0.51</v>
      </c>
      <c r="DQ32" s="228">
        <v>0</v>
      </c>
      <c r="DR32" s="229">
        <v>0</v>
      </c>
      <c r="DS32" s="231">
        <v>14500</v>
      </c>
      <c r="DT32" s="231">
        <v>14000</v>
      </c>
      <c r="DU32" s="228">
        <v>0.61</v>
      </c>
      <c r="DV32" s="228">
        <v>0.8</v>
      </c>
      <c r="DW32" s="228">
        <v>-0.19</v>
      </c>
      <c r="DX32" s="229">
        <v>-0.23749999999999999</v>
      </c>
      <c r="DY32" s="229">
        <v>1.66E-2</v>
      </c>
      <c r="DZ32" s="230">
        <v>43050</v>
      </c>
      <c r="EA32" s="229">
        <v>6.0000000000000001E-3</v>
      </c>
      <c r="EB32" s="229">
        <v>1.66E-2</v>
      </c>
      <c r="EC32" s="228">
        <v>80.709999999999994</v>
      </c>
      <c r="ED32" s="229">
        <v>5.5999999999999999E-3</v>
      </c>
      <c r="EE32" s="230">
        <v>279290</v>
      </c>
      <c r="EF32" s="230">
        <v>430176</v>
      </c>
      <c r="EG32" s="229">
        <v>-0.3508</v>
      </c>
      <c r="EH32" s="229">
        <v>0.59560000000000002</v>
      </c>
      <c r="EI32" s="231">
        <v>341895.76</v>
      </c>
      <c r="EJ32" s="231">
        <v>194588</v>
      </c>
      <c r="EK32" s="231">
        <v>61217.11</v>
      </c>
      <c r="EL32" s="231">
        <v>9136</v>
      </c>
      <c r="EM32" s="231">
        <v>597700.87</v>
      </c>
      <c r="EN32" s="231">
        <v>1000566.23</v>
      </c>
      <c r="EO32" s="231">
        <v>-402865.36</v>
      </c>
      <c r="EP32" s="229">
        <v>-0.40260000000000001</v>
      </c>
      <c r="EQ32" s="231">
        <v>251016</v>
      </c>
      <c r="ER32" s="231">
        <v>117172</v>
      </c>
      <c r="ES32" s="231">
        <v>406059</v>
      </c>
      <c r="ET32" s="231">
        <v>17687048</v>
      </c>
      <c r="EU32" s="231">
        <v>774248</v>
      </c>
      <c r="EV32" s="231">
        <v>760077</v>
      </c>
      <c r="EW32" s="231">
        <v>14171</v>
      </c>
      <c r="EX32" s="229">
        <v>1.8599999999999998E-2</v>
      </c>
      <c r="EY32" s="229">
        <v>0.2989</v>
      </c>
    </row>
    <row r="33" spans="1:155" ht="17.25" thickBot="1" x14ac:dyDescent="0.3">
      <c r="A33" s="226">
        <v>46086</v>
      </c>
      <c r="B33" s="227" t="s">
        <v>170</v>
      </c>
      <c r="C33" s="227" t="s">
        <v>603</v>
      </c>
      <c r="D33" s="231">
        <v>1063</v>
      </c>
      <c r="E33" s="231">
        <v>1058.5</v>
      </c>
      <c r="F33" s="228">
        <v>4.5</v>
      </c>
      <c r="G33" s="229">
        <v>4.3E-3</v>
      </c>
      <c r="H33" s="231">
        <v>1058.2</v>
      </c>
      <c r="I33" s="231">
        <v>1053.7</v>
      </c>
      <c r="J33" s="228">
        <v>4.5</v>
      </c>
      <c r="K33" s="229">
        <v>4.3E-3</v>
      </c>
      <c r="L33" s="231">
        <v>1063</v>
      </c>
      <c r="M33" s="231">
        <v>1058.5</v>
      </c>
      <c r="N33" s="228">
        <v>4.5</v>
      </c>
      <c r="O33" s="229">
        <v>4.3E-3</v>
      </c>
      <c r="P33" s="231">
        <v>1069.3</v>
      </c>
      <c r="Q33" s="231">
        <v>1065.0999999999999</v>
      </c>
      <c r="R33" s="228">
        <v>4.2</v>
      </c>
      <c r="S33" s="229">
        <v>3.8999999999999998E-3</v>
      </c>
      <c r="T33" s="231">
        <v>1065.3</v>
      </c>
      <c r="U33" s="231">
        <v>1069.5</v>
      </c>
      <c r="V33" s="228">
        <v>-4.2</v>
      </c>
      <c r="W33" s="229">
        <v>-3.8999999999999998E-3</v>
      </c>
      <c r="X33" s="228">
        <v>4.8</v>
      </c>
      <c r="Y33" s="228">
        <v>4.8</v>
      </c>
      <c r="Z33" s="228">
        <v>0</v>
      </c>
      <c r="AA33" s="229">
        <v>4.4999999999999997E-3</v>
      </c>
      <c r="AB33" s="228">
        <v>4.8</v>
      </c>
      <c r="AC33" s="228">
        <v>4.8</v>
      </c>
      <c r="AD33" s="228">
        <v>0</v>
      </c>
      <c r="AE33" s="229">
        <v>4.4999999999999997E-3</v>
      </c>
      <c r="AF33" s="228">
        <v>11.1</v>
      </c>
      <c r="AG33" s="228">
        <v>11.4</v>
      </c>
      <c r="AH33" s="228">
        <v>-0.3</v>
      </c>
      <c r="AI33" s="229">
        <v>1.0500000000000001E-2</v>
      </c>
      <c r="AJ33" s="228">
        <v>7.1</v>
      </c>
      <c r="AK33" s="228">
        <v>15.8</v>
      </c>
      <c r="AL33" s="228">
        <v>-8.6999999999999993</v>
      </c>
      <c r="AM33" s="229">
        <v>6.7000000000000002E-3</v>
      </c>
      <c r="AN33" s="231">
        <v>1052.26</v>
      </c>
      <c r="AO33" s="231">
        <v>1058.03</v>
      </c>
      <c r="AP33" s="228">
        <v>0</v>
      </c>
      <c r="AQ33" s="230">
        <v>3578</v>
      </c>
      <c r="AR33" s="230">
        <v>3963</v>
      </c>
      <c r="AS33" s="228">
        <v>-385</v>
      </c>
      <c r="AT33" s="229">
        <v>-9.7100000000000006E-2</v>
      </c>
      <c r="AU33" s="230">
        <v>3442</v>
      </c>
      <c r="AV33" s="230">
        <v>3857</v>
      </c>
      <c r="AW33" s="228">
        <v>-415</v>
      </c>
      <c r="AX33" s="229">
        <v>-0.1076</v>
      </c>
      <c r="AY33" s="228">
        <v>127</v>
      </c>
      <c r="AZ33" s="228">
        <v>76</v>
      </c>
      <c r="BA33" s="228">
        <v>51</v>
      </c>
      <c r="BB33" s="229">
        <v>0.67110000000000003</v>
      </c>
      <c r="BC33" s="228">
        <v>9</v>
      </c>
      <c r="BD33" s="228">
        <v>30</v>
      </c>
      <c r="BE33" s="228">
        <v>-21</v>
      </c>
      <c r="BF33" s="229">
        <v>-0.7</v>
      </c>
      <c r="BG33" s="230">
        <v>6463</v>
      </c>
      <c r="BH33" s="230">
        <v>5063</v>
      </c>
      <c r="BI33" s="230">
        <v>1400</v>
      </c>
      <c r="BJ33" s="229">
        <v>0.27650000000000002</v>
      </c>
      <c r="BK33" s="230">
        <v>7449</v>
      </c>
      <c r="BL33" s="230">
        <v>3601</v>
      </c>
      <c r="BM33" s="230">
        <v>3848</v>
      </c>
      <c r="BN33" s="229">
        <v>1.0686</v>
      </c>
      <c r="BO33" s="230">
        <v>17490</v>
      </c>
      <c r="BP33" s="230">
        <v>12627</v>
      </c>
      <c r="BQ33" s="230">
        <v>4863</v>
      </c>
      <c r="BR33" s="229">
        <v>0.3851</v>
      </c>
      <c r="BS33" s="230">
        <v>3014237</v>
      </c>
      <c r="BT33" s="230">
        <v>3491758</v>
      </c>
      <c r="BU33" s="230">
        <v>-477521</v>
      </c>
      <c r="BV33" s="229">
        <v>-0.1368</v>
      </c>
      <c r="BW33" s="230">
        <v>13412175</v>
      </c>
      <c r="BX33" s="230">
        <v>13307700</v>
      </c>
      <c r="BY33" s="230">
        <v>104475</v>
      </c>
      <c r="BZ33" s="229">
        <v>7.9000000000000008E-3</v>
      </c>
      <c r="CA33" s="230">
        <v>13253100</v>
      </c>
      <c r="CB33" s="230">
        <v>13159125</v>
      </c>
      <c r="CC33" s="230">
        <v>93975</v>
      </c>
      <c r="CD33" s="229">
        <v>7.1000000000000004E-3</v>
      </c>
      <c r="CE33" s="230">
        <v>139650</v>
      </c>
      <c r="CF33" s="230">
        <v>129675</v>
      </c>
      <c r="CG33" s="230">
        <v>9975</v>
      </c>
      <c r="CH33" s="229">
        <v>7.6899999999999996E-2</v>
      </c>
      <c r="CI33" s="230">
        <v>19425</v>
      </c>
      <c r="CJ33" s="230">
        <v>18900</v>
      </c>
      <c r="CK33" s="228">
        <v>525</v>
      </c>
      <c r="CL33" s="229">
        <v>2.7799999999999998E-2</v>
      </c>
      <c r="CM33" s="230">
        <v>2331525</v>
      </c>
      <c r="CN33" s="230">
        <v>2011275</v>
      </c>
      <c r="CO33" s="230">
        <v>320250</v>
      </c>
      <c r="CP33" s="229">
        <v>0.15920000000000001</v>
      </c>
      <c r="CQ33" s="230">
        <v>1840650</v>
      </c>
      <c r="CR33" s="230">
        <v>1578150</v>
      </c>
      <c r="CS33" s="230">
        <v>262500</v>
      </c>
      <c r="CT33" s="229">
        <v>0.1663</v>
      </c>
      <c r="CU33" s="230">
        <v>17584350</v>
      </c>
      <c r="CV33" s="230">
        <v>16897125</v>
      </c>
      <c r="CW33" s="230">
        <v>687225</v>
      </c>
      <c r="CX33" s="229">
        <v>4.07E-2</v>
      </c>
      <c r="CY33" s="228">
        <v>28</v>
      </c>
      <c r="CZ33" s="228">
        <v>30.52</v>
      </c>
      <c r="DA33" s="228">
        <v>-2.52</v>
      </c>
      <c r="DB33" s="228">
        <v>-2.52</v>
      </c>
      <c r="DC33" s="228">
        <v>37.22</v>
      </c>
      <c r="DD33" s="228">
        <v>37.31</v>
      </c>
      <c r="DE33" s="228">
        <v>-9.2200000000000006</v>
      </c>
      <c r="DF33" s="228">
        <v>-0.09</v>
      </c>
      <c r="DG33" s="228">
        <v>26.84</v>
      </c>
      <c r="DH33" s="228">
        <v>29.76</v>
      </c>
      <c r="DI33" s="228">
        <v>-2.92</v>
      </c>
      <c r="DJ33" s="228">
        <v>-2.92</v>
      </c>
      <c r="DK33" s="228">
        <v>29</v>
      </c>
      <c r="DL33" s="228">
        <v>31.6</v>
      </c>
      <c r="DM33" s="228">
        <v>-2.6</v>
      </c>
      <c r="DN33" s="228">
        <v>-2.6</v>
      </c>
      <c r="DO33" s="228">
        <v>0.79</v>
      </c>
      <c r="DP33" s="228">
        <v>0.78</v>
      </c>
      <c r="DQ33" s="228">
        <v>0.01</v>
      </c>
      <c r="DR33" s="229">
        <v>1.2800000000000001E-2</v>
      </c>
      <c r="DS33" s="231">
        <v>1100</v>
      </c>
      <c r="DT33" s="231">
        <v>1100</v>
      </c>
      <c r="DU33" s="228">
        <v>1.1499999999999999</v>
      </c>
      <c r="DV33" s="228">
        <v>0.71</v>
      </c>
      <c r="DW33" s="228">
        <v>0.44</v>
      </c>
      <c r="DX33" s="229">
        <v>0.61970000000000003</v>
      </c>
      <c r="DY33" s="229">
        <v>1.1900000000000001E-2</v>
      </c>
      <c r="DZ33" s="230">
        <v>148575</v>
      </c>
      <c r="EA33" s="229">
        <v>5.8999999999999999E-3</v>
      </c>
      <c r="EB33" s="229">
        <v>1.1900000000000001E-2</v>
      </c>
      <c r="EC33" s="228">
        <v>5.77</v>
      </c>
      <c r="ED33" s="229">
        <v>5.4999999999999997E-3</v>
      </c>
      <c r="EE33" s="230">
        <v>1852171</v>
      </c>
      <c r="EF33" s="230">
        <v>2290074</v>
      </c>
      <c r="EG33" s="229">
        <v>-0.19120000000000001</v>
      </c>
      <c r="EH33" s="229">
        <v>0.61450000000000005</v>
      </c>
      <c r="EI33" s="231">
        <v>37630.370000000003</v>
      </c>
      <c r="EJ33" s="231">
        <v>40973.19</v>
      </c>
      <c r="EK33" s="231">
        <v>19770.419999999998</v>
      </c>
      <c r="EL33" s="231">
        <v>4132</v>
      </c>
      <c r="EM33" s="231">
        <v>98373.98</v>
      </c>
      <c r="EN33" s="231">
        <v>71914.5</v>
      </c>
      <c r="EO33" s="231">
        <v>26459.48</v>
      </c>
      <c r="EP33" s="229">
        <v>0.3679</v>
      </c>
      <c r="EQ33" s="231">
        <v>25978</v>
      </c>
      <c r="ER33" s="231">
        <v>19458</v>
      </c>
      <c r="ES33" s="231">
        <v>142581</v>
      </c>
      <c r="ET33" s="231">
        <v>111218809</v>
      </c>
      <c r="EU33" s="231">
        <v>188016</v>
      </c>
      <c r="EV33" s="231">
        <v>180156</v>
      </c>
      <c r="EW33" s="231">
        <v>7860</v>
      </c>
      <c r="EX33" s="229">
        <v>4.36E-2</v>
      </c>
      <c r="EY33" s="229">
        <v>0.15809999999999999</v>
      </c>
    </row>
    <row r="34" spans="1:155" ht="17.25" thickBot="1" x14ac:dyDescent="0.3">
      <c r="A34" s="226">
        <v>46086</v>
      </c>
      <c r="B34" s="227" t="s">
        <v>168</v>
      </c>
      <c r="C34" s="227" t="s">
        <v>265</v>
      </c>
      <c r="D34" s="231">
        <v>1256.3</v>
      </c>
      <c r="E34" s="231">
        <v>1250.7</v>
      </c>
      <c r="F34" s="228">
        <v>5.6</v>
      </c>
      <c r="G34" s="229">
        <v>4.4999999999999997E-3</v>
      </c>
      <c r="H34" s="231">
        <v>1250.9000000000001</v>
      </c>
      <c r="I34" s="231">
        <v>1245.3</v>
      </c>
      <c r="J34" s="228">
        <v>5.6</v>
      </c>
      <c r="K34" s="229">
        <v>4.4999999999999997E-3</v>
      </c>
      <c r="L34" s="231">
        <v>1256.3</v>
      </c>
      <c r="M34" s="231">
        <v>1250.7</v>
      </c>
      <c r="N34" s="228">
        <v>5.6</v>
      </c>
      <c r="O34" s="229">
        <v>4.4999999999999997E-3</v>
      </c>
      <c r="P34" s="231">
        <v>1263.7</v>
      </c>
      <c r="Q34" s="231">
        <v>1259.4000000000001</v>
      </c>
      <c r="R34" s="228">
        <v>4.3</v>
      </c>
      <c r="S34" s="229">
        <v>3.3999999999999998E-3</v>
      </c>
      <c r="T34" s="231">
        <v>1265</v>
      </c>
      <c r="U34" s="231">
        <v>1267.9000000000001</v>
      </c>
      <c r="V34" s="228">
        <v>-2.9</v>
      </c>
      <c r="W34" s="229">
        <v>-2.3E-3</v>
      </c>
      <c r="X34" s="228">
        <v>5.4</v>
      </c>
      <c r="Y34" s="228">
        <v>5.4</v>
      </c>
      <c r="Z34" s="228">
        <v>0</v>
      </c>
      <c r="AA34" s="229">
        <v>4.3E-3</v>
      </c>
      <c r="AB34" s="228">
        <v>5.4</v>
      </c>
      <c r="AC34" s="228">
        <v>5.4</v>
      </c>
      <c r="AD34" s="228">
        <v>0</v>
      </c>
      <c r="AE34" s="229">
        <v>4.3E-3</v>
      </c>
      <c r="AF34" s="228">
        <v>12.8</v>
      </c>
      <c r="AG34" s="228">
        <v>14.1</v>
      </c>
      <c r="AH34" s="228">
        <v>-1.3</v>
      </c>
      <c r="AI34" s="229">
        <v>1.0200000000000001E-2</v>
      </c>
      <c r="AJ34" s="228">
        <v>14.1</v>
      </c>
      <c r="AK34" s="228">
        <v>22.6</v>
      </c>
      <c r="AL34" s="228">
        <v>-8.5</v>
      </c>
      <c r="AM34" s="229">
        <v>1.1299999999999999E-2</v>
      </c>
      <c r="AN34" s="231">
        <v>1247.1199999999999</v>
      </c>
      <c r="AO34" s="231">
        <v>1252.27</v>
      </c>
      <c r="AP34" s="228">
        <v>0</v>
      </c>
      <c r="AQ34" s="230">
        <v>2688</v>
      </c>
      <c r="AR34" s="230">
        <v>3240</v>
      </c>
      <c r="AS34" s="228">
        <v>-552</v>
      </c>
      <c r="AT34" s="229">
        <v>-0.1704</v>
      </c>
      <c r="AU34" s="230">
        <v>2574</v>
      </c>
      <c r="AV34" s="230">
        <v>3080</v>
      </c>
      <c r="AW34" s="228">
        <v>-506</v>
      </c>
      <c r="AX34" s="229">
        <v>-0.1643</v>
      </c>
      <c r="AY34" s="228">
        <v>110</v>
      </c>
      <c r="AZ34" s="228">
        <v>135</v>
      </c>
      <c r="BA34" s="228">
        <v>-25</v>
      </c>
      <c r="BB34" s="229">
        <v>-0.1852</v>
      </c>
      <c r="BC34" s="228">
        <v>4</v>
      </c>
      <c r="BD34" s="228">
        <v>25</v>
      </c>
      <c r="BE34" s="228">
        <v>-21</v>
      </c>
      <c r="BF34" s="229">
        <v>-0.84</v>
      </c>
      <c r="BG34" s="230">
        <v>5179</v>
      </c>
      <c r="BH34" s="230">
        <v>5667</v>
      </c>
      <c r="BI34" s="228">
        <v>-488</v>
      </c>
      <c r="BJ34" s="229">
        <v>-8.6099999999999996E-2</v>
      </c>
      <c r="BK34" s="230">
        <v>3184</v>
      </c>
      <c r="BL34" s="230">
        <v>2672</v>
      </c>
      <c r="BM34" s="228">
        <v>512</v>
      </c>
      <c r="BN34" s="229">
        <v>0.19159999999999999</v>
      </c>
      <c r="BO34" s="230">
        <v>11051</v>
      </c>
      <c r="BP34" s="230">
        <v>11579</v>
      </c>
      <c r="BQ34" s="228">
        <v>-528</v>
      </c>
      <c r="BR34" s="229">
        <v>-4.5600000000000002E-2</v>
      </c>
      <c r="BS34" s="230">
        <v>954545</v>
      </c>
      <c r="BT34" s="230">
        <v>1131275</v>
      </c>
      <c r="BU34" s="230">
        <v>-176730</v>
      </c>
      <c r="BV34" s="229">
        <v>-0.15620000000000001</v>
      </c>
      <c r="BW34" s="230">
        <v>16394500</v>
      </c>
      <c r="BX34" s="230">
        <v>16513000</v>
      </c>
      <c r="BY34" s="230">
        <v>-118500</v>
      </c>
      <c r="BZ34" s="229">
        <v>-7.1999999999999998E-3</v>
      </c>
      <c r="CA34" s="230">
        <v>16258000</v>
      </c>
      <c r="CB34" s="230">
        <v>16384000</v>
      </c>
      <c r="CC34" s="230">
        <v>-126000</v>
      </c>
      <c r="CD34" s="229">
        <v>-7.7000000000000002E-3</v>
      </c>
      <c r="CE34" s="230">
        <v>115000</v>
      </c>
      <c r="CF34" s="230">
        <v>108500</v>
      </c>
      <c r="CG34" s="230">
        <v>6500</v>
      </c>
      <c r="CH34" s="229">
        <v>5.9900000000000002E-2</v>
      </c>
      <c r="CI34" s="230">
        <v>21500</v>
      </c>
      <c r="CJ34" s="230">
        <v>20500</v>
      </c>
      <c r="CK34" s="230">
        <v>1000</v>
      </c>
      <c r="CL34" s="229">
        <v>4.8800000000000003E-2</v>
      </c>
      <c r="CM34" s="230">
        <v>2697500</v>
      </c>
      <c r="CN34" s="230">
        <v>2530500</v>
      </c>
      <c r="CO34" s="230">
        <v>167000</v>
      </c>
      <c r="CP34" s="229">
        <v>6.6000000000000003E-2</v>
      </c>
      <c r="CQ34" s="230">
        <v>1451000</v>
      </c>
      <c r="CR34" s="230">
        <v>1273000</v>
      </c>
      <c r="CS34" s="230">
        <v>178000</v>
      </c>
      <c r="CT34" s="229">
        <v>0.13980000000000001</v>
      </c>
      <c r="CU34" s="230">
        <v>20543000</v>
      </c>
      <c r="CV34" s="230">
        <v>20316500</v>
      </c>
      <c r="CW34" s="230">
        <v>226500</v>
      </c>
      <c r="CX34" s="229">
        <v>1.11E-2</v>
      </c>
      <c r="CY34" s="228">
        <v>20.45</v>
      </c>
      <c r="CZ34" s="228">
        <v>22.19</v>
      </c>
      <c r="DA34" s="228">
        <v>-1.74</v>
      </c>
      <c r="DB34" s="228">
        <v>-1.74</v>
      </c>
      <c r="DC34" s="228">
        <v>23.33</v>
      </c>
      <c r="DD34" s="228">
        <v>23.38</v>
      </c>
      <c r="DE34" s="228">
        <v>-2.88</v>
      </c>
      <c r="DF34" s="228">
        <v>-0.05</v>
      </c>
      <c r="DG34" s="228">
        <v>19.559999999999999</v>
      </c>
      <c r="DH34" s="228">
        <v>21.87</v>
      </c>
      <c r="DI34" s="228">
        <v>-2.31</v>
      </c>
      <c r="DJ34" s="228">
        <v>-2.31</v>
      </c>
      <c r="DK34" s="228">
        <v>21.89</v>
      </c>
      <c r="DL34" s="228">
        <v>22.88</v>
      </c>
      <c r="DM34" s="228">
        <v>-0.99</v>
      </c>
      <c r="DN34" s="228">
        <v>-0.99</v>
      </c>
      <c r="DO34" s="228">
        <v>0.54</v>
      </c>
      <c r="DP34" s="228">
        <v>0.5</v>
      </c>
      <c r="DQ34" s="228">
        <v>0.04</v>
      </c>
      <c r="DR34" s="229">
        <v>0.08</v>
      </c>
      <c r="DS34" s="231">
        <v>1280</v>
      </c>
      <c r="DT34" s="231">
        <v>1200</v>
      </c>
      <c r="DU34" s="228">
        <v>0.61</v>
      </c>
      <c r="DV34" s="228">
        <v>0.47</v>
      </c>
      <c r="DW34" s="228">
        <v>0.14000000000000001</v>
      </c>
      <c r="DX34" s="229">
        <v>0.2979</v>
      </c>
      <c r="DY34" s="229">
        <v>8.3000000000000001E-3</v>
      </c>
      <c r="DZ34" s="230">
        <v>129000</v>
      </c>
      <c r="EA34" s="229">
        <v>5.8999999999999999E-3</v>
      </c>
      <c r="EB34" s="229">
        <v>8.3000000000000001E-3</v>
      </c>
      <c r="EC34" s="228">
        <v>5.15</v>
      </c>
      <c r="ED34" s="229">
        <v>4.1000000000000003E-3</v>
      </c>
      <c r="EE34" s="230">
        <v>522307</v>
      </c>
      <c r="EF34" s="230">
        <v>679653</v>
      </c>
      <c r="EG34" s="229">
        <v>-0.23150000000000001</v>
      </c>
      <c r="EH34" s="229">
        <v>0.54720000000000002</v>
      </c>
      <c r="EI34" s="231">
        <v>34229.39</v>
      </c>
      <c r="EJ34" s="231">
        <v>19535.91</v>
      </c>
      <c r="EK34" s="231">
        <v>16764.259999999998</v>
      </c>
      <c r="EL34" s="231">
        <v>2692</v>
      </c>
      <c r="EM34" s="231">
        <v>70529.56</v>
      </c>
      <c r="EN34" s="231">
        <v>74561.460000000006</v>
      </c>
      <c r="EO34" s="231">
        <v>-4031.9</v>
      </c>
      <c r="EP34" s="229">
        <v>-5.4100000000000002E-2</v>
      </c>
      <c r="EQ34" s="231">
        <v>35917</v>
      </c>
      <c r="ER34" s="231">
        <v>17881</v>
      </c>
      <c r="ES34" s="231">
        <v>205974</v>
      </c>
      <c r="ET34" s="231">
        <v>71801274</v>
      </c>
      <c r="EU34" s="231">
        <v>259773</v>
      </c>
      <c r="EV34" s="231">
        <v>256150</v>
      </c>
      <c r="EW34" s="231">
        <v>3623</v>
      </c>
      <c r="EX34" s="229">
        <v>1.41E-2</v>
      </c>
      <c r="EY34" s="229">
        <v>0.28610000000000002</v>
      </c>
    </row>
    <row r="35" spans="1:155" ht="17.25" thickBot="1" x14ac:dyDescent="0.3">
      <c r="A35" s="226">
        <v>46086</v>
      </c>
      <c r="B35" s="227" t="s">
        <v>161</v>
      </c>
      <c r="C35" s="227" t="s">
        <v>268</v>
      </c>
      <c r="D35" s="228">
        <v>378.65</v>
      </c>
      <c r="E35" s="228">
        <v>366.95</v>
      </c>
      <c r="F35" s="228">
        <v>11.7</v>
      </c>
      <c r="G35" s="229">
        <v>3.1899999999999998E-2</v>
      </c>
      <c r="H35" s="228">
        <v>378.05</v>
      </c>
      <c r="I35" s="228">
        <v>365.8</v>
      </c>
      <c r="J35" s="228">
        <v>12.25</v>
      </c>
      <c r="K35" s="229">
        <v>3.3500000000000002E-2</v>
      </c>
      <c r="L35" s="228">
        <v>378.65</v>
      </c>
      <c r="M35" s="228">
        <v>366.95</v>
      </c>
      <c r="N35" s="228">
        <v>11.7</v>
      </c>
      <c r="O35" s="229">
        <v>3.1899999999999998E-2</v>
      </c>
      <c r="P35" s="228">
        <v>381.2</v>
      </c>
      <c r="Q35" s="228">
        <v>369.25</v>
      </c>
      <c r="R35" s="228">
        <v>11.95</v>
      </c>
      <c r="S35" s="229">
        <v>3.2399999999999998E-2</v>
      </c>
      <c r="T35" s="228">
        <v>383.5</v>
      </c>
      <c r="U35" s="228">
        <v>371.4</v>
      </c>
      <c r="V35" s="228">
        <v>12.1</v>
      </c>
      <c r="W35" s="229">
        <v>3.2599999999999997E-2</v>
      </c>
      <c r="X35" s="228">
        <v>0.6</v>
      </c>
      <c r="Y35" s="228">
        <v>1.1499999999999999</v>
      </c>
      <c r="Z35" s="228">
        <v>-0.55000000000000004</v>
      </c>
      <c r="AA35" s="229">
        <v>1.6000000000000001E-3</v>
      </c>
      <c r="AB35" s="228">
        <v>0.6</v>
      </c>
      <c r="AC35" s="228">
        <v>1.1499999999999999</v>
      </c>
      <c r="AD35" s="228">
        <v>-0.55000000000000004</v>
      </c>
      <c r="AE35" s="229">
        <v>1.6000000000000001E-3</v>
      </c>
      <c r="AF35" s="228">
        <v>3.15</v>
      </c>
      <c r="AG35" s="228">
        <v>3.45</v>
      </c>
      <c r="AH35" s="228">
        <v>-0.3</v>
      </c>
      <c r="AI35" s="229">
        <v>8.3000000000000001E-3</v>
      </c>
      <c r="AJ35" s="228">
        <v>5.45</v>
      </c>
      <c r="AK35" s="228">
        <v>5.6</v>
      </c>
      <c r="AL35" s="228">
        <v>-0.15</v>
      </c>
      <c r="AM35" s="229">
        <v>1.44E-2</v>
      </c>
      <c r="AN35" s="228">
        <v>376.54</v>
      </c>
      <c r="AO35" s="228">
        <v>379.06</v>
      </c>
      <c r="AP35" s="228">
        <v>0</v>
      </c>
      <c r="AQ35" s="230">
        <v>11463</v>
      </c>
      <c r="AR35" s="230">
        <v>9057</v>
      </c>
      <c r="AS35" s="230">
        <v>2406</v>
      </c>
      <c r="AT35" s="229">
        <v>0.26569999999999999</v>
      </c>
      <c r="AU35" s="230">
        <v>10980</v>
      </c>
      <c r="AV35" s="230">
        <v>8478</v>
      </c>
      <c r="AW35" s="230">
        <v>2502</v>
      </c>
      <c r="AX35" s="229">
        <v>0.29509999999999997</v>
      </c>
      <c r="AY35" s="228">
        <v>434</v>
      </c>
      <c r="AZ35" s="228">
        <v>497</v>
      </c>
      <c r="BA35" s="228">
        <v>-63</v>
      </c>
      <c r="BB35" s="229">
        <v>-0.1268</v>
      </c>
      <c r="BC35" s="228">
        <v>49</v>
      </c>
      <c r="BD35" s="228">
        <v>82</v>
      </c>
      <c r="BE35" s="228">
        <v>-33</v>
      </c>
      <c r="BF35" s="229">
        <v>-0.40239999999999998</v>
      </c>
      <c r="BG35" s="230">
        <v>48514</v>
      </c>
      <c r="BH35" s="230">
        <v>41455</v>
      </c>
      <c r="BI35" s="230">
        <v>7059</v>
      </c>
      <c r="BJ35" s="229">
        <v>0.17030000000000001</v>
      </c>
      <c r="BK35" s="230">
        <v>22509</v>
      </c>
      <c r="BL35" s="230">
        <v>16742</v>
      </c>
      <c r="BM35" s="230">
        <v>5767</v>
      </c>
      <c r="BN35" s="229">
        <v>0.34449999999999997</v>
      </c>
      <c r="BO35" s="230">
        <v>82486</v>
      </c>
      <c r="BP35" s="230">
        <v>67254</v>
      </c>
      <c r="BQ35" s="230">
        <v>15232</v>
      </c>
      <c r="BR35" s="229">
        <v>0.22650000000000001</v>
      </c>
      <c r="BS35" s="230">
        <v>18171650</v>
      </c>
      <c r="BT35" s="230">
        <v>11976698</v>
      </c>
      <c r="BU35" s="230">
        <v>6194952</v>
      </c>
      <c r="BV35" s="229">
        <v>0.51729999999999998</v>
      </c>
      <c r="BW35" s="230">
        <v>100033500</v>
      </c>
      <c r="BX35" s="230">
        <v>100158000</v>
      </c>
      <c r="BY35" s="230">
        <v>-124500</v>
      </c>
      <c r="BZ35" s="229">
        <v>-1.1999999999999999E-3</v>
      </c>
      <c r="CA35" s="230">
        <v>98428500</v>
      </c>
      <c r="CB35" s="230">
        <v>98655000</v>
      </c>
      <c r="CC35" s="230">
        <v>-226500</v>
      </c>
      <c r="CD35" s="229">
        <v>-2.3E-3</v>
      </c>
      <c r="CE35" s="230">
        <v>1291500</v>
      </c>
      <c r="CF35" s="230">
        <v>1206000</v>
      </c>
      <c r="CG35" s="230">
        <v>85500</v>
      </c>
      <c r="CH35" s="229">
        <v>7.0900000000000005E-2</v>
      </c>
      <c r="CI35" s="230">
        <v>313500</v>
      </c>
      <c r="CJ35" s="230">
        <v>297000</v>
      </c>
      <c r="CK35" s="230">
        <v>16500</v>
      </c>
      <c r="CL35" s="229">
        <v>5.5599999999999997E-2</v>
      </c>
      <c r="CM35" s="230">
        <v>57927000</v>
      </c>
      <c r="CN35" s="230">
        <v>52923000</v>
      </c>
      <c r="CO35" s="230">
        <v>5004000</v>
      </c>
      <c r="CP35" s="229">
        <v>9.4600000000000004E-2</v>
      </c>
      <c r="CQ35" s="230">
        <v>22398000</v>
      </c>
      <c r="CR35" s="230">
        <v>19254000</v>
      </c>
      <c r="CS35" s="230">
        <v>3144000</v>
      </c>
      <c r="CT35" s="229">
        <v>0.1633</v>
      </c>
      <c r="CU35" s="230">
        <v>180358500</v>
      </c>
      <c r="CV35" s="230">
        <v>172335000</v>
      </c>
      <c r="CW35" s="230">
        <v>8023500</v>
      </c>
      <c r="CX35" s="229">
        <v>4.6600000000000003E-2</v>
      </c>
      <c r="CY35" s="228">
        <v>19.5</v>
      </c>
      <c r="CZ35" s="228">
        <v>21.88</v>
      </c>
      <c r="DA35" s="228">
        <v>-2.38</v>
      </c>
      <c r="DB35" s="228">
        <v>-2.38</v>
      </c>
      <c r="DC35" s="228">
        <v>27.78</v>
      </c>
      <c r="DD35" s="228">
        <v>27.49</v>
      </c>
      <c r="DE35" s="228">
        <v>-8.2799999999999994</v>
      </c>
      <c r="DF35" s="228">
        <v>0.28999999999999998</v>
      </c>
      <c r="DG35" s="228">
        <v>18.57</v>
      </c>
      <c r="DH35" s="228">
        <v>21.03</v>
      </c>
      <c r="DI35" s="228">
        <v>-2.46</v>
      </c>
      <c r="DJ35" s="228">
        <v>-2.46</v>
      </c>
      <c r="DK35" s="228">
        <v>21.51</v>
      </c>
      <c r="DL35" s="228">
        <v>23.98</v>
      </c>
      <c r="DM35" s="228">
        <v>-2.4700000000000002</v>
      </c>
      <c r="DN35" s="228">
        <v>-2.4700000000000002</v>
      </c>
      <c r="DO35" s="228">
        <v>0.39</v>
      </c>
      <c r="DP35" s="228">
        <v>0.36</v>
      </c>
      <c r="DQ35" s="228">
        <v>0.03</v>
      </c>
      <c r="DR35" s="229">
        <v>8.3299999999999999E-2</v>
      </c>
      <c r="DS35" s="228">
        <v>400</v>
      </c>
      <c r="DT35" s="228">
        <v>360</v>
      </c>
      <c r="DU35" s="228">
        <v>0.46</v>
      </c>
      <c r="DV35" s="228">
        <v>0.4</v>
      </c>
      <c r="DW35" s="228">
        <v>0.06</v>
      </c>
      <c r="DX35" s="229">
        <v>0.15</v>
      </c>
      <c r="DY35" s="229">
        <v>1.6E-2</v>
      </c>
      <c r="DZ35" s="230">
        <v>1503000</v>
      </c>
      <c r="EA35" s="229">
        <v>6.7000000000000002E-3</v>
      </c>
      <c r="EB35" s="229">
        <v>1.6E-2</v>
      </c>
      <c r="EC35" s="228">
        <v>2.52</v>
      </c>
      <c r="ED35" s="229">
        <v>6.7000000000000002E-3</v>
      </c>
      <c r="EE35" s="230">
        <v>11899311</v>
      </c>
      <c r="EF35" s="230">
        <v>7148862</v>
      </c>
      <c r="EG35" s="229">
        <v>0.66449999999999998</v>
      </c>
      <c r="EH35" s="229">
        <v>0.65480000000000005</v>
      </c>
      <c r="EI35" s="231">
        <v>284762.67</v>
      </c>
      <c r="EJ35" s="231">
        <v>125452.13</v>
      </c>
      <c r="EK35" s="231">
        <v>64763.69</v>
      </c>
      <c r="EL35" s="231">
        <v>7740</v>
      </c>
      <c r="EM35" s="231">
        <v>474978.49</v>
      </c>
      <c r="EN35" s="231">
        <v>381624.91</v>
      </c>
      <c r="EO35" s="231">
        <v>93353.58</v>
      </c>
      <c r="EP35" s="229">
        <v>0.24460000000000001</v>
      </c>
      <c r="EQ35" s="231">
        <v>225385</v>
      </c>
      <c r="ER35" s="231">
        <v>81513</v>
      </c>
      <c r="ES35" s="231">
        <v>378825</v>
      </c>
      <c r="ET35" s="231">
        <v>474131988</v>
      </c>
      <c r="EU35" s="231">
        <v>685724</v>
      </c>
      <c r="EV35" s="231">
        <v>643168</v>
      </c>
      <c r="EW35" s="231">
        <v>42556</v>
      </c>
      <c r="EX35" s="229">
        <v>6.6199999999999995E-2</v>
      </c>
      <c r="EY35" s="229">
        <v>0.38040000000000002</v>
      </c>
    </row>
    <row r="36" spans="1:155" ht="17.25" thickBot="1" x14ac:dyDescent="0.3">
      <c r="A36" s="226">
        <v>46086</v>
      </c>
      <c r="B36" s="227" t="s">
        <v>193</v>
      </c>
      <c r="C36" s="227" t="s">
        <v>269</v>
      </c>
      <c r="D36" s="228">
        <v>277.3</v>
      </c>
      <c r="E36" s="228">
        <v>277.5</v>
      </c>
      <c r="F36" s="228">
        <v>-0.2</v>
      </c>
      <c r="G36" s="229">
        <v>-6.9999999999999999E-4</v>
      </c>
      <c r="H36" s="228">
        <v>276.35000000000002</v>
      </c>
      <c r="I36" s="228">
        <v>276.95</v>
      </c>
      <c r="J36" s="228">
        <v>-0.6</v>
      </c>
      <c r="K36" s="229">
        <v>-2.2000000000000001E-3</v>
      </c>
      <c r="L36" s="228">
        <v>277.3</v>
      </c>
      <c r="M36" s="228">
        <v>277.5</v>
      </c>
      <c r="N36" s="228">
        <v>-0.2</v>
      </c>
      <c r="O36" s="229">
        <v>-6.9999999999999999E-4</v>
      </c>
      <c r="P36" s="228">
        <v>279.35000000000002</v>
      </c>
      <c r="Q36" s="228">
        <v>279.3</v>
      </c>
      <c r="R36" s="228">
        <v>0.05</v>
      </c>
      <c r="S36" s="229">
        <v>2.0000000000000001E-4</v>
      </c>
      <c r="T36" s="228">
        <v>280.95</v>
      </c>
      <c r="U36" s="228">
        <v>280.55</v>
      </c>
      <c r="V36" s="228">
        <v>0.4</v>
      </c>
      <c r="W36" s="229">
        <v>1.4E-3</v>
      </c>
      <c r="X36" s="228">
        <v>0.95</v>
      </c>
      <c r="Y36" s="228">
        <v>0.55000000000000004</v>
      </c>
      <c r="Z36" s="228">
        <v>0.4</v>
      </c>
      <c r="AA36" s="229">
        <v>3.3999999999999998E-3</v>
      </c>
      <c r="AB36" s="228">
        <v>0.95</v>
      </c>
      <c r="AC36" s="228">
        <v>0.55000000000000004</v>
      </c>
      <c r="AD36" s="228">
        <v>0.4</v>
      </c>
      <c r="AE36" s="229">
        <v>3.3999999999999998E-3</v>
      </c>
      <c r="AF36" s="228">
        <v>3</v>
      </c>
      <c r="AG36" s="228">
        <v>2.35</v>
      </c>
      <c r="AH36" s="228">
        <v>0.65</v>
      </c>
      <c r="AI36" s="229">
        <v>1.09E-2</v>
      </c>
      <c r="AJ36" s="228">
        <v>4.5999999999999996</v>
      </c>
      <c r="AK36" s="228">
        <v>3.6</v>
      </c>
      <c r="AL36" s="228">
        <v>1</v>
      </c>
      <c r="AM36" s="229">
        <v>1.66E-2</v>
      </c>
      <c r="AN36" s="228">
        <v>281.75</v>
      </c>
      <c r="AO36" s="228">
        <v>283.74</v>
      </c>
      <c r="AP36" s="228">
        <v>0</v>
      </c>
      <c r="AQ36" s="230">
        <v>19344</v>
      </c>
      <c r="AR36" s="230">
        <v>21035</v>
      </c>
      <c r="AS36" s="230">
        <v>-1691</v>
      </c>
      <c r="AT36" s="229">
        <v>-8.0399999999999999E-2</v>
      </c>
      <c r="AU36" s="230">
        <v>18130</v>
      </c>
      <c r="AV36" s="230">
        <v>20178</v>
      </c>
      <c r="AW36" s="230">
        <v>-2048</v>
      </c>
      <c r="AX36" s="229">
        <v>-0.10150000000000001</v>
      </c>
      <c r="AY36" s="230">
        <v>1058</v>
      </c>
      <c r="AZ36" s="228">
        <v>735</v>
      </c>
      <c r="BA36" s="228">
        <v>323</v>
      </c>
      <c r="BB36" s="229">
        <v>0.4395</v>
      </c>
      <c r="BC36" s="228">
        <v>156</v>
      </c>
      <c r="BD36" s="228">
        <v>122</v>
      </c>
      <c r="BE36" s="228">
        <v>34</v>
      </c>
      <c r="BF36" s="229">
        <v>0.2787</v>
      </c>
      <c r="BG36" s="230">
        <v>54611</v>
      </c>
      <c r="BH36" s="230">
        <v>62901</v>
      </c>
      <c r="BI36" s="230">
        <v>-8290</v>
      </c>
      <c r="BJ36" s="229">
        <v>-0.1318</v>
      </c>
      <c r="BK36" s="230">
        <v>24164</v>
      </c>
      <c r="BL36" s="230">
        <v>26172</v>
      </c>
      <c r="BM36" s="230">
        <v>-2008</v>
      </c>
      <c r="BN36" s="229">
        <v>-7.6700000000000004E-2</v>
      </c>
      <c r="BO36" s="230">
        <v>98119</v>
      </c>
      <c r="BP36" s="230">
        <v>110108</v>
      </c>
      <c r="BQ36" s="230">
        <v>-11989</v>
      </c>
      <c r="BR36" s="229">
        <v>-0.1089</v>
      </c>
      <c r="BS36" s="230">
        <v>45551487</v>
      </c>
      <c r="BT36" s="230">
        <v>58044288</v>
      </c>
      <c r="BU36" s="230">
        <v>-12492801</v>
      </c>
      <c r="BV36" s="229">
        <v>-0.2152</v>
      </c>
      <c r="BW36" s="230">
        <v>117000000</v>
      </c>
      <c r="BX36" s="230">
        <v>122913000</v>
      </c>
      <c r="BY36" s="230">
        <v>-5913000</v>
      </c>
      <c r="BZ36" s="229">
        <v>-4.8099999999999997E-2</v>
      </c>
      <c r="CA36" s="230">
        <v>114588000</v>
      </c>
      <c r="CB36" s="230">
        <v>120336750</v>
      </c>
      <c r="CC36" s="230">
        <v>-5748750</v>
      </c>
      <c r="CD36" s="229">
        <v>-4.7800000000000002E-2</v>
      </c>
      <c r="CE36" s="230">
        <v>2070000</v>
      </c>
      <c r="CF36" s="230">
        <v>2187000</v>
      </c>
      <c r="CG36" s="230">
        <v>-117000</v>
      </c>
      <c r="CH36" s="229">
        <v>-5.3499999999999999E-2</v>
      </c>
      <c r="CI36" s="230">
        <v>342000</v>
      </c>
      <c r="CJ36" s="230">
        <v>389250</v>
      </c>
      <c r="CK36" s="230">
        <v>-47250</v>
      </c>
      <c r="CL36" s="229">
        <v>-0.12139999999999999</v>
      </c>
      <c r="CM36" s="230">
        <v>66912750</v>
      </c>
      <c r="CN36" s="230">
        <v>70188750</v>
      </c>
      <c r="CO36" s="230">
        <v>-3276000</v>
      </c>
      <c r="CP36" s="229">
        <v>-4.6699999999999998E-2</v>
      </c>
      <c r="CQ36" s="230">
        <v>33907500</v>
      </c>
      <c r="CR36" s="230">
        <v>33084000</v>
      </c>
      <c r="CS36" s="230">
        <v>823500</v>
      </c>
      <c r="CT36" s="229">
        <v>2.4899999999999999E-2</v>
      </c>
      <c r="CU36" s="230">
        <v>217820250</v>
      </c>
      <c r="CV36" s="230">
        <v>226185750</v>
      </c>
      <c r="CW36" s="230">
        <v>-8365500</v>
      </c>
      <c r="CX36" s="229">
        <v>-3.6999999999999998E-2</v>
      </c>
      <c r="CY36" s="228">
        <v>29.85</v>
      </c>
      <c r="CZ36" s="228">
        <v>34.47</v>
      </c>
      <c r="DA36" s="228">
        <v>-4.62</v>
      </c>
      <c r="DB36" s="228">
        <v>-4.62</v>
      </c>
      <c r="DC36" s="228">
        <v>32.24</v>
      </c>
      <c r="DD36" s="228">
        <v>32.32</v>
      </c>
      <c r="DE36" s="228">
        <v>-2.39</v>
      </c>
      <c r="DF36" s="228">
        <v>-0.08</v>
      </c>
      <c r="DG36" s="228">
        <v>29.82</v>
      </c>
      <c r="DH36" s="228">
        <v>34.409999999999997</v>
      </c>
      <c r="DI36" s="228">
        <v>-4.59</v>
      </c>
      <c r="DJ36" s="228">
        <v>-4.59</v>
      </c>
      <c r="DK36" s="228">
        <v>29.93</v>
      </c>
      <c r="DL36" s="228">
        <v>34.630000000000003</v>
      </c>
      <c r="DM36" s="228">
        <v>-4.7</v>
      </c>
      <c r="DN36" s="228">
        <v>-4.7</v>
      </c>
      <c r="DO36" s="228">
        <v>0.51</v>
      </c>
      <c r="DP36" s="228">
        <v>0.47</v>
      </c>
      <c r="DQ36" s="228">
        <v>0.04</v>
      </c>
      <c r="DR36" s="229">
        <v>8.5099999999999995E-2</v>
      </c>
      <c r="DS36" s="228">
        <v>300</v>
      </c>
      <c r="DT36" s="228">
        <v>265</v>
      </c>
      <c r="DU36" s="228">
        <v>0.44</v>
      </c>
      <c r="DV36" s="228">
        <v>0.42</v>
      </c>
      <c r="DW36" s="228">
        <v>0.02</v>
      </c>
      <c r="DX36" s="229">
        <v>4.7600000000000003E-2</v>
      </c>
      <c r="DY36" s="229">
        <v>2.06E-2</v>
      </c>
      <c r="DZ36" s="230">
        <v>2576250</v>
      </c>
      <c r="EA36" s="229">
        <v>7.4000000000000003E-3</v>
      </c>
      <c r="EB36" s="229">
        <v>2.06E-2</v>
      </c>
      <c r="EC36" s="228">
        <v>1.99</v>
      </c>
      <c r="ED36" s="229">
        <v>7.1000000000000004E-3</v>
      </c>
      <c r="EE36" s="230">
        <v>20318928</v>
      </c>
      <c r="EF36" s="230">
        <v>30447559</v>
      </c>
      <c r="EG36" s="229">
        <v>-0.3327</v>
      </c>
      <c r="EH36" s="229">
        <v>0.4461</v>
      </c>
      <c r="EI36" s="231">
        <v>363188.39</v>
      </c>
      <c r="EJ36" s="231">
        <v>152229.49</v>
      </c>
      <c r="EK36" s="231">
        <v>122693.1</v>
      </c>
      <c r="EL36" s="231">
        <v>15240</v>
      </c>
      <c r="EM36" s="231">
        <v>638110.98</v>
      </c>
      <c r="EN36" s="231">
        <v>717757.21</v>
      </c>
      <c r="EO36" s="231">
        <v>-79646.23</v>
      </c>
      <c r="EP36" s="229">
        <v>-0.111</v>
      </c>
      <c r="EQ36" s="231">
        <v>192120</v>
      </c>
      <c r="ER36" s="231">
        <v>90931</v>
      </c>
      <c r="ES36" s="231">
        <v>324496</v>
      </c>
      <c r="ET36" s="231">
        <v>517141211</v>
      </c>
      <c r="EU36" s="231">
        <v>607547</v>
      </c>
      <c r="EV36" s="231">
        <v>631121</v>
      </c>
      <c r="EW36" s="231">
        <v>-23574</v>
      </c>
      <c r="EX36" s="229">
        <v>-3.7400000000000003E-2</v>
      </c>
      <c r="EY36" s="229">
        <v>0.42120000000000002</v>
      </c>
    </row>
    <row r="37" spans="1:155" ht="17.25" thickBot="1" x14ac:dyDescent="0.3">
      <c r="A37" s="226">
        <v>46086</v>
      </c>
      <c r="B37" s="227" t="s">
        <v>161</v>
      </c>
      <c r="C37" s="227" t="s">
        <v>276</v>
      </c>
      <c r="D37" s="228">
        <v>299.89999999999998</v>
      </c>
      <c r="E37" s="228">
        <v>293.10000000000002</v>
      </c>
      <c r="F37" s="228">
        <v>6.8</v>
      </c>
      <c r="G37" s="229">
        <v>2.3199999999999998E-2</v>
      </c>
      <c r="H37" s="228">
        <v>299.45</v>
      </c>
      <c r="I37" s="228">
        <v>291.95</v>
      </c>
      <c r="J37" s="228">
        <v>7.5</v>
      </c>
      <c r="K37" s="229">
        <v>2.5700000000000001E-2</v>
      </c>
      <c r="L37" s="228">
        <v>299.89999999999998</v>
      </c>
      <c r="M37" s="228">
        <v>293.10000000000002</v>
      </c>
      <c r="N37" s="228">
        <v>6.8</v>
      </c>
      <c r="O37" s="229">
        <v>2.3199999999999998E-2</v>
      </c>
      <c r="P37" s="228">
        <v>301.60000000000002</v>
      </c>
      <c r="Q37" s="228">
        <v>294.60000000000002</v>
      </c>
      <c r="R37" s="228">
        <v>7</v>
      </c>
      <c r="S37" s="229">
        <v>2.3800000000000002E-2</v>
      </c>
      <c r="T37" s="228">
        <v>304.05</v>
      </c>
      <c r="U37" s="228">
        <v>296.10000000000002</v>
      </c>
      <c r="V37" s="228">
        <v>7.95</v>
      </c>
      <c r="W37" s="229">
        <v>2.6800000000000001E-2</v>
      </c>
      <c r="X37" s="228">
        <v>0.45</v>
      </c>
      <c r="Y37" s="228">
        <v>1.1499999999999999</v>
      </c>
      <c r="Z37" s="228">
        <v>-0.7</v>
      </c>
      <c r="AA37" s="229">
        <v>1.5E-3</v>
      </c>
      <c r="AB37" s="228">
        <v>0.45</v>
      </c>
      <c r="AC37" s="228">
        <v>1.1499999999999999</v>
      </c>
      <c r="AD37" s="228">
        <v>-0.7</v>
      </c>
      <c r="AE37" s="229">
        <v>1.5E-3</v>
      </c>
      <c r="AF37" s="228">
        <v>2.15</v>
      </c>
      <c r="AG37" s="228">
        <v>2.65</v>
      </c>
      <c r="AH37" s="228">
        <v>-0.5</v>
      </c>
      <c r="AI37" s="229">
        <v>7.1999999999999998E-3</v>
      </c>
      <c r="AJ37" s="228">
        <v>4.5999999999999996</v>
      </c>
      <c r="AK37" s="228">
        <v>4.1500000000000004</v>
      </c>
      <c r="AL37" s="228">
        <v>0.45</v>
      </c>
      <c r="AM37" s="229">
        <v>1.54E-2</v>
      </c>
      <c r="AN37" s="228">
        <v>298.2</v>
      </c>
      <c r="AO37" s="228">
        <v>299.94</v>
      </c>
      <c r="AP37" s="228">
        <v>0</v>
      </c>
      <c r="AQ37" s="230">
        <v>5670</v>
      </c>
      <c r="AR37" s="230">
        <v>5436</v>
      </c>
      <c r="AS37" s="228">
        <v>234</v>
      </c>
      <c r="AT37" s="229">
        <v>4.2999999999999997E-2</v>
      </c>
      <c r="AU37" s="230">
        <v>5393</v>
      </c>
      <c r="AV37" s="230">
        <v>5208</v>
      </c>
      <c r="AW37" s="228">
        <v>185</v>
      </c>
      <c r="AX37" s="229">
        <v>3.5499999999999997E-2</v>
      </c>
      <c r="AY37" s="228">
        <v>240</v>
      </c>
      <c r="AZ37" s="228">
        <v>209</v>
      </c>
      <c r="BA37" s="228">
        <v>31</v>
      </c>
      <c r="BB37" s="229">
        <v>0.14829999999999999</v>
      </c>
      <c r="BC37" s="228">
        <v>37</v>
      </c>
      <c r="BD37" s="228">
        <v>19</v>
      </c>
      <c r="BE37" s="228">
        <v>18</v>
      </c>
      <c r="BF37" s="229">
        <v>0.94740000000000002</v>
      </c>
      <c r="BG37" s="230">
        <v>19965</v>
      </c>
      <c r="BH37" s="230">
        <v>18659</v>
      </c>
      <c r="BI37" s="230">
        <v>1306</v>
      </c>
      <c r="BJ37" s="229">
        <v>7.0000000000000007E-2</v>
      </c>
      <c r="BK37" s="230">
        <v>8438</v>
      </c>
      <c r="BL37" s="230">
        <v>11907</v>
      </c>
      <c r="BM37" s="230">
        <v>-3469</v>
      </c>
      <c r="BN37" s="229">
        <v>-0.2913</v>
      </c>
      <c r="BO37" s="230">
        <v>34073</v>
      </c>
      <c r="BP37" s="230">
        <v>36002</v>
      </c>
      <c r="BQ37" s="230">
        <v>-1929</v>
      </c>
      <c r="BR37" s="229">
        <v>-5.3600000000000002E-2</v>
      </c>
      <c r="BS37" s="230">
        <v>20348125</v>
      </c>
      <c r="BT37" s="230">
        <v>30718274</v>
      </c>
      <c r="BU37" s="230">
        <v>-10370149</v>
      </c>
      <c r="BV37" s="229">
        <v>-0.33760000000000001</v>
      </c>
      <c r="BW37" s="230">
        <v>80938100</v>
      </c>
      <c r="BX37" s="230">
        <v>82454300</v>
      </c>
      <c r="BY37" s="230">
        <v>-1516200</v>
      </c>
      <c r="BZ37" s="229">
        <v>-1.84E-2</v>
      </c>
      <c r="CA37" s="230">
        <v>79551100</v>
      </c>
      <c r="CB37" s="230">
        <v>81211700</v>
      </c>
      <c r="CC37" s="230">
        <v>-1660600</v>
      </c>
      <c r="CD37" s="229">
        <v>-2.0400000000000001E-2</v>
      </c>
      <c r="CE37" s="230">
        <v>1191300</v>
      </c>
      <c r="CF37" s="230">
        <v>1090600</v>
      </c>
      <c r="CG37" s="230">
        <v>100700</v>
      </c>
      <c r="CH37" s="229">
        <v>9.2299999999999993E-2</v>
      </c>
      <c r="CI37" s="230">
        <v>195700</v>
      </c>
      <c r="CJ37" s="230">
        <v>152000</v>
      </c>
      <c r="CK37" s="230">
        <v>43700</v>
      </c>
      <c r="CL37" s="229">
        <v>0.28749999999999998</v>
      </c>
      <c r="CM37" s="230">
        <v>37150700</v>
      </c>
      <c r="CN37" s="230">
        <v>34561000</v>
      </c>
      <c r="CO37" s="230">
        <v>2589700</v>
      </c>
      <c r="CP37" s="229">
        <v>7.4899999999999994E-2</v>
      </c>
      <c r="CQ37" s="230">
        <v>15616100</v>
      </c>
      <c r="CR37" s="230">
        <v>15315900</v>
      </c>
      <c r="CS37" s="230">
        <v>300200</v>
      </c>
      <c r="CT37" s="229">
        <v>1.9599999999999999E-2</v>
      </c>
      <c r="CU37" s="230">
        <v>133704900</v>
      </c>
      <c r="CV37" s="230">
        <v>132331200</v>
      </c>
      <c r="CW37" s="230">
        <v>1373700</v>
      </c>
      <c r="CX37" s="229">
        <v>1.04E-2</v>
      </c>
      <c r="CY37" s="228">
        <v>22.04</v>
      </c>
      <c r="CZ37" s="228">
        <v>24.69</v>
      </c>
      <c r="DA37" s="228">
        <v>-2.65</v>
      </c>
      <c r="DB37" s="228">
        <v>-2.65</v>
      </c>
      <c r="DC37" s="228">
        <v>29.66</v>
      </c>
      <c r="DD37" s="228">
        <v>29.54</v>
      </c>
      <c r="DE37" s="228">
        <v>-7.62</v>
      </c>
      <c r="DF37" s="228">
        <v>0.12</v>
      </c>
      <c r="DG37" s="228">
        <v>21.26</v>
      </c>
      <c r="DH37" s="228">
        <v>24.09</v>
      </c>
      <c r="DI37" s="228">
        <v>-2.83</v>
      </c>
      <c r="DJ37" s="228">
        <v>-2.83</v>
      </c>
      <c r="DK37" s="228">
        <v>23.88</v>
      </c>
      <c r="DL37" s="228">
        <v>25.62</v>
      </c>
      <c r="DM37" s="228">
        <v>-1.74</v>
      </c>
      <c r="DN37" s="228">
        <v>-1.74</v>
      </c>
      <c r="DO37" s="228">
        <v>0.42</v>
      </c>
      <c r="DP37" s="228">
        <v>0.44</v>
      </c>
      <c r="DQ37" s="228">
        <v>-0.02</v>
      </c>
      <c r="DR37" s="229">
        <v>-4.5499999999999999E-2</v>
      </c>
      <c r="DS37" s="228">
        <v>310</v>
      </c>
      <c r="DT37" s="228">
        <v>300</v>
      </c>
      <c r="DU37" s="228">
        <v>0.42</v>
      </c>
      <c r="DV37" s="228">
        <v>0.64</v>
      </c>
      <c r="DW37" s="228">
        <v>-0.22</v>
      </c>
      <c r="DX37" s="229">
        <v>-0.34379999999999999</v>
      </c>
      <c r="DY37" s="229">
        <v>1.7100000000000001E-2</v>
      </c>
      <c r="DZ37" s="230">
        <v>1242600</v>
      </c>
      <c r="EA37" s="229">
        <v>5.7000000000000002E-3</v>
      </c>
      <c r="EB37" s="229">
        <v>1.7100000000000001E-2</v>
      </c>
      <c r="EC37" s="228">
        <v>1.74</v>
      </c>
      <c r="ED37" s="229">
        <v>5.7999999999999996E-3</v>
      </c>
      <c r="EE37" s="230">
        <v>13725558</v>
      </c>
      <c r="EF37" s="230">
        <v>21831582</v>
      </c>
      <c r="EG37" s="229">
        <v>-0.37130000000000002</v>
      </c>
      <c r="EH37" s="229">
        <v>0.67449999999999999</v>
      </c>
      <c r="EI37" s="231">
        <v>118558.7</v>
      </c>
      <c r="EJ37" s="231">
        <v>46388.72</v>
      </c>
      <c r="EK37" s="231">
        <v>32135.63</v>
      </c>
      <c r="EL37" s="231">
        <v>6127</v>
      </c>
      <c r="EM37" s="231">
        <v>197083.05</v>
      </c>
      <c r="EN37" s="231">
        <v>205228.3</v>
      </c>
      <c r="EO37" s="231">
        <v>-8145.25</v>
      </c>
      <c r="EP37" s="229">
        <v>-3.9699999999999999E-2</v>
      </c>
      <c r="EQ37" s="231">
        <v>115840</v>
      </c>
      <c r="ER37" s="231">
        <v>45082</v>
      </c>
      <c r="ES37" s="231">
        <v>242762</v>
      </c>
      <c r="ET37" s="231">
        <v>678857930</v>
      </c>
      <c r="EU37" s="231">
        <v>403684</v>
      </c>
      <c r="EV37" s="231">
        <v>393624</v>
      </c>
      <c r="EW37" s="231">
        <v>10060</v>
      </c>
      <c r="EX37" s="229">
        <v>2.5600000000000001E-2</v>
      </c>
      <c r="EY37" s="229">
        <v>0.19700000000000001</v>
      </c>
    </row>
    <row r="38" spans="1:155" ht="17.25" thickBot="1" x14ac:dyDescent="0.3">
      <c r="A38" s="226">
        <v>46086</v>
      </c>
      <c r="B38" s="227" t="s">
        <v>193</v>
      </c>
      <c r="C38" s="227" t="s">
        <v>281</v>
      </c>
      <c r="D38" s="231">
        <v>1393</v>
      </c>
      <c r="E38" s="231">
        <v>1349.5</v>
      </c>
      <c r="F38" s="228">
        <v>43.5</v>
      </c>
      <c r="G38" s="229">
        <v>3.2199999999999999E-2</v>
      </c>
      <c r="H38" s="231">
        <v>1389.4</v>
      </c>
      <c r="I38" s="231">
        <v>1345</v>
      </c>
      <c r="J38" s="228">
        <v>44.4</v>
      </c>
      <c r="K38" s="229">
        <v>3.3000000000000002E-2</v>
      </c>
      <c r="L38" s="231">
        <v>1393</v>
      </c>
      <c r="M38" s="231">
        <v>1349.5</v>
      </c>
      <c r="N38" s="228">
        <v>43.5</v>
      </c>
      <c r="O38" s="229">
        <v>3.2199999999999999E-2</v>
      </c>
      <c r="P38" s="231">
        <v>1401.8</v>
      </c>
      <c r="Q38" s="231">
        <v>1358.9</v>
      </c>
      <c r="R38" s="228">
        <v>42.9</v>
      </c>
      <c r="S38" s="229">
        <v>3.1600000000000003E-2</v>
      </c>
      <c r="T38" s="231">
        <v>1409.4</v>
      </c>
      <c r="U38" s="231">
        <v>1365.8</v>
      </c>
      <c r="V38" s="228">
        <v>43.6</v>
      </c>
      <c r="W38" s="229">
        <v>3.1899999999999998E-2</v>
      </c>
      <c r="X38" s="228">
        <v>3.6</v>
      </c>
      <c r="Y38" s="228">
        <v>4.5</v>
      </c>
      <c r="Z38" s="228">
        <v>-0.9</v>
      </c>
      <c r="AA38" s="229">
        <v>2.5999999999999999E-3</v>
      </c>
      <c r="AB38" s="228">
        <v>3.6</v>
      </c>
      <c r="AC38" s="228">
        <v>4.5</v>
      </c>
      <c r="AD38" s="228">
        <v>-0.9</v>
      </c>
      <c r="AE38" s="229">
        <v>2.5999999999999999E-3</v>
      </c>
      <c r="AF38" s="228">
        <v>12.4</v>
      </c>
      <c r="AG38" s="228">
        <v>13.9</v>
      </c>
      <c r="AH38" s="228">
        <v>-1.5</v>
      </c>
      <c r="AI38" s="229">
        <v>8.8999999999999999E-3</v>
      </c>
      <c r="AJ38" s="228">
        <v>20</v>
      </c>
      <c r="AK38" s="228">
        <v>20.8</v>
      </c>
      <c r="AL38" s="228">
        <v>-0.8</v>
      </c>
      <c r="AM38" s="229">
        <v>1.44E-2</v>
      </c>
      <c r="AN38" s="231">
        <v>1385.74</v>
      </c>
      <c r="AO38" s="231">
        <v>1396.06</v>
      </c>
      <c r="AP38" s="228">
        <v>0</v>
      </c>
      <c r="AQ38" s="230">
        <v>40994</v>
      </c>
      <c r="AR38" s="230">
        <v>40979</v>
      </c>
      <c r="AS38" s="228">
        <v>15</v>
      </c>
      <c r="AT38" s="229">
        <v>4.0000000000000002E-4</v>
      </c>
      <c r="AU38" s="230">
        <v>37709</v>
      </c>
      <c r="AV38" s="230">
        <v>37883</v>
      </c>
      <c r="AW38" s="228">
        <v>-174</v>
      </c>
      <c r="AX38" s="229">
        <v>-4.5999999999999999E-3</v>
      </c>
      <c r="AY38" s="230">
        <v>2738</v>
      </c>
      <c r="AZ38" s="230">
        <v>2341</v>
      </c>
      <c r="BA38" s="228">
        <v>397</v>
      </c>
      <c r="BB38" s="229">
        <v>0.1696</v>
      </c>
      <c r="BC38" s="228">
        <v>547</v>
      </c>
      <c r="BD38" s="228">
        <v>755</v>
      </c>
      <c r="BE38" s="228">
        <v>-208</v>
      </c>
      <c r="BF38" s="229">
        <v>-0.27550000000000002</v>
      </c>
      <c r="BG38" s="230">
        <v>168299</v>
      </c>
      <c r="BH38" s="230">
        <v>170910</v>
      </c>
      <c r="BI38" s="230">
        <v>-2611</v>
      </c>
      <c r="BJ38" s="229">
        <v>-1.5299999999999999E-2</v>
      </c>
      <c r="BK38" s="230">
        <v>127645</v>
      </c>
      <c r="BL38" s="230">
        <v>134802</v>
      </c>
      <c r="BM38" s="230">
        <v>-7157</v>
      </c>
      <c r="BN38" s="229">
        <v>-5.3100000000000001E-2</v>
      </c>
      <c r="BO38" s="230">
        <v>336938</v>
      </c>
      <c r="BP38" s="230">
        <v>346691</v>
      </c>
      <c r="BQ38" s="230">
        <v>-9753</v>
      </c>
      <c r="BR38" s="229">
        <v>-2.81E-2</v>
      </c>
      <c r="BS38" s="230">
        <v>27471029</v>
      </c>
      <c r="BT38" s="230">
        <v>34254754</v>
      </c>
      <c r="BU38" s="230">
        <v>-6783725</v>
      </c>
      <c r="BV38" s="229">
        <v>-0.19800000000000001</v>
      </c>
      <c r="BW38" s="230">
        <v>111390500</v>
      </c>
      <c r="BX38" s="230">
        <v>112415000</v>
      </c>
      <c r="BY38" s="230">
        <v>-1024500</v>
      </c>
      <c r="BZ38" s="229">
        <v>-9.1000000000000004E-3</v>
      </c>
      <c r="CA38" s="230">
        <v>106606000</v>
      </c>
      <c r="CB38" s="230">
        <v>107745500</v>
      </c>
      <c r="CC38" s="230">
        <v>-1139500</v>
      </c>
      <c r="CD38" s="229">
        <v>-1.06E-2</v>
      </c>
      <c r="CE38" s="230">
        <v>3908000</v>
      </c>
      <c r="CF38" s="230">
        <v>3808000</v>
      </c>
      <c r="CG38" s="230">
        <v>100000</v>
      </c>
      <c r="CH38" s="229">
        <v>2.63E-2</v>
      </c>
      <c r="CI38" s="230">
        <v>876500</v>
      </c>
      <c r="CJ38" s="230">
        <v>861500</v>
      </c>
      <c r="CK38" s="230">
        <v>15000</v>
      </c>
      <c r="CL38" s="229">
        <v>1.7399999999999999E-2</v>
      </c>
      <c r="CM38" s="230">
        <v>43368000</v>
      </c>
      <c r="CN38" s="230">
        <v>44359000</v>
      </c>
      <c r="CO38" s="230">
        <v>-991000</v>
      </c>
      <c r="CP38" s="229">
        <v>-2.23E-2</v>
      </c>
      <c r="CQ38" s="230">
        <v>31652500</v>
      </c>
      <c r="CR38" s="230">
        <v>30572000</v>
      </c>
      <c r="CS38" s="230">
        <v>1080500</v>
      </c>
      <c r="CT38" s="229">
        <v>3.5299999999999998E-2</v>
      </c>
      <c r="CU38" s="230">
        <v>186411000</v>
      </c>
      <c r="CV38" s="230">
        <v>187346000</v>
      </c>
      <c r="CW38" s="230">
        <v>-935000</v>
      </c>
      <c r="CX38" s="229">
        <v>-5.0000000000000001E-3</v>
      </c>
      <c r="CY38" s="228">
        <v>23.69</v>
      </c>
      <c r="CZ38" s="228">
        <v>28.2</v>
      </c>
      <c r="DA38" s="228">
        <v>-4.51</v>
      </c>
      <c r="DB38" s="228">
        <v>-4.51</v>
      </c>
      <c r="DC38" s="228">
        <v>25.19</v>
      </c>
      <c r="DD38" s="228">
        <v>24.86</v>
      </c>
      <c r="DE38" s="228">
        <v>-1.5</v>
      </c>
      <c r="DF38" s="228">
        <v>0.33</v>
      </c>
      <c r="DG38" s="228">
        <v>22.38</v>
      </c>
      <c r="DH38" s="228">
        <v>26.81</v>
      </c>
      <c r="DI38" s="228">
        <v>-4.43</v>
      </c>
      <c r="DJ38" s="228">
        <v>-4.43</v>
      </c>
      <c r="DK38" s="228">
        <v>25.42</v>
      </c>
      <c r="DL38" s="228">
        <v>29.96</v>
      </c>
      <c r="DM38" s="228">
        <v>-4.54</v>
      </c>
      <c r="DN38" s="228">
        <v>-4.54</v>
      </c>
      <c r="DO38" s="228">
        <v>0.73</v>
      </c>
      <c r="DP38" s="228">
        <v>0.69</v>
      </c>
      <c r="DQ38" s="228">
        <v>0.04</v>
      </c>
      <c r="DR38" s="229">
        <v>5.8000000000000003E-2</v>
      </c>
      <c r="DS38" s="231">
        <v>1500</v>
      </c>
      <c r="DT38" s="231">
        <v>1300</v>
      </c>
      <c r="DU38" s="228">
        <v>0.76</v>
      </c>
      <c r="DV38" s="228">
        <v>0.79</v>
      </c>
      <c r="DW38" s="228">
        <v>-0.03</v>
      </c>
      <c r="DX38" s="229">
        <v>-3.7999999999999999E-2</v>
      </c>
      <c r="DY38" s="229">
        <v>4.2999999999999997E-2</v>
      </c>
      <c r="DZ38" s="230">
        <v>4669500</v>
      </c>
      <c r="EA38" s="229">
        <v>6.3E-3</v>
      </c>
      <c r="EB38" s="229">
        <v>4.2999999999999997E-2</v>
      </c>
      <c r="EC38" s="228">
        <v>10.32</v>
      </c>
      <c r="ED38" s="229">
        <v>7.4000000000000003E-3</v>
      </c>
      <c r="EE38" s="230">
        <v>13027027</v>
      </c>
      <c r="EF38" s="230">
        <v>21709311</v>
      </c>
      <c r="EG38" s="229">
        <v>-0.39989999999999998</v>
      </c>
      <c r="EH38" s="229">
        <v>0.47420000000000001</v>
      </c>
      <c r="EI38" s="231">
        <v>1218774.1100000001</v>
      </c>
      <c r="EJ38" s="231">
        <v>865150.19</v>
      </c>
      <c r="EK38" s="231">
        <v>284223.49</v>
      </c>
      <c r="EL38" s="231">
        <v>29604</v>
      </c>
      <c r="EM38" s="231">
        <v>2368147.79</v>
      </c>
      <c r="EN38" s="231">
        <v>2383534.42</v>
      </c>
      <c r="EO38" s="231">
        <v>-15386.63</v>
      </c>
      <c r="EP38" s="229">
        <v>-6.4999999999999997E-3</v>
      </c>
      <c r="EQ38" s="231">
        <v>632565</v>
      </c>
      <c r="ER38" s="231">
        <v>438441</v>
      </c>
      <c r="ES38" s="231">
        <v>1552157</v>
      </c>
      <c r="ET38" s="231">
        <v>664266681</v>
      </c>
      <c r="EU38" s="231">
        <v>2623163</v>
      </c>
      <c r="EV38" s="231">
        <v>2585087</v>
      </c>
      <c r="EW38" s="231">
        <v>38076</v>
      </c>
      <c r="EX38" s="229">
        <v>1.47E-2</v>
      </c>
      <c r="EY38" s="229">
        <v>0.28060000000000002</v>
      </c>
    </row>
    <row r="39" spans="1:155" ht="17.25" thickBot="1" x14ac:dyDescent="0.3">
      <c r="A39" s="226">
        <v>46086</v>
      </c>
      <c r="B39" s="227" t="s">
        <v>175</v>
      </c>
      <c r="C39" s="227" t="s">
        <v>462</v>
      </c>
      <c r="D39" s="231">
        <v>1946.2</v>
      </c>
      <c r="E39" s="231">
        <v>1936.5</v>
      </c>
      <c r="F39" s="228">
        <v>9.6999999999999993</v>
      </c>
      <c r="G39" s="229">
        <v>5.0000000000000001E-3</v>
      </c>
      <c r="H39" s="231">
        <v>1945</v>
      </c>
      <c r="I39" s="231">
        <v>1930.6</v>
      </c>
      <c r="J39" s="228">
        <v>14.4</v>
      </c>
      <c r="K39" s="229">
        <v>7.4999999999999997E-3</v>
      </c>
      <c r="L39" s="231">
        <v>1946.2</v>
      </c>
      <c r="M39" s="231">
        <v>1936.5</v>
      </c>
      <c r="N39" s="228">
        <v>9.6999999999999993</v>
      </c>
      <c r="O39" s="229">
        <v>5.0000000000000001E-3</v>
      </c>
      <c r="P39" s="231">
        <v>1957.9</v>
      </c>
      <c r="Q39" s="231">
        <v>1949.3</v>
      </c>
      <c r="R39" s="228">
        <v>8.6</v>
      </c>
      <c r="S39" s="229">
        <v>4.4000000000000003E-3</v>
      </c>
      <c r="T39" s="231">
        <v>1956</v>
      </c>
      <c r="U39" s="231">
        <v>1959.6</v>
      </c>
      <c r="V39" s="228">
        <v>-3.6</v>
      </c>
      <c r="W39" s="229">
        <v>-1.8E-3</v>
      </c>
      <c r="X39" s="228">
        <v>1.2</v>
      </c>
      <c r="Y39" s="228">
        <v>5.9</v>
      </c>
      <c r="Z39" s="228">
        <v>-4.7</v>
      </c>
      <c r="AA39" s="229">
        <v>5.9999999999999995E-4</v>
      </c>
      <c r="AB39" s="228">
        <v>1.2</v>
      </c>
      <c r="AC39" s="228">
        <v>5.9</v>
      </c>
      <c r="AD39" s="228">
        <v>-4.7</v>
      </c>
      <c r="AE39" s="229">
        <v>5.9999999999999995E-4</v>
      </c>
      <c r="AF39" s="228">
        <v>12.9</v>
      </c>
      <c r="AG39" s="228">
        <v>18.7</v>
      </c>
      <c r="AH39" s="228">
        <v>-5.8</v>
      </c>
      <c r="AI39" s="229">
        <v>6.6E-3</v>
      </c>
      <c r="AJ39" s="228">
        <v>11</v>
      </c>
      <c r="AK39" s="228">
        <v>29</v>
      </c>
      <c r="AL39" s="228">
        <v>-18</v>
      </c>
      <c r="AM39" s="229">
        <v>5.7000000000000002E-3</v>
      </c>
      <c r="AN39" s="231">
        <v>1933.78</v>
      </c>
      <c r="AO39" s="231">
        <v>1944.78</v>
      </c>
      <c r="AP39" s="228">
        <v>0</v>
      </c>
      <c r="AQ39" s="230">
        <v>3929</v>
      </c>
      <c r="AR39" s="230">
        <v>3840</v>
      </c>
      <c r="AS39" s="228">
        <v>89</v>
      </c>
      <c r="AT39" s="229">
        <v>2.3199999999999998E-2</v>
      </c>
      <c r="AU39" s="230">
        <v>3696</v>
      </c>
      <c r="AV39" s="230">
        <v>3591</v>
      </c>
      <c r="AW39" s="228">
        <v>105</v>
      </c>
      <c r="AX39" s="229">
        <v>2.92E-2</v>
      </c>
      <c r="AY39" s="228">
        <v>185</v>
      </c>
      <c r="AZ39" s="228">
        <v>185</v>
      </c>
      <c r="BA39" s="228">
        <v>0</v>
      </c>
      <c r="BB39" s="229">
        <v>0</v>
      </c>
      <c r="BC39" s="228">
        <v>48</v>
      </c>
      <c r="BD39" s="228">
        <v>64</v>
      </c>
      <c r="BE39" s="228">
        <v>-16</v>
      </c>
      <c r="BF39" s="229">
        <v>-0.25</v>
      </c>
      <c r="BG39" s="230">
        <v>11286</v>
      </c>
      <c r="BH39" s="230">
        <v>7908</v>
      </c>
      <c r="BI39" s="230">
        <v>3378</v>
      </c>
      <c r="BJ39" s="229">
        <v>0.42720000000000002</v>
      </c>
      <c r="BK39" s="230">
        <v>5780</v>
      </c>
      <c r="BL39" s="230">
        <v>6365</v>
      </c>
      <c r="BM39" s="228">
        <v>-585</v>
      </c>
      <c r="BN39" s="229">
        <v>-9.1899999999999996E-2</v>
      </c>
      <c r="BO39" s="230">
        <v>20995</v>
      </c>
      <c r="BP39" s="230">
        <v>18113</v>
      </c>
      <c r="BQ39" s="230">
        <v>2882</v>
      </c>
      <c r="BR39" s="229">
        <v>0.15909999999999999</v>
      </c>
      <c r="BS39" s="230">
        <v>1983417</v>
      </c>
      <c r="BT39" s="230">
        <v>982967</v>
      </c>
      <c r="BU39" s="230">
        <v>1000450</v>
      </c>
      <c r="BV39" s="229">
        <v>1.0178</v>
      </c>
      <c r="BW39" s="230">
        <v>8929875</v>
      </c>
      <c r="BX39" s="230">
        <v>8771625</v>
      </c>
      <c r="BY39" s="230">
        <v>158250</v>
      </c>
      <c r="BZ39" s="229">
        <v>1.7999999999999999E-2</v>
      </c>
      <c r="CA39" s="230">
        <v>8846625</v>
      </c>
      <c r="CB39" s="230">
        <v>8693625</v>
      </c>
      <c r="CC39" s="230">
        <v>153000</v>
      </c>
      <c r="CD39" s="229">
        <v>1.7600000000000001E-2</v>
      </c>
      <c r="CE39" s="230">
        <v>66375</v>
      </c>
      <c r="CF39" s="230">
        <v>63375</v>
      </c>
      <c r="CG39" s="230">
        <v>3000</v>
      </c>
      <c r="CH39" s="229">
        <v>4.7300000000000002E-2</v>
      </c>
      <c r="CI39" s="230">
        <v>16875</v>
      </c>
      <c r="CJ39" s="230">
        <v>14625</v>
      </c>
      <c r="CK39" s="230">
        <v>2250</v>
      </c>
      <c r="CL39" s="229">
        <v>0.15379999999999999</v>
      </c>
      <c r="CM39" s="230">
        <v>3034875</v>
      </c>
      <c r="CN39" s="230">
        <v>2597625</v>
      </c>
      <c r="CO39" s="230">
        <v>437250</v>
      </c>
      <c r="CP39" s="229">
        <v>0.16830000000000001</v>
      </c>
      <c r="CQ39" s="230">
        <v>1260000</v>
      </c>
      <c r="CR39" s="230">
        <v>1161375</v>
      </c>
      <c r="CS39" s="230">
        <v>98625</v>
      </c>
      <c r="CT39" s="229">
        <v>8.4900000000000003E-2</v>
      </c>
      <c r="CU39" s="230">
        <v>13224750</v>
      </c>
      <c r="CV39" s="230">
        <v>12530625</v>
      </c>
      <c r="CW39" s="230">
        <v>694125</v>
      </c>
      <c r="CX39" s="229">
        <v>5.5399999999999998E-2</v>
      </c>
      <c r="CY39" s="228">
        <v>23.87</v>
      </c>
      <c r="CZ39" s="228">
        <v>25.8</v>
      </c>
      <c r="DA39" s="228">
        <v>-1.93</v>
      </c>
      <c r="DB39" s="228">
        <v>-1.93</v>
      </c>
      <c r="DC39" s="228">
        <v>24.42</v>
      </c>
      <c r="DD39" s="228">
        <v>24.46</v>
      </c>
      <c r="DE39" s="228">
        <v>-0.55000000000000004</v>
      </c>
      <c r="DF39" s="228">
        <v>-0.04</v>
      </c>
      <c r="DG39" s="228">
        <v>23.32</v>
      </c>
      <c r="DH39" s="228">
        <v>25.52</v>
      </c>
      <c r="DI39" s="228">
        <v>-2.2000000000000002</v>
      </c>
      <c r="DJ39" s="228">
        <v>-2.2000000000000002</v>
      </c>
      <c r="DK39" s="228">
        <v>24.96</v>
      </c>
      <c r="DL39" s="228">
        <v>26.16</v>
      </c>
      <c r="DM39" s="228">
        <v>-1.2</v>
      </c>
      <c r="DN39" s="228">
        <v>-1.2</v>
      </c>
      <c r="DO39" s="228">
        <v>0.42</v>
      </c>
      <c r="DP39" s="228">
        <v>0.45</v>
      </c>
      <c r="DQ39" s="228">
        <v>-0.03</v>
      </c>
      <c r="DR39" s="229">
        <v>-6.6699999999999995E-2</v>
      </c>
      <c r="DS39" s="231">
        <v>2100</v>
      </c>
      <c r="DT39" s="231">
        <v>1920</v>
      </c>
      <c r="DU39" s="228">
        <v>0.51</v>
      </c>
      <c r="DV39" s="228">
        <v>0.8</v>
      </c>
      <c r="DW39" s="228">
        <v>-0.28999999999999998</v>
      </c>
      <c r="DX39" s="229">
        <v>-0.36249999999999999</v>
      </c>
      <c r="DY39" s="229">
        <v>9.2999999999999992E-3</v>
      </c>
      <c r="DZ39" s="230">
        <v>78000</v>
      </c>
      <c r="EA39" s="229">
        <v>6.0000000000000001E-3</v>
      </c>
      <c r="EB39" s="229">
        <v>9.2999999999999992E-3</v>
      </c>
      <c r="EC39" s="228">
        <v>11</v>
      </c>
      <c r="ED39" s="229">
        <v>5.7000000000000002E-3</v>
      </c>
      <c r="EE39" s="230">
        <v>1299601</v>
      </c>
      <c r="EF39" s="230">
        <v>585454</v>
      </c>
      <c r="EG39" s="229">
        <v>1.2198</v>
      </c>
      <c r="EH39" s="229">
        <v>0.6552</v>
      </c>
      <c r="EI39" s="231">
        <v>86936.75</v>
      </c>
      <c r="EJ39" s="231">
        <v>42101.34</v>
      </c>
      <c r="EK39" s="231">
        <v>28502.75</v>
      </c>
      <c r="EL39" s="231">
        <v>2849</v>
      </c>
      <c r="EM39" s="231">
        <v>157540.84</v>
      </c>
      <c r="EN39" s="231">
        <v>137110.81</v>
      </c>
      <c r="EO39" s="231">
        <v>20430.03</v>
      </c>
      <c r="EP39" s="229">
        <v>0.14899999999999999</v>
      </c>
      <c r="EQ39" s="231">
        <v>64506</v>
      </c>
      <c r="ER39" s="231">
        <v>24347</v>
      </c>
      <c r="ES39" s="231">
        <v>173803</v>
      </c>
      <c r="ET39" s="231">
        <v>44756800</v>
      </c>
      <c r="EU39" s="231">
        <v>262655</v>
      </c>
      <c r="EV39" s="231">
        <v>248273</v>
      </c>
      <c r="EW39" s="231">
        <v>14382</v>
      </c>
      <c r="EX39" s="229">
        <v>5.79E-2</v>
      </c>
      <c r="EY39" s="229">
        <v>0.29549999999999998</v>
      </c>
    </row>
    <row r="40" spans="1:155" ht="17.25" thickBot="1" x14ac:dyDescent="0.3">
      <c r="A40" s="226">
        <v>46086</v>
      </c>
      <c r="B40" s="227" t="s">
        <v>172</v>
      </c>
      <c r="C40" s="227" t="s">
        <v>283</v>
      </c>
      <c r="D40" s="231">
        <v>1174.5</v>
      </c>
      <c r="E40" s="231">
        <v>1179.8</v>
      </c>
      <c r="F40" s="228">
        <v>-5.3</v>
      </c>
      <c r="G40" s="229">
        <v>-4.4999999999999997E-3</v>
      </c>
      <c r="H40" s="231">
        <v>1169.5</v>
      </c>
      <c r="I40" s="231">
        <v>1174.5</v>
      </c>
      <c r="J40" s="228">
        <v>-5</v>
      </c>
      <c r="K40" s="229">
        <v>-4.3E-3</v>
      </c>
      <c r="L40" s="231">
        <v>1174.5</v>
      </c>
      <c r="M40" s="231">
        <v>1179.8</v>
      </c>
      <c r="N40" s="228">
        <v>-5.3</v>
      </c>
      <c r="O40" s="229">
        <v>-4.4999999999999997E-3</v>
      </c>
      <c r="P40" s="231">
        <v>1182</v>
      </c>
      <c r="Q40" s="231">
        <v>1186.9000000000001</v>
      </c>
      <c r="R40" s="228">
        <v>-4.9000000000000004</v>
      </c>
      <c r="S40" s="229">
        <v>-4.1000000000000003E-3</v>
      </c>
      <c r="T40" s="231">
        <v>1176</v>
      </c>
      <c r="U40" s="231">
        <v>1182.5999999999999</v>
      </c>
      <c r="V40" s="228">
        <v>-6.6</v>
      </c>
      <c r="W40" s="229">
        <v>-5.5999999999999999E-3</v>
      </c>
      <c r="X40" s="228">
        <v>5</v>
      </c>
      <c r="Y40" s="228">
        <v>5.3</v>
      </c>
      <c r="Z40" s="228">
        <v>-0.3</v>
      </c>
      <c r="AA40" s="229">
        <v>4.3E-3</v>
      </c>
      <c r="AB40" s="228">
        <v>5</v>
      </c>
      <c r="AC40" s="228">
        <v>5.3</v>
      </c>
      <c r="AD40" s="228">
        <v>-0.3</v>
      </c>
      <c r="AE40" s="229">
        <v>4.3E-3</v>
      </c>
      <c r="AF40" s="228">
        <v>12.5</v>
      </c>
      <c r="AG40" s="228">
        <v>12.4</v>
      </c>
      <c r="AH40" s="228">
        <v>0.1</v>
      </c>
      <c r="AI40" s="229">
        <v>1.0699999999999999E-2</v>
      </c>
      <c r="AJ40" s="228">
        <v>6.5</v>
      </c>
      <c r="AK40" s="228">
        <v>8.1</v>
      </c>
      <c r="AL40" s="228">
        <v>-1.6</v>
      </c>
      <c r="AM40" s="229">
        <v>5.5999999999999999E-3</v>
      </c>
      <c r="AN40" s="231">
        <v>1170.45</v>
      </c>
      <c r="AO40" s="231">
        <v>1177.47</v>
      </c>
      <c r="AP40" s="228">
        <v>0</v>
      </c>
      <c r="AQ40" s="230">
        <v>27670</v>
      </c>
      <c r="AR40" s="230">
        <v>29195</v>
      </c>
      <c r="AS40" s="230">
        <v>-1525</v>
      </c>
      <c r="AT40" s="229">
        <v>-5.2200000000000003E-2</v>
      </c>
      <c r="AU40" s="230">
        <v>25313</v>
      </c>
      <c r="AV40" s="230">
        <v>27418</v>
      </c>
      <c r="AW40" s="230">
        <v>-2105</v>
      </c>
      <c r="AX40" s="229">
        <v>-7.6799999999999993E-2</v>
      </c>
      <c r="AY40" s="230">
        <v>1917</v>
      </c>
      <c r="AZ40" s="230">
        <v>1568</v>
      </c>
      <c r="BA40" s="228">
        <v>349</v>
      </c>
      <c r="BB40" s="229">
        <v>0.22259999999999999</v>
      </c>
      <c r="BC40" s="228">
        <v>440</v>
      </c>
      <c r="BD40" s="228">
        <v>209</v>
      </c>
      <c r="BE40" s="228">
        <v>231</v>
      </c>
      <c r="BF40" s="229">
        <v>1.1052999999999999</v>
      </c>
      <c r="BG40" s="230">
        <v>89305</v>
      </c>
      <c r="BH40" s="230">
        <v>91623</v>
      </c>
      <c r="BI40" s="230">
        <v>-2318</v>
      </c>
      <c r="BJ40" s="229">
        <v>-2.53E-2</v>
      </c>
      <c r="BK40" s="230">
        <v>70563</v>
      </c>
      <c r="BL40" s="230">
        <v>109278</v>
      </c>
      <c r="BM40" s="230">
        <v>-38715</v>
      </c>
      <c r="BN40" s="229">
        <v>-0.3543</v>
      </c>
      <c r="BO40" s="230">
        <v>187538</v>
      </c>
      <c r="BP40" s="230">
        <v>230096</v>
      </c>
      <c r="BQ40" s="230">
        <v>-42558</v>
      </c>
      <c r="BR40" s="229">
        <v>-0.185</v>
      </c>
      <c r="BS40" s="230">
        <v>23421326</v>
      </c>
      <c r="BT40" s="230">
        <v>14751365</v>
      </c>
      <c r="BU40" s="230">
        <v>8669961</v>
      </c>
      <c r="BV40" s="229">
        <v>0.5877</v>
      </c>
      <c r="BW40" s="230">
        <v>60741750</v>
      </c>
      <c r="BX40" s="230">
        <v>57603000</v>
      </c>
      <c r="BY40" s="230">
        <v>3138750</v>
      </c>
      <c r="BZ40" s="229">
        <v>5.45E-2</v>
      </c>
      <c r="CA40" s="230">
        <v>58007250</v>
      </c>
      <c r="CB40" s="230">
        <v>55345500</v>
      </c>
      <c r="CC40" s="230">
        <v>2661750</v>
      </c>
      <c r="CD40" s="229">
        <v>4.8099999999999997E-2</v>
      </c>
      <c r="CE40" s="230">
        <v>2386500</v>
      </c>
      <c r="CF40" s="230">
        <v>2016750</v>
      </c>
      <c r="CG40" s="230">
        <v>369750</v>
      </c>
      <c r="CH40" s="229">
        <v>0.18329999999999999</v>
      </c>
      <c r="CI40" s="230">
        <v>348000</v>
      </c>
      <c r="CJ40" s="230">
        <v>240750</v>
      </c>
      <c r="CK40" s="230">
        <v>107250</v>
      </c>
      <c r="CL40" s="229">
        <v>0.44550000000000001</v>
      </c>
      <c r="CM40" s="230">
        <v>37584000</v>
      </c>
      <c r="CN40" s="230">
        <v>33957750</v>
      </c>
      <c r="CO40" s="230">
        <v>3626250</v>
      </c>
      <c r="CP40" s="229">
        <v>0.10680000000000001</v>
      </c>
      <c r="CQ40" s="230">
        <v>30155250</v>
      </c>
      <c r="CR40" s="230">
        <v>31882500</v>
      </c>
      <c r="CS40" s="230">
        <v>-1727250</v>
      </c>
      <c r="CT40" s="229">
        <v>-5.4199999999999998E-2</v>
      </c>
      <c r="CU40" s="230">
        <v>128481000</v>
      </c>
      <c r="CV40" s="230">
        <v>123443250</v>
      </c>
      <c r="CW40" s="230">
        <v>5037750</v>
      </c>
      <c r="CX40" s="229">
        <v>4.0800000000000003E-2</v>
      </c>
      <c r="CY40" s="228">
        <v>22.78</v>
      </c>
      <c r="CZ40" s="228">
        <v>25.37</v>
      </c>
      <c r="DA40" s="228">
        <v>-2.59</v>
      </c>
      <c r="DB40" s="228">
        <v>-2.59</v>
      </c>
      <c r="DC40" s="228">
        <v>26.82</v>
      </c>
      <c r="DD40" s="228">
        <v>26.88</v>
      </c>
      <c r="DE40" s="228">
        <v>-4.04</v>
      </c>
      <c r="DF40" s="228">
        <v>-0.06</v>
      </c>
      <c r="DG40" s="228">
        <v>22.14</v>
      </c>
      <c r="DH40" s="228">
        <v>23.72</v>
      </c>
      <c r="DI40" s="228">
        <v>-1.58</v>
      </c>
      <c r="DJ40" s="228">
        <v>-1.58</v>
      </c>
      <c r="DK40" s="228">
        <v>23.59</v>
      </c>
      <c r="DL40" s="228">
        <v>26.75</v>
      </c>
      <c r="DM40" s="228">
        <v>-3.16</v>
      </c>
      <c r="DN40" s="228">
        <v>-3.16</v>
      </c>
      <c r="DO40" s="228">
        <v>0.8</v>
      </c>
      <c r="DP40" s="228">
        <v>0.94</v>
      </c>
      <c r="DQ40" s="228">
        <v>-0.14000000000000001</v>
      </c>
      <c r="DR40" s="229">
        <v>-0.1489</v>
      </c>
      <c r="DS40" s="231">
        <v>1200</v>
      </c>
      <c r="DT40" s="231">
        <v>1100</v>
      </c>
      <c r="DU40" s="228">
        <v>0.79</v>
      </c>
      <c r="DV40" s="228">
        <v>1.19</v>
      </c>
      <c r="DW40" s="228">
        <v>-0.4</v>
      </c>
      <c r="DX40" s="229">
        <v>-0.33610000000000001</v>
      </c>
      <c r="DY40" s="229">
        <v>4.4999999999999998E-2</v>
      </c>
      <c r="DZ40" s="230">
        <v>2257500</v>
      </c>
      <c r="EA40" s="229">
        <v>6.4000000000000003E-3</v>
      </c>
      <c r="EB40" s="229">
        <v>4.4999999999999998E-2</v>
      </c>
      <c r="EC40" s="228">
        <v>7.02</v>
      </c>
      <c r="ED40" s="229">
        <v>6.0000000000000001E-3</v>
      </c>
      <c r="EE40" s="230">
        <v>14643760</v>
      </c>
      <c r="EF40" s="230">
        <v>8906315</v>
      </c>
      <c r="EG40" s="229">
        <v>0.64419999999999999</v>
      </c>
      <c r="EH40" s="229">
        <v>0.62519999999999998</v>
      </c>
      <c r="EI40" s="231">
        <v>822112.75</v>
      </c>
      <c r="EJ40" s="231">
        <v>611228.43000000005</v>
      </c>
      <c r="EK40" s="231">
        <v>243007.38</v>
      </c>
      <c r="EL40" s="231">
        <v>24018</v>
      </c>
      <c r="EM40" s="231">
        <v>1676348.56</v>
      </c>
      <c r="EN40" s="231">
        <v>2051682.79</v>
      </c>
      <c r="EO40" s="231">
        <v>-375334.23</v>
      </c>
      <c r="EP40" s="229">
        <v>-0.18290000000000001</v>
      </c>
      <c r="EQ40" s="231">
        <v>462912</v>
      </c>
      <c r="ER40" s="231">
        <v>339053</v>
      </c>
      <c r="ES40" s="231">
        <v>713596</v>
      </c>
      <c r="ET40" s="231">
        <v>436949195</v>
      </c>
      <c r="EU40" s="231">
        <v>1515561</v>
      </c>
      <c r="EV40" s="231">
        <v>1458212</v>
      </c>
      <c r="EW40" s="231">
        <v>57349</v>
      </c>
      <c r="EX40" s="229">
        <v>3.9300000000000002E-2</v>
      </c>
      <c r="EY40" s="229">
        <v>0.29399999999999998</v>
      </c>
    </row>
    <row r="41" spans="1:155" ht="17.25" thickBot="1" x14ac:dyDescent="0.3">
      <c r="A41" s="226">
        <v>46086</v>
      </c>
      <c r="B41" s="227" t="s">
        <v>175</v>
      </c>
      <c r="C41" s="227" t="s">
        <v>562</v>
      </c>
      <c r="D41" s="231">
        <v>1041.2</v>
      </c>
      <c r="E41" s="231">
        <v>1012.7</v>
      </c>
      <c r="F41" s="228">
        <v>28.5</v>
      </c>
      <c r="G41" s="229">
        <v>2.81E-2</v>
      </c>
      <c r="H41" s="231">
        <v>1039.5</v>
      </c>
      <c r="I41" s="231">
        <v>1010</v>
      </c>
      <c r="J41" s="228">
        <v>29.5</v>
      </c>
      <c r="K41" s="229">
        <v>2.92E-2</v>
      </c>
      <c r="L41" s="231">
        <v>1041.2</v>
      </c>
      <c r="M41" s="231">
        <v>1012.7</v>
      </c>
      <c r="N41" s="228">
        <v>28.5</v>
      </c>
      <c r="O41" s="229">
        <v>2.81E-2</v>
      </c>
      <c r="P41" s="231">
        <v>1048</v>
      </c>
      <c r="Q41" s="231">
        <v>1018.6</v>
      </c>
      <c r="R41" s="228">
        <v>29.4</v>
      </c>
      <c r="S41" s="229">
        <v>2.8899999999999999E-2</v>
      </c>
      <c r="T41" s="231">
        <v>1051.5999999999999</v>
      </c>
      <c r="U41" s="231">
        <v>1023.1</v>
      </c>
      <c r="V41" s="228">
        <v>28.5</v>
      </c>
      <c r="W41" s="229">
        <v>2.7900000000000001E-2</v>
      </c>
      <c r="X41" s="228">
        <v>1.7</v>
      </c>
      <c r="Y41" s="228">
        <v>2.7</v>
      </c>
      <c r="Z41" s="228">
        <v>-1</v>
      </c>
      <c r="AA41" s="229">
        <v>1.6000000000000001E-3</v>
      </c>
      <c r="AB41" s="228">
        <v>1.7</v>
      </c>
      <c r="AC41" s="228">
        <v>2.7</v>
      </c>
      <c r="AD41" s="228">
        <v>-1</v>
      </c>
      <c r="AE41" s="229">
        <v>1.6000000000000001E-3</v>
      </c>
      <c r="AF41" s="228">
        <v>8.5</v>
      </c>
      <c r="AG41" s="228">
        <v>8.6</v>
      </c>
      <c r="AH41" s="228">
        <v>-0.1</v>
      </c>
      <c r="AI41" s="229">
        <v>8.2000000000000007E-3</v>
      </c>
      <c r="AJ41" s="228">
        <v>12.1</v>
      </c>
      <c r="AK41" s="228">
        <v>13.1</v>
      </c>
      <c r="AL41" s="228">
        <v>-1</v>
      </c>
      <c r="AM41" s="229">
        <v>1.1599999999999999E-2</v>
      </c>
      <c r="AN41" s="231">
        <v>1034.28</v>
      </c>
      <c r="AO41" s="231">
        <v>1040.8599999999999</v>
      </c>
      <c r="AP41" s="228">
        <v>0</v>
      </c>
      <c r="AQ41" s="230">
        <v>8793</v>
      </c>
      <c r="AR41" s="230">
        <v>11774</v>
      </c>
      <c r="AS41" s="230">
        <v>-2981</v>
      </c>
      <c r="AT41" s="229">
        <v>-0.25319999999999998</v>
      </c>
      <c r="AU41" s="230">
        <v>8358</v>
      </c>
      <c r="AV41" s="230">
        <v>11346</v>
      </c>
      <c r="AW41" s="230">
        <v>-2988</v>
      </c>
      <c r="AX41" s="229">
        <v>-0.26340000000000002</v>
      </c>
      <c r="AY41" s="228">
        <v>375</v>
      </c>
      <c r="AZ41" s="228">
        <v>351</v>
      </c>
      <c r="BA41" s="228">
        <v>24</v>
      </c>
      <c r="BB41" s="229">
        <v>6.8400000000000002E-2</v>
      </c>
      <c r="BC41" s="228">
        <v>60</v>
      </c>
      <c r="BD41" s="228">
        <v>77</v>
      </c>
      <c r="BE41" s="228">
        <v>-17</v>
      </c>
      <c r="BF41" s="229">
        <v>-0.2208</v>
      </c>
      <c r="BG41" s="230">
        <v>15118</v>
      </c>
      <c r="BH41" s="230">
        <v>19852</v>
      </c>
      <c r="BI41" s="230">
        <v>-4734</v>
      </c>
      <c r="BJ41" s="229">
        <v>-0.23849999999999999</v>
      </c>
      <c r="BK41" s="230">
        <v>9804</v>
      </c>
      <c r="BL41" s="230">
        <v>17314</v>
      </c>
      <c r="BM41" s="230">
        <v>-7510</v>
      </c>
      <c r="BN41" s="229">
        <v>-0.43380000000000002</v>
      </c>
      <c r="BO41" s="230">
        <v>33715</v>
      </c>
      <c r="BP41" s="230">
        <v>48940</v>
      </c>
      <c r="BQ41" s="230">
        <v>-15225</v>
      </c>
      <c r="BR41" s="229">
        <v>-0.31109999999999999</v>
      </c>
      <c r="BS41" s="230">
        <v>5220147</v>
      </c>
      <c r="BT41" s="230">
        <v>9634101</v>
      </c>
      <c r="BU41" s="230">
        <v>-4413954</v>
      </c>
      <c r="BV41" s="229">
        <v>-0.4582</v>
      </c>
      <c r="BW41" s="230">
        <v>34792725</v>
      </c>
      <c r="BX41" s="230">
        <v>35077350</v>
      </c>
      <c r="BY41" s="230">
        <v>-284625</v>
      </c>
      <c r="BZ41" s="229">
        <v>-8.0999999999999996E-3</v>
      </c>
      <c r="CA41" s="230">
        <v>34140150</v>
      </c>
      <c r="CB41" s="230">
        <v>34448700</v>
      </c>
      <c r="CC41" s="230">
        <v>-308550</v>
      </c>
      <c r="CD41" s="229">
        <v>-8.9999999999999993E-3</v>
      </c>
      <c r="CE41" s="230">
        <v>518925</v>
      </c>
      <c r="CF41" s="230">
        <v>499125</v>
      </c>
      <c r="CG41" s="230">
        <v>19800</v>
      </c>
      <c r="CH41" s="229">
        <v>3.9699999999999999E-2</v>
      </c>
      <c r="CI41" s="230">
        <v>133650</v>
      </c>
      <c r="CJ41" s="230">
        <v>129525</v>
      </c>
      <c r="CK41" s="230">
        <v>4125</v>
      </c>
      <c r="CL41" s="229">
        <v>3.1800000000000002E-2</v>
      </c>
      <c r="CM41" s="230">
        <v>8481000</v>
      </c>
      <c r="CN41" s="230">
        <v>8371275</v>
      </c>
      <c r="CO41" s="230">
        <v>109725</v>
      </c>
      <c r="CP41" s="229">
        <v>1.3100000000000001E-2</v>
      </c>
      <c r="CQ41" s="230">
        <v>7163475</v>
      </c>
      <c r="CR41" s="230">
        <v>6759225</v>
      </c>
      <c r="CS41" s="230">
        <v>404250</v>
      </c>
      <c r="CT41" s="229">
        <v>5.9799999999999999E-2</v>
      </c>
      <c r="CU41" s="230">
        <v>50437200</v>
      </c>
      <c r="CV41" s="230">
        <v>50207850</v>
      </c>
      <c r="CW41" s="230">
        <v>229350</v>
      </c>
      <c r="CX41" s="229">
        <v>4.5999999999999999E-3</v>
      </c>
      <c r="CY41" s="228">
        <v>32.799999999999997</v>
      </c>
      <c r="CZ41" s="228">
        <v>37</v>
      </c>
      <c r="DA41" s="228">
        <v>-4.2</v>
      </c>
      <c r="DB41" s="228">
        <v>-4.2</v>
      </c>
      <c r="DC41" s="228">
        <v>38.89</v>
      </c>
      <c r="DD41" s="228">
        <v>38.79</v>
      </c>
      <c r="DE41" s="228">
        <v>-6.09</v>
      </c>
      <c r="DF41" s="228">
        <v>0.1</v>
      </c>
      <c r="DG41" s="228">
        <v>32.229999999999997</v>
      </c>
      <c r="DH41" s="228">
        <v>36.14</v>
      </c>
      <c r="DI41" s="228">
        <v>-3.91</v>
      </c>
      <c r="DJ41" s="228">
        <v>-3.91</v>
      </c>
      <c r="DK41" s="228">
        <v>33.67</v>
      </c>
      <c r="DL41" s="228">
        <v>37.99</v>
      </c>
      <c r="DM41" s="228">
        <v>-4.32</v>
      </c>
      <c r="DN41" s="228">
        <v>-4.32</v>
      </c>
      <c r="DO41" s="228">
        <v>0.84</v>
      </c>
      <c r="DP41" s="228">
        <v>0.81</v>
      </c>
      <c r="DQ41" s="228">
        <v>0.03</v>
      </c>
      <c r="DR41" s="229">
        <v>3.6999999999999998E-2</v>
      </c>
      <c r="DS41" s="231">
        <v>1100</v>
      </c>
      <c r="DT41" s="231">
        <v>1000</v>
      </c>
      <c r="DU41" s="228">
        <v>0.65</v>
      </c>
      <c r="DV41" s="228">
        <v>0.87</v>
      </c>
      <c r="DW41" s="228">
        <v>-0.22</v>
      </c>
      <c r="DX41" s="229">
        <v>-0.25290000000000001</v>
      </c>
      <c r="DY41" s="229">
        <v>1.8800000000000001E-2</v>
      </c>
      <c r="DZ41" s="230">
        <v>628650</v>
      </c>
      <c r="EA41" s="229">
        <v>6.4999999999999997E-3</v>
      </c>
      <c r="EB41" s="229">
        <v>1.8800000000000001E-2</v>
      </c>
      <c r="EC41" s="228">
        <v>6.58</v>
      </c>
      <c r="ED41" s="229">
        <v>6.4000000000000003E-3</v>
      </c>
      <c r="EE41" s="230">
        <v>2775844</v>
      </c>
      <c r="EF41" s="230">
        <v>5485909</v>
      </c>
      <c r="EG41" s="229">
        <v>-0.49399999999999999</v>
      </c>
      <c r="EH41" s="229">
        <v>0.53180000000000005</v>
      </c>
      <c r="EI41" s="231">
        <v>136564.54999999999</v>
      </c>
      <c r="EJ41" s="231">
        <v>82886.84</v>
      </c>
      <c r="EK41" s="231">
        <v>75054.899999999994</v>
      </c>
      <c r="EL41" s="231">
        <v>9213</v>
      </c>
      <c r="EM41" s="231">
        <v>294506.28999999998</v>
      </c>
      <c r="EN41" s="231">
        <v>421837.63</v>
      </c>
      <c r="EO41" s="231">
        <v>-127331.34</v>
      </c>
      <c r="EP41" s="229">
        <v>-0.30180000000000001</v>
      </c>
      <c r="EQ41" s="231">
        <v>92966</v>
      </c>
      <c r="ER41" s="231">
        <v>72375</v>
      </c>
      <c r="ES41" s="231">
        <v>362311</v>
      </c>
      <c r="ET41" s="231">
        <v>210513975</v>
      </c>
      <c r="EU41" s="231">
        <v>527652</v>
      </c>
      <c r="EV41" s="231">
        <v>515461</v>
      </c>
      <c r="EW41" s="231">
        <v>12191</v>
      </c>
      <c r="EX41" s="229">
        <v>2.3699999999999999E-2</v>
      </c>
      <c r="EY41" s="229">
        <v>0.23960000000000001</v>
      </c>
    </row>
    <row r="42" spans="1:155" ht="17.25" thickBot="1" x14ac:dyDescent="0.3">
      <c r="A42" s="226">
        <v>46086</v>
      </c>
      <c r="B42" s="227" t="s">
        <v>170</v>
      </c>
      <c r="C42" s="227" t="s">
        <v>288</v>
      </c>
      <c r="D42" s="231">
        <v>1790.1</v>
      </c>
      <c r="E42" s="231">
        <v>1755</v>
      </c>
      <c r="F42" s="228">
        <v>35.1</v>
      </c>
      <c r="G42" s="229">
        <v>0.02</v>
      </c>
      <c r="H42" s="231">
        <v>1784.5</v>
      </c>
      <c r="I42" s="231">
        <v>1750.5</v>
      </c>
      <c r="J42" s="228">
        <v>34</v>
      </c>
      <c r="K42" s="229">
        <v>1.9400000000000001E-2</v>
      </c>
      <c r="L42" s="231">
        <v>1790.1</v>
      </c>
      <c r="M42" s="231">
        <v>1755</v>
      </c>
      <c r="N42" s="228">
        <v>35.1</v>
      </c>
      <c r="O42" s="229">
        <v>0.02</v>
      </c>
      <c r="P42" s="231">
        <v>1802.2</v>
      </c>
      <c r="Q42" s="231">
        <v>1764.2</v>
      </c>
      <c r="R42" s="228">
        <v>38</v>
      </c>
      <c r="S42" s="229">
        <v>2.1499999999999998E-2</v>
      </c>
      <c r="T42" s="231">
        <v>1810</v>
      </c>
      <c r="U42" s="231">
        <v>1763.6</v>
      </c>
      <c r="V42" s="228">
        <v>46.4</v>
      </c>
      <c r="W42" s="229">
        <v>2.63E-2</v>
      </c>
      <c r="X42" s="228">
        <v>5.6</v>
      </c>
      <c r="Y42" s="228">
        <v>4.5</v>
      </c>
      <c r="Z42" s="228">
        <v>1.1000000000000001</v>
      </c>
      <c r="AA42" s="229">
        <v>3.0999999999999999E-3</v>
      </c>
      <c r="AB42" s="228">
        <v>5.6</v>
      </c>
      <c r="AC42" s="228">
        <v>4.5</v>
      </c>
      <c r="AD42" s="228">
        <v>1.1000000000000001</v>
      </c>
      <c r="AE42" s="229">
        <v>3.0999999999999999E-3</v>
      </c>
      <c r="AF42" s="228">
        <v>17.7</v>
      </c>
      <c r="AG42" s="228">
        <v>13.7</v>
      </c>
      <c r="AH42" s="228">
        <v>4</v>
      </c>
      <c r="AI42" s="229">
        <v>9.9000000000000008E-3</v>
      </c>
      <c r="AJ42" s="228">
        <v>25.5</v>
      </c>
      <c r="AK42" s="228">
        <v>13.1</v>
      </c>
      <c r="AL42" s="228">
        <v>12.4</v>
      </c>
      <c r="AM42" s="229">
        <v>1.43E-2</v>
      </c>
      <c r="AN42" s="231">
        <v>1785.51</v>
      </c>
      <c r="AO42" s="231">
        <v>1796.8</v>
      </c>
      <c r="AP42" s="228">
        <v>0</v>
      </c>
      <c r="AQ42" s="230">
        <v>9487</v>
      </c>
      <c r="AR42" s="230">
        <v>9702</v>
      </c>
      <c r="AS42" s="228">
        <v>-215</v>
      </c>
      <c r="AT42" s="229">
        <v>-2.2200000000000001E-2</v>
      </c>
      <c r="AU42" s="230">
        <v>9268</v>
      </c>
      <c r="AV42" s="230">
        <v>9582</v>
      </c>
      <c r="AW42" s="228">
        <v>-314</v>
      </c>
      <c r="AX42" s="229">
        <v>-3.2800000000000003E-2</v>
      </c>
      <c r="AY42" s="228">
        <v>198</v>
      </c>
      <c r="AZ42" s="228">
        <v>116</v>
      </c>
      <c r="BA42" s="228">
        <v>82</v>
      </c>
      <c r="BB42" s="229">
        <v>0.70689999999999997</v>
      </c>
      <c r="BC42" s="228">
        <v>21</v>
      </c>
      <c r="BD42" s="228">
        <v>4</v>
      </c>
      <c r="BE42" s="228">
        <v>17</v>
      </c>
      <c r="BF42" s="229">
        <v>4.25</v>
      </c>
      <c r="BG42" s="230">
        <v>36325</v>
      </c>
      <c r="BH42" s="230">
        <v>30399</v>
      </c>
      <c r="BI42" s="230">
        <v>5926</v>
      </c>
      <c r="BJ42" s="229">
        <v>0.19489999999999999</v>
      </c>
      <c r="BK42" s="230">
        <v>19044</v>
      </c>
      <c r="BL42" s="230">
        <v>17548</v>
      </c>
      <c r="BM42" s="230">
        <v>1496</v>
      </c>
      <c r="BN42" s="229">
        <v>8.5300000000000001E-2</v>
      </c>
      <c r="BO42" s="230">
        <v>64856</v>
      </c>
      <c r="BP42" s="230">
        <v>57649</v>
      </c>
      <c r="BQ42" s="230">
        <v>7207</v>
      </c>
      <c r="BR42" s="229">
        <v>0.125</v>
      </c>
      <c r="BS42" s="230">
        <v>3838828</v>
      </c>
      <c r="BT42" s="230">
        <v>4992956</v>
      </c>
      <c r="BU42" s="230">
        <v>-1154128</v>
      </c>
      <c r="BV42" s="229">
        <v>-0.23119999999999999</v>
      </c>
      <c r="BW42" s="230">
        <v>21896700</v>
      </c>
      <c r="BX42" s="230">
        <v>21662900</v>
      </c>
      <c r="BY42" s="230">
        <v>233800</v>
      </c>
      <c r="BZ42" s="229">
        <v>1.0800000000000001E-2</v>
      </c>
      <c r="CA42" s="230">
        <v>21740950</v>
      </c>
      <c r="CB42" s="230">
        <v>21512750</v>
      </c>
      <c r="CC42" s="230">
        <v>228200</v>
      </c>
      <c r="CD42" s="229">
        <v>1.06E-2</v>
      </c>
      <c r="CE42" s="230">
        <v>141050</v>
      </c>
      <c r="CF42" s="230">
        <v>137200</v>
      </c>
      <c r="CG42" s="230">
        <v>3850</v>
      </c>
      <c r="CH42" s="229">
        <v>2.81E-2</v>
      </c>
      <c r="CI42" s="230">
        <v>14700</v>
      </c>
      <c r="CJ42" s="230">
        <v>12950</v>
      </c>
      <c r="CK42" s="230">
        <v>1750</v>
      </c>
      <c r="CL42" s="229">
        <v>0.1351</v>
      </c>
      <c r="CM42" s="230">
        <v>7191800</v>
      </c>
      <c r="CN42" s="230">
        <v>6627250</v>
      </c>
      <c r="CO42" s="230">
        <v>564550</v>
      </c>
      <c r="CP42" s="229">
        <v>8.5199999999999998E-2</v>
      </c>
      <c r="CQ42" s="230">
        <v>3963050</v>
      </c>
      <c r="CR42" s="230">
        <v>3203900</v>
      </c>
      <c r="CS42" s="230">
        <v>759150</v>
      </c>
      <c r="CT42" s="229">
        <v>0.2369</v>
      </c>
      <c r="CU42" s="230">
        <v>33051550</v>
      </c>
      <c r="CV42" s="230">
        <v>31494050</v>
      </c>
      <c r="CW42" s="230">
        <v>1557500</v>
      </c>
      <c r="CX42" s="229">
        <v>4.9500000000000002E-2</v>
      </c>
      <c r="CY42" s="228">
        <v>17.170000000000002</v>
      </c>
      <c r="CZ42" s="228">
        <v>19.68</v>
      </c>
      <c r="DA42" s="228">
        <v>-2.5099999999999998</v>
      </c>
      <c r="DB42" s="228">
        <v>-2.5099999999999998</v>
      </c>
      <c r="DC42" s="228">
        <v>23.18</v>
      </c>
      <c r="DD42" s="228">
        <v>23.1</v>
      </c>
      <c r="DE42" s="228">
        <v>-6.01</v>
      </c>
      <c r="DF42" s="228">
        <v>0.08</v>
      </c>
      <c r="DG42" s="228">
        <v>16.32</v>
      </c>
      <c r="DH42" s="228">
        <v>18.350000000000001</v>
      </c>
      <c r="DI42" s="228">
        <v>-2.0299999999999998</v>
      </c>
      <c r="DJ42" s="228">
        <v>-2.0299999999999998</v>
      </c>
      <c r="DK42" s="228">
        <v>18.809999999999999</v>
      </c>
      <c r="DL42" s="228">
        <v>21.99</v>
      </c>
      <c r="DM42" s="228">
        <v>-3.18</v>
      </c>
      <c r="DN42" s="228">
        <v>-3.18</v>
      </c>
      <c r="DO42" s="228">
        <v>0.55000000000000004</v>
      </c>
      <c r="DP42" s="228">
        <v>0.48</v>
      </c>
      <c r="DQ42" s="228">
        <v>7.0000000000000007E-2</v>
      </c>
      <c r="DR42" s="229">
        <v>0.14580000000000001</v>
      </c>
      <c r="DS42" s="231">
        <v>1800</v>
      </c>
      <c r="DT42" s="231">
        <v>1780</v>
      </c>
      <c r="DU42" s="228">
        <v>0.52</v>
      </c>
      <c r="DV42" s="228">
        <v>0.57999999999999996</v>
      </c>
      <c r="DW42" s="228">
        <v>-0.06</v>
      </c>
      <c r="DX42" s="229">
        <v>-0.10340000000000001</v>
      </c>
      <c r="DY42" s="229">
        <v>7.1000000000000004E-3</v>
      </c>
      <c r="DZ42" s="230">
        <v>150150</v>
      </c>
      <c r="EA42" s="229">
        <v>6.7999999999999996E-3</v>
      </c>
      <c r="EB42" s="229">
        <v>7.1000000000000004E-3</v>
      </c>
      <c r="EC42" s="228">
        <v>11.29</v>
      </c>
      <c r="ED42" s="229">
        <v>6.3E-3</v>
      </c>
      <c r="EE42" s="230">
        <v>2375577</v>
      </c>
      <c r="EF42" s="230">
        <v>3853875</v>
      </c>
      <c r="EG42" s="229">
        <v>-0.3836</v>
      </c>
      <c r="EH42" s="229">
        <v>0.61880000000000002</v>
      </c>
      <c r="EI42" s="231">
        <v>232803.01</v>
      </c>
      <c r="EJ42" s="231">
        <v>117371.62</v>
      </c>
      <c r="EK42" s="231">
        <v>59296.25</v>
      </c>
      <c r="EL42" s="231">
        <v>7040</v>
      </c>
      <c r="EM42" s="231">
        <v>409470.88</v>
      </c>
      <c r="EN42" s="231">
        <v>356994.64</v>
      </c>
      <c r="EO42" s="231">
        <v>52476.24</v>
      </c>
      <c r="EP42" s="229">
        <v>0.14699999999999999</v>
      </c>
      <c r="EQ42" s="231">
        <v>129662</v>
      </c>
      <c r="ER42" s="231">
        <v>67561</v>
      </c>
      <c r="ES42" s="231">
        <v>391993</v>
      </c>
      <c r="ET42" s="231">
        <v>109220043</v>
      </c>
      <c r="EU42" s="231">
        <v>589215</v>
      </c>
      <c r="EV42" s="231">
        <v>553519</v>
      </c>
      <c r="EW42" s="231">
        <v>35696</v>
      </c>
      <c r="EX42" s="229">
        <v>6.4500000000000002E-2</v>
      </c>
      <c r="EY42" s="229">
        <v>0.30259999999999998</v>
      </c>
    </row>
    <row r="43" spans="1:155" ht="17.25" thickBot="1" x14ac:dyDescent="0.3">
      <c r="A43" s="226">
        <v>46086</v>
      </c>
      <c r="B43" s="227" t="s">
        <v>168</v>
      </c>
      <c r="C43" s="227" t="s">
        <v>291</v>
      </c>
      <c r="D43" s="231">
        <v>1121.7</v>
      </c>
      <c r="E43" s="231">
        <v>1115</v>
      </c>
      <c r="F43" s="228">
        <v>6.7</v>
      </c>
      <c r="G43" s="229">
        <v>6.0000000000000001E-3</v>
      </c>
      <c r="H43" s="231">
        <v>1119.0999999999999</v>
      </c>
      <c r="I43" s="231">
        <v>1110.5999999999999</v>
      </c>
      <c r="J43" s="228">
        <v>8.5</v>
      </c>
      <c r="K43" s="229">
        <v>7.7000000000000002E-3</v>
      </c>
      <c r="L43" s="231">
        <v>1121.7</v>
      </c>
      <c r="M43" s="231">
        <v>1115</v>
      </c>
      <c r="N43" s="228">
        <v>6.7</v>
      </c>
      <c r="O43" s="229">
        <v>6.0000000000000001E-3</v>
      </c>
      <c r="P43" s="231">
        <v>1130.9000000000001</v>
      </c>
      <c r="Q43" s="231">
        <v>1124.5999999999999</v>
      </c>
      <c r="R43" s="228">
        <v>6.3</v>
      </c>
      <c r="S43" s="229">
        <v>5.5999999999999999E-3</v>
      </c>
      <c r="T43" s="231">
        <v>1135.2</v>
      </c>
      <c r="U43" s="231">
        <v>1129.5</v>
      </c>
      <c r="V43" s="228">
        <v>5.7</v>
      </c>
      <c r="W43" s="229">
        <v>5.0000000000000001E-3</v>
      </c>
      <c r="X43" s="228">
        <v>2.6</v>
      </c>
      <c r="Y43" s="228">
        <v>4.4000000000000004</v>
      </c>
      <c r="Z43" s="228">
        <v>-1.8</v>
      </c>
      <c r="AA43" s="229">
        <v>2.3E-3</v>
      </c>
      <c r="AB43" s="228">
        <v>2.6</v>
      </c>
      <c r="AC43" s="228">
        <v>4.4000000000000004</v>
      </c>
      <c r="AD43" s="228">
        <v>-1.8</v>
      </c>
      <c r="AE43" s="229">
        <v>2.3E-3</v>
      </c>
      <c r="AF43" s="228">
        <v>11.8</v>
      </c>
      <c r="AG43" s="228">
        <v>14</v>
      </c>
      <c r="AH43" s="228">
        <v>-2.2000000000000002</v>
      </c>
      <c r="AI43" s="229">
        <v>1.0500000000000001E-2</v>
      </c>
      <c r="AJ43" s="228">
        <v>16.100000000000001</v>
      </c>
      <c r="AK43" s="228">
        <v>18.899999999999999</v>
      </c>
      <c r="AL43" s="228">
        <v>-2.8</v>
      </c>
      <c r="AM43" s="229">
        <v>1.44E-2</v>
      </c>
      <c r="AN43" s="231">
        <v>1112.97</v>
      </c>
      <c r="AO43" s="231">
        <v>1119.23</v>
      </c>
      <c r="AP43" s="228">
        <v>0</v>
      </c>
      <c r="AQ43" s="230">
        <v>2764</v>
      </c>
      <c r="AR43" s="230">
        <v>3246</v>
      </c>
      <c r="AS43" s="228">
        <v>-482</v>
      </c>
      <c r="AT43" s="229">
        <v>-0.14849999999999999</v>
      </c>
      <c r="AU43" s="230">
        <v>2685</v>
      </c>
      <c r="AV43" s="230">
        <v>3115</v>
      </c>
      <c r="AW43" s="228">
        <v>-430</v>
      </c>
      <c r="AX43" s="229">
        <v>-0.13800000000000001</v>
      </c>
      <c r="AY43" s="228">
        <v>78</v>
      </c>
      <c r="AZ43" s="228">
        <v>128</v>
      </c>
      <c r="BA43" s="228">
        <v>-50</v>
      </c>
      <c r="BB43" s="229">
        <v>-0.3906</v>
      </c>
      <c r="BC43" s="228">
        <v>1</v>
      </c>
      <c r="BD43" s="228">
        <v>3</v>
      </c>
      <c r="BE43" s="228">
        <v>-2</v>
      </c>
      <c r="BF43" s="229">
        <v>-0.66669999999999996</v>
      </c>
      <c r="BG43" s="230">
        <v>2589</v>
      </c>
      <c r="BH43" s="230">
        <v>2210</v>
      </c>
      <c r="BI43" s="228">
        <v>379</v>
      </c>
      <c r="BJ43" s="229">
        <v>0.17150000000000001</v>
      </c>
      <c r="BK43" s="230">
        <v>1623</v>
      </c>
      <c r="BL43" s="230">
        <v>2346</v>
      </c>
      <c r="BM43" s="228">
        <v>-723</v>
      </c>
      <c r="BN43" s="229">
        <v>-0.30819999999999997</v>
      </c>
      <c r="BO43" s="230">
        <v>6976</v>
      </c>
      <c r="BP43" s="230">
        <v>7802</v>
      </c>
      <c r="BQ43" s="228">
        <v>-826</v>
      </c>
      <c r="BR43" s="229">
        <v>-0.10589999999999999</v>
      </c>
      <c r="BS43" s="230">
        <v>1405998</v>
      </c>
      <c r="BT43" s="230">
        <v>1244107</v>
      </c>
      <c r="BU43" s="230">
        <v>161891</v>
      </c>
      <c r="BV43" s="229">
        <v>0.13009999999999999</v>
      </c>
      <c r="BW43" s="230">
        <v>13217600</v>
      </c>
      <c r="BX43" s="230">
        <v>13170300</v>
      </c>
      <c r="BY43" s="230">
        <v>47300</v>
      </c>
      <c r="BZ43" s="229">
        <v>3.5999999999999999E-3</v>
      </c>
      <c r="CA43" s="230">
        <v>13095500</v>
      </c>
      <c r="CB43" s="230">
        <v>13058100</v>
      </c>
      <c r="CC43" s="230">
        <v>37400</v>
      </c>
      <c r="CD43" s="229">
        <v>2.8999999999999998E-3</v>
      </c>
      <c r="CE43" s="230">
        <v>112200</v>
      </c>
      <c r="CF43" s="230">
        <v>102850</v>
      </c>
      <c r="CG43" s="230">
        <v>9350</v>
      </c>
      <c r="CH43" s="229">
        <v>9.0899999999999995E-2</v>
      </c>
      <c r="CI43" s="230">
        <v>9900</v>
      </c>
      <c r="CJ43" s="230">
        <v>9350</v>
      </c>
      <c r="CK43" s="228">
        <v>550</v>
      </c>
      <c r="CL43" s="229">
        <v>5.8799999999999998E-2</v>
      </c>
      <c r="CM43" s="230">
        <v>2324300</v>
      </c>
      <c r="CN43" s="230">
        <v>2232450</v>
      </c>
      <c r="CO43" s="230">
        <v>91850</v>
      </c>
      <c r="CP43" s="229">
        <v>4.1099999999999998E-2</v>
      </c>
      <c r="CQ43" s="230">
        <v>1423400</v>
      </c>
      <c r="CR43" s="230">
        <v>1399200</v>
      </c>
      <c r="CS43" s="230">
        <v>24200</v>
      </c>
      <c r="CT43" s="229">
        <v>1.7299999999999999E-2</v>
      </c>
      <c r="CU43" s="230">
        <v>16965300</v>
      </c>
      <c r="CV43" s="230">
        <v>16801950</v>
      </c>
      <c r="CW43" s="230">
        <v>163350</v>
      </c>
      <c r="CX43" s="229">
        <v>9.7000000000000003E-3</v>
      </c>
      <c r="CY43" s="228">
        <v>22.32</v>
      </c>
      <c r="CZ43" s="228">
        <v>24.57</v>
      </c>
      <c r="DA43" s="228">
        <v>-2.25</v>
      </c>
      <c r="DB43" s="228">
        <v>-2.25</v>
      </c>
      <c r="DC43" s="228">
        <v>27.09</v>
      </c>
      <c r="DD43" s="228">
        <v>27.13</v>
      </c>
      <c r="DE43" s="228">
        <v>-4.7699999999999996</v>
      </c>
      <c r="DF43" s="228">
        <v>-0.04</v>
      </c>
      <c r="DG43" s="228">
        <v>21.4</v>
      </c>
      <c r="DH43" s="228">
        <v>23.77</v>
      </c>
      <c r="DI43" s="228">
        <v>-2.37</v>
      </c>
      <c r="DJ43" s="228">
        <v>-2.37</v>
      </c>
      <c r="DK43" s="228">
        <v>23.78</v>
      </c>
      <c r="DL43" s="228">
        <v>25.33</v>
      </c>
      <c r="DM43" s="228">
        <v>-1.55</v>
      </c>
      <c r="DN43" s="228">
        <v>-1.55</v>
      </c>
      <c r="DO43" s="228">
        <v>0.61</v>
      </c>
      <c r="DP43" s="228">
        <v>0.63</v>
      </c>
      <c r="DQ43" s="228">
        <v>-0.02</v>
      </c>
      <c r="DR43" s="229">
        <v>-3.1699999999999999E-2</v>
      </c>
      <c r="DS43" s="231">
        <v>1300</v>
      </c>
      <c r="DT43" s="231">
        <v>1100</v>
      </c>
      <c r="DU43" s="228">
        <v>0.63</v>
      </c>
      <c r="DV43" s="228">
        <v>1.06</v>
      </c>
      <c r="DW43" s="228">
        <v>-0.43</v>
      </c>
      <c r="DX43" s="229">
        <v>-0.40570000000000001</v>
      </c>
      <c r="DY43" s="229">
        <v>9.1999999999999998E-3</v>
      </c>
      <c r="DZ43" s="230">
        <v>112200</v>
      </c>
      <c r="EA43" s="229">
        <v>8.2000000000000007E-3</v>
      </c>
      <c r="EB43" s="229">
        <v>9.1999999999999998E-3</v>
      </c>
      <c r="EC43" s="228">
        <v>6.26</v>
      </c>
      <c r="ED43" s="229">
        <v>5.5999999999999999E-3</v>
      </c>
      <c r="EE43" s="230">
        <v>863936</v>
      </c>
      <c r="EF43" s="230">
        <v>708953</v>
      </c>
      <c r="EG43" s="229">
        <v>0.21859999999999999</v>
      </c>
      <c r="EH43" s="229">
        <v>0.61450000000000005</v>
      </c>
      <c r="EI43" s="231">
        <v>16698.580000000002</v>
      </c>
      <c r="EJ43" s="231">
        <v>9739.0499999999993</v>
      </c>
      <c r="EK43" s="231">
        <v>16922.189999999999</v>
      </c>
      <c r="EL43" s="231">
        <v>3507</v>
      </c>
      <c r="EM43" s="231">
        <v>43359.82</v>
      </c>
      <c r="EN43" s="231">
        <v>48555.519999999997</v>
      </c>
      <c r="EO43" s="231">
        <v>-5195.7</v>
      </c>
      <c r="EP43" s="229">
        <v>-0.107</v>
      </c>
      <c r="EQ43" s="231">
        <v>28377</v>
      </c>
      <c r="ER43" s="231">
        <v>15710</v>
      </c>
      <c r="ES43" s="231">
        <v>148273</v>
      </c>
      <c r="ET43" s="231">
        <v>65472326</v>
      </c>
      <c r="EU43" s="231">
        <v>192360</v>
      </c>
      <c r="EV43" s="231">
        <v>189642</v>
      </c>
      <c r="EW43" s="231">
        <v>2718</v>
      </c>
      <c r="EX43" s="229">
        <v>1.43E-2</v>
      </c>
      <c r="EY43" s="229">
        <v>0.2591</v>
      </c>
    </row>
    <row r="44" spans="1:155" ht="17.25" thickBot="1" x14ac:dyDescent="0.3">
      <c r="A44" s="226">
        <v>46086</v>
      </c>
      <c r="B44" s="227" t="s">
        <v>227</v>
      </c>
      <c r="C44" s="227" t="s">
        <v>294</v>
      </c>
      <c r="D44" s="228">
        <v>200.9</v>
      </c>
      <c r="E44" s="228">
        <v>197.06</v>
      </c>
      <c r="F44" s="228">
        <v>3.84</v>
      </c>
      <c r="G44" s="229">
        <v>1.95E-2</v>
      </c>
      <c r="H44" s="228">
        <v>200.57</v>
      </c>
      <c r="I44" s="228">
        <v>196.73</v>
      </c>
      <c r="J44" s="228">
        <v>3.84</v>
      </c>
      <c r="K44" s="229">
        <v>1.95E-2</v>
      </c>
      <c r="L44" s="228">
        <v>200.9</v>
      </c>
      <c r="M44" s="228">
        <v>197.06</v>
      </c>
      <c r="N44" s="228">
        <v>3.84</v>
      </c>
      <c r="O44" s="229">
        <v>1.95E-2</v>
      </c>
      <c r="P44" s="228">
        <v>202.31</v>
      </c>
      <c r="Q44" s="228">
        <v>198.38</v>
      </c>
      <c r="R44" s="228">
        <v>3.93</v>
      </c>
      <c r="S44" s="229">
        <v>1.9800000000000002E-2</v>
      </c>
      <c r="T44" s="228">
        <v>203.36</v>
      </c>
      <c r="U44" s="228">
        <v>199.4</v>
      </c>
      <c r="V44" s="228">
        <v>3.96</v>
      </c>
      <c r="W44" s="229">
        <v>1.9900000000000001E-2</v>
      </c>
      <c r="X44" s="228">
        <v>0.33</v>
      </c>
      <c r="Y44" s="228">
        <v>0.33</v>
      </c>
      <c r="Z44" s="228">
        <v>0</v>
      </c>
      <c r="AA44" s="229">
        <v>1.6000000000000001E-3</v>
      </c>
      <c r="AB44" s="228">
        <v>0.33</v>
      </c>
      <c r="AC44" s="228">
        <v>0.33</v>
      </c>
      <c r="AD44" s="228">
        <v>0</v>
      </c>
      <c r="AE44" s="229">
        <v>1.6000000000000001E-3</v>
      </c>
      <c r="AF44" s="228">
        <v>1.74</v>
      </c>
      <c r="AG44" s="228">
        <v>1.65</v>
      </c>
      <c r="AH44" s="228">
        <v>0.09</v>
      </c>
      <c r="AI44" s="229">
        <v>8.6999999999999994E-3</v>
      </c>
      <c r="AJ44" s="228">
        <v>2.79</v>
      </c>
      <c r="AK44" s="228">
        <v>2.67</v>
      </c>
      <c r="AL44" s="228">
        <v>0.12</v>
      </c>
      <c r="AM44" s="229">
        <v>1.3899999999999999E-2</v>
      </c>
      <c r="AN44" s="228">
        <v>200.63</v>
      </c>
      <c r="AO44" s="228">
        <v>201.88</v>
      </c>
      <c r="AP44" s="228">
        <v>0</v>
      </c>
      <c r="AQ44" s="230">
        <v>14240</v>
      </c>
      <c r="AR44" s="230">
        <v>21595</v>
      </c>
      <c r="AS44" s="230">
        <v>-7355</v>
      </c>
      <c r="AT44" s="229">
        <v>-0.34060000000000001</v>
      </c>
      <c r="AU44" s="230">
        <v>13011</v>
      </c>
      <c r="AV44" s="230">
        <v>17406</v>
      </c>
      <c r="AW44" s="230">
        <v>-4395</v>
      </c>
      <c r="AX44" s="229">
        <v>-0.2525</v>
      </c>
      <c r="AY44" s="230">
        <v>1008</v>
      </c>
      <c r="AZ44" s="230">
        <v>1832</v>
      </c>
      <c r="BA44" s="228">
        <v>-824</v>
      </c>
      <c r="BB44" s="229">
        <v>-0.44979999999999998</v>
      </c>
      <c r="BC44" s="228">
        <v>221</v>
      </c>
      <c r="BD44" s="230">
        <v>2357</v>
      </c>
      <c r="BE44" s="230">
        <v>-2136</v>
      </c>
      <c r="BF44" s="229">
        <v>-0.90620000000000001</v>
      </c>
      <c r="BG44" s="230">
        <v>34989</v>
      </c>
      <c r="BH44" s="230">
        <v>49490</v>
      </c>
      <c r="BI44" s="230">
        <v>-14501</v>
      </c>
      <c r="BJ44" s="229">
        <v>-0.29299999999999998</v>
      </c>
      <c r="BK44" s="230">
        <v>18013</v>
      </c>
      <c r="BL44" s="230">
        <v>46494</v>
      </c>
      <c r="BM44" s="230">
        <v>-28481</v>
      </c>
      <c r="BN44" s="229">
        <v>-0.61260000000000003</v>
      </c>
      <c r="BO44" s="230">
        <v>67242</v>
      </c>
      <c r="BP44" s="230">
        <v>117579</v>
      </c>
      <c r="BQ44" s="230">
        <v>-50337</v>
      </c>
      <c r="BR44" s="229">
        <v>-0.42809999999999998</v>
      </c>
      <c r="BS44" s="230">
        <v>43604544</v>
      </c>
      <c r="BT44" s="230">
        <v>75007940</v>
      </c>
      <c r="BU44" s="230">
        <v>-31403396</v>
      </c>
      <c r="BV44" s="229">
        <v>-0.41870000000000002</v>
      </c>
      <c r="BW44" s="230">
        <v>224840000</v>
      </c>
      <c r="BX44" s="230">
        <v>225522000</v>
      </c>
      <c r="BY44" s="230">
        <v>-682000</v>
      </c>
      <c r="BZ44" s="229">
        <v>-3.0000000000000001E-3</v>
      </c>
      <c r="CA44" s="230">
        <v>199133000</v>
      </c>
      <c r="CB44" s="230">
        <v>199699500</v>
      </c>
      <c r="CC44" s="230">
        <v>-566500</v>
      </c>
      <c r="CD44" s="229">
        <v>-2.8E-3</v>
      </c>
      <c r="CE44" s="230">
        <v>15328500</v>
      </c>
      <c r="CF44" s="230">
        <v>15532000</v>
      </c>
      <c r="CG44" s="230">
        <v>-203500</v>
      </c>
      <c r="CH44" s="229">
        <v>-1.3100000000000001E-2</v>
      </c>
      <c r="CI44" s="230">
        <v>10378500</v>
      </c>
      <c r="CJ44" s="230">
        <v>10290500</v>
      </c>
      <c r="CK44" s="230">
        <v>88000</v>
      </c>
      <c r="CL44" s="229">
        <v>8.6E-3</v>
      </c>
      <c r="CM44" s="230">
        <v>118156500</v>
      </c>
      <c r="CN44" s="230">
        <v>116523000</v>
      </c>
      <c r="CO44" s="230">
        <v>1633500</v>
      </c>
      <c r="CP44" s="229">
        <v>1.4E-2</v>
      </c>
      <c r="CQ44" s="230">
        <v>79409000</v>
      </c>
      <c r="CR44" s="230">
        <v>81620000</v>
      </c>
      <c r="CS44" s="230">
        <v>-2211000</v>
      </c>
      <c r="CT44" s="229">
        <v>-2.7099999999999999E-2</v>
      </c>
      <c r="CU44" s="230">
        <v>422405500</v>
      </c>
      <c r="CV44" s="230">
        <v>423665000</v>
      </c>
      <c r="CW44" s="230">
        <v>-1259500</v>
      </c>
      <c r="CX44" s="229">
        <v>-3.0000000000000001E-3</v>
      </c>
      <c r="CY44" s="228">
        <v>31.97</v>
      </c>
      <c r="CZ44" s="228">
        <v>36.74</v>
      </c>
      <c r="DA44" s="228">
        <v>-4.7699999999999996</v>
      </c>
      <c r="DB44" s="228">
        <v>-4.7699999999999996</v>
      </c>
      <c r="DC44" s="228">
        <v>34.82</v>
      </c>
      <c r="DD44" s="228">
        <v>34.81</v>
      </c>
      <c r="DE44" s="228">
        <v>-2.85</v>
      </c>
      <c r="DF44" s="228">
        <v>0.01</v>
      </c>
      <c r="DG44" s="228">
        <v>31.6</v>
      </c>
      <c r="DH44" s="228">
        <v>35.85</v>
      </c>
      <c r="DI44" s="228">
        <v>-4.25</v>
      </c>
      <c r="DJ44" s="228">
        <v>-4.25</v>
      </c>
      <c r="DK44" s="228">
        <v>32.68</v>
      </c>
      <c r="DL44" s="228">
        <v>37.69</v>
      </c>
      <c r="DM44" s="228">
        <v>-5.01</v>
      </c>
      <c r="DN44" s="228">
        <v>-5.01</v>
      </c>
      <c r="DO44" s="228">
        <v>0.67</v>
      </c>
      <c r="DP44" s="228">
        <v>0.7</v>
      </c>
      <c r="DQ44" s="228">
        <v>-0.03</v>
      </c>
      <c r="DR44" s="229">
        <v>-4.2900000000000001E-2</v>
      </c>
      <c r="DS44" s="228">
        <v>220</v>
      </c>
      <c r="DT44" s="228">
        <v>200</v>
      </c>
      <c r="DU44" s="228">
        <v>0.51</v>
      </c>
      <c r="DV44" s="228">
        <v>0.94</v>
      </c>
      <c r="DW44" s="228">
        <v>-0.43</v>
      </c>
      <c r="DX44" s="229">
        <v>-0.45739999999999997</v>
      </c>
      <c r="DY44" s="229">
        <v>0.1143</v>
      </c>
      <c r="DZ44" s="230">
        <v>25822500</v>
      </c>
      <c r="EA44" s="229">
        <v>7.0000000000000001E-3</v>
      </c>
      <c r="EB44" s="229">
        <v>0.1143</v>
      </c>
      <c r="EC44" s="228">
        <v>1.25</v>
      </c>
      <c r="ED44" s="229">
        <v>6.1999999999999998E-3</v>
      </c>
      <c r="EE44" s="230">
        <v>15697744</v>
      </c>
      <c r="EF44" s="230">
        <v>28944207</v>
      </c>
      <c r="EG44" s="229">
        <v>-0.4577</v>
      </c>
      <c r="EH44" s="229">
        <v>0.36</v>
      </c>
      <c r="EI44" s="231">
        <v>411641.26</v>
      </c>
      <c r="EJ44" s="231">
        <v>194408.49</v>
      </c>
      <c r="EK44" s="231">
        <v>157231.32999999999</v>
      </c>
      <c r="EL44" s="231">
        <v>11112</v>
      </c>
      <c r="EM44" s="231">
        <v>763281.08</v>
      </c>
      <c r="EN44" s="231">
        <v>1324435.25</v>
      </c>
      <c r="EO44" s="231">
        <v>-561154.17000000004</v>
      </c>
      <c r="EP44" s="229">
        <v>-0.42370000000000002</v>
      </c>
      <c r="EQ44" s="231">
        <v>253017</v>
      </c>
      <c r="ER44" s="231">
        <v>156520</v>
      </c>
      <c r="ES44" s="231">
        <v>452175</v>
      </c>
      <c r="ET44" s="231">
        <v>872935214</v>
      </c>
      <c r="EU44" s="231">
        <v>861713</v>
      </c>
      <c r="EV44" s="231">
        <v>854426</v>
      </c>
      <c r="EW44" s="231">
        <v>7287</v>
      </c>
      <c r="EX44" s="229">
        <v>8.5000000000000006E-3</v>
      </c>
      <c r="EY44" s="229">
        <v>0.4839</v>
      </c>
    </row>
    <row r="45" spans="1:155" ht="17.25" thickBot="1" x14ac:dyDescent="0.3">
      <c r="A45" s="226">
        <v>46086</v>
      </c>
      <c r="B45" s="227" t="s">
        <v>221</v>
      </c>
      <c r="C45" s="227" t="s">
        <v>295</v>
      </c>
      <c r="D45" s="231">
        <v>2589.5</v>
      </c>
      <c r="E45" s="231">
        <v>2597</v>
      </c>
      <c r="F45" s="228">
        <v>-7.5</v>
      </c>
      <c r="G45" s="229">
        <v>-2.8999999999999998E-3</v>
      </c>
      <c r="H45" s="231">
        <v>2578.8000000000002</v>
      </c>
      <c r="I45" s="231">
        <v>2587.8000000000002</v>
      </c>
      <c r="J45" s="228">
        <v>-9</v>
      </c>
      <c r="K45" s="229">
        <v>-3.5000000000000001E-3</v>
      </c>
      <c r="L45" s="231">
        <v>2589.5</v>
      </c>
      <c r="M45" s="231">
        <v>2597</v>
      </c>
      <c r="N45" s="228">
        <v>-7.5</v>
      </c>
      <c r="O45" s="229">
        <v>-2.8999999999999998E-3</v>
      </c>
      <c r="P45" s="231">
        <v>2599.9</v>
      </c>
      <c r="Q45" s="231">
        <v>2607.1999999999998</v>
      </c>
      <c r="R45" s="228">
        <v>-7.3</v>
      </c>
      <c r="S45" s="229">
        <v>-2.8E-3</v>
      </c>
      <c r="T45" s="231">
        <v>2603.6999999999998</v>
      </c>
      <c r="U45" s="231">
        <v>2612.8000000000002</v>
      </c>
      <c r="V45" s="228">
        <v>-9.1</v>
      </c>
      <c r="W45" s="229">
        <v>-3.5000000000000001E-3</v>
      </c>
      <c r="X45" s="228">
        <v>10.7</v>
      </c>
      <c r="Y45" s="228">
        <v>9.1999999999999993</v>
      </c>
      <c r="Z45" s="228">
        <v>1.5</v>
      </c>
      <c r="AA45" s="229">
        <v>4.1000000000000003E-3</v>
      </c>
      <c r="AB45" s="228">
        <v>10.7</v>
      </c>
      <c r="AC45" s="228">
        <v>9.1999999999999993</v>
      </c>
      <c r="AD45" s="228">
        <v>1.5</v>
      </c>
      <c r="AE45" s="229">
        <v>4.1000000000000003E-3</v>
      </c>
      <c r="AF45" s="228">
        <v>21.1</v>
      </c>
      <c r="AG45" s="228">
        <v>19.399999999999999</v>
      </c>
      <c r="AH45" s="228">
        <v>1.7</v>
      </c>
      <c r="AI45" s="229">
        <v>8.2000000000000007E-3</v>
      </c>
      <c r="AJ45" s="228">
        <v>24.9</v>
      </c>
      <c r="AK45" s="228">
        <v>25</v>
      </c>
      <c r="AL45" s="228">
        <v>-0.1</v>
      </c>
      <c r="AM45" s="229">
        <v>9.7000000000000003E-3</v>
      </c>
      <c r="AN45" s="231">
        <v>2577.11</v>
      </c>
      <c r="AO45" s="231">
        <v>2585.1799999999998</v>
      </c>
      <c r="AP45" s="228">
        <v>0</v>
      </c>
      <c r="AQ45" s="230">
        <v>20272</v>
      </c>
      <c r="AR45" s="230">
        <v>21991</v>
      </c>
      <c r="AS45" s="230">
        <v>-1719</v>
      </c>
      <c r="AT45" s="229">
        <v>-7.8200000000000006E-2</v>
      </c>
      <c r="AU45" s="230">
        <v>18472</v>
      </c>
      <c r="AV45" s="230">
        <v>16748</v>
      </c>
      <c r="AW45" s="230">
        <v>1724</v>
      </c>
      <c r="AX45" s="229">
        <v>0.10290000000000001</v>
      </c>
      <c r="AY45" s="230">
        <v>1414</v>
      </c>
      <c r="AZ45" s="230">
        <v>2988</v>
      </c>
      <c r="BA45" s="230">
        <v>-1574</v>
      </c>
      <c r="BB45" s="229">
        <v>-0.52680000000000005</v>
      </c>
      <c r="BC45" s="228">
        <v>386</v>
      </c>
      <c r="BD45" s="230">
        <v>2255</v>
      </c>
      <c r="BE45" s="230">
        <v>-1869</v>
      </c>
      <c r="BF45" s="229">
        <v>-0.82879999999999998</v>
      </c>
      <c r="BG45" s="230">
        <v>64729</v>
      </c>
      <c r="BH45" s="230">
        <v>68492</v>
      </c>
      <c r="BI45" s="230">
        <v>-3763</v>
      </c>
      <c r="BJ45" s="229">
        <v>-5.4899999999999997E-2</v>
      </c>
      <c r="BK45" s="230">
        <v>42921</v>
      </c>
      <c r="BL45" s="230">
        <v>31750</v>
      </c>
      <c r="BM45" s="230">
        <v>11171</v>
      </c>
      <c r="BN45" s="229">
        <v>0.3518</v>
      </c>
      <c r="BO45" s="230">
        <v>127922</v>
      </c>
      <c r="BP45" s="230">
        <v>122233</v>
      </c>
      <c r="BQ45" s="230">
        <v>5689</v>
      </c>
      <c r="BR45" s="229">
        <v>4.65E-2</v>
      </c>
      <c r="BS45" s="230">
        <v>3167790</v>
      </c>
      <c r="BT45" s="230">
        <v>3554276</v>
      </c>
      <c r="BU45" s="230">
        <v>-386486</v>
      </c>
      <c r="BV45" s="229">
        <v>-0.1087</v>
      </c>
      <c r="BW45" s="230">
        <v>28132825</v>
      </c>
      <c r="BX45" s="230">
        <v>28012600</v>
      </c>
      <c r="BY45" s="230">
        <v>120225</v>
      </c>
      <c r="BZ45" s="229">
        <v>4.3E-3</v>
      </c>
      <c r="CA45" s="230">
        <v>24315725</v>
      </c>
      <c r="CB45" s="230">
        <v>24264975</v>
      </c>
      <c r="CC45" s="230">
        <v>50750</v>
      </c>
      <c r="CD45" s="229">
        <v>2.0999999999999999E-3</v>
      </c>
      <c r="CE45" s="230">
        <v>2607150</v>
      </c>
      <c r="CF45" s="230">
        <v>2559375</v>
      </c>
      <c r="CG45" s="230">
        <v>47775</v>
      </c>
      <c r="CH45" s="229">
        <v>1.8700000000000001E-2</v>
      </c>
      <c r="CI45" s="230">
        <v>1209950</v>
      </c>
      <c r="CJ45" s="230">
        <v>1188250</v>
      </c>
      <c r="CK45" s="230">
        <v>21700</v>
      </c>
      <c r="CL45" s="229">
        <v>1.83E-2</v>
      </c>
      <c r="CM45" s="230">
        <v>13867525</v>
      </c>
      <c r="CN45" s="230">
        <v>13553400</v>
      </c>
      <c r="CO45" s="230">
        <v>314125</v>
      </c>
      <c r="CP45" s="229">
        <v>2.3199999999999998E-2</v>
      </c>
      <c r="CQ45" s="230">
        <v>8801275</v>
      </c>
      <c r="CR45" s="230">
        <v>8996750</v>
      </c>
      <c r="CS45" s="230">
        <v>-195475</v>
      </c>
      <c r="CT45" s="229">
        <v>-2.1700000000000001E-2</v>
      </c>
      <c r="CU45" s="230">
        <v>50801625</v>
      </c>
      <c r="CV45" s="230">
        <v>50562750</v>
      </c>
      <c r="CW45" s="230">
        <v>238875</v>
      </c>
      <c r="CX45" s="229">
        <v>4.7000000000000002E-3</v>
      </c>
      <c r="CY45" s="228">
        <v>27.64</v>
      </c>
      <c r="CZ45" s="228">
        <v>29.64</v>
      </c>
      <c r="DA45" s="228">
        <v>-2</v>
      </c>
      <c r="DB45" s="228">
        <v>-2</v>
      </c>
      <c r="DC45" s="228">
        <v>26.74</v>
      </c>
      <c r="DD45" s="228">
        <v>26.8</v>
      </c>
      <c r="DE45" s="228">
        <v>0.9</v>
      </c>
      <c r="DF45" s="228">
        <v>-0.06</v>
      </c>
      <c r="DG45" s="228">
        <v>27.17</v>
      </c>
      <c r="DH45" s="228">
        <v>29</v>
      </c>
      <c r="DI45" s="228">
        <v>-1.83</v>
      </c>
      <c r="DJ45" s="228">
        <v>-1.83</v>
      </c>
      <c r="DK45" s="228">
        <v>28.34</v>
      </c>
      <c r="DL45" s="228">
        <v>31.02</v>
      </c>
      <c r="DM45" s="228">
        <v>-2.68</v>
      </c>
      <c r="DN45" s="228">
        <v>-2.68</v>
      </c>
      <c r="DO45" s="228">
        <v>0.63</v>
      </c>
      <c r="DP45" s="228">
        <v>0.66</v>
      </c>
      <c r="DQ45" s="228">
        <v>-0.03</v>
      </c>
      <c r="DR45" s="229">
        <v>-4.5499999999999999E-2</v>
      </c>
      <c r="DS45" s="231">
        <v>3000</v>
      </c>
      <c r="DT45" s="231">
        <v>2600</v>
      </c>
      <c r="DU45" s="228">
        <v>0.66</v>
      </c>
      <c r="DV45" s="228">
        <v>0.46</v>
      </c>
      <c r="DW45" s="228">
        <v>0.2</v>
      </c>
      <c r="DX45" s="229">
        <v>0.43480000000000002</v>
      </c>
      <c r="DY45" s="229">
        <v>0.13569999999999999</v>
      </c>
      <c r="DZ45" s="230">
        <v>3747625</v>
      </c>
      <c r="EA45" s="229">
        <v>4.0000000000000001E-3</v>
      </c>
      <c r="EB45" s="229">
        <v>0.13569999999999999</v>
      </c>
      <c r="EC45" s="228">
        <v>8.07</v>
      </c>
      <c r="ED45" s="229">
        <v>3.0999999999999999E-3</v>
      </c>
      <c r="EE45" s="230">
        <v>1142525</v>
      </c>
      <c r="EF45" s="230">
        <v>1955429</v>
      </c>
      <c r="EG45" s="229">
        <v>-0.41570000000000001</v>
      </c>
      <c r="EH45" s="229">
        <v>0.36070000000000002</v>
      </c>
      <c r="EI45" s="231">
        <v>311969.83</v>
      </c>
      <c r="EJ45" s="231">
        <v>193330.5</v>
      </c>
      <c r="EK45" s="231">
        <v>91453.07</v>
      </c>
      <c r="EL45" s="231">
        <v>20077</v>
      </c>
      <c r="EM45" s="231">
        <v>596753.4</v>
      </c>
      <c r="EN45" s="231">
        <v>580066.31999999995</v>
      </c>
      <c r="EO45" s="231">
        <v>16687.080000000002</v>
      </c>
      <c r="EP45" s="229">
        <v>2.8799999999999999E-2</v>
      </c>
      <c r="EQ45" s="231">
        <v>395465</v>
      </c>
      <c r="ER45" s="231">
        <v>237112</v>
      </c>
      <c r="ES45" s="231">
        <v>728942</v>
      </c>
      <c r="ET45" s="231">
        <v>126444612</v>
      </c>
      <c r="EU45" s="231">
        <v>1361520</v>
      </c>
      <c r="EV45" s="231">
        <v>1358045</v>
      </c>
      <c r="EW45" s="231">
        <v>3475</v>
      </c>
      <c r="EX45" s="229">
        <v>2.5999999999999999E-3</v>
      </c>
      <c r="EY45" s="229">
        <v>0.40179999999999999</v>
      </c>
    </row>
    <row r="46" spans="1:155" ht="17.25" thickBot="1" x14ac:dyDescent="0.3">
      <c r="A46" s="226">
        <v>46086</v>
      </c>
      <c r="B46" s="227" t="s">
        <v>221</v>
      </c>
      <c r="C46" s="227" t="s">
        <v>296</v>
      </c>
      <c r="D46" s="231">
        <v>1336.5</v>
      </c>
      <c r="E46" s="231">
        <v>1354.2</v>
      </c>
      <c r="F46" s="228">
        <v>-17.7</v>
      </c>
      <c r="G46" s="229">
        <v>-1.3100000000000001E-2</v>
      </c>
      <c r="H46" s="231">
        <v>1333.3</v>
      </c>
      <c r="I46" s="231">
        <v>1351.2</v>
      </c>
      <c r="J46" s="228">
        <v>-17.899999999999999</v>
      </c>
      <c r="K46" s="229">
        <v>-1.32E-2</v>
      </c>
      <c r="L46" s="231">
        <v>1336.5</v>
      </c>
      <c r="M46" s="231">
        <v>1354.2</v>
      </c>
      <c r="N46" s="228">
        <v>-17.7</v>
      </c>
      <c r="O46" s="229">
        <v>-1.3100000000000001E-2</v>
      </c>
      <c r="P46" s="231">
        <v>1344.4</v>
      </c>
      <c r="Q46" s="231">
        <v>1361.8</v>
      </c>
      <c r="R46" s="228">
        <v>-17.399999999999999</v>
      </c>
      <c r="S46" s="229">
        <v>-1.2800000000000001E-2</v>
      </c>
      <c r="T46" s="231">
        <v>1349.7</v>
      </c>
      <c r="U46" s="231">
        <v>1365.4</v>
      </c>
      <c r="V46" s="228">
        <v>-15.7</v>
      </c>
      <c r="W46" s="229">
        <v>-1.15E-2</v>
      </c>
      <c r="X46" s="228">
        <v>3.2</v>
      </c>
      <c r="Y46" s="228">
        <v>3</v>
      </c>
      <c r="Z46" s="228">
        <v>0.2</v>
      </c>
      <c r="AA46" s="229">
        <v>2.3999999999999998E-3</v>
      </c>
      <c r="AB46" s="228">
        <v>3.2</v>
      </c>
      <c r="AC46" s="228">
        <v>3</v>
      </c>
      <c r="AD46" s="228">
        <v>0.2</v>
      </c>
      <c r="AE46" s="229">
        <v>2.3999999999999998E-3</v>
      </c>
      <c r="AF46" s="228">
        <v>11.1</v>
      </c>
      <c r="AG46" s="228">
        <v>10.6</v>
      </c>
      <c r="AH46" s="228">
        <v>0.5</v>
      </c>
      <c r="AI46" s="229">
        <v>8.3000000000000001E-3</v>
      </c>
      <c r="AJ46" s="228">
        <v>16.399999999999999</v>
      </c>
      <c r="AK46" s="228">
        <v>14.2</v>
      </c>
      <c r="AL46" s="228">
        <v>2.2000000000000002</v>
      </c>
      <c r="AM46" s="229">
        <v>1.23E-2</v>
      </c>
      <c r="AN46" s="231">
        <v>1339.55</v>
      </c>
      <c r="AO46" s="231">
        <v>1345.39</v>
      </c>
      <c r="AP46" s="228">
        <v>0</v>
      </c>
      <c r="AQ46" s="230">
        <v>4083</v>
      </c>
      <c r="AR46" s="230">
        <v>5537</v>
      </c>
      <c r="AS46" s="230">
        <v>-1454</v>
      </c>
      <c r="AT46" s="229">
        <v>-0.2626</v>
      </c>
      <c r="AU46" s="230">
        <v>3783</v>
      </c>
      <c r="AV46" s="230">
        <v>5423</v>
      </c>
      <c r="AW46" s="230">
        <v>-1640</v>
      </c>
      <c r="AX46" s="229">
        <v>-0.3024</v>
      </c>
      <c r="AY46" s="228">
        <v>253</v>
      </c>
      <c r="AZ46" s="228">
        <v>96</v>
      </c>
      <c r="BA46" s="228">
        <v>157</v>
      </c>
      <c r="BB46" s="229">
        <v>1.6354</v>
      </c>
      <c r="BC46" s="228">
        <v>47</v>
      </c>
      <c r="BD46" s="228">
        <v>18</v>
      </c>
      <c r="BE46" s="228">
        <v>29</v>
      </c>
      <c r="BF46" s="229">
        <v>1.6111</v>
      </c>
      <c r="BG46" s="230">
        <v>11319</v>
      </c>
      <c r="BH46" s="230">
        <v>13647</v>
      </c>
      <c r="BI46" s="230">
        <v>-2328</v>
      </c>
      <c r="BJ46" s="229">
        <v>-0.1706</v>
      </c>
      <c r="BK46" s="230">
        <v>5880</v>
      </c>
      <c r="BL46" s="230">
        <v>6155</v>
      </c>
      <c r="BM46" s="228">
        <v>-275</v>
      </c>
      <c r="BN46" s="229">
        <v>-4.4699999999999997E-2</v>
      </c>
      <c r="BO46" s="230">
        <v>21282</v>
      </c>
      <c r="BP46" s="230">
        <v>25339</v>
      </c>
      <c r="BQ46" s="230">
        <v>-4057</v>
      </c>
      <c r="BR46" s="229">
        <v>-0.16009999999999999</v>
      </c>
      <c r="BS46" s="230">
        <v>1251103</v>
      </c>
      <c r="BT46" s="230">
        <v>1864673</v>
      </c>
      <c r="BU46" s="230">
        <v>-613570</v>
      </c>
      <c r="BV46" s="229">
        <v>-0.32900000000000001</v>
      </c>
      <c r="BW46" s="230">
        <v>19651800</v>
      </c>
      <c r="BX46" s="230">
        <v>19612200</v>
      </c>
      <c r="BY46" s="230">
        <v>39600</v>
      </c>
      <c r="BZ46" s="229">
        <v>2E-3</v>
      </c>
      <c r="CA46" s="230">
        <v>19312200</v>
      </c>
      <c r="CB46" s="230">
        <v>19329600</v>
      </c>
      <c r="CC46" s="230">
        <v>-17400</v>
      </c>
      <c r="CD46" s="229">
        <v>-8.9999999999999998E-4</v>
      </c>
      <c r="CE46" s="230">
        <v>304200</v>
      </c>
      <c r="CF46" s="230">
        <v>259200</v>
      </c>
      <c r="CG46" s="230">
        <v>45000</v>
      </c>
      <c r="CH46" s="229">
        <v>0.1736</v>
      </c>
      <c r="CI46" s="230">
        <v>35400</v>
      </c>
      <c r="CJ46" s="230">
        <v>23400</v>
      </c>
      <c r="CK46" s="230">
        <v>12000</v>
      </c>
      <c r="CL46" s="229">
        <v>0.51280000000000003</v>
      </c>
      <c r="CM46" s="230">
        <v>9166800</v>
      </c>
      <c r="CN46" s="230">
        <v>8716800</v>
      </c>
      <c r="CO46" s="230">
        <v>450000</v>
      </c>
      <c r="CP46" s="229">
        <v>5.16E-2</v>
      </c>
      <c r="CQ46" s="230">
        <v>5430600</v>
      </c>
      <c r="CR46" s="230">
        <v>5520600</v>
      </c>
      <c r="CS46" s="230">
        <v>-90000</v>
      </c>
      <c r="CT46" s="229">
        <v>-1.6299999999999999E-2</v>
      </c>
      <c r="CU46" s="230">
        <v>34249200</v>
      </c>
      <c r="CV46" s="230">
        <v>33849600</v>
      </c>
      <c r="CW46" s="230">
        <v>399600</v>
      </c>
      <c r="CX46" s="229">
        <v>1.18E-2</v>
      </c>
      <c r="CY46" s="228">
        <v>31.52</v>
      </c>
      <c r="CZ46" s="228">
        <v>33.01</v>
      </c>
      <c r="DA46" s="228">
        <v>-1.49</v>
      </c>
      <c r="DB46" s="228">
        <v>-1.49</v>
      </c>
      <c r="DC46" s="228">
        <v>31.01</v>
      </c>
      <c r="DD46" s="228">
        <v>31.03</v>
      </c>
      <c r="DE46" s="228">
        <v>0.51</v>
      </c>
      <c r="DF46" s="228">
        <v>-0.02</v>
      </c>
      <c r="DG46" s="228">
        <v>30.96</v>
      </c>
      <c r="DH46" s="228">
        <v>31.74</v>
      </c>
      <c r="DI46" s="228">
        <v>-0.78</v>
      </c>
      <c r="DJ46" s="228">
        <v>-0.78</v>
      </c>
      <c r="DK46" s="228">
        <v>32.61</v>
      </c>
      <c r="DL46" s="228">
        <v>35.840000000000003</v>
      </c>
      <c r="DM46" s="228">
        <v>-3.23</v>
      </c>
      <c r="DN46" s="228">
        <v>-3.23</v>
      </c>
      <c r="DO46" s="228">
        <v>0.59</v>
      </c>
      <c r="DP46" s="228">
        <v>0.63</v>
      </c>
      <c r="DQ46" s="228">
        <v>-0.04</v>
      </c>
      <c r="DR46" s="229">
        <v>-6.3500000000000001E-2</v>
      </c>
      <c r="DS46" s="231">
        <v>1440</v>
      </c>
      <c r="DT46" s="231">
        <v>1340</v>
      </c>
      <c r="DU46" s="228">
        <v>0.52</v>
      </c>
      <c r="DV46" s="228">
        <v>0.45</v>
      </c>
      <c r="DW46" s="228">
        <v>7.0000000000000007E-2</v>
      </c>
      <c r="DX46" s="229">
        <v>0.15559999999999999</v>
      </c>
      <c r="DY46" s="229">
        <v>1.7299999999999999E-2</v>
      </c>
      <c r="DZ46" s="230">
        <v>282600</v>
      </c>
      <c r="EA46" s="229">
        <v>5.8999999999999999E-3</v>
      </c>
      <c r="EB46" s="229">
        <v>1.7299999999999999E-2</v>
      </c>
      <c r="EC46" s="228">
        <v>5.84</v>
      </c>
      <c r="ED46" s="229">
        <v>4.4000000000000003E-3</v>
      </c>
      <c r="EE46" s="230">
        <v>550222</v>
      </c>
      <c r="EF46" s="230">
        <v>964917</v>
      </c>
      <c r="EG46" s="229">
        <v>-0.42980000000000002</v>
      </c>
      <c r="EH46" s="229">
        <v>0.43980000000000002</v>
      </c>
      <c r="EI46" s="231">
        <v>97882.04</v>
      </c>
      <c r="EJ46" s="231">
        <v>47017.82</v>
      </c>
      <c r="EK46" s="231">
        <v>32828.449999999997</v>
      </c>
      <c r="EL46" s="231">
        <v>4984</v>
      </c>
      <c r="EM46" s="231">
        <v>177728.31</v>
      </c>
      <c r="EN46" s="231">
        <v>212457.37</v>
      </c>
      <c r="EO46" s="231">
        <v>-34729.06</v>
      </c>
      <c r="EP46" s="229">
        <v>-0.16350000000000001</v>
      </c>
      <c r="EQ46" s="231">
        <v>135653</v>
      </c>
      <c r="ER46" s="231">
        <v>74062</v>
      </c>
      <c r="ES46" s="231">
        <v>262675</v>
      </c>
      <c r="ET46" s="231">
        <v>80031540</v>
      </c>
      <c r="EU46" s="231">
        <v>472390</v>
      </c>
      <c r="EV46" s="231">
        <v>470265</v>
      </c>
      <c r="EW46" s="231">
        <v>2125</v>
      </c>
      <c r="EX46" s="229">
        <v>4.4999999999999997E-3</v>
      </c>
      <c r="EY46" s="229">
        <v>0.4279</v>
      </c>
    </row>
    <row r="47" spans="1:155" ht="17.25" thickBot="1" x14ac:dyDescent="0.3">
      <c r="A47" s="226">
        <v>46086</v>
      </c>
      <c r="B47" s="227" t="s">
        <v>168</v>
      </c>
      <c r="C47" s="227" t="s">
        <v>297</v>
      </c>
      <c r="D47" s="231">
        <v>4288.3</v>
      </c>
      <c r="E47" s="231">
        <v>4219.6000000000004</v>
      </c>
      <c r="F47" s="228">
        <v>68.7</v>
      </c>
      <c r="G47" s="229">
        <v>1.6299999999999999E-2</v>
      </c>
      <c r="H47" s="231">
        <v>4275.2</v>
      </c>
      <c r="I47" s="231">
        <v>4204.3999999999996</v>
      </c>
      <c r="J47" s="228">
        <v>70.8</v>
      </c>
      <c r="K47" s="229">
        <v>1.6799999999999999E-2</v>
      </c>
      <c r="L47" s="231">
        <v>4288.3</v>
      </c>
      <c r="M47" s="231">
        <v>4219.6000000000004</v>
      </c>
      <c r="N47" s="228">
        <v>68.7</v>
      </c>
      <c r="O47" s="229">
        <v>1.6299999999999999E-2</v>
      </c>
      <c r="P47" s="231">
        <v>4314.1000000000004</v>
      </c>
      <c r="Q47" s="231">
        <v>4246.1000000000004</v>
      </c>
      <c r="R47" s="228">
        <v>68</v>
      </c>
      <c r="S47" s="229">
        <v>1.6E-2</v>
      </c>
      <c r="T47" s="231">
        <v>4338.1000000000004</v>
      </c>
      <c r="U47" s="231">
        <v>4269.3</v>
      </c>
      <c r="V47" s="228">
        <v>68.8</v>
      </c>
      <c r="W47" s="229">
        <v>1.61E-2</v>
      </c>
      <c r="X47" s="228">
        <v>13.1</v>
      </c>
      <c r="Y47" s="228">
        <v>15.2</v>
      </c>
      <c r="Z47" s="228">
        <v>-2.1</v>
      </c>
      <c r="AA47" s="229">
        <v>3.0999999999999999E-3</v>
      </c>
      <c r="AB47" s="228">
        <v>13.1</v>
      </c>
      <c r="AC47" s="228">
        <v>15.2</v>
      </c>
      <c r="AD47" s="228">
        <v>-2.1</v>
      </c>
      <c r="AE47" s="229">
        <v>3.0999999999999999E-3</v>
      </c>
      <c r="AF47" s="228">
        <v>38.9</v>
      </c>
      <c r="AG47" s="228">
        <v>41.7</v>
      </c>
      <c r="AH47" s="228">
        <v>-2.8</v>
      </c>
      <c r="AI47" s="229">
        <v>9.1000000000000004E-3</v>
      </c>
      <c r="AJ47" s="228">
        <v>62.9</v>
      </c>
      <c r="AK47" s="228">
        <v>64.900000000000006</v>
      </c>
      <c r="AL47" s="228">
        <v>-2</v>
      </c>
      <c r="AM47" s="229">
        <v>1.47E-2</v>
      </c>
      <c r="AN47" s="231">
        <v>4255.58</v>
      </c>
      <c r="AO47" s="231">
        <v>4279.55</v>
      </c>
      <c r="AP47" s="228">
        <v>0</v>
      </c>
      <c r="AQ47" s="230">
        <v>5476</v>
      </c>
      <c r="AR47" s="230">
        <v>7521</v>
      </c>
      <c r="AS47" s="230">
        <v>-2045</v>
      </c>
      <c r="AT47" s="229">
        <v>-0.27189999999999998</v>
      </c>
      <c r="AU47" s="230">
        <v>5288</v>
      </c>
      <c r="AV47" s="230">
        <v>7223</v>
      </c>
      <c r="AW47" s="230">
        <v>-1935</v>
      </c>
      <c r="AX47" s="229">
        <v>-0.26790000000000003</v>
      </c>
      <c r="AY47" s="228">
        <v>166</v>
      </c>
      <c r="AZ47" s="228">
        <v>231</v>
      </c>
      <c r="BA47" s="228">
        <v>-65</v>
      </c>
      <c r="BB47" s="229">
        <v>-0.28139999999999998</v>
      </c>
      <c r="BC47" s="228">
        <v>22</v>
      </c>
      <c r="BD47" s="228">
        <v>67</v>
      </c>
      <c r="BE47" s="228">
        <v>-45</v>
      </c>
      <c r="BF47" s="229">
        <v>-0.67159999999999997</v>
      </c>
      <c r="BG47" s="230">
        <v>19018</v>
      </c>
      <c r="BH47" s="230">
        <v>21746</v>
      </c>
      <c r="BI47" s="230">
        <v>-2728</v>
      </c>
      <c r="BJ47" s="229">
        <v>-0.12540000000000001</v>
      </c>
      <c r="BK47" s="230">
        <v>11021</v>
      </c>
      <c r="BL47" s="230">
        <v>21864</v>
      </c>
      <c r="BM47" s="230">
        <v>-10843</v>
      </c>
      <c r="BN47" s="229">
        <v>-0.49590000000000001</v>
      </c>
      <c r="BO47" s="230">
        <v>35515</v>
      </c>
      <c r="BP47" s="230">
        <v>51131</v>
      </c>
      <c r="BQ47" s="230">
        <v>-15616</v>
      </c>
      <c r="BR47" s="229">
        <v>-0.3054</v>
      </c>
      <c r="BS47" s="230">
        <v>719147</v>
      </c>
      <c r="BT47" s="230">
        <v>1053944</v>
      </c>
      <c r="BU47" s="230">
        <v>-334797</v>
      </c>
      <c r="BV47" s="229">
        <v>-0.31769999999999998</v>
      </c>
      <c r="BW47" s="230">
        <v>9790025</v>
      </c>
      <c r="BX47" s="230">
        <v>9866500</v>
      </c>
      <c r="BY47" s="230">
        <v>-76475</v>
      </c>
      <c r="BZ47" s="229">
        <v>-7.7999999999999996E-3</v>
      </c>
      <c r="CA47" s="230">
        <v>9672250</v>
      </c>
      <c r="CB47" s="230">
        <v>9757300</v>
      </c>
      <c r="CC47" s="230">
        <v>-85050</v>
      </c>
      <c r="CD47" s="229">
        <v>-8.6999999999999994E-3</v>
      </c>
      <c r="CE47" s="230">
        <v>102900</v>
      </c>
      <c r="CF47" s="230">
        <v>95375</v>
      </c>
      <c r="CG47" s="230">
        <v>7525</v>
      </c>
      <c r="CH47" s="229">
        <v>7.8899999999999998E-2</v>
      </c>
      <c r="CI47" s="230">
        <v>14875</v>
      </c>
      <c r="CJ47" s="230">
        <v>13825</v>
      </c>
      <c r="CK47" s="230">
        <v>1050</v>
      </c>
      <c r="CL47" s="229">
        <v>7.5899999999999995E-2</v>
      </c>
      <c r="CM47" s="230">
        <v>2024225</v>
      </c>
      <c r="CN47" s="230">
        <v>1876000</v>
      </c>
      <c r="CO47" s="230">
        <v>148225</v>
      </c>
      <c r="CP47" s="229">
        <v>7.9000000000000001E-2</v>
      </c>
      <c r="CQ47" s="230">
        <v>1344350</v>
      </c>
      <c r="CR47" s="230">
        <v>1327725</v>
      </c>
      <c r="CS47" s="230">
        <v>16625</v>
      </c>
      <c r="CT47" s="229">
        <v>1.2500000000000001E-2</v>
      </c>
      <c r="CU47" s="230">
        <v>13158600</v>
      </c>
      <c r="CV47" s="230">
        <v>13070225</v>
      </c>
      <c r="CW47" s="230">
        <v>88375</v>
      </c>
      <c r="CX47" s="229">
        <v>6.7999999999999996E-3</v>
      </c>
      <c r="CY47" s="228">
        <v>20.83</v>
      </c>
      <c r="CZ47" s="228">
        <v>24.52</v>
      </c>
      <c r="DA47" s="228">
        <v>-3.69</v>
      </c>
      <c r="DB47" s="228">
        <v>-3.69</v>
      </c>
      <c r="DC47" s="228">
        <v>24.42</v>
      </c>
      <c r="DD47" s="228">
        <v>24.37</v>
      </c>
      <c r="DE47" s="228">
        <v>-3.59</v>
      </c>
      <c r="DF47" s="228">
        <v>0.05</v>
      </c>
      <c r="DG47" s="228">
        <v>19.87</v>
      </c>
      <c r="DH47" s="228">
        <v>22.95</v>
      </c>
      <c r="DI47" s="228">
        <v>-3.08</v>
      </c>
      <c r="DJ47" s="228">
        <v>-3.08</v>
      </c>
      <c r="DK47" s="228">
        <v>22.5</v>
      </c>
      <c r="DL47" s="228">
        <v>26.08</v>
      </c>
      <c r="DM47" s="228">
        <v>-3.58</v>
      </c>
      <c r="DN47" s="228">
        <v>-3.58</v>
      </c>
      <c r="DO47" s="228">
        <v>0.66</v>
      </c>
      <c r="DP47" s="228">
        <v>0.71</v>
      </c>
      <c r="DQ47" s="228">
        <v>-0.05</v>
      </c>
      <c r="DR47" s="229">
        <v>-7.0400000000000004E-2</v>
      </c>
      <c r="DS47" s="231">
        <v>4300</v>
      </c>
      <c r="DT47" s="231">
        <v>4000</v>
      </c>
      <c r="DU47" s="228">
        <v>0.57999999999999996</v>
      </c>
      <c r="DV47" s="228">
        <v>1.01</v>
      </c>
      <c r="DW47" s="228">
        <v>-0.43</v>
      </c>
      <c r="DX47" s="229">
        <v>-0.42570000000000002</v>
      </c>
      <c r="DY47" s="229">
        <v>1.2E-2</v>
      </c>
      <c r="DZ47" s="230">
        <v>109200</v>
      </c>
      <c r="EA47" s="229">
        <v>6.0000000000000001E-3</v>
      </c>
      <c r="EB47" s="229">
        <v>1.2E-2</v>
      </c>
      <c r="EC47" s="228">
        <v>23.97</v>
      </c>
      <c r="ED47" s="229">
        <v>5.5999999999999999E-3</v>
      </c>
      <c r="EE47" s="230">
        <v>367883</v>
      </c>
      <c r="EF47" s="230">
        <v>548840</v>
      </c>
      <c r="EG47" s="229">
        <v>-0.32969999999999999</v>
      </c>
      <c r="EH47" s="229">
        <v>0.51160000000000005</v>
      </c>
      <c r="EI47" s="231">
        <v>146588.15</v>
      </c>
      <c r="EJ47" s="231">
        <v>80637.09</v>
      </c>
      <c r="EK47" s="231">
        <v>40789.85</v>
      </c>
      <c r="EL47" s="231">
        <v>5446</v>
      </c>
      <c r="EM47" s="231">
        <v>268015.09000000003</v>
      </c>
      <c r="EN47" s="231">
        <v>380670.86</v>
      </c>
      <c r="EO47" s="231">
        <v>-112655.77</v>
      </c>
      <c r="EP47" s="229">
        <v>-0.2959</v>
      </c>
      <c r="EQ47" s="231">
        <v>88532</v>
      </c>
      <c r="ER47" s="231">
        <v>55271</v>
      </c>
      <c r="ES47" s="231">
        <v>419860</v>
      </c>
      <c r="ET47" s="231">
        <v>45680146</v>
      </c>
      <c r="EU47" s="231">
        <v>563662</v>
      </c>
      <c r="EV47" s="231">
        <v>552821</v>
      </c>
      <c r="EW47" s="231">
        <v>10841</v>
      </c>
      <c r="EX47" s="229">
        <v>1.9599999999999999E-2</v>
      </c>
      <c r="EY47" s="229">
        <v>0.28810000000000002</v>
      </c>
    </row>
    <row r="48" spans="1:155" ht="17.25" thickBot="1" x14ac:dyDescent="0.3">
      <c r="A48" s="226">
        <v>46086</v>
      </c>
      <c r="B48" s="227" t="s">
        <v>162</v>
      </c>
      <c r="C48" s="227" t="s">
        <v>688</v>
      </c>
      <c r="D48" s="228">
        <v>356.55</v>
      </c>
      <c r="E48" s="228">
        <v>352.35</v>
      </c>
      <c r="F48" s="228">
        <v>4.2</v>
      </c>
      <c r="G48" s="229">
        <v>1.1900000000000001E-2</v>
      </c>
      <c r="H48" s="228">
        <v>355.15</v>
      </c>
      <c r="I48" s="228">
        <v>351.2</v>
      </c>
      <c r="J48" s="228">
        <v>3.95</v>
      </c>
      <c r="K48" s="229">
        <v>1.12E-2</v>
      </c>
      <c r="L48" s="228">
        <v>356.55</v>
      </c>
      <c r="M48" s="228">
        <v>352.35</v>
      </c>
      <c r="N48" s="228">
        <v>4.2</v>
      </c>
      <c r="O48" s="229">
        <v>1.1900000000000001E-2</v>
      </c>
      <c r="P48" s="228">
        <v>358.8</v>
      </c>
      <c r="Q48" s="228">
        <v>354.6</v>
      </c>
      <c r="R48" s="228">
        <v>4.2</v>
      </c>
      <c r="S48" s="229">
        <v>1.18E-2</v>
      </c>
      <c r="T48" s="228">
        <v>360.8</v>
      </c>
      <c r="U48" s="228">
        <v>356.5</v>
      </c>
      <c r="V48" s="228">
        <v>4.3</v>
      </c>
      <c r="W48" s="229">
        <v>1.21E-2</v>
      </c>
      <c r="X48" s="228">
        <v>1.4</v>
      </c>
      <c r="Y48" s="228">
        <v>1.1499999999999999</v>
      </c>
      <c r="Z48" s="228">
        <v>0.25</v>
      </c>
      <c r="AA48" s="229">
        <v>3.8999999999999998E-3</v>
      </c>
      <c r="AB48" s="228">
        <v>1.4</v>
      </c>
      <c r="AC48" s="228">
        <v>1.1499999999999999</v>
      </c>
      <c r="AD48" s="228">
        <v>0.25</v>
      </c>
      <c r="AE48" s="229">
        <v>3.8999999999999998E-3</v>
      </c>
      <c r="AF48" s="228">
        <v>3.65</v>
      </c>
      <c r="AG48" s="228">
        <v>3.4</v>
      </c>
      <c r="AH48" s="228">
        <v>0.25</v>
      </c>
      <c r="AI48" s="229">
        <v>1.03E-2</v>
      </c>
      <c r="AJ48" s="228">
        <v>5.65</v>
      </c>
      <c r="AK48" s="228">
        <v>5.3</v>
      </c>
      <c r="AL48" s="228">
        <v>0.35</v>
      </c>
      <c r="AM48" s="229">
        <v>1.5900000000000001E-2</v>
      </c>
      <c r="AN48" s="228">
        <v>353.61</v>
      </c>
      <c r="AO48" s="228">
        <v>355.65</v>
      </c>
      <c r="AP48" s="228">
        <v>0</v>
      </c>
      <c r="AQ48" s="230">
        <v>17610</v>
      </c>
      <c r="AR48" s="230">
        <v>19281</v>
      </c>
      <c r="AS48" s="230">
        <v>-1671</v>
      </c>
      <c r="AT48" s="229">
        <v>-8.6699999999999999E-2</v>
      </c>
      <c r="AU48" s="230">
        <v>14677</v>
      </c>
      <c r="AV48" s="230">
        <v>15918</v>
      </c>
      <c r="AW48" s="230">
        <v>-1241</v>
      </c>
      <c r="AX48" s="229">
        <v>-7.8E-2</v>
      </c>
      <c r="AY48" s="230">
        <v>2296</v>
      </c>
      <c r="AZ48" s="230">
        <v>2395</v>
      </c>
      <c r="BA48" s="228">
        <v>-99</v>
      </c>
      <c r="BB48" s="229">
        <v>-4.1300000000000003E-2</v>
      </c>
      <c r="BC48" s="228">
        <v>637</v>
      </c>
      <c r="BD48" s="228">
        <v>968</v>
      </c>
      <c r="BE48" s="228">
        <v>-331</v>
      </c>
      <c r="BF48" s="229">
        <v>-0.34189999999999998</v>
      </c>
      <c r="BG48" s="230">
        <v>54845</v>
      </c>
      <c r="BH48" s="230">
        <v>75999</v>
      </c>
      <c r="BI48" s="230">
        <v>-21154</v>
      </c>
      <c r="BJ48" s="229">
        <v>-0.27829999999999999</v>
      </c>
      <c r="BK48" s="230">
        <v>30949</v>
      </c>
      <c r="BL48" s="230">
        <v>53497</v>
      </c>
      <c r="BM48" s="230">
        <v>-22548</v>
      </c>
      <c r="BN48" s="229">
        <v>-0.42149999999999999</v>
      </c>
      <c r="BO48" s="230">
        <v>103404</v>
      </c>
      <c r="BP48" s="230">
        <v>148777</v>
      </c>
      <c r="BQ48" s="230">
        <v>-45373</v>
      </c>
      <c r="BR48" s="229">
        <v>-0.30499999999999999</v>
      </c>
      <c r="BS48" s="230">
        <v>10574236</v>
      </c>
      <c r="BT48" s="230">
        <v>17733124</v>
      </c>
      <c r="BU48" s="230">
        <v>-7158888</v>
      </c>
      <c r="BV48" s="229">
        <v>-0.4037</v>
      </c>
      <c r="BW48" s="230">
        <v>75232800</v>
      </c>
      <c r="BX48" s="230">
        <v>74807200</v>
      </c>
      <c r="BY48" s="230">
        <v>425600</v>
      </c>
      <c r="BZ48" s="229">
        <v>5.7000000000000002E-3</v>
      </c>
      <c r="CA48" s="230">
        <v>71010400</v>
      </c>
      <c r="CB48" s="230">
        <v>71116800</v>
      </c>
      <c r="CC48" s="230">
        <v>-106400</v>
      </c>
      <c r="CD48" s="229">
        <v>-1.5E-3</v>
      </c>
      <c r="CE48" s="230">
        <v>3375200</v>
      </c>
      <c r="CF48" s="230">
        <v>3007200</v>
      </c>
      <c r="CG48" s="230">
        <v>368000</v>
      </c>
      <c r="CH48" s="229">
        <v>0.12239999999999999</v>
      </c>
      <c r="CI48" s="230">
        <v>847200</v>
      </c>
      <c r="CJ48" s="230">
        <v>683200</v>
      </c>
      <c r="CK48" s="230">
        <v>164000</v>
      </c>
      <c r="CL48" s="229">
        <v>0.24</v>
      </c>
      <c r="CM48" s="230">
        <v>43154400</v>
      </c>
      <c r="CN48" s="230">
        <v>40586400</v>
      </c>
      <c r="CO48" s="230">
        <v>2568000</v>
      </c>
      <c r="CP48" s="229">
        <v>6.3299999999999995E-2</v>
      </c>
      <c r="CQ48" s="230">
        <v>26176000</v>
      </c>
      <c r="CR48" s="230">
        <v>25322400</v>
      </c>
      <c r="CS48" s="230">
        <v>853600</v>
      </c>
      <c r="CT48" s="229">
        <v>3.3700000000000001E-2</v>
      </c>
      <c r="CU48" s="230">
        <v>144563200</v>
      </c>
      <c r="CV48" s="230">
        <v>140716000</v>
      </c>
      <c r="CW48" s="230">
        <v>3847200</v>
      </c>
      <c r="CX48" s="229">
        <v>2.7300000000000001E-2</v>
      </c>
      <c r="CY48" s="228">
        <v>31.55</v>
      </c>
      <c r="CZ48" s="228">
        <v>34.799999999999997</v>
      </c>
      <c r="DA48" s="228">
        <v>-3.25</v>
      </c>
      <c r="DB48" s="228">
        <v>-3.25</v>
      </c>
      <c r="DC48" s="228">
        <v>34.28</v>
      </c>
      <c r="DD48" s="228">
        <v>34.33</v>
      </c>
      <c r="DE48" s="228">
        <v>-2.73</v>
      </c>
      <c r="DF48" s="228">
        <v>-0.05</v>
      </c>
      <c r="DG48" s="228">
        <v>30.5</v>
      </c>
      <c r="DH48" s="228">
        <v>33.53</v>
      </c>
      <c r="DI48" s="228">
        <v>-3.03</v>
      </c>
      <c r="DJ48" s="228">
        <v>-3.03</v>
      </c>
      <c r="DK48" s="228">
        <v>33.4</v>
      </c>
      <c r="DL48" s="228">
        <v>36.6</v>
      </c>
      <c r="DM48" s="228">
        <v>-3.2</v>
      </c>
      <c r="DN48" s="228">
        <v>-3.2</v>
      </c>
      <c r="DO48" s="228">
        <v>0.61</v>
      </c>
      <c r="DP48" s="228">
        <v>0.62</v>
      </c>
      <c r="DQ48" s="228">
        <v>-0.01</v>
      </c>
      <c r="DR48" s="229">
        <v>-1.61E-2</v>
      </c>
      <c r="DS48" s="228">
        <v>400</v>
      </c>
      <c r="DT48" s="228">
        <v>350</v>
      </c>
      <c r="DU48" s="228">
        <v>0.56000000000000005</v>
      </c>
      <c r="DV48" s="228">
        <v>0.7</v>
      </c>
      <c r="DW48" s="228">
        <v>-0.14000000000000001</v>
      </c>
      <c r="DX48" s="229">
        <v>-0.2</v>
      </c>
      <c r="DY48" s="229">
        <v>5.6099999999999997E-2</v>
      </c>
      <c r="DZ48" s="230">
        <v>3690400</v>
      </c>
      <c r="EA48" s="229">
        <v>6.3E-3</v>
      </c>
      <c r="EB48" s="229">
        <v>5.6099999999999997E-2</v>
      </c>
      <c r="EC48" s="228">
        <v>2.04</v>
      </c>
      <c r="ED48" s="229">
        <v>5.7999999999999996E-3</v>
      </c>
      <c r="EE48" s="230">
        <v>4933946</v>
      </c>
      <c r="EF48" s="230">
        <v>10211891</v>
      </c>
      <c r="EG48" s="229">
        <v>-0.51680000000000004</v>
      </c>
      <c r="EH48" s="229">
        <v>0.46660000000000001</v>
      </c>
      <c r="EI48" s="231">
        <v>168923.27</v>
      </c>
      <c r="EJ48" s="231">
        <v>85145.12</v>
      </c>
      <c r="EK48" s="231">
        <v>49875.58</v>
      </c>
      <c r="EL48" s="231">
        <v>19099</v>
      </c>
      <c r="EM48" s="231">
        <v>303943.96999999997</v>
      </c>
      <c r="EN48" s="231">
        <v>440345.15</v>
      </c>
      <c r="EO48" s="231">
        <v>-136401.18</v>
      </c>
      <c r="EP48" s="229">
        <v>-0.30980000000000002</v>
      </c>
      <c r="EQ48" s="231">
        <v>169528</v>
      </c>
      <c r="ER48" s="231">
        <v>92866</v>
      </c>
      <c r="ES48" s="231">
        <v>268354</v>
      </c>
      <c r="ET48" s="231">
        <v>317235726</v>
      </c>
      <c r="EU48" s="231">
        <v>530748</v>
      </c>
      <c r="EV48" s="231">
        <v>513371</v>
      </c>
      <c r="EW48" s="231">
        <v>17377</v>
      </c>
      <c r="EX48" s="229">
        <v>3.3799999999999997E-2</v>
      </c>
      <c r="EY48" s="229">
        <v>0.45569999999999999</v>
      </c>
    </row>
    <row r="49" spans="1:155" ht="17.25" thickBot="1" x14ac:dyDescent="0.3">
      <c r="A49" s="226">
        <v>46086</v>
      </c>
      <c r="B49" s="227" t="s">
        <v>197</v>
      </c>
      <c r="C49" s="227" t="s">
        <v>482</v>
      </c>
      <c r="D49" s="231">
        <v>3796.1</v>
      </c>
      <c r="E49" s="231">
        <v>3763.8</v>
      </c>
      <c r="F49" s="228">
        <v>32.299999999999997</v>
      </c>
      <c r="G49" s="229">
        <v>8.6E-3</v>
      </c>
      <c r="H49" s="231">
        <v>3790.9</v>
      </c>
      <c r="I49" s="231">
        <v>3756.8</v>
      </c>
      <c r="J49" s="228">
        <v>34.1</v>
      </c>
      <c r="K49" s="229">
        <v>9.1000000000000004E-3</v>
      </c>
      <c r="L49" s="231">
        <v>3796.1</v>
      </c>
      <c r="M49" s="231">
        <v>3763.8</v>
      </c>
      <c r="N49" s="228">
        <v>32.299999999999997</v>
      </c>
      <c r="O49" s="229">
        <v>8.6E-3</v>
      </c>
      <c r="P49" s="231">
        <v>3820.8</v>
      </c>
      <c r="Q49" s="231">
        <v>3789.9</v>
      </c>
      <c r="R49" s="228">
        <v>30.9</v>
      </c>
      <c r="S49" s="229">
        <v>8.2000000000000007E-3</v>
      </c>
      <c r="T49" s="231">
        <v>3841.6</v>
      </c>
      <c r="U49" s="231">
        <v>3806.5</v>
      </c>
      <c r="V49" s="228">
        <v>35.1</v>
      </c>
      <c r="W49" s="229">
        <v>9.1999999999999998E-3</v>
      </c>
      <c r="X49" s="228">
        <v>5.2</v>
      </c>
      <c r="Y49" s="228">
        <v>7</v>
      </c>
      <c r="Z49" s="228">
        <v>-1.8</v>
      </c>
      <c r="AA49" s="229">
        <v>1.4E-3</v>
      </c>
      <c r="AB49" s="228">
        <v>5.2</v>
      </c>
      <c r="AC49" s="228">
        <v>7</v>
      </c>
      <c r="AD49" s="228">
        <v>-1.8</v>
      </c>
      <c r="AE49" s="229">
        <v>1.4E-3</v>
      </c>
      <c r="AF49" s="228">
        <v>29.9</v>
      </c>
      <c r="AG49" s="228">
        <v>33.1</v>
      </c>
      <c r="AH49" s="228">
        <v>-3.2</v>
      </c>
      <c r="AI49" s="229">
        <v>7.9000000000000008E-3</v>
      </c>
      <c r="AJ49" s="228">
        <v>50.7</v>
      </c>
      <c r="AK49" s="228">
        <v>49.7</v>
      </c>
      <c r="AL49" s="228">
        <v>1</v>
      </c>
      <c r="AM49" s="229">
        <v>1.34E-2</v>
      </c>
      <c r="AN49" s="231">
        <v>3763.39</v>
      </c>
      <c r="AO49" s="231">
        <v>3782.97</v>
      </c>
      <c r="AP49" s="228">
        <v>0</v>
      </c>
      <c r="AQ49" s="230">
        <v>6234</v>
      </c>
      <c r="AR49" s="230">
        <v>7940</v>
      </c>
      <c r="AS49" s="230">
        <v>-1706</v>
      </c>
      <c r="AT49" s="229">
        <v>-0.21490000000000001</v>
      </c>
      <c r="AU49" s="230">
        <v>5857</v>
      </c>
      <c r="AV49" s="230">
        <v>7536</v>
      </c>
      <c r="AW49" s="230">
        <v>-1679</v>
      </c>
      <c r="AX49" s="229">
        <v>-0.2228</v>
      </c>
      <c r="AY49" s="228">
        <v>293</v>
      </c>
      <c r="AZ49" s="228">
        <v>363</v>
      </c>
      <c r="BA49" s="228">
        <v>-70</v>
      </c>
      <c r="BB49" s="229">
        <v>-0.1928</v>
      </c>
      <c r="BC49" s="228">
        <v>84</v>
      </c>
      <c r="BD49" s="228">
        <v>41</v>
      </c>
      <c r="BE49" s="228">
        <v>43</v>
      </c>
      <c r="BF49" s="229">
        <v>1.0488</v>
      </c>
      <c r="BG49" s="230">
        <v>22121</v>
      </c>
      <c r="BH49" s="230">
        <v>23579</v>
      </c>
      <c r="BI49" s="230">
        <v>-1458</v>
      </c>
      <c r="BJ49" s="229">
        <v>-6.1800000000000001E-2</v>
      </c>
      <c r="BK49" s="230">
        <v>9214</v>
      </c>
      <c r="BL49" s="230">
        <v>16866</v>
      </c>
      <c r="BM49" s="230">
        <v>-7652</v>
      </c>
      <c r="BN49" s="229">
        <v>-0.45369999999999999</v>
      </c>
      <c r="BO49" s="230">
        <v>37569</v>
      </c>
      <c r="BP49" s="230">
        <v>48385</v>
      </c>
      <c r="BQ49" s="230">
        <v>-10816</v>
      </c>
      <c r="BR49" s="229">
        <v>-0.2235</v>
      </c>
      <c r="BS49" s="230">
        <v>731036</v>
      </c>
      <c r="BT49" s="230">
        <v>852174</v>
      </c>
      <c r="BU49" s="230">
        <v>-121138</v>
      </c>
      <c r="BV49" s="229">
        <v>-0.14219999999999999</v>
      </c>
      <c r="BW49" s="230">
        <v>6457800</v>
      </c>
      <c r="BX49" s="230">
        <v>6616600</v>
      </c>
      <c r="BY49" s="230">
        <v>-158800</v>
      </c>
      <c r="BZ49" s="229">
        <v>-2.4E-2</v>
      </c>
      <c r="CA49" s="230">
        <v>6246100</v>
      </c>
      <c r="CB49" s="230">
        <v>6406400</v>
      </c>
      <c r="CC49" s="230">
        <v>-160300</v>
      </c>
      <c r="CD49" s="229">
        <v>-2.5000000000000001E-2</v>
      </c>
      <c r="CE49" s="230">
        <v>197200</v>
      </c>
      <c r="CF49" s="230">
        <v>198000</v>
      </c>
      <c r="CG49" s="228">
        <v>-800</v>
      </c>
      <c r="CH49" s="229">
        <v>-4.0000000000000001E-3</v>
      </c>
      <c r="CI49" s="230">
        <v>14500</v>
      </c>
      <c r="CJ49" s="230">
        <v>12200</v>
      </c>
      <c r="CK49" s="230">
        <v>2300</v>
      </c>
      <c r="CL49" s="229">
        <v>0.1885</v>
      </c>
      <c r="CM49" s="230">
        <v>2046400</v>
      </c>
      <c r="CN49" s="230">
        <v>1936900</v>
      </c>
      <c r="CO49" s="230">
        <v>109500</v>
      </c>
      <c r="CP49" s="229">
        <v>5.6500000000000002E-2</v>
      </c>
      <c r="CQ49" s="230">
        <v>1483200</v>
      </c>
      <c r="CR49" s="230">
        <v>1478800</v>
      </c>
      <c r="CS49" s="230">
        <v>4400</v>
      </c>
      <c r="CT49" s="229">
        <v>3.0000000000000001E-3</v>
      </c>
      <c r="CU49" s="230">
        <v>9987400</v>
      </c>
      <c r="CV49" s="230">
        <v>10032300</v>
      </c>
      <c r="CW49" s="230">
        <v>-44900</v>
      </c>
      <c r="CX49" s="229">
        <v>-4.4999999999999997E-3</v>
      </c>
      <c r="CY49" s="228">
        <v>29.21</v>
      </c>
      <c r="CZ49" s="228">
        <v>33.270000000000003</v>
      </c>
      <c r="DA49" s="228">
        <v>-4.0599999999999996</v>
      </c>
      <c r="DB49" s="228">
        <v>-4.0599999999999996</v>
      </c>
      <c r="DC49" s="228">
        <v>41.81</v>
      </c>
      <c r="DD49" s="228">
        <v>41.9</v>
      </c>
      <c r="DE49" s="228">
        <v>-12.6</v>
      </c>
      <c r="DF49" s="228">
        <v>-0.09</v>
      </c>
      <c r="DG49" s="228">
        <v>28.72</v>
      </c>
      <c r="DH49" s="228">
        <v>32.619999999999997</v>
      </c>
      <c r="DI49" s="228">
        <v>-3.9</v>
      </c>
      <c r="DJ49" s="228">
        <v>-3.9</v>
      </c>
      <c r="DK49" s="228">
        <v>30.36</v>
      </c>
      <c r="DL49" s="228">
        <v>34.18</v>
      </c>
      <c r="DM49" s="228">
        <v>-3.82</v>
      </c>
      <c r="DN49" s="228">
        <v>-3.82</v>
      </c>
      <c r="DO49" s="228">
        <v>0.72</v>
      </c>
      <c r="DP49" s="228">
        <v>0.76</v>
      </c>
      <c r="DQ49" s="228">
        <v>-0.04</v>
      </c>
      <c r="DR49" s="229">
        <v>-5.2600000000000001E-2</v>
      </c>
      <c r="DS49" s="231">
        <v>4500</v>
      </c>
      <c r="DT49" s="231">
        <v>3700</v>
      </c>
      <c r="DU49" s="228">
        <v>0.42</v>
      </c>
      <c r="DV49" s="228">
        <v>0.72</v>
      </c>
      <c r="DW49" s="228">
        <v>-0.3</v>
      </c>
      <c r="DX49" s="229">
        <v>-0.41670000000000001</v>
      </c>
      <c r="DY49" s="229">
        <v>3.2800000000000003E-2</v>
      </c>
      <c r="DZ49" s="230">
        <v>210200</v>
      </c>
      <c r="EA49" s="229">
        <v>6.4999999999999997E-3</v>
      </c>
      <c r="EB49" s="229">
        <v>3.2800000000000003E-2</v>
      </c>
      <c r="EC49" s="228">
        <v>19.579999999999998</v>
      </c>
      <c r="ED49" s="229">
        <v>5.1999999999999998E-3</v>
      </c>
      <c r="EE49" s="230">
        <v>396766</v>
      </c>
      <c r="EF49" s="230">
        <v>457472</v>
      </c>
      <c r="EG49" s="229">
        <v>-0.13270000000000001</v>
      </c>
      <c r="EH49" s="229">
        <v>0.54269999999999996</v>
      </c>
      <c r="EI49" s="231">
        <v>89347.68</v>
      </c>
      <c r="EJ49" s="231">
        <v>34394.22</v>
      </c>
      <c r="EK49" s="231">
        <v>23469.69</v>
      </c>
      <c r="EL49" s="231">
        <v>8444</v>
      </c>
      <c r="EM49" s="231">
        <v>147211.59</v>
      </c>
      <c r="EN49" s="231">
        <v>189892.23</v>
      </c>
      <c r="EO49" s="231">
        <v>-42680.639999999999</v>
      </c>
      <c r="EP49" s="229">
        <v>-0.2248</v>
      </c>
      <c r="EQ49" s="231">
        <v>84874</v>
      </c>
      <c r="ER49" s="231">
        <v>58326</v>
      </c>
      <c r="ES49" s="231">
        <v>245200</v>
      </c>
      <c r="ET49" s="231">
        <v>33590487</v>
      </c>
      <c r="EU49" s="231">
        <v>388400</v>
      </c>
      <c r="EV49" s="231">
        <v>387860</v>
      </c>
      <c r="EW49" s="228">
        <v>540</v>
      </c>
      <c r="EX49" s="229">
        <v>1.4E-3</v>
      </c>
      <c r="EY49" s="229">
        <v>0.29730000000000001</v>
      </c>
    </row>
    <row r="50" spans="1:155" ht="17.25" thickBot="1" x14ac:dyDescent="0.3">
      <c r="A50" s="226">
        <v>46086</v>
      </c>
      <c r="B50" s="227" t="s">
        <v>157</v>
      </c>
      <c r="C50" s="227" t="s">
        <v>302</v>
      </c>
      <c r="D50" s="231">
        <v>12303</v>
      </c>
      <c r="E50" s="231">
        <v>12142</v>
      </c>
      <c r="F50" s="228">
        <v>161</v>
      </c>
      <c r="G50" s="229">
        <v>1.3299999999999999E-2</v>
      </c>
      <c r="H50" s="231">
        <v>12288</v>
      </c>
      <c r="I50" s="231">
        <v>12107</v>
      </c>
      <c r="J50" s="228">
        <v>181</v>
      </c>
      <c r="K50" s="229">
        <v>1.4999999999999999E-2</v>
      </c>
      <c r="L50" s="231">
        <v>12303</v>
      </c>
      <c r="M50" s="231">
        <v>12142</v>
      </c>
      <c r="N50" s="228">
        <v>161</v>
      </c>
      <c r="O50" s="229">
        <v>1.3299999999999999E-2</v>
      </c>
      <c r="P50" s="231">
        <v>12377</v>
      </c>
      <c r="Q50" s="231">
        <v>12219</v>
      </c>
      <c r="R50" s="228">
        <v>158</v>
      </c>
      <c r="S50" s="229">
        <v>1.29E-2</v>
      </c>
      <c r="T50" s="231">
        <v>12290</v>
      </c>
      <c r="U50" s="231">
        <v>12274</v>
      </c>
      <c r="V50" s="228">
        <v>16</v>
      </c>
      <c r="W50" s="229">
        <v>1.2999999999999999E-3</v>
      </c>
      <c r="X50" s="228">
        <v>15</v>
      </c>
      <c r="Y50" s="228">
        <v>35</v>
      </c>
      <c r="Z50" s="228">
        <v>-20</v>
      </c>
      <c r="AA50" s="229">
        <v>1.1999999999999999E-3</v>
      </c>
      <c r="AB50" s="228">
        <v>15</v>
      </c>
      <c r="AC50" s="228">
        <v>35</v>
      </c>
      <c r="AD50" s="228">
        <v>-20</v>
      </c>
      <c r="AE50" s="229">
        <v>1.1999999999999999E-3</v>
      </c>
      <c r="AF50" s="228">
        <v>89</v>
      </c>
      <c r="AG50" s="228">
        <v>112</v>
      </c>
      <c r="AH50" s="228">
        <v>-23</v>
      </c>
      <c r="AI50" s="229">
        <v>7.1999999999999998E-3</v>
      </c>
      <c r="AJ50" s="228">
        <v>2</v>
      </c>
      <c r="AK50" s="228">
        <v>167</v>
      </c>
      <c r="AL50" s="228">
        <v>-165</v>
      </c>
      <c r="AM50" s="229">
        <v>2.0000000000000001E-4</v>
      </c>
      <c r="AN50" s="231">
        <v>12216.37</v>
      </c>
      <c r="AO50" s="231">
        <v>12285.12</v>
      </c>
      <c r="AP50" s="228">
        <v>0</v>
      </c>
      <c r="AQ50" s="230">
        <v>8371</v>
      </c>
      <c r="AR50" s="230">
        <v>8007</v>
      </c>
      <c r="AS50" s="228">
        <v>364</v>
      </c>
      <c r="AT50" s="229">
        <v>4.5499999999999999E-2</v>
      </c>
      <c r="AU50" s="230">
        <v>8149</v>
      </c>
      <c r="AV50" s="230">
        <v>7690</v>
      </c>
      <c r="AW50" s="228">
        <v>459</v>
      </c>
      <c r="AX50" s="229">
        <v>5.9700000000000003E-2</v>
      </c>
      <c r="AY50" s="228">
        <v>215</v>
      </c>
      <c r="AZ50" s="228">
        <v>273</v>
      </c>
      <c r="BA50" s="228">
        <v>-58</v>
      </c>
      <c r="BB50" s="229">
        <v>-0.21249999999999999</v>
      </c>
      <c r="BC50" s="228">
        <v>7</v>
      </c>
      <c r="BD50" s="228">
        <v>44</v>
      </c>
      <c r="BE50" s="228">
        <v>-37</v>
      </c>
      <c r="BF50" s="229">
        <v>-0.84089999999999998</v>
      </c>
      <c r="BG50" s="230">
        <v>16920</v>
      </c>
      <c r="BH50" s="230">
        <v>25368</v>
      </c>
      <c r="BI50" s="230">
        <v>-8448</v>
      </c>
      <c r="BJ50" s="229">
        <v>-0.33300000000000002</v>
      </c>
      <c r="BK50" s="230">
        <v>7688</v>
      </c>
      <c r="BL50" s="230">
        <v>17548</v>
      </c>
      <c r="BM50" s="230">
        <v>-9860</v>
      </c>
      <c r="BN50" s="229">
        <v>-0.56189999999999996</v>
      </c>
      <c r="BO50" s="230">
        <v>32979</v>
      </c>
      <c r="BP50" s="230">
        <v>50923</v>
      </c>
      <c r="BQ50" s="230">
        <v>-17944</v>
      </c>
      <c r="BR50" s="229">
        <v>-0.35239999999999999</v>
      </c>
      <c r="BS50" s="230">
        <v>333778</v>
      </c>
      <c r="BT50" s="230">
        <v>402542</v>
      </c>
      <c r="BU50" s="230">
        <v>-68764</v>
      </c>
      <c r="BV50" s="229">
        <v>-0.17080000000000001</v>
      </c>
      <c r="BW50" s="230">
        <v>2036150</v>
      </c>
      <c r="BX50" s="230">
        <v>2027900</v>
      </c>
      <c r="BY50" s="230">
        <v>8250</v>
      </c>
      <c r="BZ50" s="229">
        <v>4.1000000000000003E-3</v>
      </c>
      <c r="CA50" s="230">
        <v>2015950</v>
      </c>
      <c r="CB50" s="230">
        <v>2009150</v>
      </c>
      <c r="CC50" s="230">
        <v>6800</v>
      </c>
      <c r="CD50" s="229">
        <v>3.3999999999999998E-3</v>
      </c>
      <c r="CE50" s="230">
        <v>18050</v>
      </c>
      <c r="CF50" s="230">
        <v>16700</v>
      </c>
      <c r="CG50" s="230">
        <v>1350</v>
      </c>
      <c r="CH50" s="229">
        <v>8.0799999999999997E-2</v>
      </c>
      <c r="CI50" s="230">
        <v>2150</v>
      </c>
      <c r="CJ50" s="230">
        <v>2050</v>
      </c>
      <c r="CK50" s="228">
        <v>100</v>
      </c>
      <c r="CL50" s="229">
        <v>4.8800000000000003E-2</v>
      </c>
      <c r="CM50" s="230">
        <v>594650</v>
      </c>
      <c r="CN50" s="230">
        <v>556000</v>
      </c>
      <c r="CO50" s="230">
        <v>38650</v>
      </c>
      <c r="CP50" s="229">
        <v>6.9500000000000006E-2</v>
      </c>
      <c r="CQ50" s="230">
        <v>342450</v>
      </c>
      <c r="CR50" s="230">
        <v>297350</v>
      </c>
      <c r="CS50" s="230">
        <v>45100</v>
      </c>
      <c r="CT50" s="229">
        <v>0.1517</v>
      </c>
      <c r="CU50" s="230">
        <v>2973250</v>
      </c>
      <c r="CV50" s="230">
        <v>2881250</v>
      </c>
      <c r="CW50" s="230">
        <v>92000</v>
      </c>
      <c r="CX50" s="229">
        <v>3.1899999999999998E-2</v>
      </c>
      <c r="CY50" s="228">
        <v>23.01</v>
      </c>
      <c r="CZ50" s="228">
        <v>26.33</v>
      </c>
      <c r="DA50" s="228">
        <v>-3.32</v>
      </c>
      <c r="DB50" s="228">
        <v>-3.32</v>
      </c>
      <c r="DC50" s="228">
        <v>24.22</v>
      </c>
      <c r="DD50" s="228">
        <v>24.19</v>
      </c>
      <c r="DE50" s="228">
        <v>-1.21</v>
      </c>
      <c r="DF50" s="228">
        <v>0.03</v>
      </c>
      <c r="DG50" s="228">
        <v>22.32</v>
      </c>
      <c r="DH50" s="228">
        <v>25.32</v>
      </c>
      <c r="DI50" s="228">
        <v>-3</v>
      </c>
      <c r="DJ50" s="228">
        <v>-3</v>
      </c>
      <c r="DK50" s="228">
        <v>24.53</v>
      </c>
      <c r="DL50" s="228">
        <v>27.78</v>
      </c>
      <c r="DM50" s="228">
        <v>-3.25</v>
      </c>
      <c r="DN50" s="228">
        <v>-3.25</v>
      </c>
      <c r="DO50" s="228">
        <v>0.57999999999999996</v>
      </c>
      <c r="DP50" s="228">
        <v>0.53</v>
      </c>
      <c r="DQ50" s="228">
        <v>0.05</v>
      </c>
      <c r="DR50" s="229">
        <v>9.4299999999999995E-2</v>
      </c>
      <c r="DS50" s="231">
        <v>13000</v>
      </c>
      <c r="DT50" s="231">
        <v>11500</v>
      </c>
      <c r="DU50" s="228">
        <v>0.45</v>
      </c>
      <c r="DV50" s="228">
        <v>0.69</v>
      </c>
      <c r="DW50" s="228">
        <v>-0.24</v>
      </c>
      <c r="DX50" s="229">
        <v>-0.3478</v>
      </c>
      <c r="DY50" s="229">
        <v>9.9000000000000008E-3</v>
      </c>
      <c r="DZ50" s="230">
        <v>18750</v>
      </c>
      <c r="EA50" s="229">
        <v>6.0000000000000001E-3</v>
      </c>
      <c r="EB50" s="229">
        <v>9.9000000000000008E-3</v>
      </c>
      <c r="EC50" s="228">
        <v>68.75</v>
      </c>
      <c r="ED50" s="229">
        <v>5.5999999999999999E-3</v>
      </c>
      <c r="EE50" s="230">
        <v>201490</v>
      </c>
      <c r="EF50" s="230">
        <v>217925</v>
      </c>
      <c r="EG50" s="229">
        <v>-7.5399999999999995E-2</v>
      </c>
      <c r="EH50" s="229">
        <v>0.60370000000000001</v>
      </c>
      <c r="EI50" s="231">
        <v>109254.5</v>
      </c>
      <c r="EJ50" s="231">
        <v>46294.6</v>
      </c>
      <c r="EK50" s="231">
        <v>51139.21</v>
      </c>
      <c r="EL50" s="231">
        <v>5282</v>
      </c>
      <c r="EM50" s="231">
        <v>206688.31</v>
      </c>
      <c r="EN50" s="231">
        <v>318698.7</v>
      </c>
      <c r="EO50" s="231">
        <v>-112010.39</v>
      </c>
      <c r="EP50" s="229">
        <v>-0.35149999999999998</v>
      </c>
      <c r="EQ50" s="231">
        <v>77814</v>
      </c>
      <c r="ER50" s="231">
        <v>41393</v>
      </c>
      <c r="ES50" s="231">
        <v>250521</v>
      </c>
      <c r="ET50" s="231">
        <v>11955674</v>
      </c>
      <c r="EU50" s="231">
        <v>369728</v>
      </c>
      <c r="EV50" s="231">
        <v>355169</v>
      </c>
      <c r="EW50" s="231">
        <v>14559</v>
      </c>
      <c r="EX50" s="229">
        <v>4.1000000000000002E-2</v>
      </c>
      <c r="EY50" s="229">
        <v>0.2487</v>
      </c>
    </row>
    <row r="51" spans="1:155" ht="17.25" thickBot="1" x14ac:dyDescent="0.3">
      <c r="A51" s="226">
        <v>46086</v>
      </c>
      <c r="B51" s="227" t="s">
        <v>221</v>
      </c>
      <c r="C51" s="227" t="s">
        <v>306</v>
      </c>
      <c r="D51" s="228">
        <v>196.02</v>
      </c>
      <c r="E51" s="228">
        <v>195.86</v>
      </c>
      <c r="F51" s="228">
        <v>0.16</v>
      </c>
      <c r="G51" s="229">
        <v>8.0000000000000004E-4</v>
      </c>
      <c r="H51" s="228">
        <v>195.68</v>
      </c>
      <c r="I51" s="228">
        <v>195.55</v>
      </c>
      <c r="J51" s="228">
        <v>0.13</v>
      </c>
      <c r="K51" s="229">
        <v>6.9999999999999999E-4</v>
      </c>
      <c r="L51" s="228">
        <v>196.02</v>
      </c>
      <c r="M51" s="228">
        <v>195.86</v>
      </c>
      <c r="N51" s="228">
        <v>0.16</v>
      </c>
      <c r="O51" s="229">
        <v>8.0000000000000004E-4</v>
      </c>
      <c r="P51" s="228">
        <v>196.25</v>
      </c>
      <c r="Q51" s="228">
        <v>196.03</v>
      </c>
      <c r="R51" s="228">
        <v>0.22</v>
      </c>
      <c r="S51" s="229">
        <v>1.1000000000000001E-3</v>
      </c>
      <c r="T51" s="228">
        <v>196.21</v>
      </c>
      <c r="U51" s="228">
        <v>196.05</v>
      </c>
      <c r="V51" s="228">
        <v>0.16</v>
      </c>
      <c r="W51" s="229">
        <v>8.0000000000000004E-4</v>
      </c>
      <c r="X51" s="228">
        <v>0.34</v>
      </c>
      <c r="Y51" s="228">
        <v>0.31</v>
      </c>
      <c r="Z51" s="228">
        <v>0.03</v>
      </c>
      <c r="AA51" s="229">
        <v>1.6999999999999999E-3</v>
      </c>
      <c r="AB51" s="228">
        <v>0.34</v>
      </c>
      <c r="AC51" s="228">
        <v>0.31</v>
      </c>
      <c r="AD51" s="228">
        <v>0.03</v>
      </c>
      <c r="AE51" s="229">
        <v>1.6999999999999999E-3</v>
      </c>
      <c r="AF51" s="228">
        <v>0.56999999999999995</v>
      </c>
      <c r="AG51" s="228">
        <v>0.48</v>
      </c>
      <c r="AH51" s="228">
        <v>0.09</v>
      </c>
      <c r="AI51" s="229">
        <v>2.8999999999999998E-3</v>
      </c>
      <c r="AJ51" s="228">
        <v>0.53</v>
      </c>
      <c r="AK51" s="228">
        <v>0.5</v>
      </c>
      <c r="AL51" s="228">
        <v>0.03</v>
      </c>
      <c r="AM51" s="229">
        <v>2.7000000000000001E-3</v>
      </c>
      <c r="AN51" s="228">
        <v>195.36</v>
      </c>
      <c r="AO51" s="228">
        <v>195.67</v>
      </c>
      <c r="AP51" s="228">
        <v>0</v>
      </c>
      <c r="AQ51" s="230">
        <v>7544</v>
      </c>
      <c r="AR51" s="230">
        <v>12750</v>
      </c>
      <c r="AS51" s="230">
        <v>-5206</v>
      </c>
      <c r="AT51" s="229">
        <v>-0.4083</v>
      </c>
      <c r="AU51" s="230">
        <v>6744</v>
      </c>
      <c r="AV51" s="230">
        <v>11851</v>
      </c>
      <c r="AW51" s="230">
        <v>-5107</v>
      </c>
      <c r="AX51" s="229">
        <v>-0.43090000000000001</v>
      </c>
      <c r="AY51" s="228">
        <v>667</v>
      </c>
      <c r="AZ51" s="228">
        <v>736</v>
      </c>
      <c r="BA51" s="228">
        <v>-69</v>
      </c>
      <c r="BB51" s="229">
        <v>-9.3799999999999994E-2</v>
      </c>
      <c r="BC51" s="228">
        <v>133</v>
      </c>
      <c r="BD51" s="228">
        <v>163</v>
      </c>
      <c r="BE51" s="228">
        <v>-30</v>
      </c>
      <c r="BF51" s="229">
        <v>-0.184</v>
      </c>
      <c r="BG51" s="230">
        <v>15500</v>
      </c>
      <c r="BH51" s="230">
        <v>24757</v>
      </c>
      <c r="BI51" s="230">
        <v>-9257</v>
      </c>
      <c r="BJ51" s="229">
        <v>-0.37390000000000001</v>
      </c>
      <c r="BK51" s="230">
        <v>8547</v>
      </c>
      <c r="BL51" s="230">
        <v>12950</v>
      </c>
      <c r="BM51" s="230">
        <v>-4403</v>
      </c>
      <c r="BN51" s="229">
        <v>-0.34</v>
      </c>
      <c r="BO51" s="230">
        <v>31591</v>
      </c>
      <c r="BP51" s="230">
        <v>50457</v>
      </c>
      <c r="BQ51" s="230">
        <v>-18866</v>
      </c>
      <c r="BR51" s="229">
        <v>-0.37390000000000001</v>
      </c>
      <c r="BS51" s="230">
        <v>13756001</v>
      </c>
      <c r="BT51" s="230">
        <v>19923379</v>
      </c>
      <c r="BU51" s="230">
        <v>-6167378</v>
      </c>
      <c r="BV51" s="229">
        <v>-0.30959999999999999</v>
      </c>
      <c r="BW51" s="230">
        <v>159624000</v>
      </c>
      <c r="BX51" s="230">
        <v>163308000</v>
      </c>
      <c r="BY51" s="230">
        <v>-3684000</v>
      </c>
      <c r="BZ51" s="229">
        <v>-2.2599999999999999E-2</v>
      </c>
      <c r="CA51" s="230">
        <v>147333000</v>
      </c>
      <c r="CB51" s="230">
        <v>151692000</v>
      </c>
      <c r="CC51" s="230">
        <v>-4359000</v>
      </c>
      <c r="CD51" s="229">
        <v>-2.87E-2</v>
      </c>
      <c r="CE51" s="230">
        <v>10776000</v>
      </c>
      <c r="CF51" s="230">
        <v>10236000</v>
      </c>
      <c r="CG51" s="230">
        <v>540000</v>
      </c>
      <c r="CH51" s="229">
        <v>5.28E-2</v>
      </c>
      <c r="CI51" s="230">
        <v>1515000</v>
      </c>
      <c r="CJ51" s="230">
        <v>1380000</v>
      </c>
      <c r="CK51" s="230">
        <v>135000</v>
      </c>
      <c r="CL51" s="229">
        <v>9.7799999999999998E-2</v>
      </c>
      <c r="CM51" s="230">
        <v>78747000</v>
      </c>
      <c r="CN51" s="230">
        <v>76026000</v>
      </c>
      <c r="CO51" s="230">
        <v>2721000</v>
      </c>
      <c r="CP51" s="229">
        <v>3.5799999999999998E-2</v>
      </c>
      <c r="CQ51" s="230">
        <v>40428000</v>
      </c>
      <c r="CR51" s="230">
        <v>39069000</v>
      </c>
      <c r="CS51" s="230">
        <v>1359000</v>
      </c>
      <c r="CT51" s="229">
        <v>3.4799999999999998E-2</v>
      </c>
      <c r="CU51" s="230">
        <v>278799000</v>
      </c>
      <c r="CV51" s="230">
        <v>278403000</v>
      </c>
      <c r="CW51" s="230">
        <v>396000</v>
      </c>
      <c r="CX51" s="229">
        <v>1.4E-3</v>
      </c>
      <c r="CY51" s="228">
        <v>31.32</v>
      </c>
      <c r="CZ51" s="228">
        <v>33.99</v>
      </c>
      <c r="DA51" s="228">
        <v>-2.67</v>
      </c>
      <c r="DB51" s="228">
        <v>-2.67</v>
      </c>
      <c r="DC51" s="228">
        <v>31.17</v>
      </c>
      <c r="DD51" s="228">
        <v>31.25</v>
      </c>
      <c r="DE51" s="228">
        <v>0.15</v>
      </c>
      <c r="DF51" s="228">
        <v>-0.08</v>
      </c>
      <c r="DG51" s="228">
        <v>31.05</v>
      </c>
      <c r="DH51" s="228">
        <v>33.71</v>
      </c>
      <c r="DI51" s="228">
        <v>-2.66</v>
      </c>
      <c r="DJ51" s="228">
        <v>-2.66</v>
      </c>
      <c r="DK51" s="228">
        <v>31.81</v>
      </c>
      <c r="DL51" s="228">
        <v>34.53</v>
      </c>
      <c r="DM51" s="228">
        <v>-2.72</v>
      </c>
      <c r="DN51" s="228">
        <v>-2.72</v>
      </c>
      <c r="DO51" s="228">
        <v>0.51</v>
      </c>
      <c r="DP51" s="228">
        <v>0.51</v>
      </c>
      <c r="DQ51" s="228">
        <v>0</v>
      </c>
      <c r="DR51" s="229">
        <v>0</v>
      </c>
      <c r="DS51" s="228">
        <v>210</v>
      </c>
      <c r="DT51" s="228">
        <v>200</v>
      </c>
      <c r="DU51" s="228">
        <v>0.55000000000000004</v>
      </c>
      <c r="DV51" s="228">
        <v>0.52</v>
      </c>
      <c r="DW51" s="228">
        <v>0.03</v>
      </c>
      <c r="DX51" s="229">
        <v>5.7700000000000001E-2</v>
      </c>
      <c r="DY51" s="229">
        <v>7.6999999999999999E-2</v>
      </c>
      <c r="DZ51" s="230">
        <v>11616000</v>
      </c>
      <c r="EA51" s="229">
        <v>1.1999999999999999E-3</v>
      </c>
      <c r="EB51" s="229">
        <v>7.6999999999999999E-2</v>
      </c>
      <c r="EC51" s="228">
        <v>0.31</v>
      </c>
      <c r="ED51" s="229">
        <v>1.6000000000000001E-3</v>
      </c>
      <c r="EE51" s="230">
        <v>6329726</v>
      </c>
      <c r="EF51" s="230">
        <v>10187373</v>
      </c>
      <c r="EG51" s="229">
        <v>-0.37869999999999998</v>
      </c>
      <c r="EH51" s="229">
        <v>0.46010000000000001</v>
      </c>
      <c r="EI51" s="231">
        <v>99258.42</v>
      </c>
      <c r="EJ51" s="231">
        <v>49180.98</v>
      </c>
      <c r="EK51" s="231">
        <v>44220.480000000003</v>
      </c>
      <c r="EL51" s="231">
        <v>9013</v>
      </c>
      <c r="EM51" s="231">
        <v>192659.88</v>
      </c>
      <c r="EN51" s="231">
        <v>308997.76000000001</v>
      </c>
      <c r="EO51" s="231">
        <v>-116337.88</v>
      </c>
      <c r="EP51" s="229">
        <v>-0.3765</v>
      </c>
      <c r="EQ51" s="231">
        <v>175012</v>
      </c>
      <c r="ER51" s="231">
        <v>82037</v>
      </c>
      <c r="ES51" s="231">
        <v>312923</v>
      </c>
      <c r="ET51" s="231">
        <v>358423198</v>
      </c>
      <c r="EU51" s="231">
        <v>569972</v>
      </c>
      <c r="EV51" s="231">
        <v>568618</v>
      </c>
      <c r="EW51" s="231">
        <v>1354</v>
      </c>
      <c r="EX51" s="229">
        <v>2.3999999999999998E-3</v>
      </c>
      <c r="EY51" s="229">
        <v>0.77780000000000005</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zoomScale="86" zoomScaleNormal="86" workbookViewId="0">
      <selection activeCell="N151" sqref="N151"/>
    </sheetView>
  </sheetViews>
  <sheetFormatPr defaultRowHeight="15" x14ac:dyDescent="0.25"/>
  <cols>
    <col min="1" max="1" width="12.7109375"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10.28515625" customWidth="1"/>
    <col min="10" max="10" width="11.5703125" customWidth="1"/>
    <col min="11" max="11" width="11.7109375" customWidth="1"/>
    <col min="12" max="12" width="10.5703125" customWidth="1"/>
    <col min="13" max="13" width="10.285156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9.425781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0.42578125" customWidth="1"/>
    <col min="35" max="35" width="16.42578125" customWidth="1"/>
    <col min="36" max="36" width="15.28515625" customWidth="1"/>
    <col min="37" max="37" width="13.140625" customWidth="1"/>
    <col min="38" max="38" width="10.4257812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5" customWidth="1"/>
    <col min="74" max="74" width="21.140625" customWidth="1"/>
    <col min="75" max="75" width="19.7109375" customWidth="1"/>
    <col min="76" max="76" width="17.7109375" customWidth="1"/>
    <col min="77" max="77" width="8.7109375" customWidth="1"/>
    <col min="78" max="78" width="9.140625" customWidth="1"/>
    <col min="79" max="79" width="8" customWidth="1"/>
    <col min="80" max="80" width="9.425781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42578125" customWidth="1"/>
    <col min="89" max="89" width="7.5703125" customWidth="1"/>
    <col min="90" max="90" width="13" customWidth="1"/>
    <col min="91" max="91" width="11.7109375" customWidth="1"/>
    <col min="92" max="92" width="10.5703125" customWidth="1"/>
    <col min="93" max="93" width="10.42578125" customWidth="1"/>
    <col min="94" max="94" width="13.5703125" customWidth="1"/>
    <col min="95" max="95" width="12.42578125" customWidth="1"/>
    <col min="96" max="97" width="10.42578125" customWidth="1"/>
    <col min="98" max="98" width="13.42578125" customWidth="1"/>
    <col min="99" max="99" width="12.28515625" customWidth="1"/>
    <col min="100" max="100" width="10.285156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8" width="8" customWidth="1"/>
    <col min="109"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140625" customWidth="1"/>
    <col min="133" max="133" width="15.42578125" customWidth="1"/>
    <col min="134" max="134" width="12.7109375" customWidth="1"/>
    <col min="135" max="135" width="11.5703125" customWidth="1"/>
    <col min="136" max="136" width="13.5703125" customWidth="1"/>
    <col min="137" max="137" width="14.42578125" customWidth="1"/>
    <col min="138" max="138" width="16.28515625" customWidth="1"/>
    <col min="139" max="139" width="11.2851562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20.425781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hidden="1" thickBot="1" x14ac:dyDescent="0.3">
      <c r="A2" s="226">
        <v>46086</v>
      </c>
      <c r="B2" s="227" t="s">
        <v>175</v>
      </c>
      <c r="C2" s="227" t="s">
        <v>681</v>
      </c>
      <c r="D2" s="228">
        <v>500</v>
      </c>
      <c r="E2" s="228">
        <v>25</v>
      </c>
      <c r="F2" s="231">
        <v>1083</v>
      </c>
      <c r="G2" s="231">
        <v>1071.2</v>
      </c>
      <c r="H2" s="228">
        <v>11.8</v>
      </c>
      <c r="I2" s="229">
        <v>1.0999999999999999E-2</v>
      </c>
      <c r="J2" s="231">
        <v>1081</v>
      </c>
      <c r="K2" s="231">
        <v>1066.4000000000001</v>
      </c>
      <c r="L2" s="228">
        <v>14.6</v>
      </c>
      <c r="M2" s="229">
        <v>1.37E-2</v>
      </c>
      <c r="N2" s="231">
        <v>1083</v>
      </c>
      <c r="O2" s="231">
        <v>1071.2</v>
      </c>
      <c r="P2" s="228">
        <v>11.8</v>
      </c>
      <c r="Q2" s="229">
        <v>1.0999999999999999E-2</v>
      </c>
      <c r="R2" s="231">
        <v>1085.0999999999999</v>
      </c>
      <c r="S2" s="231">
        <v>1075.7</v>
      </c>
      <c r="T2" s="228">
        <v>9.4</v>
      </c>
      <c r="U2" s="229">
        <v>8.6999999999999994E-3</v>
      </c>
      <c r="V2" s="231">
        <v>1055</v>
      </c>
      <c r="W2" s="231">
        <v>1055</v>
      </c>
      <c r="X2" s="228">
        <v>0</v>
      </c>
      <c r="Y2" s="229">
        <v>0</v>
      </c>
      <c r="Z2" s="228">
        <v>2</v>
      </c>
      <c r="AA2" s="228">
        <v>4.8</v>
      </c>
      <c r="AB2" s="228">
        <v>-2.8</v>
      </c>
      <c r="AC2" s="229">
        <v>1.9E-3</v>
      </c>
      <c r="AD2" s="228">
        <v>2</v>
      </c>
      <c r="AE2" s="228">
        <v>4.8</v>
      </c>
      <c r="AF2" s="228">
        <v>-2.8</v>
      </c>
      <c r="AG2" s="229">
        <v>1.9E-3</v>
      </c>
      <c r="AH2" s="228">
        <v>4.0999999999999996</v>
      </c>
      <c r="AI2" s="228">
        <v>9.3000000000000007</v>
      </c>
      <c r="AJ2" s="228">
        <v>-5.2</v>
      </c>
      <c r="AK2" s="229">
        <v>3.8E-3</v>
      </c>
      <c r="AL2" s="228">
        <v>-26</v>
      </c>
      <c r="AM2" s="228">
        <v>-11.4</v>
      </c>
      <c r="AN2" s="228">
        <v>-14.6</v>
      </c>
      <c r="AO2" s="229">
        <v>-2.41E-2</v>
      </c>
      <c r="AP2" s="231">
        <v>1078.3</v>
      </c>
      <c r="AQ2" s="231">
        <v>1081.44</v>
      </c>
      <c r="AR2" s="228">
        <v>0</v>
      </c>
      <c r="AS2" s="228">
        <v>54</v>
      </c>
      <c r="AT2" s="228">
        <v>103</v>
      </c>
      <c r="AU2" s="228">
        <v>-49</v>
      </c>
      <c r="AV2" s="229">
        <v>-0.4778</v>
      </c>
      <c r="AW2" s="228">
        <v>52</v>
      </c>
      <c r="AX2" s="228">
        <v>102</v>
      </c>
      <c r="AY2" s="228">
        <v>-50</v>
      </c>
      <c r="AZ2" s="229">
        <v>-0.48749999999999999</v>
      </c>
      <c r="BA2" s="228">
        <v>1</v>
      </c>
      <c r="BB2" s="228">
        <v>1</v>
      </c>
      <c r="BC2" s="228">
        <v>1</v>
      </c>
      <c r="BD2" s="229">
        <v>1.0832999999999999</v>
      </c>
      <c r="BE2" s="228">
        <v>0</v>
      </c>
      <c r="BF2" s="228">
        <v>0</v>
      </c>
      <c r="BG2" s="228">
        <v>0</v>
      </c>
      <c r="BH2" s="229">
        <v>-1</v>
      </c>
      <c r="BI2" s="228">
        <v>52</v>
      </c>
      <c r="BJ2" s="228">
        <v>88</v>
      </c>
      <c r="BK2" s="228">
        <v>-36</v>
      </c>
      <c r="BL2" s="229">
        <v>-0.40720000000000001</v>
      </c>
      <c r="BM2" s="228">
        <v>12</v>
      </c>
      <c r="BN2" s="228">
        <v>60</v>
      </c>
      <c r="BO2" s="228">
        <v>-47</v>
      </c>
      <c r="BP2" s="229">
        <v>-0.79449999999999998</v>
      </c>
      <c r="BQ2" s="228">
        <v>118</v>
      </c>
      <c r="BR2" s="228">
        <v>250</v>
      </c>
      <c r="BS2" s="228">
        <v>-132</v>
      </c>
      <c r="BT2" s="229">
        <v>-0.52829999999999999</v>
      </c>
      <c r="BU2" s="230">
        <v>318406</v>
      </c>
      <c r="BV2" s="230">
        <v>1216771</v>
      </c>
      <c r="BW2" s="230">
        <v>-898365</v>
      </c>
      <c r="BX2" s="229">
        <v>-0.73829999999999996</v>
      </c>
      <c r="BY2" s="228">
        <v>334</v>
      </c>
      <c r="BZ2" s="228">
        <v>341</v>
      </c>
      <c r="CA2" s="228">
        <v>-8</v>
      </c>
      <c r="CB2" s="229">
        <v>-2.24E-2</v>
      </c>
      <c r="CC2" s="228">
        <v>329</v>
      </c>
      <c r="CD2" s="228">
        <v>336</v>
      </c>
      <c r="CE2" s="228">
        <v>-8</v>
      </c>
      <c r="CF2" s="229">
        <v>-2.2700000000000001E-2</v>
      </c>
      <c r="CG2" s="228">
        <v>5</v>
      </c>
      <c r="CH2" s="228">
        <v>5</v>
      </c>
      <c r="CI2" s="228">
        <v>0</v>
      </c>
      <c r="CJ2" s="229">
        <v>0</v>
      </c>
      <c r="CK2" s="228">
        <v>0</v>
      </c>
      <c r="CL2" s="228">
        <v>0</v>
      </c>
      <c r="CM2" s="228">
        <v>0</v>
      </c>
      <c r="CN2" s="229">
        <v>0</v>
      </c>
      <c r="CO2" s="228">
        <v>85</v>
      </c>
      <c r="CP2" s="228">
        <v>76</v>
      </c>
      <c r="CQ2" s="228">
        <v>9</v>
      </c>
      <c r="CR2" s="229">
        <v>0.1158</v>
      </c>
      <c r="CS2" s="228">
        <v>44</v>
      </c>
      <c r="CT2" s="228">
        <v>45</v>
      </c>
      <c r="CU2" s="228">
        <v>-1</v>
      </c>
      <c r="CV2" s="229">
        <v>-1.3299999999999999E-2</v>
      </c>
      <c r="CW2" s="228">
        <v>463</v>
      </c>
      <c r="CX2" s="228">
        <v>462</v>
      </c>
      <c r="CY2" s="228">
        <v>1</v>
      </c>
      <c r="CZ2" s="229">
        <v>1.2999999999999999E-3</v>
      </c>
      <c r="DA2" s="228">
        <v>29.79</v>
      </c>
      <c r="DB2" s="228">
        <v>35.03</v>
      </c>
      <c r="DC2" s="228">
        <v>-5.24</v>
      </c>
      <c r="DD2" s="228">
        <v>-5.24</v>
      </c>
      <c r="DE2" s="228">
        <v>41.63</v>
      </c>
      <c r="DF2" s="228">
        <v>41.7</v>
      </c>
      <c r="DG2" s="228">
        <v>-11.84</v>
      </c>
      <c r="DH2" s="228">
        <v>-7.0000000000000007E-2</v>
      </c>
      <c r="DI2" s="228">
        <v>28.93</v>
      </c>
      <c r="DJ2" s="228">
        <v>33.03</v>
      </c>
      <c r="DK2" s="228">
        <v>-4.0999999999999996</v>
      </c>
      <c r="DL2" s="228">
        <v>-4.0999999999999996</v>
      </c>
      <c r="DM2" s="228">
        <v>33.46</v>
      </c>
      <c r="DN2" s="228">
        <v>37.99</v>
      </c>
      <c r="DO2" s="228">
        <v>-4.53</v>
      </c>
      <c r="DP2" s="228">
        <v>-4.53</v>
      </c>
      <c r="DQ2" s="228">
        <v>0.52</v>
      </c>
      <c r="DR2" s="228">
        <v>0.59</v>
      </c>
      <c r="DS2" s="228">
        <v>-7.0000000000000007E-2</v>
      </c>
      <c r="DT2" s="229">
        <v>-0.1186</v>
      </c>
      <c r="DU2" s="231">
        <v>1140</v>
      </c>
      <c r="DV2" s="231">
        <v>1080</v>
      </c>
      <c r="DW2" s="228">
        <v>0.23</v>
      </c>
      <c r="DX2" s="228">
        <v>0.68</v>
      </c>
      <c r="DY2" s="228">
        <v>-0.45</v>
      </c>
      <c r="DZ2" s="229">
        <v>-0.66180000000000005</v>
      </c>
      <c r="EA2" s="229">
        <v>1.43E-2</v>
      </c>
      <c r="EB2" s="230">
        <v>44000</v>
      </c>
      <c r="EC2" s="229">
        <v>1.9E-3</v>
      </c>
      <c r="ED2" s="229">
        <v>1.43E-2</v>
      </c>
      <c r="EE2" s="228">
        <v>3.14</v>
      </c>
      <c r="EF2" s="229">
        <v>2.8999999999999998E-3</v>
      </c>
      <c r="EG2" s="230">
        <v>171943</v>
      </c>
      <c r="EH2" s="230">
        <v>724440</v>
      </c>
      <c r="EI2" s="229">
        <v>-0.76270000000000004</v>
      </c>
      <c r="EJ2" s="229">
        <v>0.54</v>
      </c>
      <c r="EK2" s="228">
        <v>56.24</v>
      </c>
      <c r="EL2" s="228">
        <v>11.78</v>
      </c>
      <c r="EM2" s="228">
        <v>53.33</v>
      </c>
      <c r="EN2" s="228">
        <v>20.54</v>
      </c>
      <c r="EO2" s="228">
        <v>121.34</v>
      </c>
      <c r="EP2" s="228">
        <v>253.77</v>
      </c>
      <c r="EQ2" s="228">
        <v>-132.43</v>
      </c>
      <c r="ER2" s="229">
        <v>-0.52180000000000004</v>
      </c>
      <c r="ES2" s="228">
        <v>91.02</v>
      </c>
      <c r="ET2" s="228">
        <v>43.45</v>
      </c>
      <c r="EU2" s="228">
        <v>333.62</v>
      </c>
      <c r="EV2" s="231">
        <v>36943219</v>
      </c>
      <c r="EW2" s="228">
        <v>468.09</v>
      </c>
      <c r="EX2" s="228">
        <v>462.83</v>
      </c>
      <c r="EY2" s="228">
        <v>5.26</v>
      </c>
      <c r="EZ2" s="229">
        <v>1.14E-2</v>
      </c>
      <c r="FA2" s="229">
        <v>0.1157</v>
      </c>
      <c r="FB2" s="227" t="s">
        <v>556</v>
      </c>
      <c r="FC2">
        <f>BY2-CC2</f>
        <v>5</v>
      </c>
    </row>
    <row r="3" spans="1:159" ht="17.25" hidden="1" thickBot="1" x14ac:dyDescent="0.3">
      <c r="A3" s="226">
        <v>46086</v>
      </c>
      <c r="B3" s="227" t="s">
        <v>184</v>
      </c>
      <c r="C3" s="227" t="s">
        <v>553</v>
      </c>
      <c r="D3" s="228">
        <v>125</v>
      </c>
      <c r="E3" s="228">
        <v>25</v>
      </c>
      <c r="F3" s="231">
        <v>5943</v>
      </c>
      <c r="G3" s="231">
        <v>5849</v>
      </c>
      <c r="H3" s="228">
        <v>94</v>
      </c>
      <c r="I3" s="229">
        <v>1.61E-2</v>
      </c>
      <c r="J3" s="231">
        <v>5929</v>
      </c>
      <c r="K3" s="231">
        <v>5830.5</v>
      </c>
      <c r="L3" s="228">
        <v>98.5</v>
      </c>
      <c r="M3" s="229">
        <v>1.6899999999999998E-2</v>
      </c>
      <c r="N3" s="231">
        <v>5943</v>
      </c>
      <c r="O3" s="231">
        <v>5849</v>
      </c>
      <c r="P3" s="228">
        <v>94</v>
      </c>
      <c r="Q3" s="229">
        <v>1.61E-2</v>
      </c>
      <c r="R3" s="231">
        <v>5959</v>
      </c>
      <c r="S3" s="231">
        <v>5869.5</v>
      </c>
      <c r="T3" s="228">
        <v>89.5</v>
      </c>
      <c r="U3" s="229">
        <v>1.52E-2</v>
      </c>
      <c r="V3" s="231">
        <v>5900</v>
      </c>
      <c r="W3" s="231">
        <v>5873</v>
      </c>
      <c r="X3" s="228">
        <v>27</v>
      </c>
      <c r="Y3" s="229">
        <v>4.5999999999999999E-3</v>
      </c>
      <c r="Z3" s="228">
        <v>14</v>
      </c>
      <c r="AA3" s="228">
        <v>18.5</v>
      </c>
      <c r="AB3" s="228">
        <v>-4.5</v>
      </c>
      <c r="AC3" s="229">
        <v>2.3999999999999998E-3</v>
      </c>
      <c r="AD3" s="228">
        <v>14</v>
      </c>
      <c r="AE3" s="228">
        <v>18.5</v>
      </c>
      <c r="AF3" s="228">
        <v>-4.5</v>
      </c>
      <c r="AG3" s="229">
        <v>2.3999999999999998E-3</v>
      </c>
      <c r="AH3" s="228">
        <v>30</v>
      </c>
      <c r="AI3" s="228">
        <v>39</v>
      </c>
      <c r="AJ3" s="228">
        <v>-9</v>
      </c>
      <c r="AK3" s="229">
        <v>5.1000000000000004E-3</v>
      </c>
      <c r="AL3" s="228">
        <v>-29</v>
      </c>
      <c r="AM3" s="228">
        <v>42.5</v>
      </c>
      <c r="AN3" s="228">
        <v>-71.5</v>
      </c>
      <c r="AO3" s="229">
        <v>-4.8999999999999998E-3</v>
      </c>
      <c r="AP3" s="231">
        <v>5927.77</v>
      </c>
      <c r="AQ3" s="231">
        <v>5946.02</v>
      </c>
      <c r="AR3" s="228">
        <v>0</v>
      </c>
      <c r="AS3" s="228">
        <v>231</v>
      </c>
      <c r="AT3" s="228">
        <v>235</v>
      </c>
      <c r="AU3" s="228">
        <v>-5</v>
      </c>
      <c r="AV3" s="229">
        <v>-1.9300000000000001E-2</v>
      </c>
      <c r="AW3" s="228">
        <v>223</v>
      </c>
      <c r="AX3" s="228">
        <v>225</v>
      </c>
      <c r="AY3" s="228">
        <v>-2</v>
      </c>
      <c r="AZ3" s="229">
        <v>-8.8999999999999999E-3</v>
      </c>
      <c r="BA3" s="228">
        <v>7</v>
      </c>
      <c r="BB3" s="228">
        <v>9</v>
      </c>
      <c r="BC3" s="228">
        <v>-1</v>
      </c>
      <c r="BD3" s="229">
        <v>-0.15379999999999999</v>
      </c>
      <c r="BE3" s="228">
        <v>0</v>
      </c>
      <c r="BF3" s="228">
        <v>1</v>
      </c>
      <c r="BG3" s="228">
        <v>-1</v>
      </c>
      <c r="BH3" s="229">
        <v>-0.88890000000000002</v>
      </c>
      <c r="BI3" s="228">
        <v>592</v>
      </c>
      <c r="BJ3" s="228">
        <v>629</v>
      </c>
      <c r="BK3" s="228">
        <v>-36</v>
      </c>
      <c r="BL3" s="229">
        <v>-5.7700000000000001E-2</v>
      </c>
      <c r="BM3" s="228">
        <v>389</v>
      </c>
      <c r="BN3" s="228">
        <v>665</v>
      </c>
      <c r="BO3" s="228">
        <v>-275</v>
      </c>
      <c r="BP3" s="229">
        <v>-0.41399999999999998</v>
      </c>
      <c r="BQ3" s="230">
        <v>1213</v>
      </c>
      <c r="BR3" s="230">
        <v>1529</v>
      </c>
      <c r="BS3" s="228">
        <v>-316</v>
      </c>
      <c r="BT3" s="229">
        <v>-0.20660000000000001</v>
      </c>
      <c r="BU3" s="230">
        <v>278074</v>
      </c>
      <c r="BV3" s="230">
        <v>293094</v>
      </c>
      <c r="BW3" s="230">
        <v>-15020</v>
      </c>
      <c r="BX3" s="229">
        <v>-5.1200000000000002E-2</v>
      </c>
      <c r="BY3" s="230">
        <v>1227</v>
      </c>
      <c r="BZ3" s="230">
        <v>1261</v>
      </c>
      <c r="CA3" s="228">
        <v>-34</v>
      </c>
      <c r="CB3" s="229">
        <v>-2.6599999999999999E-2</v>
      </c>
      <c r="CC3" s="230">
        <v>1203</v>
      </c>
      <c r="CD3" s="230">
        <v>1238</v>
      </c>
      <c r="CE3" s="228">
        <v>-35</v>
      </c>
      <c r="CF3" s="229">
        <v>-2.7900000000000001E-2</v>
      </c>
      <c r="CG3" s="228">
        <v>21</v>
      </c>
      <c r="CH3" s="228">
        <v>21</v>
      </c>
      <c r="CI3" s="228">
        <v>1</v>
      </c>
      <c r="CJ3" s="229">
        <v>4.3299999999999998E-2</v>
      </c>
      <c r="CK3" s="228">
        <v>3</v>
      </c>
      <c r="CL3" s="228">
        <v>2</v>
      </c>
      <c r="CM3" s="228">
        <v>0</v>
      </c>
      <c r="CN3" s="229">
        <v>6.25E-2</v>
      </c>
      <c r="CO3" s="228">
        <v>636</v>
      </c>
      <c r="CP3" s="228">
        <v>628</v>
      </c>
      <c r="CQ3" s="228">
        <v>8</v>
      </c>
      <c r="CR3" s="229">
        <v>1.23E-2</v>
      </c>
      <c r="CS3" s="228">
        <v>432</v>
      </c>
      <c r="CT3" s="228">
        <v>440</v>
      </c>
      <c r="CU3" s="228">
        <v>-8</v>
      </c>
      <c r="CV3" s="229">
        <v>-1.8200000000000001E-2</v>
      </c>
      <c r="CW3" s="230">
        <v>2295</v>
      </c>
      <c r="CX3" s="230">
        <v>2329</v>
      </c>
      <c r="CY3" s="228">
        <v>-34</v>
      </c>
      <c r="CZ3" s="229">
        <v>-1.4500000000000001E-2</v>
      </c>
      <c r="DA3" s="228">
        <v>29.81</v>
      </c>
      <c r="DB3" s="228">
        <v>32.479999999999997</v>
      </c>
      <c r="DC3" s="228">
        <v>-2.67</v>
      </c>
      <c r="DD3" s="228">
        <v>-2.67</v>
      </c>
      <c r="DE3" s="228">
        <v>36.54</v>
      </c>
      <c r="DF3" s="228">
        <v>36.57</v>
      </c>
      <c r="DG3" s="228">
        <v>-6.73</v>
      </c>
      <c r="DH3" s="228">
        <v>-0.03</v>
      </c>
      <c r="DI3" s="228">
        <v>28.52</v>
      </c>
      <c r="DJ3" s="228">
        <v>31.39</v>
      </c>
      <c r="DK3" s="228">
        <v>-2.87</v>
      </c>
      <c r="DL3" s="228">
        <v>-2.87</v>
      </c>
      <c r="DM3" s="228">
        <v>31.77</v>
      </c>
      <c r="DN3" s="228">
        <v>33.51</v>
      </c>
      <c r="DO3" s="228">
        <v>-1.74</v>
      </c>
      <c r="DP3" s="228">
        <v>-1.74</v>
      </c>
      <c r="DQ3" s="228">
        <v>0.68</v>
      </c>
      <c r="DR3" s="228">
        <v>0.7</v>
      </c>
      <c r="DS3" s="228">
        <v>-0.02</v>
      </c>
      <c r="DT3" s="229">
        <v>-2.86E-2</v>
      </c>
      <c r="DU3" s="231">
        <v>6500</v>
      </c>
      <c r="DV3" s="231">
        <v>6000</v>
      </c>
      <c r="DW3" s="228">
        <v>0.66</v>
      </c>
      <c r="DX3" s="228">
        <v>1.06</v>
      </c>
      <c r="DY3" s="228">
        <v>-0.4</v>
      </c>
      <c r="DZ3" s="229">
        <v>-0.37740000000000001</v>
      </c>
      <c r="EA3" s="229">
        <v>1.95E-2</v>
      </c>
      <c r="EB3" s="230">
        <v>38625</v>
      </c>
      <c r="EC3" s="229">
        <v>2.7000000000000001E-3</v>
      </c>
      <c r="ED3" s="229">
        <v>1.95E-2</v>
      </c>
      <c r="EE3" s="228">
        <v>18.25</v>
      </c>
      <c r="EF3" s="229">
        <v>3.0999999999999999E-3</v>
      </c>
      <c r="EG3" s="230">
        <v>126448</v>
      </c>
      <c r="EH3" s="230">
        <v>137706</v>
      </c>
      <c r="EI3" s="229">
        <v>-8.1799999999999998E-2</v>
      </c>
      <c r="EJ3" s="229">
        <v>0.45469999999999999</v>
      </c>
      <c r="EK3" s="228">
        <v>625.80999999999995</v>
      </c>
      <c r="EL3" s="228">
        <v>371.11</v>
      </c>
      <c r="EM3" s="228">
        <v>230.24</v>
      </c>
      <c r="EN3" s="228">
        <v>32.19</v>
      </c>
      <c r="EO3" s="231">
        <v>1227.1600000000001</v>
      </c>
      <c r="EP3" s="231">
        <v>1544.42</v>
      </c>
      <c r="EQ3" s="228">
        <v>-317.26</v>
      </c>
      <c r="ER3" s="229">
        <v>-0.2054</v>
      </c>
      <c r="ES3" s="228">
        <v>675.82</v>
      </c>
      <c r="ET3" s="228">
        <v>417.2</v>
      </c>
      <c r="EU3" s="231">
        <v>1227.49</v>
      </c>
      <c r="EV3" s="231">
        <v>7946564</v>
      </c>
      <c r="EW3" s="231">
        <v>2320.52</v>
      </c>
      <c r="EX3" s="231">
        <v>2331.19</v>
      </c>
      <c r="EY3" s="228">
        <v>-10.67</v>
      </c>
      <c r="EZ3" s="229">
        <v>-4.5999999999999999E-3</v>
      </c>
      <c r="FA3" s="229">
        <v>0.48599999999999999</v>
      </c>
      <c r="FB3" s="227" t="s">
        <v>556</v>
      </c>
      <c r="FC3">
        <f t="shared" ref="FC3:FC66" si="0">BY3-CC3</f>
        <v>24</v>
      </c>
    </row>
    <row r="4" spans="1:159" ht="17.25" hidden="1" thickBot="1" x14ac:dyDescent="0.3">
      <c r="A4" s="226">
        <v>46086</v>
      </c>
      <c r="B4" s="227" t="s">
        <v>175</v>
      </c>
      <c r="C4" s="227" t="s">
        <v>544</v>
      </c>
      <c r="D4" s="228">
        <v>3100</v>
      </c>
      <c r="E4" s="228">
        <v>25</v>
      </c>
      <c r="F4" s="228">
        <v>328.55</v>
      </c>
      <c r="G4" s="228">
        <v>322.25</v>
      </c>
      <c r="H4" s="228">
        <v>6.3</v>
      </c>
      <c r="I4" s="229">
        <v>1.9599999999999999E-2</v>
      </c>
      <c r="J4" s="228">
        <v>327.60000000000002</v>
      </c>
      <c r="K4" s="228">
        <v>321.55</v>
      </c>
      <c r="L4" s="228">
        <v>6.05</v>
      </c>
      <c r="M4" s="229">
        <v>1.8800000000000001E-2</v>
      </c>
      <c r="N4" s="228">
        <v>328.55</v>
      </c>
      <c r="O4" s="228">
        <v>322.25</v>
      </c>
      <c r="P4" s="228">
        <v>6.3</v>
      </c>
      <c r="Q4" s="229">
        <v>1.9599999999999999E-2</v>
      </c>
      <c r="R4" s="228">
        <v>330.8</v>
      </c>
      <c r="S4" s="228">
        <v>324.10000000000002</v>
      </c>
      <c r="T4" s="228">
        <v>6.7</v>
      </c>
      <c r="U4" s="229">
        <v>2.07E-2</v>
      </c>
      <c r="V4" s="228">
        <v>331.5</v>
      </c>
      <c r="W4" s="228">
        <v>326</v>
      </c>
      <c r="X4" s="228">
        <v>5.5</v>
      </c>
      <c r="Y4" s="229">
        <v>1.6899999999999998E-2</v>
      </c>
      <c r="Z4" s="228">
        <v>0.95</v>
      </c>
      <c r="AA4" s="228">
        <v>0.7</v>
      </c>
      <c r="AB4" s="228">
        <v>0.25</v>
      </c>
      <c r="AC4" s="229">
        <v>2.8999999999999998E-3</v>
      </c>
      <c r="AD4" s="228">
        <v>0.95</v>
      </c>
      <c r="AE4" s="228">
        <v>0.7</v>
      </c>
      <c r="AF4" s="228">
        <v>0.25</v>
      </c>
      <c r="AG4" s="229">
        <v>2.8999999999999998E-3</v>
      </c>
      <c r="AH4" s="228">
        <v>3.2</v>
      </c>
      <c r="AI4" s="228">
        <v>2.5499999999999998</v>
      </c>
      <c r="AJ4" s="228">
        <v>0.65</v>
      </c>
      <c r="AK4" s="229">
        <v>9.7999999999999997E-3</v>
      </c>
      <c r="AL4" s="228">
        <v>3.9</v>
      </c>
      <c r="AM4" s="228">
        <v>4.45</v>
      </c>
      <c r="AN4" s="228">
        <v>-0.55000000000000004</v>
      </c>
      <c r="AO4" s="229">
        <v>1.1900000000000001E-2</v>
      </c>
      <c r="AP4" s="228">
        <v>325.97000000000003</v>
      </c>
      <c r="AQ4" s="228">
        <v>327.96</v>
      </c>
      <c r="AR4" s="228">
        <v>0</v>
      </c>
      <c r="AS4" s="228">
        <v>339</v>
      </c>
      <c r="AT4" s="228">
        <v>455</v>
      </c>
      <c r="AU4" s="228">
        <v>-115</v>
      </c>
      <c r="AV4" s="229">
        <v>-0.25390000000000001</v>
      </c>
      <c r="AW4" s="228">
        <v>328</v>
      </c>
      <c r="AX4" s="228">
        <v>439</v>
      </c>
      <c r="AY4" s="228">
        <v>-112</v>
      </c>
      <c r="AZ4" s="229">
        <v>-0.25430000000000003</v>
      </c>
      <c r="BA4" s="228">
        <v>11</v>
      </c>
      <c r="BB4" s="228">
        <v>14</v>
      </c>
      <c r="BC4" s="228">
        <v>-4</v>
      </c>
      <c r="BD4" s="229">
        <v>-0.2465</v>
      </c>
      <c r="BE4" s="228">
        <v>1</v>
      </c>
      <c r="BF4" s="228">
        <v>1</v>
      </c>
      <c r="BG4" s="228">
        <v>0</v>
      </c>
      <c r="BH4" s="229">
        <v>-0.1429</v>
      </c>
      <c r="BI4" s="228">
        <v>471</v>
      </c>
      <c r="BJ4" s="230">
        <v>1195</v>
      </c>
      <c r="BK4" s="228">
        <v>-724</v>
      </c>
      <c r="BL4" s="229">
        <v>-0.60570000000000002</v>
      </c>
      <c r="BM4" s="228">
        <v>247</v>
      </c>
      <c r="BN4" s="228">
        <v>582</v>
      </c>
      <c r="BO4" s="228">
        <v>-336</v>
      </c>
      <c r="BP4" s="229">
        <v>-0.57650000000000001</v>
      </c>
      <c r="BQ4" s="230">
        <v>1057</v>
      </c>
      <c r="BR4" s="230">
        <v>2231</v>
      </c>
      <c r="BS4" s="230">
        <v>-1175</v>
      </c>
      <c r="BT4" s="229">
        <v>-0.52639999999999998</v>
      </c>
      <c r="BU4" s="230">
        <v>3796809</v>
      </c>
      <c r="BV4" s="230">
        <v>6246669</v>
      </c>
      <c r="BW4" s="230">
        <v>-2449860</v>
      </c>
      <c r="BX4" s="229">
        <v>-0.39219999999999999</v>
      </c>
      <c r="BY4" s="230">
        <v>1628</v>
      </c>
      <c r="BZ4" s="230">
        <v>1643</v>
      </c>
      <c r="CA4" s="228">
        <v>-15</v>
      </c>
      <c r="CB4" s="229">
        <v>-9.2999999999999992E-3</v>
      </c>
      <c r="CC4" s="230">
        <v>1602</v>
      </c>
      <c r="CD4" s="230">
        <v>1618</v>
      </c>
      <c r="CE4" s="228">
        <v>-16</v>
      </c>
      <c r="CF4" s="229">
        <v>-9.9000000000000008E-3</v>
      </c>
      <c r="CG4" s="228">
        <v>25</v>
      </c>
      <c r="CH4" s="228">
        <v>24</v>
      </c>
      <c r="CI4" s="228">
        <v>1</v>
      </c>
      <c r="CJ4" s="229">
        <v>2.53E-2</v>
      </c>
      <c r="CK4" s="228">
        <v>1</v>
      </c>
      <c r="CL4" s="228">
        <v>1</v>
      </c>
      <c r="CM4" s="228">
        <v>0</v>
      </c>
      <c r="CN4" s="229">
        <v>0.1</v>
      </c>
      <c r="CO4" s="228">
        <v>539</v>
      </c>
      <c r="CP4" s="228">
        <v>549</v>
      </c>
      <c r="CQ4" s="228">
        <v>-10</v>
      </c>
      <c r="CR4" s="229">
        <v>-1.84E-2</v>
      </c>
      <c r="CS4" s="228">
        <v>333</v>
      </c>
      <c r="CT4" s="228">
        <v>333</v>
      </c>
      <c r="CU4" s="228">
        <v>0</v>
      </c>
      <c r="CV4" s="229">
        <v>-2.9999999999999997E-4</v>
      </c>
      <c r="CW4" s="230">
        <v>2500</v>
      </c>
      <c r="CX4" s="230">
        <v>2525</v>
      </c>
      <c r="CY4" s="228">
        <v>-25</v>
      </c>
      <c r="CZ4" s="229">
        <v>-1.01E-2</v>
      </c>
      <c r="DA4" s="228">
        <v>34.39</v>
      </c>
      <c r="DB4" s="228">
        <v>38.11</v>
      </c>
      <c r="DC4" s="228">
        <v>-3.72</v>
      </c>
      <c r="DD4" s="228">
        <v>-3.72</v>
      </c>
      <c r="DE4" s="228">
        <v>37.61</v>
      </c>
      <c r="DF4" s="228">
        <v>37.61</v>
      </c>
      <c r="DG4" s="228">
        <v>-3.22</v>
      </c>
      <c r="DH4" s="228">
        <v>0</v>
      </c>
      <c r="DI4" s="228">
        <v>33.799999999999997</v>
      </c>
      <c r="DJ4" s="228">
        <v>37.840000000000003</v>
      </c>
      <c r="DK4" s="228">
        <v>-4.04</v>
      </c>
      <c r="DL4" s="228">
        <v>-4.04</v>
      </c>
      <c r="DM4" s="228">
        <v>35.51</v>
      </c>
      <c r="DN4" s="228">
        <v>38.68</v>
      </c>
      <c r="DO4" s="228">
        <v>-3.17</v>
      </c>
      <c r="DP4" s="228">
        <v>-3.17</v>
      </c>
      <c r="DQ4" s="228">
        <v>0.62</v>
      </c>
      <c r="DR4" s="228">
        <v>0.61</v>
      </c>
      <c r="DS4" s="228">
        <v>0.01</v>
      </c>
      <c r="DT4" s="229">
        <v>1.6400000000000001E-2</v>
      </c>
      <c r="DU4" s="228">
        <v>360</v>
      </c>
      <c r="DV4" s="228">
        <v>320</v>
      </c>
      <c r="DW4" s="228">
        <v>0.52</v>
      </c>
      <c r="DX4" s="228">
        <v>0.49</v>
      </c>
      <c r="DY4" s="228">
        <v>0.03</v>
      </c>
      <c r="DZ4" s="229">
        <v>6.1199999999999997E-2</v>
      </c>
      <c r="EA4" s="229">
        <v>1.5900000000000001E-2</v>
      </c>
      <c r="EB4" s="230">
        <v>765700</v>
      </c>
      <c r="EC4" s="229">
        <v>6.7999999999999996E-3</v>
      </c>
      <c r="ED4" s="229">
        <v>1.5900000000000001E-2</v>
      </c>
      <c r="EE4" s="228">
        <v>1.99</v>
      </c>
      <c r="EF4" s="229">
        <v>6.1000000000000004E-3</v>
      </c>
      <c r="EG4" s="230">
        <v>1557656</v>
      </c>
      <c r="EH4" s="230">
        <v>2500956</v>
      </c>
      <c r="EI4" s="229">
        <v>-0.37719999999999998</v>
      </c>
      <c r="EJ4" s="229">
        <v>0.4103</v>
      </c>
      <c r="EK4" s="228">
        <v>503.72</v>
      </c>
      <c r="EL4" s="228">
        <v>245.27</v>
      </c>
      <c r="EM4" s="228">
        <v>336.57</v>
      </c>
      <c r="EN4" s="228">
        <v>86.15</v>
      </c>
      <c r="EO4" s="231">
        <v>1085.56</v>
      </c>
      <c r="EP4" s="231">
        <v>2329.56</v>
      </c>
      <c r="EQ4" s="231">
        <v>-1244</v>
      </c>
      <c r="ER4" s="229">
        <v>-0.53400000000000003</v>
      </c>
      <c r="ES4" s="228">
        <v>583.66999999999996</v>
      </c>
      <c r="ET4" s="228">
        <v>335.47</v>
      </c>
      <c r="EU4" s="231">
        <v>1627.85</v>
      </c>
      <c r="EV4" s="231">
        <v>122657000</v>
      </c>
      <c r="EW4" s="231">
        <v>2546.9899999999998</v>
      </c>
      <c r="EX4" s="231">
        <v>2542.5500000000002</v>
      </c>
      <c r="EY4" s="228">
        <v>4.4400000000000004</v>
      </c>
      <c r="EZ4" s="229">
        <v>1.6999999999999999E-3</v>
      </c>
      <c r="FA4" s="229">
        <v>0.62029999999999996</v>
      </c>
      <c r="FB4" s="227" t="s">
        <v>556</v>
      </c>
      <c r="FC4">
        <f t="shared" si="0"/>
        <v>26</v>
      </c>
    </row>
    <row r="5" spans="1:159" ht="17.25" hidden="1" thickBot="1" x14ac:dyDescent="0.3">
      <c r="A5" s="226">
        <v>46086</v>
      </c>
      <c r="B5" s="227" t="s">
        <v>161</v>
      </c>
      <c r="C5" s="227" t="s">
        <v>579</v>
      </c>
      <c r="D5" s="228">
        <v>675</v>
      </c>
      <c r="E5" s="228">
        <v>25</v>
      </c>
      <c r="F5" s="228">
        <v>991.9</v>
      </c>
      <c r="G5" s="228">
        <v>962.3</v>
      </c>
      <c r="H5" s="228">
        <v>29.6</v>
      </c>
      <c r="I5" s="229">
        <v>3.0800000000000001E-2</v>
      </c>
      <c r="J5" s="228">
        <v>987.9</v>
      </c>
      <c r="K5" s="228">
        <v>960.5</v>
      </c>
      <c r="L5" s="228">
        <v>27.4</v>
      </c>
      <c r="M5" s="229">
        <v>2.8500000000000001E-2</v>
      </c>
      <c r="N5" s="228">
        <v>991.9</v>
      </c>
      <c r="O5" s="228">
        <v>962.3</v>
      </c>
      <c r="P5" s="228">
        <v>29.6</v>
      </c>
      <c r="Q5" s="229">
        <v>3.0800000000000001E-2</v>
      </c>
      <c r="R5" s="228">
        <v>996.7</v>
      </c>
      <c r="S5" s="228">
        <v>968.1</v>
      </c>
      <c r="T5" s="228">
        <v>28.6</v>
      </c>
      <c r="U5" s="229">
        <v>2.9499999999999998E-2</v>
      </c>
      <c r="V5" s="231">
        <v>1004.4</v>
      </c>
      <c r="W5" s="228">
        <v>976</v>
      </c>
      <c r="X5" s="228">
        <v>28.4</v>
      </c>
      <c r="Y5" s="229">
        <v>2.9100000000000001E-2</v>
      </c>
      <c r="Z5" s="228">
        <v>4</v>
      </c>
      <c r="AA5" s="228">
        <v>1.8</v>
      </c>
      <c r="AB5" s="228">
        <v>2.2000000000000002</v>
      </c>
      <c r="AC5" s="229">
        <v>4.0000000000000001E-3</v>
      </c>
      <c r="AD5" s="228">
        <v>4</v>
      </c>
      <c r="AE5" s="228">
        <v>1.8</v>
      </c>
      <c r="AF5" s="228">
        <v>2.2000000000000002</v>
      </c>
      <c r="AG5" s="229">
        <v>4.0000000000000001E-3</v>
      </c>
      <c r="AH5" s="228">
        <v>8.8000000000000007</v>
      </c>
      <c r="AI5" s="228">
        <v>7.6</v>
      </c>
      <c r="AJ5" s="228">
        <v>1.2</v>
      </c>
      <c r="AK5" s="229">
        <v>8.8999999999999999E-3</v>
      </c>
      <c r="AL5" s="228">
        <v>16.5</v>
      </c>
      <c r="AM5" s="228">
        <v>15.5</v>
      </c>
      <c r="AN5" s="228">
        <v>1</v>
      </c>
      <c r="AO5" s="229">
        <v>1.67E-2</v>
      </c>
      <c r="AP5" s="228">
        <v>983.38</v>
      </c>
      <c r="AQ5" s="228">
        <v>992.45</v>
      </c>
      <c r="AR5" s="228">
        <v>0</v>
      </c>
      <c r="AS5" s="228">
        <v>151</v>
      </c>
      <c r="AT5" s="228">
        <v>194</v>
      </c>
      <c r="AU5" s="228">
        <v>-43</v>
      </c>
      <c r="AV5" s="229">
        <v>-0.2213</v>
      </c>
      <c r="AW5" s="228">
        <v>142</v>
      </c>
      <c r="AX5" s="228">
        <v>187</v>
      </c>
      <c r="AY5" s="228">
        <v>-45</v>
      </c>
      <c r="AZ5" s="229">
        <v>-0.24210000000000001</v>
      </c>
      <c r="BA5" s="228">
        <v>8</v>
      </c>
      <c r="BB5" s="228">
        <v>6</v>
      </c>
      <c r="BC5" s="228">
        <v>3</v>
      </c>
      <c r="BD5" s="229">
        <v>0.44190000000000002</v>
      </c>
      <c r="BE5" s="228">
        <v>1</v>
      </c>
      <c r="BF5" s="228">
        <v>1</v>
      </c>
      <c r="BG5" s="228">
        <v>0</v>
      </c>
      <c r="BH5" s="229">
        <v>-0.1429</v>
      </c>
      <c r="BI5" s="228">
        <v>196</v>
      </c>
      <c r="BJ5" s="228">
        <v>269</v>
      </c>
      <c r="BK5" s="228">
        <v>-73</v>
      </c>
      <c r="BL5" s="229">
        <v>-0.27239999999999998</v>
      </c>
      <c r="BM5" s="228">
        <v>129</v>
      </c>
      <c r="BN5" s="228">
        <v>247</v>
      </c>
      <c r="BO5" s="228">
        <v>-118</v>
      </c>
      <c r="BP5" s="229">
        <v>-0.47789999999999999</v>
      </c>
      <c r="BQ5" s="228">
        <v>476</v>
      </c>
      <c r="BR5" s="228">
        <v>710</v>
      </c>
      <c r="BS5" s="228">
        <v>-234</v>
      </c>
      <c r="BT5" s="229">
        <v>-0.33</v>
      </c>
      <c r="BU5" s="230">
        <v>1025737</v>
      </c>
      <c r="BV5" s="230">
        <v>1829496</v>
      </c>
      <c r="BW5" s="230">
        <v>-803759</v>
      </c>
      <c r="BX5" s="229">
        <v>-0.43930000000000002</v>
      </c>
      <c r="BY5" s="230">
        <v>2120</v>
      </c>
      <c r="BZ5" s="230">
        <v>2130</v>
      </c>
      <c r="CA5" s="228">
        <v>-10</v>
      </c>
      <c r="CB5" s="229">
        <v>-4.7999999999999996E-3</v>
      </c>
      <c r="CC5" s="230">
        <v>2059</v>
      </c>
      <c r="CD5" s="230">
        <v>2070</v>
      </c>
      <c r="CE5" s="228">
        <v>-11</v>
      </c>
      <c r="CF5" s="229">
        <v>-5.1999999999999998E-3</v>
      </c>
      <c r="CG5" s="228">
        <v>37</v>
      </c>
      <c r="CH5" s="228">
        <v>37</v>
      </c>
      <c r="CI5" s="228">
        <v>0</v>
      </c>
      <c r="CJ5" s="229">
        <v>3.7000000000000002E-3</v>
      </c>
      <c r="CK5" s="228">
        <v>24</v>
      </c>
      <c r="CL5" s="228">
        <v>24</v>
      </c>
      <c r="CM5" s="228">
        <v>0</v>
      </c>
      <c r="CN5" s="229">
        <v>1.4200000000000001E-2</v>
      </c>
      <c r="CO5" s="228">
        <v>224</v>
      </c>
      <c r="CP5" s="228">
        <v>206</v>
      </c>
      <c r="CQ5" s="228">
        <v>19</v>
      </c>
      <c r="CR5" s="229">
        <v>9.06E-2</v>
      </c>
      <c r="CS5" s="228">
        <v>175</v>
      </c>
      <c r="CT5" s="228">
        <v>151</v>
      </c>
      <c r="CU5" s="228">
        <v>24</v>
      </c>
      <c r="CV5" s="229">
        <v>0.1593</v>
      </c>
      <c r="CW5" s="230">
        <v>2519</v>
      </c>
      <c r="CX5" s="230">
        <v>2486</v>
      </c>
      <c r="CY5" s="228">
        <v>32</v>
      </c>
      <c r="CZ5" s="229">
        <v>1.2999999999999999E-2</v>
      </c>
      <c r="DA5" s="228">
        <v>37.49</v>
      </c>
      <c r="DB5" s="228">
        <v>41.77</v>
      </c>
      <c r="DC5" s="228">
        <v>-4.28</v>
      </c>
      <c r="DD5" s="228">
        <v>-4.28</v>
      </c>
      <c r="DE5" s="228">
        <v>54.29</v>
      </c>
      <c r="DF5" s="228">
        <v>54.28</v>
      </c>
      <c r="DG5" s="228">
        <v>-16.8</v>
      </c>
      <c r="DH5" s="228">
        <v>0.01</v>
      </c>
      <c r="DI5" s="228">
        <v>36.64</v>
      </c>
      <c r="DJ5" s="228">
        <v>40.46</v>
      </c>
      <c r="DK5" s="228">
        <v>-3.82</v>
      </c>
      <c r="DL5" s="228">
        <v>-3.82</v>
      </c>
      <c r="DM5" s="228">
        <v>38.770000000000003</v>
      </c>
      <c r="DN5" s="228">
        <v>43.2</v>
      </c>
      <c r="DO5" s="228">
        <v>-4.43</v>
      </c>
      <c r="DP5" s="228">
        <v>-4.43</v>
      </c>
      <c r="DQ5" s="228">
        <v>0.78</v>
      </c>
      <c r="DR5" s="228">
        <v>0.73</v>
      </c>
      <c r="DS5" s="228">
        <v>0.05</v>
      </c>
      <c r="DT5" s="229">
        <v>6.8500000000000005E-2</v>
      </c>
      <c r="DU5" s="231">
        <v>1000</v>
      </c>
      <c r="DV5" s="228">
        <v>900</v>
      </c>
      <c r="DW5" s="228">
        <v>0.66</v>
      </c>
      <c r="DX5" s="228">
        <v>0.92</v>
      </c>
      <c r="DY5" s="228">
        <v>-0.26</v>
      </c>
      <c r="DZ5" s="229">
        <v>-0.28260000000000002</v>
      </c>
      <c r="EA5" s="229">
        <v>2.86E-2</v>
      </c>
      <c r="EB5" s="230">
        <v>605475</v>
      </c>
      <c r="EC5" s="229">
        <v>4.7999999999999996E-3</v>
      </c>
      <c r="ED5" s="229">
        <v>2.86E-2</v>
      </c>
      <c r="EE5" s="228">
        <v>9.07</v>
      </c>
      <c r="EF5" s="229">
        <v>9.1999999999999998E-3</v>
      </c>
      <c r="EG5" s="230">
        <v>465855</v>
      </c>
      <c r="EH5" s="230">
        <v>936107</v>
      </c>
      <c r="EI5" s="229">
        <v>-0.50229999999999997</v>
      </c>
      <c r="EJ5" s="229">
        <v>0.45419999999999999</v>
      </c>
      <c r="EK5" s="228">
        <v>206.11</v>
      </c>
      <c r="EL5" s="228">
        <v>128.21</v>
      </c>
      <c r="EM5" s="228">
        <v>149.77000000000001</v>
      </c>
      <c r="EN5" s="228">
        <v>25.14</v>
      </c>
      <c r="EO5" s="228">
        <v>484.09</v>
      </c>
      <c r="EP5" s="228">
        <v>709.21</v>
      </c>
      <c r="EQ5" s="228">
        <v>-225.12</v>
      </c>
      <c r="ER5" s="229">
        <v>-0.31740000000000002</v>
      </c>
      <c r="ES5" s="228">
        <v>235.87</v>
      </c>
      <c r="ET5" s="228">
        <v>167.89</v>
      </c>
      <c r="EU5" s="231">
        <v>2120.2800000000002</v>
      </c>
      <c r="EV5" s="231">
        <v>43791427</v>
      </c>
      <c r="EW5" s="231">
        <v>2524.04</v>
      </c>
      <c r="EX5" s="231">
        <v>2428.77</v>
      </c>
      <c r="EY5" s="228">
        <v>95.27</v>
      </c>
      <c r="EZ5" s="229">
        <v>3.9199999999999999E-2</v>
      </c>
      <c r="FA5" s="229">
        <v>0.57989999999999997</v>
      </c>
      <c r="FB5" s="227" t="s">
        <v>556</v>
      </c>
      <c r="FC5">
        <f t="shared" si="0"/>
        <v>61</v>
      </c>
    </row>
    <row r="6" spans="1:159" ht="17.25" hidden="1" thickBot="1" x14ac:dyDescent="0.3">
      <c r="A6" s="226">
        <v>46086</v>
      </c>
      <c r="B6" s="227" t="s">
        <v>215</v>
      </c>
      <c r="C6" s="227" t="s">
        <v>159</v>
      </c>
      <c r="D6" s="228">
        <v>309</v>
      </c>
      <c r="E6" s="228">
        <v>25</v>
      </c>
      <c r="F6" s="231">
        <v>2096.1999999999998</v>
      </c>
      <c r="G6" s="231">
        <v>2070.5</v>
      </c>
      <c r="H6" s="228">
        <v>25.7</v>
      </c>
      <c r="I6" s="229">
        <v>1.24E-2</v>
      </c>
      <c r="J6" s="231">
        <v>2089.1999999999998</v>
      </c>
      <c r="K6" s="231">
        <v>2076.5</v>
      </c>
      <c r="L6" s="228">
        <v>12.7</v>
      </c>
      <c r="M6" s="229">
        <v>6.1000000000000004E-3</v>
      </c>
      <c r="N6" s="231">
        <v>2096.1999999999998</v>
      </c>
      <c r="O6" s="231">
        <v>2070.5</v>
      </c>
      <c r="P6" s="228">
        <v>25.7</v>
      </c>
      <c r="Q6" s="229">
        <v>1.24E-2</v>
      </c>
      <c r="R6" s="231">
        <v>2100.5</v>
      </c>
      <c r="S6" s="231">
        <v>2073.8000000000002</v>
      </c>
      <c r="T6" s="228">
        <v>26.7</v>
      </c>
      <c r="U6" s="229">
        <v>1.29E-2</v>
      </c>
      <c r="V6" s="231">
        <v>2106.9</v>
      </c>
      <c r="W6" s="231">
        <v>2080.6</v>
      </c>
      <c r="X6" s="228">
        <v>26.3</v>
      </c>
      <c r="Y6" s="229">
        <v>1.26E-2</v>
      </c>
      <c r="Z6" s="228">
        <v>7</v>
      </c>
      <c r="AA6" s="228">
        <v>-6</v>
      </c>
      <c r="AB6" s="228">
        <v>13</v>
      </c>
      <c r="AC6" s="229">
        <v>3.3999999999999998E-3</v>
      </c>
      <c r="AD6" s="228">
        <v>7</v>
      </c>
      <c r="AE6" s="228">
        <v>-6</v>
      </c>
      <c r="AF6" s="228">
        <v>13</v>
      </c>
      <c r="AG6" s="229">
        <v>3.3999999999999998E-3</v>
      </c>
      <c r="AH6" s="228">
        <v>11.3</v>
      </c>
      <c r="AI6" s="228">
        <v>-2.7</v>
      </c>
      <c r="AJ6" s="228">
        <v>14</v>
      </c>
      <c r="AK6" s="229">
        <v>5.4000000000000003E-3</v>
      </c>
      <c r="AL6" s="228">
        <v>17.7</v>
      </c>
      <c r="AM6" s="228">
        <v>4.0999999999999996</v>
      </c>
      <c r="AN6" s="228">
        <v>13.6</v>
      </c>
      <c r="AO6" s="229">
        <v>8.5000000000000006E-3</v>
      </c>
      <c r="AP6" s="231">
        <v>2070.23</v>
      </c>
      <c r="AQ6" s="231">
        <v>2069.06</v>
      </c>
      <c r="AR6" s="228">
        <v>0</v>
      </c>
      <c r="AS6" s="228">
        <v>501</v>
      </c>
      <c r="AT6" s="228">
        <v>584</v>
      </c>
      <c r="AU6" s="228">
        <v>-83</v>
      </c>
      <c r="AV6" s="229">
        <v>-0.14149999999999999</v>
      </c>
      <c r="AW6" s="228">
        <v>444</v>
      </c>
      <c r="AX6" s="228">
        <v>421</v>
      </c>
      <c r="AY6" s="228">
        <v>23</v>
      </c>
      <c r="AZ6" s="229">
        <v>5.5300000000000002E-2</v>
      </c>
      <c r="BA6" s="228">
        <v>41</v>
      </c>
      <c r="BB6" s="228">
        <v>27</v>
      </c>
      <c r="BC6" s="228">
        <v>14</v>
      </c>
      <c r="BD6" s="229">
        <v>0.53400000000000003</v>
      </c>
      <c r="BE6" s="228">
        <v>16</v>
      </c>
      <c r="BF6" s="228">
        <v>136</v>
      </c>
      <c r="BG6" s="228">
        <v>-120</v>
      </c>
      <c r="BH6" s="229">
        <v>-0.88080000000000003</v>
      </c>
      <c r="BI6" s="230">
        <v>1455</v>
      </c>
      <c r="BJ6" s="228">
        <v>991</v>
      </c>
      <c r="BK6" s="228">
        <v>464</v>
      </c>
      <c r="BL6" s="229">
        <v>0.46839999999999998</v>
      </c>
      <c r="BM6" s="228">
        <v>976</v>
      </c>
      <c r="BN6" s="228">
        <v>965</v>
      </c>
      <c r="BO6" s="228">
        <v>12</v>
      </c>
      <c r="BP6" s="229">
        <v>1.23E-2</v>
      </c>
      <c r="BQ6" s="230">
        <v>2933</v>
      </c>
      <c r="BR6" s="230">
        <v>2540</v>
      </c>
      <c r="BS6" s="228">
        <v>393</v>
      </c>
      <c r="BT6" s="229">
        <v>0.15490000000000001</v>
      </c>
      <c r="BU6" s="230">
        <v>1305991</v>
      </c>
      <c r="BV6" s="230">
        <v>1656013</v>
      </c>
      <c r="BW6" s="230">
        <v>-350022</v>
      </c>
      <c r="BX6" s="229">
        <v>-0.2114</v>
      </c>
      <c r="BY6" s="230">
        <v>3913</v>
      </c>
      <c r="BZ6" s="230">
        <v>3931</v>
      </c>
      <c r="CA6" s="228">
        <v>-18</v>
      </c>
      <c r="CB6" s="229">
        <v>-4.4999999999999997E-3</v>
      </c>
      <c r="CC6" s="230">
        <v>3396</v>
      </c>
      <c r="CD6" s="230">
        <v>3422</v>
      </c>
      <c r="CE6" s="228">
        <v>-26</v>
      </c>
      <c r="CF6" s="229">
        <v>-7.4999999999999997E-3</v>
      </c>
      <c r="CG6" s="228">
        <v>299</v>
      </c>
      <c r="CH6" s="228">
        <v>294</v>
      </c>
      <c r="CI6" s="228">
        <v>5</v>
      </c>
      <c r="CJ6" s="229">
        <v>1.67E-2</v>
      </c>
      <c r="CK6" s="228">
        <v>218</v>
      </c>
      <c r="CL6" s="228">
        <v>215</v>
      </c>
      <c r="CM6" s="228">
        <v>3</v>
      </c>
      <c r="CN6" s="229">
        <v>1.4500000000000001E-2</v>
      </c>
      <c r="CO6" s="230">
        <v>1059</v>
      </c>
      <c r="CP6" s="228">
        <v>970</v>
      </c>
      <c r="CQ6" s="228">
        <v>89</v>
      </c>
      <c r="CR6" s="229">
        <v>9.2100000000000001E-2</v>
      </c>
      <c r="CS6" s="230">
        <v>1002</v>
      </c>
      <c r="CT6" s="228">
        <v>953</v>
      </c>
      <c r="CU6" s="228">
        <v>48</v>
      </c>
      <c r="CV6" s="229">
        <v>5.0599999999999999E-2</v>
      </c>
      <c r="CW6" s="230">
        <v>5974</v>
      </c>
      <c r="CX6" s="230">
        <v>5854</v>
      </c>
      <c r="CY6" s="228">
        <v>120</v>
      </c>
      <c r="CZ6" s="229">
        <v>2.0500000000000001E-2</v>
      </c>
      <c r="DA6" s="228">
        <v>35.85</v>
      </c>
      <c r="DB6" s="228">
        <v>40.9</v>
      </c>
      <c r="DC6" s="228">
        <v>-5.05</v>
      </c>
      <c r="DD6" s="228">
        <v>-5.05</v>
      </c>
      <c r="DE6" s="228">
        <v>48.48</v>
      </c>
      <c r="DF6" s="228">
        <v>48.57</v>
      </c>
      <c r="DG6" s="228">
        <v>-12.63</v>
      </c>
      <c r="DH6" s="228">
        <v>-0.09</v>
      </c>
      <c r="DI6" s="228">
        <v>35.1</v>
      </c>
      <c r="DJ6" s="228">
        <v>39.33</v>
      </c>
      <c r="DK6" s="228">
        <v>-4.2300000000000004</v>
      </c>
      <c r="DL6" s="228">
        <v>-4.2300000000000004</v>
      </c>
      <c r="DM6" s="228">
        <v>36.97</v>
      </c>
      <c r="DN6" s="228">
        <v>42.52</v>
      </c>
      <c r="DO6" s="228">
        <v>-5.55</v>
      </c>
      <c r="DP6" s="228">
        <v>-5.55</v>
      </c>
      <c r="DQ6" s="228">
        <v>0.95</v>
      </c>
      <c r="DR6" s="228">
        <v>0.98</v>
      </c>
      <c r="DS6" s="228">
        <v>-0.03</v>
      </c>
      <c r="DT6" s="229">
        <v>-3.0599999999999999E-2</v>
      </c>
      <c r="DU6" s="231">
        <v>2200</v>
      </c>
      <c r="DV6" s="231">
        <v>2200</v>
      </c>
      <c r="DW6" s="228">
        <v>0.67</v>
      </c>
      <c r="DX6" s="228">
        <v>0.97</v>
      </c>
      <c r="DY6" s="228">
        <v>-0.3</v>
      </c>
      <c r="DZ6" s="229">
        <v>-0.30930000000000002</v>
      </c>
      <c r="EA6" s="229">
        <v>0.13200000000000001</v>
      </c>
      <c r="EB6" s="230">
        <v>2426268</v>
      </c>
      <c r="EC6" s="229">
        <v>2.0999999999999999E-3</v>
      </c>
      <c r="ED6" s="229">
        <v>0.13200000000000001</v>
      </c>
      <c r="EE6" s="228">
        <v>-1.17</v>
      </c>
      <c r="EF6" s="229">
        <v>-5.9999999999999995E-4</v>
      </c>
      <c r="EG6" s="230">
        <v>294873</v>
      </c>
      <c r="EH6" s="230">
        <v>653062</v>
      </c>
      <c r="EI6" s="229">
        <v>-0.54849999999999999</v>
      </c>
      <c r="EJ6" s="229">
        <v>0.2258</v>
      </c>
      <c r="EK6" s="231">
        <v>1535.75</v>
      </c>
      <c r="EL6" s="228">
        <v>972.13</v>
      </c>
      <c r="EM6" s="228">
        <v>494.96</v>
      </c>
      <c r="EN6" s="228">
        <v>91.54</v>
      </c>
      <c r="EO6" s="231">
        <v>3002.84</v>
      </c>
      <c r="EP6" s="231">
        <v>2587.64</v>
      </c>
      <c r="EQ6" s="228">
        <v>415.2</v>
      </c>
      <c r="ER6" s="229">
        <v>0.1605</v>
      </c>
      <c r="ES6" s="231">
        <v>1130.47</v>
      </c>
      <c r="ET6" s="231">
        <v>1022.64</v>
      </c>
      <c r="EU6" s="231">
        <v>3914.57</v>
      </c>
      <c r="EV6" s="231">
        <v>49117354</v>
      </c>
      <c r="EW6" s="231">
        <v>6067.69</v>
      </c>
      <c r="EX6" s="231">
        <v>5899.95</v>
      </c>
      <c r="EY6" s="228">
        <v>167.74</v>
      </c>
      <c r="EZ6" s="229">
        <v>2.8400000000000002E-2</v>
      </c>
      <c r="FA6" s="229">
        <v>0.58020000000000005</v>
      </c>
      <c r="FB6" s="227" t="s">
        <v>556</v>
      </c>
      <c r="FC6">
        <f t="shared" si="0"/>
        <v>517</v>
      </c>
    </row>
    <row r="7" spans="1:159" ht="17.25" hidden="1" thickBot="1" x14ac:dyDescent="0.3">
      <c r="A7" s="226">
        <v>46086</v>
      </c>
      <c r="B7" s="227" t="s">
        <v>161</v>
      </c>
      <c r="C7" s="227" t="s">
        <v>606</v>
      </c>
      <c r="D7" s="228">
        <v>600</v>
      </c>
      <c r="E7" s="228">
        <v>25</v>
      </c>
      <c r="F7" s="228">
        <v>888.4</v>
      </c>
      <c r="G7" s="228">
        <v>874.95</v>
      </c>
      <c r="H7" s="228">
        <v>13.45</v>
      </c>
      <c r="I7" s="229">
        <v>1.54E-2</v>
      </c>
      <c r="J7" s="228">
        <v>884.55</v>
      </c>
      <c r="K7" s="228">
        <v>871.95</v>
      </c>
      <c r="L7" s="228">
        <v>12.6</v>
      </c>
      <c r="M7" s="229">
        <v>1.4500000000000001E-2</v>
      </c>
      <c r="N7" s="228">
        <v>888.4</v>
      </c>
      <c r="O7" s="228">
        <v>874.95</v>
      </c>
      <c r="P7" s="228">
        <v>13.45</v>
      </c>
      <c r="Q7" s="229">
        <v>1.54E-2</v>
      </c>
      <c r="R7" s="228">
        <v>894.2</v>
      </c>
      <c r="S7" s="228">
        <v>880.8</v>
      </c>
      <c r="T7" s="228">
        <v>13.4</v>
      </c>
      <c r="U7" s="229">
        <v>1.52E-2</v>
      </c>
      <c r="V7" s="228">
        <v>899.9</v>
      </c>
      <c r="W7" s="228">
        <v>889</v>
      </c>
      <c r="X7" s="228">
        <v>10.9</v>
      </c>
      <c r="Y7" s="229">
        <v>1.23E-2</v>
      </c>
      <c r="Z7" s="228">
        <v>3.85</v>
      </c>
      <c r="AA7" s="228">
        <v>3</v>
      </c>
      <c r="AB7" s="228">
        <v>0.85</v>
      </c>
      <c r="AC7" s="229">
        <v>4.4000000000000003E-3</v>
      </c>
      <c r="AD7" s="228">
        <v>3.85</v>
      </c>
      <c r="AE7" s="228">
        <v>3</v>
      </c>
      <c r="AF7" s="228">
        <v>0.85</v>
      </c>
      <c r="AG7" s="229">
        <v>4.4000000000000003E-3</v>
      </c>
      <c r="AH7" s="228">
        <v>9.65</v>
      </c>
      <c r="AI7" s="228">
        <v>8.85</v>
      </c>
      <c r="AJ7" s="228">
        <v>0.8</v>
      </c>
      <c r="AK7" s="229">
        <v>1.09E-2</v>
      </c>
      <c r="AL7" s="228">
        <v>15.35</v>
      </c>
      <c r="AM7" s="228">
        <v>17.05</v>
      </c>
      <c r="AN7" s="228">
        <v>-1.7</v>
      </c>
      <c r="AO7" s="229">
        <v>1.7399999999999999E-2</v>
      </c>
      <c r="AP7" s="228">
        <v>879.68</v>
      </c>
      <c r="AQ7" s="228">
        <v>886.71</v>
      </c>
      <c r="AR7" s="228">
        <v>0</v>
      </c>
      <c r="AS7" s="228">
        <v>301</v>
      </c>
      <c r="AT7" s="228">
        <v>165</v>
      </c>
      <c r="AU7" s="228">
        <v>136</v>
      </c>
      <c r="AV7" s="229">
        <v>0.82440000000000002</v>
      </c>
      <c r="AW7" s="228">
        <v>271</v>
      </c>
      <c r="AX7" s="228">
        <v>149</v>
      </c>
      <c r="AY7" s="228">
        <v>122</v>
      </c>
      <c r="AZ7" s="229">
        <v>0.81710000000000005</v>
      </c>
      <c r="BA7" s="228">
        <v>29</v>
      </c>
      <c r="BB7" s="228">
        <v>13</v>
      </c>
      <c r="BC7" s="228">
        <v>16</v>
      </c>
      <c r="BD7" s="229">
        <v>1.1928000000000001</v>
      </c>
      <c r="BE7" s="228">
        <v>1</v>
      </c>
      <c r="BF7" s="228">
        <v>3</v>
      </c>
      <c r="BG7" s="228">
        <v>-2</v>
      </c>
      <c r="BH7" s="229">
        <v>-0.63270000000000004</v>
      </c>
      <c r="BI7" s="228">
        <v>758</v>
      </c>
      <c r="BJ7" s="228">
        <v>408</v>
      </c>
      <c r="BK7" s="228">
        <v>350</v>
      </c>
      <c r="BL7" s="229">
        <v>0.85860000000000003</v>
      </c>
      <c r="BM7" s="228">
        <v>293</v>
      </c>
      <c r="BN7" s="228">
        <v>319</v>
      </c>
      <c r="BO7" s="228">
        <v>-26</v>
      </c>
      <c r="BP7" s="229">
        <v>-8.1699999999999995E-2</v>
      </c>
      <c r="BQ7" s="230">
        <v>1352</v>
      </c>
      <c r="BR7" s="228">
        <v>892</v>
      </c>
      <c r="BS7" s="228">
        <v>460</v>
      </c>
      <c r="BT7" s="229">
        <v>0.51580000000000004</v>
      </c>
      <c r="BU7" s="230">
        <v>4880697</v>
      </c>
      <c r="BV7" s="230">
        <v>2168364</v>
      </c>
      <c r="BW7" s="230">
        <v>2712333</v>
      </c>
      <c r="BX7" s="229">
        <v>1.2508999999999999</v>
      </c>
      <c r="BY7" s="230">
        <v>1966</v>
      </c>
      <c r="BZ7" s="230">
        <v>1957</v>
      </c>
      <c r="CA7" s="228">
        <v>9</v>
      </c>
      <c r="CB7" s="229">
        <v>4.5999999999999999E-3</v>
      </c>
      <c r="CC7" s="230">
        <v>1917</v>
      </c>
      <c r="CD7" s="230">
        <v>1917</v>
      </c>
      <c r="CE7" s="228">
        <v>0</v>
      </c>
      <c r="CF7" s="229">
        <v>0</v>
      </c>
      <c r="CG7" s="228">
        <v>45</v>
      </c>
      <c r="CH7" s="228">
        <v>36</v>
      </c>
      <c r="CI7" s="228">
        <v>9</v>
      </c>
      <c r="CJ7" s="229">
        <v>0.24299999999999999</v>
      </c>
      <c r="CK7" s="228">
        <v>5</v>
      </c>
      <c r="CL7" s="228">
        <v>4</v>
      </c>
      <c r="CM7" s="228">
        <v>0</v>
      </c>
      <c r="CN7" s="229">
        <v>7.5899999999999995E-2</v>
      </c>
      <c r="CO7" s="228">
        <v>684</v>
      </c>
      <c r="CP7" s="228">
        <v>544</v>
      </c>
      <c r="CQ7" s="228">
        <v>140</v>
      </c>
      <c r="CR7" s="229">
        <v>0.25790000000000002</v>
      </c>
      <c r="CS7" s="228">
        <v>425</v>
      </c>
      <c r="CT7" s="228">
        <v>400</v>
      </c>
      <c r="CU7" s="228">
        <v>25</v>
      </c>
      <c r="CV7" s="229">
        <v>6.1600000000000002E-2</v>
      </c>
      <c r="CW7" s="230">
        <v>3075</v>
      </c>
      <c r="CX7" s="230">
        <v>2901</v>
      </c>
      <c r="CY7" s="228">
        <v>174</v>
      </c>
      <c r="CZ7" s="229">
        <v>0.06</v>
      </c>
      <c r="DA7" s="228">
        <v>43.53</v>
      </c>
      <c r="DB7" s="228">
        <v>47.1</v>
      </c>
      <c r="DC7" s="228">
        <v>-3.57</v>
      </c>
      <c r="DD7" s="228">
        <v>-3.57</v>
      </c>
      <c r="DE7" s="228">
        <v>58.24</v>
      </c>
      <c r="DF7" s="228">
        <v>58.35</v>
      </c>
      <c r="DG7" s="228">
        <v>-14.71</v>
      </c>
      <c r="DH7" s="228">
        <v>-0.11</v>
      </c>
      <c r="DI7" s="228">
        <v>43.45</v>
      </c>
      <c r="DJ7" s="228">
        <v>46.45</v>
      </c>
      <c r="DK7" s="228">
        <v>-3</v>
      </c>
      <c r="DL7" s="228">
        <v>-3</v>
      </c>
      <c r="DM7" s="228">
        <v>43.76</v>
      </c>
      <c r="DN7" s="228">
        <v>47.92</v>
      </c>
      <c r="DO7" s="228">
        <v>-4.16</v>
      </c>
      <c r="DP7" s="228">
        <v>-4.16</v>
      </c>
      <c r="DQ7" s="228">
        <v>0.62</v>
      </c>
      <c r="DR7" s="228">
        <v>0.74</v>
      </c>
      <c r="DS7" s="228">
        <v>-0.12</v>
      </c>
      <c r="DT7" s="229">
        <v>-0.16220000000000001</v>
      </c>
      <c r="DU7" s="228">
        <v>950</v>
      </c>
      <c r="DV7" s="228">
        <v>900</v>
      </c>
      <c r="DW7" s="228">
        <v>0.39</v>
      </c>
      <c r="DX7" s="228">
        <v>0.78</v>
      </c>
      <c r="DY7" s="228">
        <v>-0.39</v>
      </c>
      <c r="DZ7" s="229">
        <v>-0.5</v>
      </c>
      <c r="EA7" s="229">
        <v>2.5100000000000001E-2</v>
      </c>
      <c r="EB7" s="230">
        <v>452400</v>
      </c>
      <c r="EC7" s="229">
        <v>6.4999999999999997E-3</v>
      </c>
      <c r="ED7" s="229">
        <v>2.5100000000000001E-2</v>
      </c>
      <c r="EE7" s="228">
        <v>7.03</v>
      </c>
      <c r="EF7" s="229">
        <v>8.0000000000000002E-3</v>
      </c>
      <c r="EG7" s="230">
        <v>2552582</v>
      </c>
      <c r="EH7" s="230">
        <v>685868</v>
      </c>
      <c r="EI7" s="229">
        <v>2.7216999999999998</v>
      </c>
      <c r="EJ7" s="229">
        <v>0.52300000000000002</v>
      </c>
      <c r="EK7" s="228">
        <v>818.43</v>
      </c>
      <c r="EL7" s="228">
        <v>293.63</v>
      </c>
      <c r="EM7" s="228">
        <v>297.98</v>
      </c>
      <c r="EN7" s="228">
        <v>37.4</v>
      </c>
      <c r="EO7" s="231">
        <v>1410.05</v>
      </c>
      <c r="EP7" s="228">
        <v>931.89</v>
      </c>
      <c r="EQ7" s="228">
        <v>478.15</v>
      </c>
      <c r="ER7" s="229">
        <v>0.5131</v>
      </c>
      <c r="ES7" s="228">
        <v>759.2</v>
      </c>
      <c r="ET7" s="228">
        <v>435.52</v>
      </c>
      <c r="EU7" s="231">
        <v>1966.26</v>
      </c>
      <c r="EV7" s="231">
        <v>92816927</v>
      </c>
      <c r="EW7" s="231">
        <v>3160.98</v>
      </c>
      <c r="EX7" s="231">
        <v>2950.75</v>
      </c>
      <c r="EY7" s="228">
        <v>210.23</v>
      </c>
      <c r="EZ7" s="229">
        <v>7.1199999999999999E-2</v>
      </c>
      <c r="FA7" s="229">
        <v>0.373</v>
      </c>
      <c r="FB7" s="227" t="s">
        <v>555</v>
      </c>
      <c r="FC7">
        <f t="shared" si="0"/>
        <v>49</v>
      </c>
    </row>
    <row r="8" spans="1:159" ht="17.25" hidden="1" thickBot="1" x14ac:dyDescent="0.3">
      <c r="A8" s="226">
        <v>46086</v>
      </c>
      <c r="B8" s="227" t="s">
        <v>215</v>
      </c>
      <c r="C8" s="227" t="s">
        <v>160</v>
      </c>
      <c r="D8" s="228">
        <v>475</v>
      </c>
      <c r="E8" s="228">
        <v>25</v>
      </c>
      <c r="F8" s="231">
        <v>1501.8</v>
      </c>
      <c r="G8" s="231">
        <v>1440.9</v>
      </c>
      <c r="H8" s="228">
        <v>60.9</v>
      </c>
      <c r="I8" s="229">
        <v>4.2299999999999997E-2</v>
      </c>
      <c r="J8" s="231">
        <v>1499.3</v>
      </c>
      <c r="K8" s="231">
        <v>1434.4</v>
      </c>
      <c r="L8" s="228">
        <v>64.900000000000006</v>
      </c>
      <c r="M8" s="229">
        <v>4.5199999999999997E-2</v>
      </c>
      <c r="N8" s="231">
        <v>1501.8</v>
      </c>
      <c r="O8" s="231">
        <v>1440.9</v>
      </c>
      <c r="P8" s="228">
        <v>60.9</v>
      </c>
      <c r="Q8" s="229">
        <v>4.2299999999999997E-2</v>
      </c>
      <c r="R8" s="231">
        <v>1510.6</v>
      </c>
      <c r="S8" s="231">
        <v>1449.9</v>
      </c>
      <c r="T8" s="228">
        <v>60.7</v>
      </c>
      <c r="U8" s="229">
        <v>4.19E-2</v>
      </c>
      <c r="V8" s="231">
        <v>1518.8</v>
      </c>
      <c r="W8" s="231">
        <v>1458</v>
      </c>
      <c r="X8" s="228">
        <v>60.8</v>
      </c>
      <c r="Y8" s="229">
        <v>4.1700000000000001E-2</v>
      </c>
      <c r="Z8" s="228">
        <v>2.5</v>
      </c>
      <c r="AA8" s="228">
        <v>6.5</v>
      </c>
      <c r="AB8" s="228">
        <v>-4</v>
      </c>
      <c r="AC8" s="229">
        <v>1.6999999999999999E-3</v>
      </c>
      <c r="AD8" s="228">
        <v>2.5</v>
      </c>
      <c r="AE8" s="228">
        <v>6.5</v>
      </c>
      <c r="AF8" s="228">
        <v>-4</v>
      </c>
      <c r="AG8" s="229">
        <v>1.6999999999999999E-3</v>
      </c>
      <c r="AH8" s="228">
        <v>11.3</v>
      </c>
      <c r="AI8" s="228">
        <v>15.5</v>
      </c>
      <c r="AJ8" s="228">
        <v>-4.2</v>
      </c>
      <c r="AK8" s="229">
        <v>7.4999999999999997E-3</v>
      </c>
      <c r="AL8" s="228">
        <v>19.5</v>
      </c>
      <c r="AM8" s="228">
        <v>23.6</v>
      </c>
      <c r="AN8" s="228">
        <v>-4.0999999999999996</v>
      </c>
      <c r="AO8" s="229">
        <v>1.2999999999999999E-2</v>
      </c>
      <c r="AP8" s="231">
        <v>1479.86</v>
      </c>
      <c r="AQ8" s="231">
        <v>1490.65</v>
      </c>
      <c r="AR8" s="228">
        <v>0</v>
      </c>
      <c r="AS8" s="228">
        <v>683</v>
      </c>
      <c r="AT8" s="228">
        <v>625</v>
      </c>
      <c r="AU8" s="228">
        <v>58</v>
      </c>
      <c r="AV8" s="229">
        <v>9.3100000000000002E-2</v>
      </c>
      <c r="AW8" s="228">
        <v>655</v>
      </c>
      <c r="AX8" s="228">
        <v>572</v>
      </c>
      <c r="AY8" s="228">
        <v>83</v>
      </c>
      <c r="AZ8" s="229">
        <v>0.1449</v>
      </c>
      <c r="BA8" s="228">
        <v>26</v>
      </c>
      <c r="BB8" s="228">
        <v>39</v>
      </c>
      <c r="BC8" s="228">
        <v>-13</v>
      </c>
      <c r="BD8" s="229">
        <v>-0.33460000000000001</v>
      </c>
      <c r="BE8" s="228">
        <v>2</v>
      </c>
      <c r="BF8" s="228">
        <v>14</v>
      </c>
      <c r="BG8" s="228">
        <v>-12</v>
      </c>
      <c r="BH8" s="229">
        <v>-0.82320000000000004</v>
      </c>
      <c r="BI8" s="230">
        <v>1761</v>
      </c>
      <c r="BJ8" s="230">
        <v>1448</v>
      </c>
      <c r="BK8" s="228">
        <v>313</v>
      </c>
      <c r="BL8" s="229">
        <v>0.216</v>
      </c>
      <c r="BM8" s="230">
        <v>1463</v>
      </c>
      <c r="BN8" s="230">
        <v>2319</v>
      </c>
      <c r="BO8" s="228">
        <v>-856</v>
      </c>
      <c r="BP8" s="229">
        <v>-0.36930000000000002</v>
      </c>
      <c r="BQ8" s="230">
        <v>3907</v>
      </c>
      <c r="BR8" s="230">
        <v>4392</v>
      </c>
      <c r="BS8" s="228">
        <v>-485</v>
      </c>
      <c r="BT8" s="229">
        <v>-0.1105</v>
      </c>
      <c r="BU8" s="230">
        <v>3346045</v>
      </c>
      <c r="BV8" s="230">
        <v>3537704</v>
      </c>
      <c r="BW8" s="230">
        <v>-191659</v>
      </c>
      <c r="BX8" s="229">
        <v>-5.4199999999999998E-2</v>
      </c>
      <c r="BY8" s="230">
        <v>3159</v>
      </c>
      <c r="BZ8" s="230">
        <v>3213</v>
      </c>
      <c r="CA8" s="228">
        <v>-53</v>
      </c>
      <c r="CB8" s="229">
        <v>-1.66E-2</v>
      </c>
      <c r="CC8" s="230">
        <v>3059</v>
      </c>
      <c r="CD8" s="230">
        <v>3111</v>
      </c>
      <c r="CE8" s="228">
        <v>-52</v>
      </c>
      <c r="CF8" s="229">
        <v>-1.67E-2</v>
      </c>
      <c r="CG8" s="228">
        <v>83</v>
      </c>
      <c r="CH8" s="228">
        <v>84</v>
      </c>
      <c r="CI8" s="228">
        <v>-2</v>
      </c>
      <c r="CJ8" s="229">
        <v>-2.0299999999999999E-2</v>
      </c>
      <c r="CK8" s="228">
        <v>18</v>
      </c>
      <c r="CL8" s="228">
        <v>17</v>
      </c>
      <c r="CM8" s="228">
        <v>0</v>
      </c>
      <c r="CN8" s="229">
        <v>2.4899999999999999E-2</v>
      </c>
      <c r="CO8" s="230">
        <v>1048</v>
      </c>
      <c r="CP8" s="230">
        <v>1020</v>
      </c>
      <c r="CQ8" s="228">
        <v>28</v>
      </c>
      <c r="CR8" s="229">
        <v>2.76E-2</v>
      </c>
      <c r="CS8" s="228">
        <v>961</v>
      </c>
      <c r="CT8" s="228">
        <v>956</v>
      </c>
      <c r="CU8" s="228">
        <v>6</v>
      </c>
      <c r="CV8" s="229">
        <v>5.8999999999999999E-3</v>
      </c>
      <c r="CW8" s="230">
        <v>5169</v>
      </c>
      <c r="CX8" s="230">
        <v>5188</v>
      </c>
      <c r="CY8" s="228">
        <v>-20</v>
      </c>
      <c r="CZ8" s="229">
        <v>-3.8E-3</v>
      </c>
      <c r="DA8" s="228">
        <v>32.64</v>
      </c>
      <c r="DB8" s="228">
        <v>38.200000000000003</v>
      </c>
      <c r="DC8" s="228">
        <v>-5.56</v>
      </c>
      <c r="DD8" s="228">
        <v>-5.56</v>
      </c>
      <c r="DE8" s="228">
        <v>39.04</v>
      </c>
      <c r="DF8" s="228">
        <v>38.69</v>
      </c>
      <c r="DG8" s="228">
        <v>-6.4</v>
      </c>
      <c r="DH8" s="228">
        <v>0.35</v>
      </c>
      <c r="DI8" s="228">
        <v>31.17</v>
      </c>
      <c r="DJ8" s="228">
        <v>35.32</v>
      </c>
      <c r="DK8" s="228">
        <v>-4.1500000000000004</v>
      </c>
      <c r="DL8" s="228">
        <v>-4.1500000000000004</v>
      </c>
      <c r="DM8" s="228">
        <v>34.409999999999997</v>
      </c>
      <c r="DN8" s="228">
        <v>39.99</v>
      </c>
      <c r="DO8" s="228">
        <v>-5.58</v>
      </c>
      <c r="DP8" s="228">
        <v>-5.58</v>
      </c>
      <c r="DQ8" s="228">
        <v>0.92</v>
      </c>
      <c r="DR8" s="228">
        <v>0.94</v>
      </c>
      <c r="DS8" s="228">
        <v>-0.02</v>
      </c>
      <c r="DT8" s="229">
        <v>-2.1299999999999999E-2</v>
      </c>
      <c r="DU8" s="231">
        <v>1500</v>
      </c>
      <c r="DV8" s="231">
        <v>1400</v>
      </c>
      <c r="DW8" s="228">
        <v>0.83</v>
      </c>
      <c r="DX8" s="228">
        <v>1.6</v>
      </c>
      <c r="DY8" s="228">
        <v>-0.77</v>
      </c>
      <c r="DZ8" s="229">
        <v>-0.48130000000000001</v>
      </c>
      <c r="EA8" s="229">
        <v>3.1800000000000002E-2</v>
      </c>
      <c r="EB8" s="230">
        <v>676875</v>
      </c>
      <c r="EC8" s="229">
        <v>5.8999999999999999E-3</v>
      </c>
      <c r="ED8" s="229">
        <v>3.1800000000000002E-2</v>
      </c>
      <c r="EE8" s="228">
        <v>10.79</v>
      </c>
      <c r="EF8" s="229">
        <v>7.3000000000000001E-3</v>
      </c>
      <c r="EG8" s="230">
        <v>1600232</v>
      </c>
      <c r="EH8" s="230">
        <v>1541686</v>
      </c>
      <c r="EI8" s="229">
        <v>3.7999999999999999E-2</v>
      </c>
      <c r="EJ8" s="229">
        <v>0.47820000000000001</v>
      </c>
      <c r="EK8" s="231">
        <v>1836.3</v>
      </c>
      <c r="EL8" s="231">
        <v>1397.78</v>
      </c>
      <c r="EM8" s="228">
        <v>673.69</v>
      </c>
      <c r="EN8" s="228">
        <v>72.459999999999994</v>
      </c>
      <c r="EO8" s="231">
        <v>3907.77</v>
      </c>
      <c r="EP8" s="231">
        <v>4260.07</v>
      </c>
      <c r="EQ8" s="228">
        <v>-352.3</v>
      </c>
      <c r="ER8" s="229">
        <v>-8.2699999999999996E-2</v>
      </c>
      <c r="ES8" s="231">
        <v>1102.8499999999999</v>
      </c>
      <c r="ET8" s="228">
        <v>914.06</v>
      </c>
      <c r="EU8" s="231">
        <v>3160.13</v>
      </c>
      <c r="EV8" s="231">
        <v>84394936</v>
      </c>
      <c r="EW8" s="231">
        <v>5177.05</v>
      </c>
      <c r="EX8" s="231">
        <v>5060.62</v>
      </c>
      <c r="EY8" s="228">
        <v>116.43</v>
      </c>
      <c r="EZ8" s="229">
        <v>2.3E-2</v>
      </c>
      <c r="FA8" s="229">
        <v>0.4078</v>
      </c>
      <c r="FB8" s="227" t="s">
        <v>556</v>
      </c>
      <c r="FC8">
        <f t="shared" si="0"/>
        <v>100</v>
      </c>
    </row>
    <row r="9" spans="1:159" ht="17.25" hidden="1" thickBot="1" x14ac:dyDescent="0.3">
      <c r="A9" s="226">
        <v>46086</v>
      </c>
      <c r="B9" s="227" t="s">
        <v>170</v>
      </c>
      <c r="C9" s="227" t="s">
        <v>497</v>
      </c>
      <c r="D9" s="228">
        <v>125</v>
      </c>
      <c r="E9" s="228">
        <v>25</v>
      </c>
      <c r="F9" s="231">
        <v>5574</v>
      </c>
      <c r="G9" s="231">
        <v>5488</v>
      </c>
      <c r="H9" s="228">
        <v>86</v>
      </c>
      <c r="I9" s="229">
        <v>1.5699999999999999E-2</v>
      </c>
      <c r="J9" s="231">
        <v>5550</v>
      </c>
      <c r="K9" s="231">
        <v>5466.5</v>
      </c>
      <c r="L9" s="228">
        <v>83.5</v>
      </c>
      <c r="M9" s="229">
        <v>1.5299999999999999E-2</v>
      </c>
      <c r="N9" s="231">
        <v>5574</v>
      </c>
      <c r="O9" s="231">
        <v>5488</v>
      </c>
      <c r="P9" s="228">
        <v>86</v>
      </c>
      <c r="Q9" s="229">
        <v>1.5699999999999999E-2</v>
      </c>
      <c r="R9" s="231">
        <v>5609.5</v>
      </c>
      <c r="S9" s="231">
        <v>5512.5</v>
      </c>
      <c r="T9" s="228">
        <v>97</v>
      </c>
      <c r="U9" s="229">
        <v>1.7600000000000001E-2</v>
      </c>
      <c r="V9" s="231">
        <v>5619</v>
      </c>
      <c r="W9" s="228">
        <v>0</v>
      </c>
      <c r="X9" s="231">
        <v>5619</v>
      </c>
      <c r="Y9" s="229">
        <v>0</v>
      </c>
      <c r="Z9" s="228">
        <v>24</v>
      </c>
      <c r="AA9" s="228">
        <v>21.5</v>
      </c>
      <c r="AB9" s="228">
        <v>2.5</v>
      </c>
      <c r="AC9" s="229">
        <v>4.3E-3</v>
      </c>
      <c r="AD9" s="228">
        <v>24</v>
      </c>
      <c r="AE9" s="228">
        <v>21.5</v>
      </c>
      <c r="AF9" s="228">
        <v>2.5</v>
      </c>
      <c r="AG9" s="229">
        <v>4.3E-3</v>
      </c>
      <c r="AH9" s="228">
        <v>59.5</v>
      </c>
      <c r="AI9" s="228">
        <v>46</v>
      </c>
      <c r="AJ9" s="228">
        <v>13.5</v>
      </c>
      <c r="AK9" s="229">
        <v>1.0699999999999999E-2</v>
      </c>
      <c r="AL9" s="228">
        <v>69</v>
      </c>
      <c r="AM9" s="228">
        <v>0</v>
      </c>
      <c r="AN9" s="228">
        <v>69</v>
      </c>
      <c r="AO9" s="229">
        <v>1.24E-2</v>
      </c>
      <c r="AP9" s="231">
        <v>5543.3</v>
      </c>
      <c r="AQ9" s="231">
        <v>5582.67</v>
      </c>
      <c r="AR9" s="228">
        <v>0</v>
      </c>
      <c r="AS9" s="228">
        <v>62</v>
      </c>
      <c r="AT9" s="228">
        <v>67</v>
      </c>
      <c r="AU9" s="228">
        <v>-4</v>
      </c>
      <c r="AV9" s="229">
        <v>-6.2799999999999995E-2</v>
      </c>
      <c r="AW9" s="228">
        <v>62</v>
      </c>
      <c r="AX9" s="228">
        <v>65</v>
      </c>
      <c r="AY9" s="228">
        <v>-3</v>
      </c>
      <c r="AZ9" s="229">
        <v>-5.33E-2</v>
      </c>
      <c r="BA9" s="228">
        <v>0</v>
      </c>
      <c r="BB9" s="228">
        <v>1</v>
      </c>
      <c r="BC9" s="228">
        <v>-1</v>
      </c>
      <c r="BD9" s="229">
        <v>-0.66669999999999996</v>
      </c>
      <c r="BE9" s="228">
        <v>0</v>
      </c>
      <c r="BF9" s="228">
        <v>0</v>
      </c>
      <c r="BG9" s="228">
        <v>0</v>
      </c>
      <c r="BH9" s="229">
        <v>0</v>
      </c>
      <c r="BI9" s="228">
        <v>123</v>
      </c>
      <c r="BJ9" s="228">
        <v>94</v>
      </c>
      <c r="BK9" s="228">
        <v>28</v>
      </c>
      <c r="BL9" s="229">
        <v>0.29720000000000002</v>
      </c>
      <c r="BM9" s="228">
        <v>26</v>
      </c>
      <c r="BN9" s="228">
        <v>70</v>
      </c>
      <c r="BO9" s="228">
        <v>-44</v>
      </c>
      <c r="BP9" s="229">
        <v>-0.62829999999999997</v>
      </c>
      <c r="BQ9" s="228">
        <v>211</v>
      </c>
      <c r="BR9" s="228">
        <v>231</v>
      </c>
      <c r="BS9" s="228">
        <v>-20</v>
      </c>
      <c r="BT9" s="229">
        <v>-8.7599999999999997E-2</v>
      </c>
      <c r="BU9" s="230">
        <v>180022</v>
      </c>
      <c r="BV9" s="230">
        <v>88869</v>
      </c>
      <c r="BW9" s="230">
        <v>91153</v>
      </c>
      <c r="BX9" s="229">
        <v>1.0257000000000001</v>
      </c>
      <c r="BY9" s="228">
        <v>692</v>
      </c>
      <c r="BZ9" s="228">
        <v>688</v>
      </c>
      <c r="CA9" s="228">
        <v>4</v>
      </c>
      <c r="CB9" s="229">
        <v>5.4000000000000003E-3</v>
      </c>
      <c r="CC9" s="228">
        <v>689</v>
      </c>
      <c r="CD9" s="228">
        <v>686</v>
      </c>
      <c r="CE9" s="228">
        <v>4</v>
      </c>
      <c r="CF9" s="229">
        <v>5.3E-3</v>
      </c>
      <c r="CG9" s="228">
        <v>2</v>
      </c>
      <c r="CH9" s="228">
        <v>2</v>
      </c>
      <c r="CI9" s="228">
        <v>0</v>
      </c>
      <c r="CJ9" s="229">
        <v>0</v>
      </c>
      <c r="CK9" s="228">
        <v>0</v>
      </c>
      <c r="CL9" s="228">
        <v>0</v>
      </c>
      <c r="CM9" s="228">
        <v>0</v>
      </c>
      <c r="CN9" s="229">
        <v>0</v>
      </c>
      <c r="CO9" s="228">
        <v>125</v>
      </c>
      <c r="CP9" s="228">
        <v>107</v>
      </c>
      <c r="CQ9" s="228">
        <v>18</v>
      </c>
      <c r="CR9" s="229">
        <v>0.16420000000000001</v>
      </c>
      <c r="CS9" s="228">
        <v>80</v>
      </c>
      <c r="CT9" s="228">
        <v>79</v>
      </c>
      <c r="CU9" s="228">
        <v>1</v>
      </c>
      <c r="CV9" s="229">
        <v>1.77E-2</v>
      </c>
      <c r="CW9" s="228">
        <v>896</v>
      </c>
      <c r="CX9" s="228">
        <v>874</v>
      </c>
      <c r="CY9" s="228">
        <v>23</v>
      </c>
      <c r="CZ9" s="229">
        <v>2.5899999999999999E-2</v>
      </c>
      <c r="DA9" s="228">
        <v>23.53</v>
      </c>
      <c r="DB9" s="228">
        <v>26.48</v>
      </c>
      <c r="DC9" s="228">
        <v>-2.95</v>
      </c>
      <c r="DD9" s="228">
        <v>-2.95</v>
      </c>
      <c r="DE9" s="228">
        <v>28</v>
      </c>
      <c r="DF9" s="228">
        <v>27.99</v>
      </c>
      <c r="DG9" s="228">
        <v>-4.47</v>
      </c>
      <c r="DH9" s="228">
        <v>0.01</v>
      </c>
      <c r="DI9" s="228">
        <v>23.38</v>
      </c>
      <c r="DJ9" s="228">
        <v>25.76</v>
      </c>
      <c r="DK9" s="228">
        <v>-2.38</v>
      </c>
      <c r="DL9" s="228">
        <v>-2.38</v>
      </c>
      <c r="DM9" s="228">
        <v>24.2</v>
      </c>
      <c r="DN9" s="228">
        <v>27.45</v>
      </c>
      <c r="DO9" s="228">
        <v>-3.25</v>
      </c>
      <c r="DP9" s="228">
        <v>-3.25</v>
      </c>
      <c r="DQ9" s="228">
        <v>0.64</v>
      </c>
      <c r="DR9" s="228">
        <v>0.74</v>
      </c>
      <c r="DS9" s="228">
        <v>-0.1</v>
      </c>
      <c r="DT9" s="229">
        <v>-0.1351</v>
      </c>
      <c r="DU9" s="231">
        <v>6000</v>
      </c>
      <c r="DV9" s="231">
        <v>5500</v>
      </c>
      <c r="DW9" s="228">
        <v>0.21</v>
      </c>
      <c r="DX9" s="228">
        <v>0.74</v>
      </c>
      <c r="DY9" s="228">
        <v>-0.53</v>
      </c>
      <c r="DZ9" s="229">
        <v>-0.71619999999999995</v>
      </c>
      <c r="EA9" s="229">
        <v>3.5999999999999999E-3</v>
      </c>
      <c r="EB9" s="230">
        <v>4375</v>
      </c>
      <c r="EC9" s="229">
        <v>6.4000000000000003E-3</v>
      </c>
      <c r="ED9" s="229">
        <v>3.5999999999999999E-3</v>
      </c>
      <c r="EE9" s="228">
        <v>39.369999999999997</v>
      </c>
      <c r="EF9" s="229">
        <v>7.1000000000000004E-3</v>
      </c>
      <c r="EG9" s="230">
        <v>141183</v>
      </c>
      <c r="EH9" s="230">
        <v>57393</v>
      </c>
      <c r="EI9" s="229">
        <v>1.4599</v>
      </c>
      <c r="EJ9" s="229">
        <v>0.7843</v>
      </c>
      <c r="EK9" s="228">
        <v>131.79</v>
      </c>
      <c r="EL9" s="228">
        <v>25.97</v>
      </c>
      <c r="EM9" s="228">
        <v>62.09</v>
      </c>
      <c r="EN9" s="228">
        <v>12.11</v>
      </c>
      <c r="EO9" s="228">
        <v>219.85</v>
      </c>
      <c r="EP9" s="228">
        <v>233.09</v>
      </c>
      <c r="EQ9" s="228">
        <v>-13.24</v>
      </c>
      <c r="ER9" s="229">
        <v>-5.6800000000000003E-2</v>
      </c>
      <c r="ES9" s="228">
        <v>130.44</v>
      </c>
      <c r="ET9" s="228">
        <v>77.510000000000005</v>
      </c>
      <c r="EU9" s="228">
        <v>691.68</v>
      </c>
      <c r="EV9" s="231">
        <v>7334235</v>
      </c>
      <c r="EW9" s="228">
        <v>899.63</v>
      </c>
      <c r="EX9" s="228">
        <v>865</v>
      </c>
      <c r="EY9" s="228">
        <v>34.630000000000003</v>
      </c>
      <c r="EZ9" s="229">
        <v>0.04</v>
      </c>
      <c r="FA9" s="229">
        <v>0.21929999999999999</v>
      </c>
      <c r="FB9" s="227" t="s">
        <v>555</v>
      </c>
      <c r="FC9">
        <f t="shared" si="0"/>
        <v>3</v>
      </c>
    </row>
    <row r="10" spans="1:159" ht="17.25" hidden="1" thickBot="1" x14ac:dyDescent="0.3">
      <c r="A10" s="226">
        <v>46086</v>
      </c>
      <c r="B10" s="227" t="s">
        <v>184</v>
      </c>
      <c r="C10" s="227" t="s">
        <v>680</v>
      </c>
      <c r="D10" s="228">
        <v>100</v>
      </c>
      <c r="E10" s="228">
        <v>25</v>
      </c>
      <c r="F10" s="231">
        <v>7865</v>
      </c>
      <c r="G10" s="231">
        <v>7691.5</v>
      </c>
      <c r="H10" s="228">
        <v>173.5</v>
      </c>
      <c r="I10" s="229">
        <v>2.2599999999999999E-2</v>
      </c>
      <c r="J10" s="231">
        <v>7825.5</v>
      </c>
      <c r="K10" s="231">
        <v>7657</v>
      </c>
      <c r="L10" s="228">
        <v>168.5</v>
      </c>
      <c r="M10" s="229">
        <v>2.1999999999999999E-2</v>
      </c>
      <c r="N10" s="231">
        <v>7865</v>
      </c>
      <c r="O10" s="231">
        <v>7691.5</v>
      </c>
      <c r="P10" s="228">
        <v>173.5</v>
      </c>
      <c r="Q10" s="229">
        <v>2.2599999999999999E-2</v>
      </c>
      <c r="R10" s="231">
        <v>7865.5</v>
      </c>
      <c r="S10" s="231">
        <v>7683.5</v>
      </c>
      <c r="T10" s="228">
        <v>182</v>
      </c>
      <c r="U10" s="229">
        <v>2.3699999999999999E-2</v>
      </c>
      <c r="V10" s="231">
        <v>7685</v>
      </c>
      <c r="W10" s="231">
        <v>7575</v>
      </c>
      <c r="X10" s="228">
        <v>110</v>
      </c>
      <c r="Y10" s="229">
        <v>1.4500000000000001E-2</v>
      </c>
      <c r="Z10" s="228">
        <v>39.5</v>
      </c>
      <c r="AA10" s="228">
        <v>34.5</v>
      </c>
      <c r="AB10" s="228">
        <v>5</v>
      </c>
      <c r="AC10" s="229">
        <v>5.0000000000000001E-3</v>
      </c>
      <c r="AD10" s="228">
        <v>39.5</v>
      </c>
      <c r="AE10" s="228">
        <v>34.5</v>
      </c>
      <c r="AF10" s="228">
        <v>5</v>
      </c>
      <c r="AG10" s="229">
        <v>5.0000000000000001E-3</v>
      </c>
      <c r="AH10" s="228">
        <v>40</v>
      </c>
      <c r="AI10" s="228">
        <v>26.5</v>
      </c>
      <c r="AJ10" s="228">
        <v>13.5</v>
      </c>
      <c r="AK10" s="229">
        <v>5.1000000000000004E-3</v>
      </c>
      <c r="AL10" s="228">
        <v>-140.5</v>
      </c>
      <c r="AM10" s="228">
        <v>-82</v>
      </c>
      <c r="AN10" s="228">
        <v>-58.5</v>
      </c>
      <c r="AO10" s="229">
        <v>-1.7999999999999999E-2</v>
      </c>
      <c r="AP10" s="231">
        <v>7728.4</v>
      </c>
      <c r="AQ10" s="231">
        <v>7730.51</v>
      </c>
      <c r="AR10" s="228">
        <v>0</v>
      </c>
      <c r="AS10" s="228">
        <v>320</v>
      </c>
      <c r="AT10" s="228">
        <v>245</v>
      </c>
      <c r="AU10" s="228">
        <v>75</v>
      </c>
      <c r="AV10" s="229">
        <v>0.30480000000000002</v>
      </c>
      <c r="AW10" s="228">
        <v>308</v>
      </c>
      <c r="AX10" s="228">
        <v>235</v>
      </c>
      <c r="AY10" s="228">
        <v>73</v>
      </c>
      <c r="AZ10" s="229">
        <v>0.30919999999999997</v>
      </c>
      <c r="BA10" s="228">
        <v>12</v>
      </c>
      <c r="BB10" s="228">
        <v>10</v>
      </c>
      <c r="BC10" s="228">
        <v>2</v>
      </c>
      <c r="BD10" s="229">
        <v>0.20930000000000001</v>
      </c>
      <c r="BE10" s="228">
        <v>0</v>
      </c>
      <c r="BF10" s="228">
        <v>0</v>
      </c>
      <c r="BG10" s="228">
        <v>0</v>
      </c>
      <c r="BH10" s="229">
        <v>0</v>
      </c>
      <c r="BI10" s="228">
        <v>829</v>
      </c>
      <c r="BJ10" s="228">
        <v>538</v>
      </c>
      <c r="BK10" s="228">
        <v>291</v>
      </c>
      <c r="BL10" s="229">
        <v>0.54159999999999997</v>
      </c>
      <c r="BM10" s="228">
        <v>344</v>
      </c>
      <c r="BN10" s="228">
        <v>365</v>
      </c>
      <c r="BO10" s="228">
        <v>-21</v>
      </c>
      <c r="BP10" s="229">
        <v>-5.8400000000000001E-2</v>
      </c>
      <c r="BQ10" s="230">
        <v>1493</v>
      </c>
      <c r="BR10" s="230">
        <v>1148</v>
      </c>
      <c r="BS10" s="228">
        <v>345</v>
      </c>
      <c r="BT10" s="229">
        <v>0.30020000000000002</v>
      </c>
      <c r="BU10" s="230">
        <v>517724</v>
      </c>
      <c r="BV10" s="230">
        <v>317524</v>
      </c>
      <c r="BW10" s="230">
        <v>200200</v>
      </c>
      <c r="BX10" s="229">
        <v>0.63049999999999995</v>
      </c>
      <c r="BY10" s="228">
        <v>759</v>
      </c>
      <c r="BZ10" s="228">
        <v>743</v>
      </c>
      <c r="CA10" s="228">
        <v>15</v>
      </c>
      <c r="CB10" s="229">
        <v>2.0500000000000001E-2</v>
      </c>
      <c r="CC10" s="228">
        <v>735</v>
      </c>
      <c r="CD10" s="228">
        <v>721</v>
      </c>
      <c r="CE10" s="228">
        <v>14</v>
      </c>
      <c r="CF10" s="229">
        <v>0.02</v>
      </c>
      <c r="CG10" s="228">
        <v>22</v>
      </c>
      <c r="CH10" s="228">
        <v>22</v>
      </c>
      <c r="CI10" s="228">
        <v>1</v>
      </c>
      <c r="CJ10" s="229">
        <v>0.04</v>
      </c>
      <c r="CK10" s="228">
        <v>1</v>
      </c>
      <c r="CL10" s="228">
        <v>1</v>
      </c>
      <c r="CM10" s="228">
        <v>0</v>
      </c>
      <c r="CN10" s="229">
        <v>0</v>
      </c>
      <c r="CO10" s="228">
        <v>463</v>
      </c>
      <c r="CP10" s="228">
        <v>440</v>
      </c>
      <c r="CQ10" s="228">
        <v>23</v>
      </c>
      <c r="CR10" s="229">
        <v>5.1999999999999998E-2</v>
      </c>
      <c r="CS10" s="228">
        <v>307</v>
      </c>
      <c r="CT10" s="228">
        <v>252</v>
      </c>
      <c r="CU10" s="228">
        <v>55</v>
      </c>
      <c r="CV10" s="229">
        <v>0.21679999999999999</v>
      </c>
      <c r="CW10" s="230">
        <v>1528</v>
      </c>
      <c r="CX10" s="230">
        <v>1436</v>
      </c>
      <c r="CY10" s="228">
        <v>93</v>
      </c>
      <c r="CZ10" s="229">
        <v>6.4699999999999994E-2</v>
      </c>
      <c r="DA10" s="228">
        <v>35.71</v>
      </c>
      <c r="DB10" s="228">
        <v>40.42</v>
      </c>
      <c r="DC10" s="228">
        <v>-4.71</v>
      </c>
      <c r="DD10" s="228">
        <v>-4.71</v>
      </c>
      <c r="DE10" s="228">
        <v>50.61</v>
      </c>
      <c r="DF10" s="228">
        <v>50.65</v>
      </c>
      <c r="DG10" s="228">
        <v>-14.9</v>
      </c>
      <c r="DH10" s="228">
        <v>-0.04</v>
      </c>
      <c r="DI10" s="228">
        <v>34.94</v>
      </c>
      <c r="DJ10" s="228">
        <v>38.590000000000003</v>
      </c>
      <c r="DK10" s="228">
        <v>-3.65</v>
      </c>
      <c r="DL10" s="228">
        <v>-3.65</v>
      </c>
      <c r="DM10" s="228">
        <v>37.56</v>
      </c>
      <c r="DN10" s="228">
        <v>43.12</v>
      </c>
      <c r="DO10" s="228">
        <v>-5.56</v>
      </c>
      <c r="DP10" s="228">
        <v>-5.56</v>
      </c>
      <c r="DQ10" s="228">
        <v>0.66</v>
      </c>
      <c r="DR10" s="228">
        <v>0.56999999999999995</v>
      </c>
      <c r="DS10" s="228">
        <v>0.09</v>
      </c>
      <c r="DT10" s="229">
        <v>0.15790000000000001</v>
      </c>
      <c r="DU10" s="231">
        <v>8000</v>
      </c>
      <c r="DV10" s="231">
        <v>7000</v>
      </c>
      <c r="DW10" s="228">
        <v>0.41</v>
      </c>
      <c r="DX10" s="228">
        <v>0.68</v>
      </c>
      <c r="DY10" s="228">
        <v>-0.27</v>
      </c>
      <c r="DZ10" s="229">
        <v>-0.39710000000000001</v>
      </c>
      <c r="EA10" s="229">
        <v>3.0700000000000002E-2</v>
      </c>
      <c r="EB10" s="230">
        <v>28500</v>
      </c>
      <c r="EC10" s="229">
        <v>1E-4</v>
      </c>
      <c r="ED10" s="229">
        <v>3.0700000000000002E-2</v>
      </c>
      <c r="EE10" s="228">
        <v>2.11</v>
      </c>
      <c r="EF10" s="229">
        <v>2.9999999999999997E-4</v>
      </c>
      <c r="EG10" s="230">
        <v>359986</v>
      </c>
      <c r="EH10" s="230">
        <v>145892</v>
      </c>
      <c r="EI10" s="229">
        <v>1.4675</v>
      </c>
      <c r="EJ10" s="229">
        <v>0.69530000000000003</v>
      </c>
      <c r="EK10" s="228">
        <v>873.48</v>
      </c>
      <c r="EL10" s="228">
        <v>333.93</v>
      </c>
      <c r="EM10" s="228">
        <v>314.63</v>
      </c>
      <c r="EN10" s="228">
        <v>28.92</v>
      </c>
      <c r="EO10" s="231">
        <v>1522.04</v>
      </c>
      <c r="EP10" s="231">
        <v>1159.3499999999999</v>
      </c>
      <c r="EQ10" s="228">
        <v>362.69</v>
      </c>
      <c r="ER10" s="229">
        <v>0.31280000000000002</v>
      </c>
      <c r="ES10" s="228">
        <v>481.28</v>
      </c>
      <c r="ET10" s="228">
        <v>288.89999999999998</v>
      </c>
      <c r="EU10" s="228">
        <v>758.56</v>
      </c>
      <c r="EV10" s="231">
        <v>3257355</v>
      </c>
      <c r="EW10" s="231">
        <v>1528.75</v>
      </c>
      <c r="EX10" s="231">
        <v>1424.23</v>
      </c>
      <c r="EY10" s="228">
        <v>104.52</v>
      </c>
      <c r="EZ10" s="229">
        <v>7.3400000000000007E-2</v>
      </c>
      <c r="FA10" s="229">
        <v>0.59660000000000002</v>
      </c>
      <c r="FB10" s="227" t="s">
        <v>555</v>
      </c>
      <c r="FC10">
        <f t="shared" si="0"/>
        <v>24</v>
      </c>
    </row>
    <row r="11" spans="1:159" ht="17.25" hidden="1" thickBot="1" x14ac:dyDescent="0.3">
      <c r="A11" s="226">
        <v>46086</v>
      </c>
      <c r="B11" s="227" t="s">
        <v>157</v>
      </c>
      <c r="C11" s="227" t="s">
        <v>164</v>
      </c>
      <c r="D11" s="228">
        <v>1050</v>
      </c>
      <c r="E11" s="228">
        <v>25</v>
      </c>
      <c r="F11" s="228">
        <v>482.35</v>
      </c>
      <c r="G11" s="228">
        <v>478.25</v>
      </c>
      <c r="H11" s="228">
        <v>4.0999999999999996</v>
      </c>
      <c r="I11" s="229">
        <v>8.6E-3</v>
      </c>
      <c r="J11" s="228">
        <v>480</v>
      </c>
      <c r="K11" s="228">
        <v>476.15</v>
      </c>
      <c r="L11" s="228">
        <v>3.85</v>
      </c>
      <c r="M11" s="229">
        <v>8.0999999999999996E-3</v>
      </c>
      <c r="N11" s="228">
        <v>482.35</v>
      </c>
      <c r="O11" s="228">
        <v>478.25</v>
      </c>
      <c r="P11" s="228">
        <v>4.0999999999999996</v>
      </c>
      <c r="Q11" s="229">
        <v>8.6E-3</v>
      </c>
      <c r="R11" s="228">
        <v>485.05</v>
      </c>
      <c r="S11" s="228">
        <v>480.35</v>
      </c>
      <c r="T11" s="228">
        <v>4.7</v>
      </c>
      <c r="U11" s="229">
        <v>9.7999999999999997E-3</v>
      </c>
      <c r="V11" s="228">
        <v>487.1</v>
      </c>
      <c r="W11" s="228">
        <v>483.3</v>
      </c>
      <c r="X11" s="228">
        <v>3.8</v>
      </c>
      <c r="Y11" s="229">
        <v>7.9000000000000008E-3</v>
      </c>
      <c r="Z11" s="228">
        <v>2.35</v>
      </c>
      <c r="AA11" s="228">
        <v>2.1</v>
      </c>
      <c r="AB11" s="228">
        <v>0.25</v>
      </c>
      <c r="AC11" s="229">
        <v>4.8999999999999998E-3</v>
      </c>
      <c r="AD11" s="228">
        <v>2.35</v>
      </c>
      <c r="AE11" s="228">
        <v>2.1</v>
      </c>
      <c r="AF11" s="228">
        <v>0.25</v>
      </c>
      <c r="AG11" s="229">
        <v>4.8999999999999998E-3</v>
      </c>
      <c r="AH11" s="228">
        <v>5.05</v>
      </c>
      <c r="AI11" s="228">
        <v>4.2</v>
      </c>
      <c r="AJ11" s="228">
        <v>0.85</v>
      </c>
      <c r="AK11" s="229">
        <v>1.0500000000000001E-2</v>
      </c>
      <c r="AL11" s="228">
        <v>7.1</v>
      </c>
      <c r="AM11" s="228">
        <v>7.15</v>
      </c>
      <c r="AN11" s="228">
        <v>-0.05</v>
      </c>
      <c r="AO11" s="229">
        <v>1.4800000000000001E-2</v>
      </c>
      <c r="AP11" s="228">
        <v>477.95</v>
      </c>
      <c r="AQ11" s="228">
        <v>479.61</v>
      </c>
      <c r="AR11" s="228">
        <v>0</v>
      </c>
      <c r="AS11" s="228">
        <v>228</v>
      </c>
      <c r="AT11" s="228">
        <v>292</v>
      </c>
      <c r="AU11" s="228">
        <v>-64</v>
      </c>
      <c r="AV11" s="229">
        <v>-0.21929999999999999</v>
      </c>
      <c r="AW11" s="228">
        <v>209</v>
      </c>
      <c r="AX11" s="228">
        <v>281</v>
      </c>
      <c r="AY11" s="228">
        <v>-71</v>
      </c>
      <c r="AZ11" s="229">
        <v>-0.25459999999999999</v>
      </c>
      <c r="BA11" s="228">
        <v>17</v>
      </c>
      <c r="BB11" s="228">
        <v>10</v>
      </c>
      <c r="BC11" s="228">
        <v>7</v>
      </c>
      <c r="BD11" s="229">
        <v>0.71650000000000003</v>
      </c>
      <c r="BE11" s="228">
        <v>2</v>
      </c>
      <c r="BF11" s="228">
        <v>1</v>
      </c>
      <c r="BG11" s="228">
        <v>0</v>
      </c>
      <c r="BH11" s="229">
        <v>0.29630000000000001</v>
      </c>
      <c r="BI11" s="228">
        <v>370</v>
      </c>
      <c r="BJ11" s="228">
        <v>439</v>
      </c>
      <c r="BK11" s="228">
        <v>-69</v>
      </c>
      <c r="BL11" s="229">
        <v>-0.15820000000000001</v>
      </c>
      <c r="BM11" s="228">
        <v>151</v>
      </c>
      <c r="BN11" s="228">
        <v>200</v>
      </c>
      <c r="BO11" s="228">
        <v>-49</v>
      </c>
      <c r="BP11" s="229">
        <v>-0.24329999999999999</v>
      </c>
      <c r="BQ11" s="228">
        <v>749</v>
      </c>
      <c r="BR11" s="228">
        <v>931</v>
      </c>
      <c r="BS11" s="228">
        <v>-182</v>
      </c>
      <c r="BT11" s="229">
        <v>-0.1956</v>
      </c>
      <c r="BU11" s="230">
        <v>1795284</v>
      </c>
      <c r="BV11" s="230">
        <v>2542215</v>
      </c>
      <c r="BW11" s="230">
        <v>-746931</v>
      </c>
      <c r="BX11" s="229">
        <v>-0.29380000000000001</v>
      </c>
      <c r="BY11" s="230">
        <v>2487</v>
      </c>
      <c r="BZ11" s="230">
        <v>2462</v>
      </c>
      <c r="CA11" s="228">
        <v>25</v>
      </c>
      <c r="CB11" s="229">
        <v>1.03E-2</v>
      </c>
      <c r="CC11" s="230">
        <v>2412</v>
      </c>
      <c r="CD11" s="230">
        <v>2393</v>
      </c>
      <c r="CE11" s="228">
        <v>20</v>
      </c>
      <c r="CF11" s="229">
        <v>8.3000000000000001E-3</v>
      </c>
      <c r="CG11" s="228">
        <v>66</v>
      </c>
      <c r="CH11" s="228">
        <v>62</v>
      </c>
      <c r="CI11" s="228">
        <v>5</v>
      </c>
      <c r="CJ11" s="229">
        <v>7.3999999999999996E-2</v>
      </c>
      <c r="CK11" s="228">
        <v>8</v>
      </c>
      <c r="CL11" s="228">
        <v>7</v>
      </c>
      <c r="CM11" s="228">
        <v>1</v>
      </c>
      <c r="CN11" s="229">
        <v>0.1241</v>
      </c>
      <c r="CO11" s="228">
        <v>707</v>
      </c>
      <c r="CP11" s="228">
        <v>713</v>
      </c>
      <c r="CQ11" s="228">
        <v>-5</v>
      </c>
      <c r="CR11" s="229">
        <v>-7.4999999999999997E-3</v>
      </c>
      <c r="CS11" s="228">
        <v>473</v>
      </c>
      <c r="CT11" s="228">
        <v>454</v>
      </c>
      <c r="CU11" s="228">
        <v>19</v>
      </c>
      <c r="CV11" s="229">
        <v>4.1700000000000001E-2</v>
      </c>
      <c r="CW11" s="230">
        <v>3667</v>
      </c>
      <c r="CX11" s="230">
        <v>3628</v>
      </c>
      <c r="CY11" s="228">
        <v>39</v>
      </c>
      <c r="CZ11" s="229">
        <v>1.0699999999999999E-2</v>
      </c>
      <c r="DA11" s="228">
        <v>28.17</v>
      </c>
      <c r="DB11" s="228">
        <v>30.2</v>
      </c>
      <c r="DC11" s="228">
        <v>-2.0299999999999998</v>
      </c>
      <c r="DD11" s="228">
        <v>-2.0299999999999998</v>
      </c>
      <c r="DE11" s="228">
        <v>32.5</v>
      </c>
      <c r="DF11" s="228">
        <v>32.56</v>
      </c>
      <c r="DG11" s="228">
        <v>-4.33</v>
      </c>
      <c r="DH11" s="228">
        <v>-0.06</v>
      </c>
      <c r="DI11" s="228">
        <v>27.78</v>
      </c>
      <c r="DJ11" s="228">
        <v>30.02</v>
      </c>
      <c r="DK11" s="228">
        <v>-2.2400000000000002</v>
      </c>
      <c r="DL11" s="228">
        <v>-2.2400000000000002</v>
      </c>
      <c r="DM11" s="228">
        <v>29.12</v>
      </c>
      <c r="DN11" s="228">
        <v>30.59</v>
      </c>
      <c r="DO11" s="228">
        <v>-1.47</v>
      </c>
      <c r="DP11" s="228">
        <v>-1.47</v>
      </c>
      <c r="DQ11" s="228">
        <v>0.67</v>
      </c>
      <c r="DR11" s="228">
        <v>0.64</v>
      </c>
      <c r="DS11" s="228">
        <v>0.03</v>
      </c>
      <c r="DT11" s="229">
        <v>4.6899999999999997E-2</v>
      </c>
      <c r="DU11" s="228">
        <v>600</v>
      </c>
      <c r="DV11" s="228">
        <v>600</v>
      </c>
      <c r="DW11" s="228">
        <v>0.41</v>
      </c>
      <c r="DX11" s="228">
        <v>0.46</v>
      </c>
      <c r="DY11" s="228">
        <v>-0.05</v>
      </c>
      <c r="DZ11" s="229">
        <v>-0.1087</v>
      </c>
      <c r="EA11" s="229">
        <v>2.9899999999999999E-2</v>
      </c>
      <c r="EB11" s="230">
        <v>1430100</v>
      </c>
      <c r="EC11" s="229">
        <v>5.5999999999999999E-3</v>
      </c>
      <c r="ED11" s="229">
        <v>2.9899999999999999E-2</v>
      </c>
      <c r="EE11" s="228">
        <v>1.66</v>
      </c>
      <c r="EF11" s="229">
        <v>3.5000000000000001E-3</v>
      </c>
      <c r="EG11" s="230">
        <v>836782</v>
      </c>
      <c r="EH11" s="230">
        <v>1273934</v>
      </c>
      <c r="EI11" s="229">
        <v>-0.34320000000000001</v>
      </c>
      <c r="EJ11" s="229">
        <v>0.46610000000000001</v>
      </c>
      <c r="EK11" s="228">
        <v>393.21</v>
      </c>
      <c r="EL11" s="228">
        <v>151.13999999999999</v>
      </c>
      <c r="EM11" s="228">
        <v>225.9</v>
      </c>
      <c r="EN11" s="228">
        <v>41.83</v>
      </c>
      <c r="EO11" s="228">
        <v>770.25</v>
      </c>
      <c r="EP11" s="228">
        <v>957.53</v>
      </c>
      <c r="EQ11" s="228">
        <v>-187.29</v>
      </c>
      <c r="ER11" s="229">
        <v>-0.1956</v>
      </c>
      <c r="ES11" s="228">
        <v>790.69</v>
      </c>
      <c r="ET11" s="228">
        <v>513.69000000000005</v>
      </c>
      <c r="EU11" s="231">
        <v>2487.31</v>
      </c>
      <c r="EV11" s="231">
        <v>79841849</v>
      </c>
      <c r="EW11" s="231">
        <v>3791.69</v>
      </c>
      <c r="EX11" s="231">
        <v>3734.42</v>
      </c>
      <c r="EY11" s="228">
        <v>57.27</v>
      </c>
      <c r="EZ11" s="229">
        <v>1.5299999999999999E-2</v>
      </c>
      <c r="FA11" s="229">
        <v>0.95230000000000004</v>
      </c>
      <c r="FB11" s="227" t="s">
        <v>555</v>
      </c>
      <c r="FC11">
        <f t="shared" si="0"/>
        <v>75</v>
      </c>
    </row>
    <row r="12" spans="1:159" ht="17.25" hidden="1" thickBot="1" x14ac:dyDescent="0.3">
      <c r="A12" s="226">
        <v>46086</v>
      </c>
      <c r="B12" s="227" t="s">
        <v>175</v>
      </c>
      <c r="C12" s="227" t="s">
        <v>609</v>
      </c>
      <c r="D12" s="228">
        <v>2500</v>
      </c>
      <c r="E12" s="228">
        <v>25</v>
      </c>
      <c r="F12" s="228">
        <v>224.63</v>
      </c>
      <c r="G12" s="228">
        <v>221.96</v>
      </c>
      <c r="H12" s="228">
        <v>2.67</v>
      </c>
      <c r="I12" s="229">
        <v>1.2E-2</v>
      </c>
      <c r="J12" s="228">
        <v>224.68</v>
      </c>
      <c r="K12" s="228">
        <v>221.75</v>
      </c>
      <c r="L12" s="228">
        <v>2.93</v>
      </c>
      <c r="M12" s="229">
        <v>1.32E-2</v>
      </c>
      <c r="N12" s="228">
        <v>224.63</v>
      </c>
      <c r="O12" s="228">
        <v>221.96</v>
      </c>
      <c r="P12" s="228">
        <v>2.67</v>
      </c>
      <c r="Q12" s="229">
        <v>1.2E-2</v>
      </c>
      <c r="R12" s="228">
        <v>225.53</v>
      </c>
      <c r="S12" s="228">
        <v>222.46</v>
      </c>
      <c r="T12" s="228">
        <v>3.07</v>
      </c>
      <c r="U12" s="229">
        <v>1.38E-2</v>
      </c>
      <c r="V12" s="228">
        <v>226.2</v>
      </c>
      <c r="W12" s="228">
        <v>222.88</v>
      </c>
      <c r="X12" s="228">
        <v>3.32</v>
      </c>
      <c r="Y12" s="229">
        <v>1.49E-2</v>
      </c>
      <c r="Z12" s="228">
        <v>-0.05</v>
      </c>
      <c r="AA12" s="228">
        <v>0.21</v>
      </c>
      <c r="AB12" s="228">
        <v>-0.26</v>
      </c>
      <c r="AC12" s="229">
        <v>-2.0000000000000001E-4</v>
      </c>
      <c r="AD12" s="228">
        <v>-0.05</v>
      </c>
      <c r="AE12" s="228">
        <v>0.21</v>
      </c>
      <c r="AF12" s="228">
        <v>-0.26</v>
      </c>
      <c r="AG12" s="229">
        <v>-2.0000000000000001E-4</v>
      </c>
      <c r="AH12" s="228">
        <v>0.85</v>
      </c>
      <c r="AI12" s="228">
        <v>0.71</v>
      </c>
      <c r="AJ12" s="228">
        <v>0.14000000000000001</v>
      </c>
      <c r="AK12" s="229">
        <v>3.8E-3</v>
      </c>
      <c r="AL12" s="228">
        <v>1.52</v>
      </c>
      <c r="AM12" s="228">
        <v>1.1299999999999999</v>
      </c>
      <c r="AN12" s="228">
        <v>0.39</v>
      </c>
      <c r="AO12" s="229">
        <v>6.7999999999999996E-3</v>
      </c>
      <c r="AP12" s="228">
        <v>223.83</v>
      </c>
      <c r="AQ12" s="228">
        <v>224.99</v>
      </c>
      <c r="AR12" s="228">
        <v>0</v>
      </c>
      <c r="AS12" s="228">
        <v>250</v>
      </c>
      <c r="AT12" s="228">
        <v>464</v>
      </c>
      <c r="AU12" s="228">
        <v>-214</v>
      </c>
      <c r="AV12" s="229">
        <v>-0.46160000000000001</v>
      </c>
      <c r="AW12" s="228">
        <v>228</v>
      </c>
      <c r="AX12" s="228">
        <v>169</v>
      </c>
      <c r="AY12" s="228">
        <v>59</v>
      </c>
      <c r="AZ12" s="229">
        <v>0.34820000000000001</v>
      </c>
      <c r="BA12" s="228">
        <v>14</v>
      </c>
      <c r="BB12" s="228">
        <v>14</v>
      </c>
      <c r="BC12" s="228">
        <v>0</v>
      </c>
      <c r="BD12" s="229">
        <v>-4.0000000000000001E-3</v>
      </c>
      <c r="BE12" s="228">
        <v>8</v>
      </c>
      <c r="BF12" s="228">
        <v>281</v>
      </c>
      <c r="BG12" s="228">
        <v>-273</v>
      </c>
      <c r="BH12" s="229">
        <v>-0.97119999999999995</v>
      </c>
      <c r="BI12" s="228">
        <v>280</v>
      </c>
      <c r="BJ12" s="228">
        <v>444</v>
      </c>
      <c r="BK12" s="228">
        <v>-164</v>
      </c>
      <c r="BL12" s="229">
        <v>-0.36959999999999998</v>
      </c>
      <c r="BM12" s="228">
        <v>83</v>
      </c>
      <c r="BN12" s="228">
        <v>224</v>
      </c>
      <c r="BO12" s="228">
        <v>-141</v>
      </c>
      <c r="BP12" s="229">
        <v>-0.62970000000000004</v>
      </c>
      <c r="BQ12" s="228">
        <v>613</v>
      </c>
      <c r="BR12" s="230">
        <v>1132</v>
      </c>
      <c r="BS12" s="228">
        <v>-520</v>
      </c>
      <c r="BT12" s="229">
        <v>-0.45879999999999999</v>
      </c>
      <c r="BU12" s="230">
        <v>5049184</v>
      </c>
      <c r="BV12" s="230">
        <v>6082078</v>
      </c>
      <c r="BW12" s="230">
        <v>-1032894</v>
      </c>
      <c r="BX12" s="229">
        <v>-0.16980000000000001</v>
      </c>
      <c r="BY12" s="228">
        <v>825</v>
      </c>
      <c r="BZ12" s="228">
        <v>759</v>
      </c>
      <c r="CA12" s="228">
        <v>66</v>
      </c>
      <c r="CB12" s="229">
        <v>8.7599999999999997E-2</v>
      </c>
      <c r="CC12" s="228">
        <v>672</v>
      </c>
      <c r="CD12" s="228">
        <v>611</v>
      </c>
      <c r="CE12" s="228">
        <v>61</v>
      </c>
      <c r="CF12" s="229">
        <v>0.1007</v>
      </c>
      <c r="CG12" s="228">
        <v>90</v>
      </c>
      <c r="CH12" s="228">
        <v>85</v>
      </c>
      <c r="CI12" s="228">
        <v>4</v>
      </c>
      <c r="CJ12" s="229">
        <v>5.2699999999999997E-2</v>
      </c>
      <c r="CK12" s="228">
        <v>63</v>
      </c>
      <c r="CL12" s="228">
        <v>63</v>
      </c>
      <c r="CM12" s="228">
        <v>1</v>
      </c>
      <c r="CN12" s="229">
        <v>8.0999999999999996E-3</v>
      </c>
      <c r="CO12" s="228">
        <v>500</v>
      </c>
      <c r="CP12" s="228">
        <v>497</v>
      </c>
      <c r="CQ12" s="228">
        <v>3</v>
      </c>
      <c r="CR12" s="229">
        <v>6.1000000000000004E-3</v>
      </c>
      <c r="CS12" s="228">
        <v>293</v>
      </c>
      <c r="CT12" s="228">
        <v>296</v>
      </c>
      <c r="CU12" s="228">
        <v>-3</v>
      </c>
      <c r="CV12" s="229">
        <v>-8.5000000000000006E-3</v>
      </c>
      <c r="CW12" s="230">
        <v>1619</v>
      </c>
      <c r="CX12" s="230">
        <v>1552</v>
      </c>
      <c r="CY12" s="228">
        <v>67</v>
      </c>
      <c r="CZ12" s="229">
        <v>4.3200000000000002E-2</v>
      </c>
      <c r="DA12" s="228">
        <v>43.51</v>
      </c>
      <c r="DB12" s="228">
        <v>46.47</v>
      </c>
      <c r="DC12" s="228">
        <v>-2.96</v>
      </c>
      <c r="DD12" s="228">
        <v>-2.96</v>
      </c>
      <c r="DE12" s="228">
        <v>53.95</v>
      </c>
      <c r="DF12" s="228">
        <v>54.06</v>
      </c>
      <c r="DG12" s="228">
        <v>-10.44</v>
      </c>
      <c r="DH12" s="228">
        <v>-0.11</v>
      </c>
      <c r="DI12" s="228">
        <v>43.2</v>
      </c>
      <c r="DJ12" s="228">
        <v>45.7</v>
      </c>
      <c r="DK12" s="228">
        <v>-2.5</v>
      </c>
      <c r="DL12" s="228">
        <v>-2.5</v>
      </c>
      <c r="DM12" s="228">
        <v>44.55</v>
      </c>
      <c r="DN12" s="228">
        <v>47.98</v>
      </c>
      <c r="DO12" s="228">
        <v>-3.43</v>
      </c>
      <c r="DP12" s="228">
        <v>-3.43</v>
      </c>
      <c r="DQ12" s="228">
        <v>0.59</v>
      </c>
      <c r="DR12" s="228">
        <v>0.6</v>
      </c>
      <c r="DS12" s="228">
        <v>-0.01</v>
      </c>
      <c r="DT12" s="229">
        <v>-1.67E-2</v>
      </c>
      <c r="DU12" s="228">
        <v>250</v>
      </c>
      <c r="DV12" s="228">
        <v>220</v>
      </c>
      <c r="DW12" s="228">
        <v>0.3</v>
      </c>
      <c r="DX12" s="228">
        <v>0.51</v>
      </c>
      <c r="DY12" s="228">
        <v>-0.21</v>
      </c>
      <c r="DZ12" s="229">
        <v>-0.4118</v>
      </c>
      <c r="EA12" s="229">
        <v>0.1852</v>
      </c>
      <c r="EB12" s="230">
        <v>6580000</v>
      </c>
      <c r="EC12" s="229">
        <v>4.0000000000000001E-3</v>
      </c>
      <c r="ED12" s="229">
        <v>0.1852</v>
      </c>
      <c r="EE12" s="228">
        <v>1.1599999999999999</v>
      </c>
      <c r="EF12" s="229">
        <v>5.1999999999999998E-3</v>
      </c>
      <c r="EG12" s="230">
        <v>1784343</v>
      </c>
      <c r="EH12" s="230">
        <v>2363003</v>
      </c>
      <c r="EI12" s="229">
        <v>-0.24490000000000001</v>
      </c>
      <c r="EJ12" s="229">
        <v>0.35339999999999999</v>
      </c>
      <c r="EK12" s="228">
        <v>311.27</v>
      </c>
      <c r="EL12" s="228">
        <v>81.94</v>
      </c>
      <c r="EM12" s="228">
        <v>249.02</v>
      </c>
      <c r="EN12" s="228">
        <v>66.33</v>
      </c>
      <c r="EO12" s="228">
        <v>642.23</v>
      </c>
      <c r="EP12" s="231">
        <v>1170.03</v>
      </c>
      <c r="EQ12" s="228">
        <v>-527.79999999999995</v>
      </c>
      <c r="ER12" s="229">
        <v>-0.4511</v>
      </c>
      <c r="ES12" s="228">
        <v>566.14</v>
      </c>
      <c r="ET12" s="228">
        <v>299.36</v>
      </c>
      <c r="EU12" s="228">
        <v>826.03</v>
      </c>
      <c r="EV12" s="231">
        <v>96733080</v>
      </c>
      <c r="EW12" s="231">
        <v>1691.54</v>
      </c>
      <c r="EX12" s="231">
        <v>1614.02</v>
      </c>
      <c r="EY12" s="228">
        <v>77.52</v>
      </c>
      <c r="EZ12" s="229">
        <v>4.8000000000000001E-2</v>
      </c>
      <c r="FA12" s="229">
        <v>0.745</v>
      </c>
      <c r="FB12" s="227" t="s">
        <v>555</v>
      </c>
      <c r="FC12">
        <f t="shared" si="0"/>
        <v>153</v>
      </c>
    </row>
    <row r="13" spans="1:159" ht="17.25" hidden="1" thickBot="1" x14ac:dyDescent="0.3">
      <c r="A13" s="226">
        <v>46086</v>
      </c>
      <c r="B13" s="227" t="s">
        <v>227</v>
      </c>
      <c r="C13" s="227" t="s">
        <v>598</v>
      </c>
      <c r="D13" s="228">
        <v>350</v>
      </c>
      <c r="E13" s="228">
        <v>25</v>
      </c>
      <c r="F13" s="231">
        <v>2170</v>
      </c>
      <c r="G13" s="231">
        <v>2122.5</v>
      </c>
      <c r="H13" s="228">
        <v>47.5</v>
      </c>
      <c r="I13" s="229">
        <v>2.24E-2</v>
      </c>
      <c r="J13" s="231">
        <v>2161.3000000000002</v>
      </c>
      <c r="K13" s="231">
        <v>2119.6999999999998</v>
      </c>
      <c r="L13" s="228">
        <v>41.6</v>
      </c>
      <c r="M13" s="229">
        <v>1.9599999999999999E-2</v>
      </c>
      <c r="N13" s="231">
        <v>2170</v>
      </c>
      <c r="O13" s="231">
        <v>2122.5</v>
      </c>
      <c r="P13" s="228">
        <v>47.5</v>
      </c>
      <c r="Q13" s="229">
        <v>2.24E-2</v>
      </c>
      <c r="R13" s="231">
        <v>2182.1</v>
      </c>
      <c r="S13" s="231">
        <v>2135</v>
      </c>
      <c r="T13" s="228">
        <v>47.1</v>
      </c>
      <c r="U13" s="229">
        <v>2.2100000000000002E-2</v>
      </c>
      <c r="V13" s="231">
        <v>2160</v>
      </c>
      <c r="W13" s="231">
        <v>2160</v>
      </c>
      <c r="X13" s="228">
        <v>0</v>
      </c>
      <c r="Y13" s="229">
        <v>0</v>
      </c>
      <c r="Z13" s="228">
        <v>8.6999999999999993</v>
      </c>
      <c r="AA13" s="228">
        <v>2.8</v>
      </c>
      <c r="AB13" s="228">
        <v>5.9</v>
      </c>
      <c r="AC13" s="229">
        <v>4.0000000000000001E-3</v>
      </c>
      <c r="AD13" s="228">
        <v>8.6999999999999993</v>
      </c>
      <c r="AE13" s="228">
        <v>2.8</v>
      </c>
      <c r="AF13" s="228">
        <v>5.9</v>
      </c>
      <c r="AG13" s="229">
        <v>4.0000000000000001E-3</v>
      </c>
      <c r="AH13" s="228">
        <v>20.8</v>
      </c>
      <c r="AI13" s="228">
        <v>15.3</v>
      </c>
      <c r="AJ13" s="228">
        <v>5.5</v>
      </c>
      <c r="AK13" s="229">
        <v>9.5999999999999992E-3</v>
      </c>
      <c r="AL13" s="228">
        <v>-1.3</v>
      </c>
      <c r="AM13" s="228">
        <v>40.299999999999997</v>
      </c>
      <c r="AN13" s="228">
        <v>-41.6</v>
      </c>
      <c r="AO13" s="229">
        <v>-5.9999999999999995E-4</v>
      </c>
      <c r="AP13" s="231">
        <v>2159.92</v>
      </c>
      <c r="AQ13" s="231">
        <v>2168.94</v>
      </c>
      <c r="AR13" s="228">
        <v>0</v>
      </c>
      <c r="AS13" s="228">
        <v>107</v>
      </c>
      <c r="AT13" s="228">
        <v>388</v>
      </c>
      <c r="AU13" s="228">
        <v>-281</v>
      </c>
      <c r="AV13" s="229">
        <v>-0.72360000000000002</v>
      </c>
      <c r="AW13" s="228">
        <v>103</v>
      </c>
      <c r="AX13" s="228">
        <v>380</v>
      </c>
      <c r="AY13" s="228">
        <v>-277</v>
      </c>
      <c r="AZ13" s="229">
        <v>-0.72819999999999996</v>
      </c>
      <c r="BA13" s="228">
        <v>4</v>
      </c>
      <c r="BB13" s="228">
        <v>9</v>
      </c>
      <c r="BC13" s="228">
        <v>-4</v>
      </c>
      <c r="BD13" s="229">
        <v>-0.51329999999999998</v>
      </c>
      <c r="BE13" s="228">
        <v>0</v>
      </c>
      <c r="BF13" s="228">
        <v>0</v>
      </c>
      <c r="BG13" s="228">
        <v>0</v>
      </c>
      <c r="BH13" s="229">
        <v>-1</v>
      </c>
      <c r="BI13" s="228">
        <v>152</v>
      </c>
      <c r="BJ13" s="228">
        <v>782</v>
      </c>
      <c r="BK13" s="228">
        <v>-630</v>
      </c>
      <c r="BL13" s="229">
        <v>-0.80610000000000004</v>
      </c>
      <c r="BM13" s="228">
        <v>137</v>
      </c>
      <c r="BN13" s="228">
        <v>808</v>
      </c>
      <c r="BO13" s="228">
        <v>-671</v>
      </c>
      <c r="BP13" s="229">
        <v>-0.83069999999999999</v>
      </c>
      <c r="BQ13" s="228">
        <v>396</v>
      </c>
      <c r="BR13" s="230">
        <v>1978</v>
      </c>
      <c r="BS13" s="230">
        <v>-1582</v>
      </c>
      <c r="BT13" s="229">
        <v>-0.79990000000000006</v>
      </c>
      <c r="BU13" s="230">
        <v>405453</v>
      </c>
      <c r="BV13" s="230">
        <v>604879</v>
      </c>
      <c r="BW13" s="230">
        <v>-199426</v>
      </c>
      <c r="BX13" s="229">
        <v>-0.32969999999999999</v>
      </c>
      <c r="BY13" s="230">
        <v>1052</v>
      </c>
      <c r="BZ13" s="230">
        <v>1056</v>
      </c>
      <c r="CA13" s="228">
        <v>-4</v>
      </c>
      <c r="CB13" s="229">
        <v>-4.0000000000000001E-3</v>
      </c>
      <c r="CC13" s="230">
        <v>1043</v>
      </c>
      <c r="CD13" s="230">
        <v>1047</v>
      </c>
      <c r="CE13" s="228">
        <v>-4</v>
      </c>
      <c r="CF13" s="229">
        <v>-4.1999999999999997E-3</v>
      </c>
      <c r="CG13" s="228">
        <v>8</v>
      </c>
      <c r="CH13" s="228">
        <v>8</v>
      </c>
      <c r="CI13" s="228">
        <v>0</v>
      </c>
      <c r="CJ13" s="229">
        <v>2.8000000000000001E-2</v>
      </c>
      <c r="CK13" s="228">
        <v>1</v>
      </c>
      <c r="CL13" s="228">
        <v>1</v>
      </c>
      <c r="CM13" s="228">
        <v>0</v>
      </c>
      <c r="CN13" s="229">
        <v>0</v>
      </c>
      <c r="CO13" s="228">
        <v>227</v>
      </c>
      <c r="CP13" s="228">
        <v>228</v>
      </c>
      <c r="CQ13" s="228">
        <v>-2</v>
      </c>
      <c r="CR13" s="229">
        <v>-7.3000000000000001E-3</v>
      </c>
      <c r="CS13" s="228">
        <v>210</v>
      </c>
      <c r="CT13" s="228">
        <v>202</v>
      </c>
      <c r="CU13" s="228">
        <v>8</v>
      </c>
      <c r="CV13" s="229">
        <v>4.1700000000000001E-2</v>
      </c>
      <c r="CW13" s="230">
        <v>1489</v>
      </c>
      <c r="CX13" s="230">
        <v>1487</v>
      </c>
      <c r="CY13" s="228">
        <v>3</v>
      </c>
      <c r="CZ13" s="229">
        <v>1.6999999999999999E-3</v>
      </c>
      <c r="DA13" s="228">
        <v>24.5</v>
      </c>
      <c r="DB13" s="228">
        <v>26.74</v>
      </c>
      <c r="DC13" s="228">
        <v>-2.2400000000000002</v>
      </c>
      <c r="DD13" s="228">
        <v>-2.2400000000000002</v>
      </c>
      <c r="DE13" s="228">
        <v>32.049999999999997</v>
      </c>
      <c r="DF13" s="228">
        <v>32.01</v>
      </c>
      <c r="DG13" s="228">
        <v>-7.55</v>
      </c>
      <c r="DH13" s="228">
        <v>0.04</v>
      </c>
      <c r="DI13" s="228">
        <v>23.89</v>
      </c>
      <c r="DJ13" s="228">
        <v>26.58</v>
      </c>
      <c r="DK13" s="228">
        <v>-2.69</v>
      </c>
      <c r="DL13" s="228">
        <v>-2.69</v>
      </c>
      <c r="DM13" s="228">
        <v>25.17</v>
      </c>
      <c r="DN13" s="228">
        <v>26.9</v>
      </c>
      <c r="DO13" s="228">
        <v>-1.73</v>
      </c>
      <c r="DP13" s="228">
        <v>-1.73</v>
      </c>
      <c r="DQ13" s="228">
        <v>0.93</v>
      </c>
      <c r="DR13" s="228">
        <v>0.88</v>
      </c>
      <c r="DS13" s="228">
        <v>0.05</v>
      </c>
      <c r="DT13" s="229">
        <v>5.6800000000000003E-2</v>
      </c>
      <c r="DU13" s="231">
        <v>2300</v>
      </c>
      <c r="DV13" s="231">
        <v>2100</v>
      </c>
      <c r="DW13" s="228">
        <v>0.9</v>
      </c>
      <c r="DX13" s="228">
        <v>1.03</v>
      </c>
      <c r="DY13" s="228">
        <v>-0.13</v>
      </c>
      <c r="DZ13" s="229">
        <v>-0.12620000000000001</v>
      </c>
      <c r="EA13" s="229">
        <v>8.9999999999999993E-3</v>
      </c>
      <c r="EB13" s="230">
        <v>42700</v>
      </c>
      <c r="EC13" s="229">
        <v>5.5999999999999999E-3</v>
      </c>
      <c r="ED13" s="229">
        <v>8.9999999999999993E-3</v>
      </c>
      <c r="EE13" s="228">
        <v>9.02</v>
      </c>
      <c r="EF13" s="229">
        <v>4.1999999999999997E-3</v>
      </c>
      <c r="EG13" s="230">
        <v>194248</v>
      </c>
      <c r="EH13" s="230">
        <v>281295</v>
      </c>
      <c r="EI13" s="229">
        <v>-0.3095</v>
      </c>
      <c r="EJ13" s="229">
        <v>0.47910000000000003</v>
      </c>
      <c r="EK13" s="228">
        <v>157.81</v>
      </c>
      <c r="EL13" s="228">
        <v>134.63999999999999</v>
      </c>
      <c r="EM13" s="228">
        <v>106.91</v>
      </c>
      <c r="EN13" s="228">
        <v>29.49</v>
      </c>
      <c r="EO13" s="228">
        <v>399.36</v>
      </c>
      <c r="EP13" s="231">
        <v>2010.69</v>
      </c>
      <c r="EQ13" s="231">
        <v>-1611.33</v>
      </c>
      <c r="ER13" s="229">
        <v>-0.8014</v>
      </c>
      <c r="ES13" s="228">
        <v>235.62</v>
      </c>
      <c r="ET13" s="228">
        <v>207.98</v>
      </c>
      <c r="EU13" s="231">
        <v>1052.0999999999999</v>
      </c>
      <c r="EV13" s="231">
        <v>23068453</v>
      </c>
      <c r="EW13" s="231">
        <v>1495.7</v>
      </c>
      <c r="EX13" s="231">
        <v>1470.07</v>
      </c>
      <c r="EY13" s="228">
        <v>25.63</v>
      </c>
      <c r="EZ13" s="229">
        <v>1.7399999999999999E-2</v>
      </c>
      <c r="FA13" s="229">
        <v>0.29749999999999999</v>
      </c>
      <c r="FB13" s="227" t="s">
        <v>556</v>
      </c>
      <c r="FC13">
        <f t="shared" si="0"/>
        <v>9</v>
      </c>
    </row>
    <row r="14" spans="1:159" ht="17.25" hidden="1" thickBot="1" x14ac:dyDescent="0.3">
      <c r="A14" s="226">
        <v>46086</v>
      </c>
      <c r="B14" s="227" t="s">
        <v>170</v>
      </c>
      <c r="C14" s="227" t="s">
        <v>165</v>
      </c>
      <c r="D14" s="228">
        <v>125</v>
      </c>
      <c r="E14" s="228">
        <v>25</v>
      </c>
      <c r="F14" s="231">
        <v>7787.5</v>
      </c>
      <c r="G14" s="231">
        <v>7680</v>
      </c>
      <c r="H14" s="228">
        <v>107.5</v>
      </c>
      <c r="I14" s="229">
        <v>1.4E-2</v>
      </c>
      <c r="J14" s="231">
        <v>7775</v>
      </c>
      <c r="K14" s="231">
        <v>7666</v>
      </c>
      <c r="L14" s="228">
        <v>109</v>
      </c>
      <c r="M14" s="229">
        <v>1.4200000000000001E-2</v>
      </c>
      <c r="N14" s="231">
        <v>7787.5</v>
      </c>
      <c r="O14" s="231">
        <v>7680</v>
      </c>
      <c r="P14" s="228">
        <v>107.5</v>
      </c>
      <c r="Q14" s="229">
        <v>1.4E-2</v>
      </c>
      <c r="R14" s="231">
        <v>7833.5</v>
      </c>
      <c r="S14" s="231">
        <v>7734.5</v>
      </c>
      <c r="T14" s="228">
        <v>99</v>
      </c>
      <c r="U14" s="229">
        <v>1.2800000000000001E-2</v>
      </c>
      <c r="V14" s="231">
        <v>7898</v>
      </c>
      <c r="W14" s="231">
        <v>7767.5</v>
      </c>
      <c r="X14" s="228">
        <v>130.5</v>
      </c>
      <c r="Y14" s="229">
        <v>1.6799999999999999E-2</v>
      </c>
      <c r="Z14" s="228">
        <v>12.5</v>
      </c>
      <c r="AA14" s="228">
        <v>14</v>
      </c>
      <c r="AB14" s="228">
        <v>-1.5</v>
      </c>
      <c r="AC14" s="229">
        <v>1.6000000000000001E-3</v>
      </c>
      <c r="AD14" s="228">
        <v>12.5</v>
      </c>
      <c r="AE14" s="228">
        <v>14</v>
      </c>
      <c r="AF14" s="228">
        <v>-1.5</v>
      </c>
      <c r="AG14" s="229">
        <v>1.6000000000000001E-3</v>
      </c>
      <c r="AH14" s="228">
        <v>58.5</v>
      </c>
      <c r="AI14" s="228">
        <v>68.5</v>
      </c>
      <c r="AJ14" s="228">
        <v>-10</v>
      </c>
      <c r="AK14" s="229">
        <v>7.4999999999999997E-3</v>
      </c>
      <c r="AL14" s="228">
        <v>123</v>
      </c>
      <c r="AM14" s="228">
        <v>101.5</v>
      </c>
      <c r="AN14" s="228">
        <v>21.5</v>
      </c>
      <c r="AO14" s="229">
        <v>1.5800000000000002E-2</v>
      </c>
      <c r="AP14" s="231">
        <v>7741.68</v>
      </c>
      <c r="AQ14" s="231">
        <v>7783.33</v>
      </c>
      <c r="AR14" s="228">
        <v>0</v>
      </c>
      <c r="AS14" s="228">
        <v>358</v>
      </c>
      <c r="AT14" s="228">
        <v>479</v>
      </c>
      <c r="AU14" s="228">
        <v>-120</v>
      </c>
      <c r="AV14" s="229">
        <v>-0.2515</v>
      </c>
      <c r="AW14" s="228">
        <v>349</v>
      </c>
      <c r="AX14" s="228">
        <v>457</v>
      </c>
      <c r="AY14" s="228">
        <v>-108</v>
      </c>
      <c r="AZ14" s="229">
        <v>-0.23569999999999999</v>
      </c>
      <c r="BA14" s="228">
        <v>8</v>
      </c>
      <c r="BB14" s="228">
        <v>19</v>
      </c>
      <c r="BC14" s="228">
        <v>-11</v>
      </c>
      <c r="BD14" s="229">
        <v>-0.57650000000000001</v>
      </c>
      <c r="BE14" s="228">
        <v>1</v>
      </c>
      <c r="BF14" s="228">
        <v>2</v>
      </c>
      <c r="BG14" s="228">
        <v>-2</v>
      </c>
      <c r="BH14" s="229">
        <v>-0.68</v>
      </c>
      <c r="BI14" s="230">
        <v>1331</v>
      </c>
      <c r="BJ14" s="230">
        <v>1785</v>
      </c>
      <c r="BK14" s="228">
        <v>-454</v>
      </c>
      <c r="BL14" s="229">
        <v>-0.25409999999999999</v>
      </c>
      <c r="BM14" s="228">
        <v>763</v>
      </c>
      <c r="BN14" s="230">
        <v>1315</v>
      </c>
      <c r="BO14" s="228">
        <v>-552</v>
      </c>
      <c r="BP14" s="229">
        <v>-0.41959999999999997</v>
      </c>
      <c r="BQ14" s="230">
        <v>2453</v>
      </c>
      <c r="BR14" s="230">
        <v>3579</v>
      </c>
      <c r="BS14" s="230">
        <v>-1126</v>
      </c>
      <c r="BT14" s="229">
        <v>-0.31459999999999999</v>
      </c>
      <c r="BU14" s="230">
        <v>458588</v>
      </c>
      <c r="BV14" s="230">
        <v>648481</v>
      </c>
      <c r="BW14" s="230">
        <v>-189893</v>
      </c>
      <c r="BX14" s="229">
        <v>-0.2928</v>
      </c>
      <c r="BY14" s="230">
        <v>1984</v>
      </c>
      <c r="BZ14" s="230">
        <v>2052</v>
      </c>
      <c r="CA14" s="228">
        <v>-69</v>
      </c>
      <c r="CB14" s="229">
        <v>-3.3399999999999999E-2</v>
      </c>
      <c r="CC14" s="230">
        <v>1962</v>
      </c>
      <c r="CD14" s="230">
        <v>2031</v>
      </c>
      <c r="CE14" s="228">
        <v>-69</v>
      </c>
      <c r="CF14" s="229">
        <v>-3.39E-2</v>
      </c>
      <c r="CG14" s="228">
        <v>18</v>
      </c>
      <c r="CH14" s="228">
        <v>18</v>
      </c>
      <c r="CI14" s="228">
        <v>0</v>
      </c>
      <c r="CJ14" s="229">
        <v>0</v>
      </c>
      <c r="CK14" s="228">
        <v>3</v>
      </c>
      <c r="CL14" s="228">
        <v>3</v>
      </c>
      <c r="CM14" s="228">
        <v>0</v>
      </c>
      <c r="CN14" s="229">
        <v>0.1429</v>
      </c>
      <c r="CO14" s="228">
        <v>719</v>
      </c>
      <c r="CP14" s="228">
        <v>668</v>
      </c>
      <c r="CQ14" s="228">
        <v>51</v>
      </c>
      <c r="CR14" s="229">
        <v>7.6399999999999996E-2</v>
      </c>
      <c r="CS14" s="228">
        <v>538</v>
      </c>
      <c r="CT14" s="228">
        <v>452</v>
      </c>
      <c r="CU14" s="228">
        <v>86</v>
      </c>
      <c r="CV14" s="229">
        <v>0.1913</v>
      </c>
      <c r="CW14" s="230">
        <v>3241</v>
      </c>
      <c r="CX14" s="230">
        <v>3172</v>
      </c>
      <c r="CY14" s="228">
        <v>69</v>
      </c>
      <c r="CZ14" s="229">
        <v>2.1700000000000001E-2</v>
      </c>
      <c r="DA14" s="228">
        <v>20.87</v>
      </c>
      <c r="DB14" s="228">
        <v>23.83</v>
      </c>
      <c r="DC14" s="228">
        <v>-2.96</v>
      </c>
      <c r="DD14" s="228">
        <v>-2.96</v>
      </c>
      <c r="DE14" s="228">
        <v>24.65</v>
      </c>
      <c r="DF14" s="228">
        <v>24.63</v>
      </c>
      <c r="DG14" s="228">
        <v>-3.78</v>
      </c>
      <c r="DH14" s="228">
        <v>0.02</v>
      </c>
      <c r="DI14" s="228">
        <v>20.28</v>
      </c>
      <c r="DJ14" s="228">
        <v>22.71</v>
      </c>
      <c r="DK14" s="228">
        <v>-2.4300000000000002</v>
      </c>
      <c r="DL14" s="228">
        <v>-2.4300000000000002</v>
      </c>
      <c r="DM14" s="228">
        <v>21.9</v>
      </c>
      <c r="DN14" s="228">
        <v>25.33</v>
      </c>
      <c r="DO14" s="228">
        <v>-3.43</v>
      </c>
      <c r="DP14" s="228">
        <v>-3.43</v>
      </c>
      <c r="DQ14" s="228">
        <v>0.75</v>
      </c>
      <c r="DR14" s="228">
        <v>0.68</v>
      </c>
      <c r="DS14" s="228">
        <v>7.0000000000000007E-2</v>
      </c>
      <c r="DT14" s="229">
        <v>0.10290000000000001</v>
      </c>
      <c r="DU14" s="231">
        <v>7700</v>
      </c>
      <c r="DV14" s="231">
        <v>7000</v>
      </c>
      <c r="DW14" s="228">
        <v>0.56999999999999995</v>
      </c>
      <c r="DX14" s="228">
        <v>0.74</v>
      </c>
      <c r="DY14" s="228">
        <v>-0.17</v>
      </c>
      <c r="DZ14" s="229">
        <v>-0.22969999999999999</v>
      </c>
      <c r="EA14" s="229">
        <v>1.0699999999999999E-2</v>
      </c>
      <c r="EB14" s="230">
        <v>26875</v>
      </c>
      <c r="EC14" s="229">
        <v>5.8999999999999999E-3</v>
      </c>
      <c r="ED14" s="229">
        <v>1.0699999999999999E-2</v>
      </c>
      <c r="EE14" s="228">
        <v>41.65</v>
      </c>
      <c r="EF14" s="229">
        <v>5.4000000000000003E-3</v>
      </c>
      <c r="EG14" s="230">
        <v>264797</v>
      </c>
      <c r="EH14" s="230">
        <v>424030</v>
      </c>
      <c r="EI14" s="229">
        <v>-0.3755</v>
      </c>
      <c r="EJ14" s="229">
        <v>0.57740000000000002</v>
      </c>
      <c r="EK14" s="231">
        <v>1376.01</v>
      </c>
      <c r="EL14" s="228">
        <v>733.57</v>
      </c>
      <c r="EM14" s="228">
        <v>356.27</v>
      </c>
      <c r="EN14" s="228">
        <v>30.93</v>
      </c>
      <c r="EO14" s="231">
        <v>2465.85</v>
      </c>
      <c r="EP14" s="231">
        <v>3564.81</v>
      </c>
      <c r="EQ14" s="231">
        <v>-1098.97</v>
      </c>
      <c r="ER14" s="229">
        <v>-0.30830000000000002</v>
      </c>
      <c r="ES14" s="228">
        <v>737.59</v>
      </c>
      <c r="ET14" s="228">
        <v>510.42</v>
      </c>
      <c r="EU14" s="231">
        <v>1983.92</v>
      </c>
      <c r="EV14" s="231">
        <v>15524629</v>
      </c>
      <c r="EW14" s="231">
        <v>3231.93</v>
      </c>
      <c r="EX14" s="231">
        <v>3137.64</v>
      </c>
      <c r="EY14" s="228">
        <v>94.29</v>
      </c>
      <c r="EZ14" s="229">
        <v>3.0099999999999998E-2</v>
      </c>
      <c r="FA14" s="229">
        <v>0.2681</v>
      </c>
      <c r="FB14" s="227" t="s">
        <v>556</v>
      </c>
      <c r="FC14">
        <f t="shared" si="0"/>
        <v>22</v>
      </c>
    </row>
    <row r="15" spans="1:159" ht="17.25" hidden="1" thickBot="1" x14ac:dyDescent="0.3">
      <c r="A15" s="226">
        <v>46086</v>
      </c>
      <c r="B15" s="227" t="s">
        <v>162</v>
      </c>
      <c r="C15" s="227" t="s">
        <v>167</v>
      </c>
      <c r="D15" s="228">
        <v>5000</v>
      </c>
      <c r="E15" s="228">
        <v>25</v>
      </c>
      <c r="F15" s="228">
        <v>203.21</v>
      </c>
      <c r="G15" s="228">
        <v>200.11</v>
      </c>
      <c r="H15" s="228">
        <v>3.1</v>
      </c>
      <c r="I15" s="229">
        <v>1.55E-2</v>
      </c>
      <c r="J15" s="228">
        <v>203.04</v>
      </c>
      <c r="K15" s="228">
        <v>200.46</v>
      </c>
      <c r="L15" s="228">
        <v>2.58</v>
      </c>
      <c r="M15" s="229">
        <v>1.29E-2</v>
      </c>
      <c r="N15" s="228">
        <v>203.21</v>
      </c>
      <c r="O15" s="228">
        <v>200.11</v>
      </c>
      <c r="P15" s="228">
        <v>3.1</v>
      </c>
      <c r="Q15" s="229">
        <v>1.55E-2</v>
      </c>
      <c r="R15" s="228">
        <v>201.81</v>
      </c>
      <c r="S15" s="228">
        <v>198.08</v>
      </c>
      <c r="T15" s="228">
        <v>3.73</v>
      </c>
      <c r="U15" s="229">
        <v>1.8800000000000001E-2</v>
      </c>
      <c r="V15" s="228">
        <v>201</v>
      </c>
      <c r="W15" s="228">
        <v>196.81</v>
      </c>
      <c r="X15" s="228">
        <v>4.1900000000000004</v>
      </c>
      <c r="Y15" s="229">
        <v>2.1299999999999999E-2</v>
      </c>
      <c r="Z15" s="228">
        <v>0.17</v>
      </c>
      <c r="AA15" s="228">
        <v>-0.35</v>
      </c>
      <c r="AB15" s="228">
        <v>0.52</v>
      </c>
      <c r="AC15" s="229">
        <v>8.0000000000000004E-4</v>
      </c>
      <c r="AD15" s="228">
        <v>0.17</v>
      </c>
      <c r="AE15" s="228">
        <v>-0.35</v>
      </c>
      <c r="AF15" s="228">
        <v>0.52</v>
      </c>
      <c r="AG15" s="229">
        <v>8.0000000000000004E-4</v>
      </c>
      <c r="AH15" s="228">
        <v>-1.23</v>
      </c>
      <c r="AI15" s="228">
        <v>-2.38</v>
      </c>
      <c r="AJ15" s="228">
        <v>1.1499999999999999</v>
      </c>
      <c r="AK15" s="229">
        <v>-6.1000000000000004E-3</v>
      </c>
      <c r="AL15" s="228">
        <v>-2.04</v>
      </c>
      <c r="AM15" s="228">
        <v>-3.65</v>
      </c>
      <c r="AN15" s="228">
        <v>1.61</v>
      </c>
      <c r="AO15" s="229">
        <v>-0.01</v>
      </c>
      <c r="AP15" s="228">
        <v>201.76</v>
      </c>
      <c r="AQ15" s="228">
        <v>200.34</v>
      </c>
      <c r="AR15" s="228">
        <v>0</v>
      </c>
      <c r="AS15" s="228">
        <v>554</v>
      </c>
      <c r="AT15" s="228">
        <v>865</v>
      </c>
      <c r="AU15" s="228">
        <v>-311</v>
      </c>
      <c r="AV15" s="229">
        <v>-0.3599</v>
      </c>
      <c r="AW15" s="228">
        <v>495</v>
      </c>
      <c r="AX15" s="228">
        <v>809</v>
      </c>
      <c r="AY15" s="228">
        <v>-313</v>
      </c>
      <c r="AZ15" s="229">
        <v>-0.38750000000000001</v>
      </c>
      <c r="BA15" s="228">
        <v>53</v>
      </c>
      <c r="BB15" s="228">
        <v>51</v>
      </c>
      <c r="BC15" s="228">
        <v>3</v>
      </c>
      <c r="BD15" s="229">
        <v>5.4100000000000002E-2</v>
      </c>
      <c r="BE15" s="228">
        <v>5</v>
      </c>
      <c r="BF15" s="228">
        <v>6</v>
      </c>
      <c r="BG15" s="228">
        <v>-1</v>
      </c>
      <c r="BH15" s="229">
        <v>-0.1273</v>
      </c>
      <c r="BI15" s="230">
        <v>1239</v>
      </c>
      <c r="BJ15" s="230">
        <v>1736</v>
      </c>
      <c r="BK15" s="228">
        <v>-498</v>
      </c>
      <c r="BL15" s="229">
        <v>-0.28660000000000002</v>
      </c>
      <c r="BM15" s="228">
        <v>709</v>
      </c>
      <c r="BN15" s="230">
        <v>1126</v>
      </c>
      <c r="BO15" s="228">
        <v>-417</v>
      </c>
      <c r="BP15" s="229">
        <v>-0.37069999999999997</v>
      </c>
      <c r="BQ15" s="230">
        <v>2501</v>
      </c>
      <c r="BR15" s="230">
        <v>3727</v>
      </c>
      <c r="BS15" s="230">
        <v>-1226</v>
      </c>
      <c r="BT15" s="229">
        <v>-0.32900000000000001</v>
      </c>
      <c r="BU15" s="230">
        <v>18200884</v>
      </c>
      <c r="BV15" s="230">
        <v>30475118</v>
      </c>
      <c r="BW15" s="230">
        <v>-12274234</v>
      </c>
      <c r="BX15" s="229">
        <v>-0.40279999999999999</v>
      </c>
      <c r="BY15" s="230">
        <v>3075</v>
      </c>
      <c r="BZ15" s="230">
        <v>3087</v>
      </c>
      <c r="CA15" s="228">
        <v>-11</v>
      </c>
      <c r="CB15" s="229">
        <v>-3.7000000000000002E-3</v>
      </c>
      <c r="CC15" s="230">
        <v>2986</v>
      </c>
      <c r="CD15" s="230">
        <v>3009</v>
      </c>
      <c r="CE15" s="228">
        <v>-23</v>
      </c>
      <c r="CF15" s="229">
        <v>-7.6E-3</v>
      </c>
      <c r="CG15" s="228">
        <v>83</v>
      </c>
      <c r="CH15" s="228">
        <v>72</v>
      </c>
      <c r="CI15" s="228">
        <v>11</v>
      </c>
      <c r="CJ15" s="229">
        <v>0.15890000000000001</v>
      </c>
      <c r="CK15" s="228">
        <v>7</v>
      </c>
      <c r="CL15" s="228">
        <v>6</v>
      </c>
      <c r="CM15" s="228">
        <v>0</v>
      </c>
      <c r="CN15" s="229">
        <v>3.2300000000000002E-2</v>
      </c>
      <c r="CO15" s="228">
        <v>844</v>
      </c>
      <c r="CP15" s="228">
        <v>853</v>
      </c>
      <c r="CQ15" s="228">
        <v>-9</v>
      </c>
      <c r="CR15" s="229">
        <v>-1.0200000000000001E-2</v>
      </c>
      <c r="CS15" s="228">
        <v>603</v>
      </c>
      <c r="CT15" s="228">
        <v>574</v>
      </c>
      <c r="CU15" s="228">
        <v>29</v>
      </c>
      <c r="CV15" s="229">
        <v>5.0599999999999999E-2</v>
      </c>
      <c r="CW15" s="230">
        <v>4523</v>
      </c>
      <c r="CX15" s="230">
        <v>4514</v>
      </c>
      <c r="CY15" s="228">
        <v>9</v>
      </c>
      <c r="CZ15" s="229">
        <v>2E-3</v>
      </c>
      <c r="DA15" s="228">
        <v>31.53</v>
      </c>
      <c r="DB15" s="228">
        <v>34.46</v>
      </c>
      <c r="DC15" s="228">
        <v>-2.93</v>
      </c>
      <c r="DD15" s="228">
        <v>-2.93</v>
      </c>
      <c r="DE15" s="228">
        <v>35.25</v>
      </c>
      <c r="DF15" s="228">
        <v>35.29</v>
      </c>
      <c r="DG15" s="228">
        <v>-3.72</v>
      </c>
      <c r="DH15" s="228">
        <v>-0.04</v>
      </c>
      <c r="DI15" s="228">
        <v>30.63</v>
      </c>
      <c r="DJ15" s="228">
        <v>33.590000000000003</v>
      </c>
      <c r="DK15" s="228">
        <v>-2.96</v>
      </c>
      <c r="DL15" s="228">
        <v>-2.96</v>
      </c>
      <c r="DM15" s="228">
        <v>33.1</v>
      </c>
      <c r="DN15" s="228">
        <v>35.799999999999997</v>
      </c>
      <c r="DO15" s="228">
        <v>-2.7</v>
      </c>
      <c r="DP15" s="228">
        <v>-2.7</v>
      </c>
      <c r="DQ15" s="228">
        <v>0.71</v>
      </c>
      <c r="DR15" s="228">
        <v>0.67</v>
      </c>
      <c r="DS15" s="228">
        <v>0.04</v>
      </c>
      <c r="DT15" s="229">
        <v>5.9700000000000003E-2</v>
      </c>
      <c r="DU15" s="228">
        <v>220</v>
      </c>
      <c r="DV15" s="228">
        <v>200</v>
      </c>
      <c r="DW15" s="228">
        <v>0.56999999999999995</v>
      </c>
      <c r="DX15" s="228">
        <v>0.65</v>
      </c>
      <c r="DY15" s="228">
        <v>-0.08</v>
      </c>
      <c r="DZ15" s="229">
        <v>-0.1231</v>
      </c>
      <c r="EA15" s="229">
        <v>2.9100000000000001E-2</v>
      </c>
      <c r="EB15" s="230">
        <v>3835000</v>
      </c>
      <c r="EC15" s="229">
        <v>-6.8999999999999999E-3</v>
      </c>
      <c r="ED15" s="229">
        <v>2.9100000000000001E-2</v>
      </c>
      <c r="EE15" s="228">
        <v>-1.42</v>
      </c>
      <c r="EF15" s="229">
        <v>-7.0000000000000001E-3</v>
      </c>
      <c r="EG15" s="230">
        <v>8383149</v>
      </c>
      <c r="EH15" s="230">
        <v>14737066</v>
      </c>
      <c r="EI15" s="229">
        <v>-0.43120000000000003</v>
      </c>
      <c r="EJ15" s="229">
        <v>0.46060000000000001</v>
      </c>
      <c r="EK15" s="231">
        <v>1310.3900000000001</v>
      </c>
      <c r="EL15" s="228">
        <v>681.07</v>
      </c>
      <c r="EM15" s="228">
        <v>549.27</v>
      </c>
      <c r="EN15" s="228">
        <v>59.8</v>
      </c>
      <c r="EO15" s="231">
        <v>2540.7399999999998</v>
      </c>
      <c r="EP15" s="231">
        <v>3800.84</v>
      </c>
      <c r="EQ15" s="231">
        <v>-1260.0999999999999</v>
      </c>
      <c r="ER15" s="229">
        <v>-0.33150000000000002</v>
      </c>
      <c r="ES15" s="228">
        <v>901.12</v>
      </c>
      <c r="ET15" s="228">
        <v>577.46</v>
      </c>
      <c r="EU15" s="231">
        <v>3074.53</v>
      </c>
      <c r="EV15" s="231">
        <v>423719104</v>
      </c>
      <c r="EW15" s="231">
        <v>4553.1099999999997</v>
      </c>
      <c r="EX15" s="231">
        <v>4499.71</v>
      </c>
      <c r="EY15" s="228">
        <v>53.4</v>
      </c>
      <c r="EZ15" s="229">
        <v>1.1900000000000001E-2</v>
      </c>
      <c r="FA15" s="229">
        <v>0.52529999999999999</v>
      </c>
      <c r="FB15" s="227" t="s">
        <v>556</v>
      </c>
      <c r="FC15">
        <f t="shared" si="0"/>
        <v>89</v>
      </c>
    </row>
    <row r="16" spans="1:159" ht="17.25" hidden="1" thickBot="1" x14ac:dyDescent="0.3">
      <c r="A16" s="226">
        <v>46086</v>
      </c>
      <c r="B16" s="227" t="s">
        <v>168</v>
      </c>
      <c r="C16" s="227" t="s">
        <v>169</v>
      </c>
      <c r="D16" s="228">
        <v>250</v>
      </c>
      <c r="E16" s="228">
        <v>25</v>
      </c>
      <c r="F16" s="231">
        <v>2298.8000000000002</v>
      </c>
      <c r="G16" s="231">
        <v>2293.1</v>
      </c>
      <c r="H16" s="228">
        <v>5.7</v>
      </c>
      <c r="I16" s="229">
        <v>2.5000000000000001E-3</v>
      </c>
      <c r="J16" s="231">
        <v>2287.8000000000002</v>
      </c>
      <c r="K16" s="231">
        <v>2285.1999999999998</v>
      </c>
      <c r="L16" s="228">
        <v>2.6</v>
      </c>
      <c r="M16" s="229">
        <v>1.1000000000000001E-3</v>
      </c>
      <c r="N16" s="231">
        <v>2298.8000000000002</v>
      </c>
      <c r="O16" s="231">
        <v>2293.1</v>
      </c>
      <c r="P16" s="228">
        <v>5.7</v>
      </c>
      <c r="Q16" s="229">
        <v>2.5000000000000001E-3</v>
      </c>
      <c r="R16" s="231">
        <v>2310.8000000000002</v>
      </c>
      <c r="S16" s="231">
        <v>2306.8000000000002</v>
      </c>
      <c r="T16" s="228">
        <v>4</v>
      </c>
      <c r="U16" s="229">
        <v>1.6999999999999999E-3</v>
      </c>
      <c r="V16" s="231">
        <v>2326.5</v>
      </c>
      <c r="W16" s="231">
        <v>2317.3000000000002</v>
      </c>
      <c r="X16" s="228">
        <v>9.1999999999999993</v>
      </c>
      <c r="Y16" s="229">
        <v>4.0000000000000001E-3</v>
      </c>
      <c r="Z16" s="228">
        <v>11</v>
      </c>
      <c r="AA16" s="228">
        <v>7.9</v>
      </c>
      <c r="AB16" s="228">
        <v>3.1</v>
      </c>
      <c r="AC16" s="229">
        <v>4.7999999999999996E-3</v>
      </c>
      <c r="AD16" s="228">
        <v>11</v>
      </c>
      <c r="AE16" s="228">
        <v>7.9</v>
      </c>
      <c r="AF16" s="228">
        <v>3.1</v>
      </c>
      <c r="AG16" s="229">
        <v>4.7999999999999996E-3</v>
      </c>
      <c r="AH16" s="228">
        <v>23</v>
      </c>
      <c r="AI16" s="228">
        <v>21.6</v>
      </c>
      <c r="AJ16" s="228">
        <v>1.4</v>
      </c>
      <c r="AK16" s="229">
        <v>1.01E-2</v>
      </c>
      <c r="AL16" s="228">
        <v>38.700000000000003</v>
      </c>
      <c r="AM16" s="228">
        <v>32.1</v>
      </c>
      <c r="AN16" s="228">
        <v>6.6</v>
      </c>
      <c r="AO16" s="229">
        <v>1.6899999999999998E-2</v>
      </c>
      <c r="AP16" s="231">
        <v>2287.89</v>
      </c>
      <c r="AQ16" s="231">
        <v>2298.11</v>
      </c>
      <c r="AR16" s="228">
        <v>0</v>
      </c>
      <c r="AS16" s="228">
        <v>313</v>
      </c>
      <c r="AT16" s="228">
        <v>446</v>
      </c>
      <c r="AU16" s="228">
        <v>-132</v>
      </c>
      <c r="AV16" s="229">
        <v>-0.29680000000000001</v>
      </c>
      <c r="AW16" s="228">
        <v>300</v>
      </c>
      <c r="AX16" s="228">
        <v>421</v>
      </c>
      <c r="AY16" s="228">
        <v>-121</v>
      </c>
      <c r="AZ16" s="229">
        <v>-0.28770000000000001</v>
      </c>
      <c r="BA16" s="228">
        <v>11</v>
      </c>
      <c r="BB16" s="228">
        <v>19</v>
      </c>
      <c r="BC16" s="228">
        <v>-8</v>
      </c>
      <c r="BD16" s="229">
        <v>-0.43619999999999998</v>
      </c>
      <c r="BE16" s="228">
        <v>3</v>
      </c>
      <c r="BF16" s="228">
        <v>6</v>
      </c>
      <c r="BG16" s="228">
        <v>-3</v>
      </c>
      <c r="BH16" s="229">
        <v>-0.49</v>
      </c>
      <c r="BI16" s="230">
        <v>1150</v>
      </c>
      <c r="BJ16" s="230">
        <v>1283</v>
      </c>
      <c r="BK16" s="228">
        <v>-133</v>
      </c>
      <c r="BL16" s="229">
        <v>-0.1033</v>
      </c>
      <c r="BM16" s="230">
        <v>1015</v>
      </c>
      <c r="BN16" s="230">
        <v>2092</v>
      </c>
      <c r="BO16" s="230">
        <v>-1077</v>
      </c>
      <c r="BP16" s="229">
        <v>-0.51470000000000005</v>
      </c>
      <c r="BQ16" s="230">
        <v>2479</v>
      </c>
      <c r="BR16" s="230">
        <v>3821</v>
      </c>
      <c r="BS16" s="230">
        <v>-1342</v>
      </c>
      <c r="BT16" s="229">
        <v>-0.35120000000000001</v>
      </c>
      <c r="BU16" s="230">
        <v>985038</v>
      </c>
      <c r="BV16" s="230">
        <v>1720117</v>
      </c>
      <c r="BW16" s="230">
        <v>-735079</v>
      </c>
      <c r="BX16" s="229">
        <v>-0.42730000000000001</v>
      </c>
      <c r="BY16" s="230">
        <v>2941</v>
      </c>
      <c r="BZ16" s="230">
        <v>2941</v>
      </c>
      <c r="CA16" s="228">
        <v>1</v>
      </c>
      <c r="CB16" s="229">
        <v>2.9999999999999997E-4</v>
      </c>
      <c r="CC16" s="230">
        <v>2884</v>
      </c>
      <c r="CD16" s="230">
        <v>2884</v>
      </c>
      <c r="CE16" s="228">
        <v>0</v>
      </c>
      <c r="CF16" s="229">
        <v>-1E-4</v>
      </c>
      <c r="CG16" s="228">
        <v>49</v>
      </c>
      <c r="CH16" s="228">
        <v>49</v>
      </c>
      <c r="CI16" s="228">
        <v>0</v>
      </c>
      <c r="CJ16" s="229">
        <v>-7.0000000000000001E-3</v>
      </c>
      <c r="CK16" s="228">
        <v>9</v>
      </c>
      <c r="CL16" s="228">
        <v>7</v>
      </c>
      <c r="CM16" s="228">
        <v>1</v>
      </c>
      <c r="CN16" s="229">
        <v>0.17829999999999999</v>
      </c>
      <c r="CO16" s="228">
        <v>992</v>
      </c>
      <c r="CP16" s="228">
        <v>955</v>
      </c>
      <c r="CQ16" s="228">
        <v>37</v>
      </c>
      <c r="CR16" s="229">
        <v>3.8399999999999997E-2</v>
      </c>
      <c r="CS16" s="228">
        <v>888</v>
      </c>
      <c r="CT16" s="228">
        <v>931</v>
      </c>
      <c r="CU16" s="228">
        <v>-42</v>
      </c>
      <c r="CV16" s="229">
        <v>-4.5400000000000003E-2</v>
      </c>
      <c r="CW16" s="230">
        <v>4822</v>
      </c>
      <c r="CX16" s="230">
        <v>4826</v>
      </c>
      <c r="CY16" s="228">
        <v>-5</v>
      </c>
      <c r="CZ16" s="229">
        <v>-1E-3</v>
      </c>
      <c r="DA16" s="228">
        <v>25.33</v>
      </c>
      <c r="DB16" s="228">
        <v>31</v>
      </c>
      <c r="DC16" s="228">
        <v>-5.67</v>
      </c>
      <c r="DD16" s="228">
        <v>-5.67</v>
      </c>
      <c r="DE16" s="228">
        <v>26.34</v>
      </c>
      <c r="DF16" s="228">
        <v>26.41</v>
      </c>
      <c r="DG16" s="228">
        <v>-1.01</v>
      </c>
      <c r="DH16" s="228">
        <v>-7.0000000000000007E-2</v>
      </c>
      <c r="DI16" s="228">
        <v>23.6</v>
      </c>
      <c r="DJ16" s="228">
        <v>27.63</v>
      </c>
      <c r="DK16" s="228">
        <v>-4.03</v>
      </c>
      <c r="DL16" s="228">
        <v>-4.03</v>
      </c>
      <c r="DM16" s="228">
        <v>27.29</v>
      </c>
      <c r="DN16" s="228">
        <v>33.06</v>
      </c>
      <c r="DO16" s="228">
        <v>-5.77</v>
      </c>
      <c r="DP16" s="228">
        <v>-5.77</v>
      </c>
      <c r="DQ16" s="228">
        <v>0.9</v>
      </c>
      <c r="DR16" s="228">
        <v>0.97</v>
      </c>
      <c r="DS16" s="228">
        <v>-7.0000000000000007E-2</v>
      </c>
      <c r="DT16" s="229">
        <v>-7.22E-2</v>
      </c>
      <c r="DU16" s="231">
        <v>2500</v>
      </c>
      <c r="DV16" s="231">
        <v>2300</v>
      </c>
      <c r="DW16" s="228">
        <v>0.88</v>
      </c>
      <c r="DX16" s="228">
        <v>1.63</v>
      </c>
      <c r="DY16" s="228">
        <v>-0.75</v>
      </c>
      <c r="DZ16" s="229">
        <v>-0.46010000000000001</v>
      </c>
      <c r="EA16" s="229">
        <v>1.9599999999999999E-2</v>
      </c>
      <c r="EB16" s="230">
        <v>246750</v>
      </c>
      <c r="EC16" s="229">
        <v>5.1999999999999998E-3</v>
      </c>
      <c r="ED16" s="229">
        <v>1.9599999999999999E-2</v>
      </c>
      <c r="EE16" s="228">
        <v>10.220000000000001</v>
      </c>
      <c r="EF16" s="229">
        <v>4.4999999999999997E-3</v>
      </c>
      <c r="EG16" s="230">
        <v>513252</v>
      </c>
      <c r="EH16" s="230">
        <v>924981</v>
      </c>
      <c r="EI16" s="229">
        <v>-0.4451</v>
      </c>
      <c r="EJ16" s="229">
        <v>0.52100000000000002</v>
      </c>
      <c r="EK16" s="231">
        <v>1215.8800000000001</v>
      </c>
      <c r="EL16" s="228">
        <v>989.14</v>
      </c>
      <c r="EM16" s="228">
        <v>311.97000000000003</v>
      </c>
      <c r="EN16" s="228">
        <v>63.33</v>
      </c>
      <c r="EO16" s="231">
        <v>2516.9899999999998</v>
      </c>
      <c r="EP16" s="231">
        <v>3846.41</v>
      </c>
      <c r="EQ16" s="231">
        <v>-1329.43</v>
      </c>
      <c r="ER16" s="229">
        <v>-0.34560000000000002</v>
      </c>
      <c r="ES16" s="231">
        <v>1072.31</v>
      </c>
      <c r="ET16" s="228">
        <v>871.62</v>
      </c>
      <c r="EU16" s="231">
        <v>2941.73</v>
      </c>
      <c r="EV16" s="231">
        <v>49389162</v>
      </c>
      <c r="EW16" s="231">
        <v>4885.66</v>
      </c>
      <c r="EX16" s="231">
        <v>4879.46</v>
      </c>
      <c r="EY16" s="228">
        <v>6.2</v>
      </c>
      <c r="EZ16" s="229">
        <v>1.2999999999999999E-3</v>
      </c>
      <c r="FA16" s="229">
        <v>0.42470000000000002</v>
      </c>
      <c r="FB16" s="227" t="s">
        <v>555</v>
      </c>
      <c r="FC16">
        <f t="shared" si="0"/>
        <v>57</v>
      </c>
    </row>
    <row r="17" spans="1:159" ht="17.25" hidden="1" thickBot="1" x14ac:dyDescent="0.3">
      <c r="A17" s="226">
        <v>46086</v>
      </c>
      <c r="B17" s="227" t="s">
        <v>184</v>
      </c>
      <c r="C17" s="227" t="s">
        <v>503</v>
      </c>
      <c r="D17" s="228">
        <v>425</v>
      </c>
      <c r="E17" s="228">
        <v>25</v>
      </c>
      <c r="F17" s="231">
        <v>1655.6</v>
      </c>
      <c r="G17" s="231">
        <v>1617.8</v>
      </c>
      <c r="H17" s="228">
        <v>37.799999999999997</v>
      </c>
      <c r="I17" s="229">
        <v>2.3400000000000001E-2</v>
      </c>
      <c r="J17" s="231">
        <v>1663.1</v>
      </c>
      <c r="K17" s="231">
        <v>1646.9</v>
      </c>
      <c r="L17" s="228">
        <v>16.2</v>
      </c>
      <c r="M17" s="229">
        <v>9.7999999999999997E-3</v>
      </c>
      <c r="N17" s="231">
        <v>1655.6</v>
      </c>
      <c r="O17" s="231">
        <v>1617.8</v>
      </c>
      <c r="P17" s="228">
        <v>37.799999999999997</v>
      </c>
      <c r="Q17" s="229">
        <v>2.3400000000000001E-2</v>
      </c>
      <c r="R17" s="231">
        <v>1640</v>
      </c>
      <c r="S17" s="231">
        <v>1593.9</v>
      </c>
      <c r="T17" s="228">
        <v>46.1</v>
      </c>
      <c r="U17" s="229">
        <v>2.8899999999999999E-2</v>
      </c>
      <c r="V17" s="231">
        <v>1629</v>
      </c>
      <c r="W17" s="231">
        <v>1608</v>
      </c>
      <c r="X17" s="228">
        <v>21</v>
      </c>
      <c r="Y17" s="229">
        <v>1.3100000000000001E-2</v>
      </c>
      <c r="Z17" s="228">
        <v>-7.5</v>
      </c>
      <c r="AA17" s="228">
        <v>-29.1</v>
      </c>
      <c r="AB17" s="228">
        <v>21.6</v>
      </c>
      <c r="AC17" s="229">
        <v>-4.4999999999999997E-3</v>
      </c>
      <c r="AD17" s="228">
        <v>-7.5</v>
      </c>
      <c r="AE17" s="228">
        <v>-29.1</v>
      </c>
      <c r="AF17" s="228">
        <v>21.6</v>
      </c>
      <c r="AG17" s="229">
        <v>-4.4999999999999997E-3</v>
      </c>
      <c r="AH17" s="228">
        <v>-23.1</v>
      </c>
      <c r="AI17" s="228">
        <v>-53</v>
      </c>
      <c r="AJ17" s="228">
        <v>29.9</v>
      </c>
      <c r="AK17" s="229">
        <v>-1.3899999999999999E-2</v>
      </c>
      <c r="AL17" s="228">
        <v>-34.1</v>
      </c>
      <c r="AM17" s="228">
        <v>-38.9</v>
      </c>
      <c r="AN17" s="228">
        <v>4.8</v>
      </c>
      <c r="AO17" s="229">
        <v>-2.0500000000000001E-2</v>
      </c>
      <c r="AP17" s="231">
        <v>1640.01</v>
      </c>
      <c r="AQ17" s="231">
        <v>1623.01</v>
      </c>
      <c r="AR17" s="228">
        <v>0</v>
      </c>
      <c r="AS17" s="228">
        <v>255</v>
      </c>
      <c r="AT17" s="228">
        <v>182</v>
      </c>
      <c r="AU17" s="228">
        <v>72</v>
      </c>
      <c r="AV17" s="229">
        <v>0.39779999999999999</v>
      </c>
      <c r="AW17" s="228">
        <v>207</v>
      </c>
      <c r="AX17" s="228">
        <v>164</v>
      </c>
      <c r="AY17" s="228">
        <v>43</v>
      </c>
      <c r="AZ17" s="229">
        <v>0.26519999999999999</v>
      </c>
      <c r="BA17" s="228">
        <v>45</v>
      </c>
      <c r="BB17" s="228">
        <v>18</v>
      </c>
      <c r="BC17" s="228">
        <v>27</v>
      </c>
      <c r="BD17" s="229">
        <v>1.544</v>
      </c>
      <c r="BE17" s="228">
        <v>2</v>
      </c>
      <c r="BF17" s="228">
        <v>1</v>
      </c>
      <c r="BG17" s="228">
        <v>2</v>
      </c>
      <c r="BH17" s="229">
        <v>2.8889</v>
      </c>
      <c r="BI17" s="228">
        <v>311</v>
      </c>
      <c r="BJ17" s="228">
        <v>313</v>
      </c>
      <c r="BK17" s="228">
        <v>-1</v>
      </c>
      <c r="BL17" s="229">
        <v>-4.3E-3</v>
      </c>
      <c r="BM17" s="228">
        <v>119</v>
      </c>
      <c r="BN17" s="228">
        <v>224</v>
      </c>
      <c r="BO17" s="228">
        <v>-105</v>
      </c>
      <c r="BP17" s="229">
        <v>-0.46949999999999997</v>
      </c>
      <c r="BQ17" s="228">
        <v>685</v>
      </c>
      <c r="BR17" s="228">
        <v>719</v>
      </c>
      <c r="BS17" s="228">
        <v>-34</v>
      </c>
      <c r="BT17" s="229">
        <v>-4.7399999999999998E-2</v>
      </c>
      <c r="BU17" s="230">
        <v>385505</v>
      </c>
      <c r="BV17" s="230">
        <v>520888</v>
      </c>
      <c r="BW17" s="230">
        <v>-135383</v>
      </c>
      <c r="BX17" s="229">
        <v>-0.25990000000000002</v>
      </c>
      <c r="BY17" s="230">
        <v>1501</v>
      </c>
      <c r="BZ17" s="230">
        <v>1458</v>
      </c>
      <c r="CA17" s="228">
        <v>44</v>
      </c>
      <c r="CB17" s="229">
        <v>2.9899999999999999E-2</v>
      </c>
      <c r="CC17" s="230">
        <v>1434</v>
      </c>
      <c r="CD17" s="230">
        <v>1416</v>
      </c>
      <c r="CE17" s="228">
        <v>18</v>
      </c>
      <c r="CF17" s="229">
        <v>1.2699999999999999E-2</v>
      </c>
      <c r="CG17" s="228">
        <v>65</v>
      </c>
      <c r="CH17" s="228">
        <v>40</v>
      </c>
      <c r="CI17" s="228">
        <v>25</v>
      </c>
      <c r="CJ17" s="229">
        <v>0.62190000000000001</v>
      </c>
      <c r="CK17" s="228">
        <v>3</v>
      </c>
      <c r="CL17" s="228">
        <v>2</v>
      </c>
      <c r="CM17" s="228">
        <v>1</v>
      </c>
      <c r="CN17" s="229">
        <v>0.5</v>
      </c>
      <c r="CO17" s="228">
        <v>299</v>
      </c>
      <c r="CP17" s="228">
        <v>281</v>
      </c>
      <c r="CQ17" s="228">
        <v>19</v>
      </c>
      <c r="CR17" s="229">
        <v>6.7199999999999996E-2</v>
      </c>
      <c r="CS17" s="228">
        <v>157</v>
      </c>
      <c r="CT17" s="228">
        <v>155</v>
      </c>
      <c r="CU17" s="228">
        <v>2</v>
      </c>
      <c r="CV17" s="229">
        <v>1.41E-2</v>
      </c>
      <c r="CW17" s="230">
        <v>1958</v>
      </c>
      <c r="CX17" s="230">
        <v>1893</v>
      </c>
      <c r="CY17" s="228">
        <v>65</v>
      </c>
      <c r="CZ17" s="229">
        <v>3.4099999999999998E-2</v>
      </c>
      <c r="DA17" s="228">
        <v>25.84</v>
      </c>
      <c r="DB17" s="228">
        <v>28.24</v>
      </c>
      <c r="DC17" s="228">
        <v>-2.4</v>
      </c>
      <c r="DD17" s="228">
        <v>-2.4</v>
      </c>
      <c r="DE17" s="228">
        <v>34.020000000000003</v>
      </c>
      <c r="DF17" s="228">
        <v>33.96</v>
      </c>
      <c r="DG17" s="228">
        <v>-8.18</v>
      </c>
      <c r="DH17" s="228">
        <v>0.06</v>
      </c>
      <c r="DI17" s="228">
        <v>25.09</v>
      </c>
      <c r="DJ17" s="228">
        <v>27.45</v>
      </c>
      <c r="DK17" s="228">
        <v>-2.36</v>
      </c>
      <c r="DL17" s="228">
        <v>-2.36</v>
      </c>
      <c r="DM17" s="228">
        <v>27.81</v>
      </c>
      <c r="DN17" s="228">
        <v>29.34</v>
      </c>
      <c r="DO17" s="228">
        <v>-1.53</v>
      </c>
      <c r="DP17" s="228">
        <v>-1.53</v>
      </c>
      <c r="DQ17" s="228">
        <v>0.53</v>
      </c>
      <c r="DR17" s="228">
        <v>0.55000000000000004</v>
      </c>
      <c r="DS17" s="228">
        <v>-0.02</v>
      </c>
      <c r="DT17" s="229">
        <v>-3.6400000000000002E-2</v>
      </c>
      <c r="DU17" s="231">
        <v>1700</v>
      </c>
      <c r="DV17" s="231">
        <v>1500</v>
      </c>
      <c r="DW17" s="228">
        <v>0.38</v>
      </c>
      <c r="DX17" s="228">
        <v>0.72</v>
      </c>
      <c r="DY17" s="228">
        <v>-0.34</v>
      </c>
      <c r="DZ17" s="229">
        <v>-0.47220000000000001</v>
      </c>
      <c r="EA17" s="229">
        <v>4.4699999999999997E-2</v>
      </c>
      <c r="EB17" s="230">
        <v>250750</v>
      </c>
      <c r="EC17" s="229">
        <v>-9.4000000000000004E-3</v>
      </c>
      <c r="ED17" s="229">
        <v>4.4699999999999997E-2</v>
      </c>
      <c r="EE17" s="228">
        <v>-17</v>
      </c>
      <c r="EF17" s="229">
        <v>-1.04E-2</v>
      </c>
      <c r="EG17" s="230">
        <v>153023</v>
      </c>
      <c r="EH17" s="230">
        <v>224400</v>
      </c>
      <c r="EI17" s="229">
        <v>-0.31809999999999999</v>
      </c>
      <c r="EJ17" s="229">
        <v>0.39689999999999998</v>
      </c>
      <c r="EK17" s="228">
        <v>325.75</v>
      </c>
      <c r="EL17" s="228">
        <v>114.89</v>
      </c>
      <c r="EM17" s="228">
        <v>251.74</v>
      </c>
      <c r="EN17" s="228">
        <v>30.17</v>
      </c>
      <c r="EO17" s="228">
        <v>692.37</v>
      </c>
      <c r="EP17" s="228">
        <v>716.97</v>
      </c>
      <c r="EQ17" s="228">
        <v>-24.6</v>
      </c>
      <c r="ER17" s="229">
        <v>-3.4299999999999997E-2</v>
      </c>
      <c r="ES17" s="228">
        <v>306.94</v>
      </c>
      <c r="ET17" s="228">
        <v>147.49</v>
      </c>
      <c r="EU17" s="231">
        <v>1500.62</v>
      </c>
      <c r="EV17" s="231">
        <v>18450534</v>
      </c>
      <c r="EW17" s="231">
        <v>1955.05</v>
      </c>
      <c r="EX17" s="231">
        <v>1855.27</v>
      </c>
      <c r="EY17" s="228">
        <v>99.78</v>
      </c>
      <c r="EZ17" s="229">
        <v>5.3800000000000001E-2</v>
      </c>
      <c r="FA17" s="229">
        <v>0.64100000000000001</v>
      </c>
      <c r="FB17" s="227" t="s">
        <v>555</v>
      </c>
      <c r="FC17">
        <f t="shared" si="0"/>
        <v>67</v>
      </c>
    </row>
    <row r="18" spans="1:159" ht="17.25" hidden="1" thickBot="1" x14ac:dyDescent="0.3">
      <c r="A18" s="226">
        <v>46086</v>
      </c>
      <c r="B18" s="227" t="s">
        <v>172</v>
      </c>
      <c r="C18" s="227" t="s">
        <v>495</v>
      </c>
      <c r="D18" s="228">
        <v>1000</v>
      </c>
      <c r="E18" s="228">
        <v>25</v>
      </c>
      <c r="F18" s="228">
        <v>974.9</v>
      </c>
      <c r="G18" s="228">
        <v>949.6</v>
      </c>
      <c r="H18" s="228">
        <v>25.3</v>
      </c>
      <c r="I18" s="229">
        <v>2.6599999999999999E-2</v>
      </c>
      <c r="J18" s="228">
        <v>973.45</v>
      </c>
      <c r="K18" s="228">
        <v>946.1</v>
      </c>
      <c r="L18" s="228">
        <v>27.35</v>
      </c>
      <c r="M18" s="229">
        <v>2.8899999999999999E-2</v>
      </c>
      <c r="N18" s="228">
        <v>974.9</v>
      </c>
      <c r="O18" s="228">
        <v>949.6</v>
      </c>
      <c r="P18" s="228">
        <v>25.3</v>
      </c>
      <c r="Q18" s="229">
        <v>2.6599999999999999E-2</v>
      </c>
      <c r="R18" s="228">
        <v>979.15</v>
      </c>
      <c r="S18" s="228">
        <v>953.85</v>
      </c>
      <c r="T18" s="228">
        <v>25.3</v>
      </c>
      <c r="U18" s="229">
        <v>2.6499999999999999E-2</v>
      </c>
      <c r="V18" s="228">
        <v>982.4</v>
      </c>
      <c r="W18" s="228">
        <v>959.9</v>
      </c>
      <c r="X18" s="228">
        <v>22.5</v>
      </c>
      <c r="Y18" s="229">
        <v>2.3400000000000001E-2</v>
      </c>
      <c r="Z18" s="228">
        <v>1.45</v>
      </c>
      <c r="AA18" s="228">
        <v>3.5</v>
      </c>
      <c r="AB18" s="228">
        <v>-2.0499999999999998</v>
      </c>
      <c r="AC18" s="229">
        <v>1.5E-3</v>
      </c>
      <c r="AD18" s="228">
        <v>1.45</v>
      </c>
      <c r="AE18" s="228">
        <v>3.5</v>
      </c>
      <c r="AF18" s="228">
        <v>-2.0499999999999998</v>
      </c>
      <c r="AG18" s="229">
        <v>1.5E-3</v>
      </c>
      <c r="AH18" s="228">
        <v>5.7</v>
      </c>
      <c r="AI18" s="228">
        <v>7.75</v>
      </c>
      <c r="AJ18" s="228">
        <v>-2.0499999999999998</v>
      </c>
      <c r="AK18" s="229">
        <v>5.8999999999999999E-3</v>
      </c>
      <c r="AL18" s="228">
        <v>8.9499999999999993</v>
      </c>
      <c r="AM18" s="228">
        <v>13.8</v>
      </c>
      <c r="AN18" s="228">
        <v>-4.8499999999999996</v>
      </c>
      <c r="AO18" s="229">
        <v>9.1999999999999998E-3</v>
      </c>
      <c r="AP18" s="228">
        <v>967.36</v>
      </c>
      <c r="AQ18" s="228">
        <v>972.13</v>
      </c>
      <c r="AR18" s="228">
        <v>0</v>
      </c>
      <c r="AS18" s="228">
        <v>483</v>
      </c>
      <c r="AT18" s="228">
        <v>734</v>
      </c>
      <c r="AU18" s="228">
        <v>-251</v>
      </c>
      <c r="AV18" s="229">
        <v>-0.34210000000000002</v>
      </c>
      <c r="AW18" s="228">
        <v>455</v>
      </c>
      <c r="AX18" s="228">
        <v>706</v>
      </c>
      <c r="AY18" s="228">
        <v>-251</v>
      </c>
      <c r="AZ18" s="229">
        <v>-0.35520000000000002</v>
      </c>
      <c r="BA18" s="228">
        <v>21</v>
      </c>
      <c r="BB18" s="228">
        <v>27</v>
      </c>
      <c r="BC18" s="228">
        <v>-6</v>
      </c>
      <c r="BD18" s="229">
        <v>-0.2283</v>
      </c>
      <c r="BE18" s="228">
        <v>7</v>
      </c>
      <c r="BF18" s="228">
        <v>2</v>
      </c>
      <c r="BG18" s="228">
        <v>6</v>
      </c>
      <c r="BH18" s="229">
        <v>3.4117999999999999</v>
      </c>
      <c r="BI18" s="228">
        <v>760</v>
      </c>
      <c r="BJ18" s="230">
        <v>1066</v>
      </c>
      <c r="BK18" s="228">
        <v>-306</v>
      </c>
      <c r="BL18" s="229">
        <v>-0.2873</v>
      </c>
      <c r="BM18" s="228">
        <v>683</v>
      </c>
      <c r="BN18" s="230">
        <v>1050</v>
      </c>
      <c r="BO18" s="228">
        <v>-367</v>
      </c>
      <c r="BP18" s="229">
        <v>-0.34939999999999999</v>
      </c>
      <c r="BQ18" s="230">
        <v>1926</v>
      </c>
      <c r="BR18" s="230">
        <v>2850</v>
      </c>
      <c r="BS18" s="228">
        <v>-924</v>
      </c>
      <c r="BT18" s="229">
        <v>-0.32429999999999998</v>
      </c>
      <c r="BU18" s="230">
        <v>1919079</v>
      </c>
      <c r="BV18" s="230">
        <v>2452461</v>
      </c>
      <c r="BW18" s="230">
        <v>-533382</v>
      </c>
      <c r="BX18" s="229">
        <v>-0.2175</v>
      </c>
      <c r="BY18" s="230">
        <v>2191</v>
      </c>
      <c r="BZ18" s="230">
        <v>2138</v>
      </c>
      <c r="CA18" s="228">
        <v>54</v>
      </c>
      <c r="CB18" s="229">
        <v>2.5000000000000001E-2</v>
      </c>
      <c r="CC18" s="230">
        <v>2156</v>
      </c>
      <c r="CD18" s="230">
        <v>2098</v>
      </c>
      <c r="CE18" s="228">
        <v>58</v>
      </c>
      <c r="CF18" s="229">
        <v>2.7400000000000001E-2</v>
      </c>
      <c r="CG18" s="228">
        <v>32</v>
      </c>
      <c r="CH18" s="228">
        <v>33</v>
      </c>
      <c r="CI18" s="228">
        <v>-1</v>
      </c>
      <c r="CJ18" s="229">
        <v>-2.6499999999999999E-2</v>
      </c>
      <c r="CK18" s="228">
        <v>3</v>
      </c>
      <c r="CL18" s="228">
        <v>7</v>
      </c>
      <c r="CM18" s="228">
        <v>-3</v>
      </c>
      <c r="CN18" s="229">
        <v>-0.47760000000000002</v>
      </c>
      <c r="CO18" s="228">
        <v>652</v>
      </c>
      <c r="CP18" s="228">
        <v>706</v>
      </c>
      <c r="CQ18" s="228">
        <v>-53</v>
      </c>
      <c r="CR18" s="229">
        <v>-7.5700000000000003E-2</v>
      </c>
      <c r="CS18" s="228">
        <v>471</v>
      </c>
      <c r="CT18" s="228">
        <v>453</v>
      </c>
      <c r="CU18" s="228">
        <v>19</v>
      </c>
      <c r="CV18" s="229">
        <v>4.0899999999999999E-2</v>
      </c>
      <c r="CW18" s="230">
        <v>3315</v>
      </c>
      <c r="CX18" s="230">
        <v>3296</v>
      </c>
      <c r="CY18" s="228">
        <v>19</v>
      </c>
      <c r="CZ18" s="229">
        <v>5.5999999999999999E-3</v>
      </c>
      <c r="DA18" s="228">
        <v>27.94</v>
      </c>
      <c r="DB18" s="228">
        <v>31.06</v>
      </c>
      <c r="DC18" s="228">
        <v>-3.12</v>
      </c>
      <c r="DD18" s="228">
        <v>-3.12</v>
      </c>
      <c r="DE18" s="228">
        <v>34.92</v>
      </c>
      <c r="DF18" s="228">
        <v>34.799999999999997</v>
      </c>
      <c r="DG18" s="228">
        <v>-6.98</v>
      </c>
      <c r="DH18" s="228">
        <v>0.12</v>
      </c>
      <c r="DI18" s="228">
        <v>27.11</v>
      </c>
      <c r="DJ18" s="228">
        <v>30.13</v>
      </c>
      <c r="DK18" s="228">
        <v>-3.02</v>
      </c>
      <c r="DL18" s="228">
        <v>-3.02</v>
      </c>
      <c r="DM18" s="228">
        <v>28.87</v>
      </c>
      <c r="DN18" s="228">
        <v>32</v>
      </c>
      <c r="DO18" s="228">
        <v>-3.13</v>
      </c>
      <c r="DP18" s="228">
        <v>-3.13</v>
      </c>
      <c r="DQ18" s="228">
        <v>0.72</v>
      </c>
      <c r="DR18" s="228">
        <v>0.64</v>
      </c>
      <c r="DS18" s="228">
        <v>0.08</v>
      </c>
      <c r="DT18" s="229">
        <v>0.125</v>
      </c>
      <c r="DU18" s="231">
        <v>1000</v>
      </c>
      <c r="DV18" s="228">
        <v>950</v>
      </c>
      <c r="DW18" s="228">
        <v>0.9</v>
      </c>
      <c r="DX18" s="228">
        <v>0.99</v>
      </c>
      <c r="DY18" s="228">
        <v>-0.09</v>
      </c>
      <c r="DZ18" s="229">
        <v>-9.0899999999999995E-2</v>
      </c>
      <c r="EA18" s="229">
        <v>1.6299999999999999E-2</v>
      </c>
      <c r="EB18" s="230">
        <v>407000</v>
      </c>
      <c r="EC18" s="229">
        <v>4.4000000000000003E-3</v>
      </c>
      <c r="ED18" s="229">
        <v>1.6299999999999999E-2</v>
      </c>
      <c r="EE18" s="228">
        <v>4.7699999999999996</v>
      </c>
      <c r="EF18" s="229">
        <v>4.8999999999999998E-3</v>
      </c>
      <c r="EG18" s="230">
        <v>1166412</v>
      </c>
      <c r="EH18" s="230">
        <v>1325253</v>
      </c>
      <c r="EI18" s="229">
        <v>-0.11990000000000001</v>
      </c>
      <c r="EJ18" s="229">
        <v>0.60780000000000001</v>
      </c>
      <c r="EK18" s="228">
        <v>791.83</v>
      </c>
      <c r="EL18" s="228">
        <v>665.2</v>
      </c>
      <c r="EM18" s="228">
        <v>479.58</v>
      </c>
      <c r="EN18" s="228">
        <v>77.69</v>
      </c>
      <c r="EO18" s="231">
        <v>1936.61</v>
      </c>
      <c r="EP18" s="231">
        <v>2824.55</v>
      </c>
      <c r="EQ18" s="228">
        <v>-887.94</v>
      </c>
      <c r="ER18" s="229">
        <v>-0.31440000000000001</v>
      </c>
      <c r="ES18" s="228">
        <v>683.68</v>
      </c>
      <c r="ET18" s="228">
        <v>453.93</v>
      </c>
      <c r="EU18" s="231">
        <v>2191.64</v>
      </c>
      <c r="EV18" s="231">
        <v>86371921</v>
      </c>
      <c r="EW18" s="231">
        <v>3329.26</v>
      </c>
      <c r="EX18" s="231">
        <v>3254.54</v>
      </c>
      <c r="EY18" s="228">
        <v>74.72</v>
      </c>
      <c r="EZ18" s="229">
        <v>2.3E-2</v>
      </c>
      <c r="FA18" s="229">
        <v>0.39369999999999999</v>
      </c>
      <c r="FB18" s="227" t="s">
        <v>555</v>
      </c>
      <c r="FC18">
        <f t="shared" si="0"/>
        <v>35</v>
      </c>
    </row>
    <row r="19" spans="1:159" ht="17.25" hidden="1" thickBot="1" x14ac:dyDescent="0.3">
      <c r="A19" s="226">
        <v>46086</v>
      </c>
      <c r="B19" s="227" t="s">
        <v>170</v>
      </c>
      <c r="C19" s="227" t="s">
        <v>171</v>
      </c>
      <c r="D19" s="228">
        <v>550</v>
      </c>
      <c r="E19" s="228">
        <v>25</v>
      </c>
      <c r="F19" s="231">
        <v>1228.3</v>
      </c>
      <c r="G19" s="231">
        <v>1197.5999999999999</v>
      </c>
      <c r="H19" s="228">
        <v>30.7</v>
      </c>
      <c r="I19" s="229">
        <v>2.5600000000000001E-2</v>
      </c>
      <c r="J19" s="231">
        <v>1225.5</v>
      </c>
      <c r="K19" s="231">
        <v>1195.4000000000001</v>
      </c>
      <c r="L19" s="228">
        <v>30.1</v>
      </c>
      <c r="M19" s="229">
        <v>2.52E-2</v>
      </c>
      <c r="N19" s="231">
        <v>1228.3</v>
      </c>
      <c r="O19" s="231">
        <v>1197.5999999999999</v>
      </c>
      <c r="P19" s="228">
        <v>30.7</v>
      </c>
      <c r="Q19" s="229">
        <v>2.5600000000000001E-2</v>
      </c>
      <c r="R19" s="231">
        <v>1235.8</v>
      </c>
      <c r="S19" s="231">
        <v>1205.5999999999999</v>
      </c>
      <c r="T19" s="228">
        <v>30.2</v>
      </c>
      <c r="U19" s="229">
        <v>2.5000000000000001E-2</v>
      </c>
      <c r="V19" s="231">
        <v>1244.2</v>
      </c>
      <c r="W19" s="231">
        <v>1214.2</v>
      </c>
      <c r="X19" s="228">
        <v>30</v>
      </c>
      <c r="Y19" s="229">
        <v>2.47E-2</v>
      </c>
      <c r="Z19" s="228">
        <v>2.8</v>
      </c>
      <c r="AA19" s="228">
        <v>2.2000000000000002</v>
      </c>
      <c r="AB19" s="228">
        <v>0.6</v>
      </c>
      <c r="AC19" s="229">
        <v>2.3E-3</v>
      </c>
      <c r="AD19" s="228">
        <v>2.8</v>
      </c>
      <c r="AE19" s="228">
        <v>2.2000000000000002</v>
      </c>
      <c r="AF19" s="228">
        <v>0.6</v>
      </c>
      <c r="AG19" s="229">
        <v>2.3E-3</v>
      </c>
      <c r="AH19" s="228">
        <v>10.3</v>
      </c>
      <c r="AI19" s="228">
        <v>10.199999999999999</v>
      </c>
      <c r="AJ19" s="228">
        <v>0.1</v>
      </c>
      <c r="AK19" s="229">
        <v>8.3999999999999995E-3</v>
      </c>
      <c r="AL19" s="228">
        <v>18.7</v>
      </c>
      <c r="AM19" s="228">
        <v>18.8</v>
      </c>
      <c r="AN19" s="228">
        <v>-0.1</v>
      </c>
      <c r="AO19" s="229">
        <v>1.5299999999999999E-2</v>
      </c>
      <c r="AP19" s="231">
        <v>1221.6199999999999</v>
      </c>
      <c r="AQ19" s="231">
        <v>1226.58</v>
      </c>
      <c r="AR19" s="228">
        <v>0</v>
      </c>
      <c r="AS19" s="228">
        <v>243</v>
      </c>
      <c r="AT19" s="228">
        <v>235</v>
      </c>
      <c r="AU19" s="228">
        <v>7</v>
      </c>
      <c r="AV19" s="229">
        <v>3.1899999999999998E-2</v>
      </c>
      <c r="AW19" s="228">
        <v>236</v>
      </c>
      <c r="AX19" s="228">
        <v>231</v>
      </c>
      <c r="AY19" s="228">
        <v>5</v>
      </c>
      <c r="AZ19" s="229">
        <v>1.9900000000000001E-2</v>
      </c>
      <c r="BA19" s="228">
        <v>7</v>
      </c>
      <c r="BB19" s="228">
        <v>4</v>
      </c>
      <c r="BC19" s="228">
        <v>3</v>
      </c>
      <c r="BD19" s="229">
        <v>0.80700000000000005</v>
      </c>
      <c r="BE19" s="228">
        <v>0</v>
      </c>
      <c r="BF19" s="228">
        <v>0</v>
      </c>
      <c r="BG19" s="228">
        <v>0</v>
      </c>
      <c r="BH19" s="229">
        <v>-0.6</v>
      </c>
      <c r="BI19" s="228">
        <v>573</v>
      </c>
      <c r="BJ19" s="228">
        <v>461</v>
      </c>
      <c r="BK19" s="228">
        <v>113</v>
      </c>
      <c r="BL19" s="229">
        <v>0.24440000000000001</v>
      </c>
      <c r="BM19" s="228">
        <v>176</v>
      </c>
      <c r="BN19" s="228">
        <v>270</v>
      </c>
      <c r="BO19" s="228">
        <v>-95</v>
      </c>
      <c r="BP19" s="229">
        <v>-0.3498</v>
      </c>
      <c r="BQ19" s="228">
        <v>992</v>
      </c>
      <c r="BR19" s="228">
        <v>966</v>
      </c>
      <c r="BS19" s="228">
        <v>26</v>
      </c>
      <c r="BT19" s="229">
        <v>2.6499999999999999E-2</v>
      </c>
      <c r="BU19" s="230">
        <v>931681</v>
      </c>
      <c r="BV19" s="230">
        <v>932834</v>
      </c>
      <c r="BW19" s="230">
        <v>-1153</v>
      </c>
      <c r="BX19" s="229">
        <v>-1.1999999999999999E-3</v>
      </c>
      <c r="BY19" s="230">
        <v>2723</v>
      </c>
      <c r="BZ19" s="230">
        <v>2721</v>
      </c>
      <c r="CA19" s="228">
        <v>2</v>
      </c>
      <c r="CB19" s="229">
        <v>8.0000000000000004E-4</v>
      </c>
      <c r="CC19" s="230">
        <v>2708</v>
      </c>
      <c r="CD19" s="230">
        <v>2707</v>
      </c>
      <c r="CE19" s="228">
        <v>1</v>
      </c>
      <c r="CF19" s="229">
        <v>4.0000000000000002E-4</v>
      </c>
      <c r="CG19" s="228">
        <v>14</v>
      </c>
      <c r="CH19" s="228">
        <v>13</v>
      </c>
      <c r="CI19" s="228">
        <v>1</v>
      </c>
      <c r="CJ19" s="229">
        <v>6.5299999999999997E-2</v>
      </c>
      <c r="CK19" s="228">
        <v>1</v>
      </c>
      <c r="CL19" s="228">
        <v>1</v>
      </c>
      <c r="CM19" s="228">
        <v>0</v>
      </c>
      <c r="CN19" s="229">
        <v>0.18179999999999999</v>
      </c>
      <c r="CO19" s="228">
        <v>473</v>
      </c>
      <c r="CP19" s="228">
        <v>477</v>
      </c>
      <c r="CQ19" s="228">
        <v>-4</v>
      </c>
      <c r="CR19" s="229">
        <v>-7.4999999999999997E-3</v>
      </c>
      <c r="CS19" s="228">
        <v>312</v>
      </c>
      <c r="CT19" s="228">
        <v>300</v>
      </c>
      <c r="CU19" s="228">
        <v>13</v>
      </c>
      <c r="CV19" s="229">
        <v>4.2200000000000001E-2</v>
      </c>
      <c r="CW19" s="230">
        <v>3509</v>
      </c>
      <c r="CX19" s="230">
        <v>3498</v>
      </c>
      <c r="CY19" s="228">
        <v>11</v>
      </c>
      <c r="CZ19" s="229">
        <v>3.2000000000000002E-3</v>
      </c>
      <c r="DA19" s="228">
        <v>29.04</v>
      </c>
      <c r="DB19" s="228">
        <v>31.18</v>
      </c>
      <c r="DC19" s="228">
        <v>-2.14</v>
      </c>
      <c r="DD19" s="228">
        <v>-2.14</v>
      </c>
      <c r="DE19" s="228">
        <v>34.07</v>
      </c>
      <c r="DF19" s="228">
        <v>33.99</v>
      </c>
      <c r="DG19" s="228">
        <v>-5.03</v>
      </c>
      <c r="DH19" s="228">
        <v>0.08</v>
      </c>
      <c r="DI19" s="228">
        <v>28.6</v>
      </c>
      <c r="DJ19" s="228">
        <v>30.64</v>
      </c>
      <c r="DK19" s="228">
        <v>-2.04</v>
      </c>
      <c r="DL19" s="228">
        <v>-2.04</v>
      </c>
      <c r="DM19" s="228">
        <v>30.48</v>
      </c>
      <c r="DN19" s="228">
        <v>32.1</v>
      </c>
      <c r="DO19" s="228">
        <v>-1.62</v>
      </c>
      <c r="DP19" s="228">
        <v>-1.62</v>
      </c>
      <c r="DQ19" s="228">
        <v>0.66</v>
      </c>
      <c r="DR19" s="228">
        <v>0.63</v>
      </c>
      <c r="DS19" s="228">
        <v>0.03</v>
      </c>
      <c r="DT19" s="229">
        <v>4.7600000000000003E-2</v>
      </c>
      <c r="DU19" s="231">
        <v>1200</v>
      </c>
      <c r="DV19" s="231">
        <v>1200</v>
      </c>
      <c r="DW19" s="228">
        <v>0.31</v>
      </c>
      <c r="DX19" s="228">
        <v>0.59</v>
      </c>
      <c r="DY19" s="228">
        <v>-0.28000000000000003</v>
      </c>
      <c r="DZ19" s="229">
        <v>-0.47460000000000002</v>
      </c>
      <c r="EA19" s="229">
        <v>5.5999999999999999E-3</v>
      </c>
      <c r="EB19" s="230">
        <v>115500</v>
      </c>
      <c r="EC19" s="229">
        <v>6.1000000000000004E-3</v>
      </c>
      <c r="ED19" s="229">
        <v>5.5999999999999999E-3</v>
      </c>
      <c r="EE19" s="228">
        <v>4.96</v>
      </c>
      <c r="EF19" s="229">
        <v>4.1000000000000003E-3</v>
      </c>
      <c r="EG19" s="230">
        <v>334204</v>
      </c>
      <c r="EH19" s="230">
        <v>490960</v>
      </c>
      <c r="EI19" s="229">
        <v>-0.31929999999999997</v>
      </c>
      <c r="EJ19" s="229">
        <v>0.35870000000000002</v>
      </c>
      <c r="EK19" s="228">
        <v>595.16999999999996</v>
      </c>
      <c r="EL19" s="228">
        <v>171.28</v>
      </c>
      <c r="EM19" s="228">
        <v>241.51</v>
      </c>
      <c r="EN19" s="228">
        <v>45.24</v>
      </c>
      <c r="EO19" s="231">
        <v>1007.96</v>
      </c>
      <c r="EP19" s="228">
        <v>963.65</v>
      </c>
      <c r="EQ19" s="228">
        <v>44.31</v>
      </c>
      <c r="ER19" s="229">
        <v>4.5999999999999999E-2</v>
      </c>
      <c r="ES19" s="228">
        <v>480.79</v>
      </c>
      <c r="ET19" s="228">
        <v>296.76</v>
      </c>
      <c r="EU19" s="231">
        <v>2723.44</v>
      </c>
      <c r="EV19" s="231">
        <v>41977935</v>
      </c>
      <c r="EW19" s="231">
        <v>3500.98</v>
      </c>
      <c r="EX19" s="231">
        <v>3422.05</v>
      </c>
      <c r="EY19" s="228">
        <v>78.930000000000007</v>
      </c>
      <c r="EZ19" s="229">
        <v>2.3099999999999999E-2</v>
      </c>
      <c r="FA19" s="229">
        <v>0.68049999999999999</v>
      </c>
      <c r="FB19" s="227" t="s">
        <v>555</v>
      </c>
      <c r="FC19">
        <f t="shared" si="0"/>
        <v>15</v>
      </c>
    </row>
    <row r="20" spans="1:159" ht="17.25" hidden="1" thickBot="1" x14ac:dyDescent="0.3">
      <c r="A20" s="226">
        <v>46086</v>
      </c>
      <c r="B20" s="227" t="s">
        <v>172</v>
      </c>
      <c r="C20" s="227" t="s">
        <v>173</v>
      </c>
      <c r="D20" s="228">
        <v>625</v>
      </c>
      <c r="E20" s="228">
        <v>25</v>
      </c>
      <c r="F20" s="231">
        <v>1356.1</v>
      </c>
      <c r="G20" s="231">
        <v>1353.8</v>
      </c>
      <c r="H20" s="228">
        <v>2.2999999999999998</v>
      </c>
      <c r="I20" s="229">
        <v>1.6999999999999999E-3</v>
      </c>
      <c r="J20" s="231">
        <v>1349.1</v>
      </c>
      <c r="K20" s="231">
        <v>1351.3</v>
      </c>
      <c r="L20" s="228">
        <v>-2.2000000000000002</v>
      </c>
      <c r="M20" s="229">
        <v>-1.6000000000000001E-3</v>
      </c>
      <c r="N20" s="231">
        <v>1356.1</v>
      </c>
      <c r="O20" s="231">
        <v>1353.8</v>
      </c>
      <c r="P20" s="228">
        <v>2.2999999999999998</v>
      </c>
      <c r="Q20" s="229">
        <v>1.6999999999999999E-3</v>
      </c>
      <c r="R20" s="231">
        <v>1364.9</v>
      </c>
      <c r="S20" s="231">
        <v>1361.8</v>
      </c>
      <c r="T20" s="228">
        <v>3.1</v>
      </c>
      <c r="U20" s="229">
        <v>2.3E-3</v>
      </c>
      <c r="V20" s="231">
        <v>1367.2</v>
      </c>
      <c r="W20" s="231">
        <v>1370.5</v>
      </c>
      <c r="X20" s="228">
        <v>-3.3</v>
      </c>
      <c r="Y20" s="229">
        <v>-2.3999999999999998E-3</v>
      </c>
      <c r="Z20" s="228">
        <v>7</v>
      </c>
      <c r="AA20" s="228">
        <v>2.5</v>
      </c>
      <c r="AB20" s="228">
        <v>4.5</v>
      </c>
      <c r="AC20" s="229">
        <v>5.1999999999999998E-3</v>
      </c>
      <c r="AD20" s="228">
        <v>7</v>
      </c>
      <c r="AE20" s="228">
        <v>2.5</v>
      </c>
      <c r="AF20" s="228">
        <v>4.5</v>
      </c>
      <c r="AG20" s="229">
        <v>5.1999999999999998E-3</v>
      </c>
      <c r="AH20" s="228">
        <v>15.8</v>
      </c>
      <c r="AI20" s="228">
        <v>10.5</v>
      </c>
      <c r="AJ20" s="228">
        <v>5.3</v>
      </c>
      <c r="AK20" s="229">
        <v>1.17E-2</v>
      </c>
      <c r="AL20" s="228">
        <v>18.100000000000001</v>
      </c>
      <c r="AM20" s="228">
        <v>19.2</v>
      </c>
      <c r="AN20" s="228">
        <v>-1.1000000000000001</v>
      </c>
      <c r="AO20" s="229">
        <v>1.34E-2</v>
      </c>
      <c r="AP20" s="231">
        <v>1353.04</v>
      </c>
      <c r="AQ20" s="231">
        <v>1360.44</v>
      </c>
      <c r="AR20" s="228">
        <v>0</v>
      </c>
      <c r="AS20" s="230">
        <v>1196</v>
      </c>
      <c r="AT20" s="230">
        <v>1416</v>
      </c>
      <c r="AU20" s="228">
        <v>-220</v>
      </c>
      <c r="AV20" s="229">
        <v>-0.15540000000000001</v>
      </c>
      <c r="AW20" s="230">
        <v>1149</v>
      </c>
      <c r="AX20" s="230">
        <v>1377</v>
      </c>
      <c r="AY20" s="228">
        <v>-228</v>
      </c>
      <c r="AZ20" s="229">
        <v>-0.1656</v>
      </c>
      <c r="BA20" s="228">
        <v>43</v>
      </c>
      <c r="BB20" s="228">
        <v>37</v>
      </c>
      <c r="BC20" s="228">
        <v>6</v>
      </c>
      <c r="BD20" s="229">
        <v>0.16550000000000001</v>
      </c>
      <c r="BE20" s="228">
        <v>4</v>
      </c>
      <c r="BF20" s="228">
        <v>3</v>
      </c>
      <c r="BG20" s="228">
        <v>2</v>
      </c>
      <c r="BH20" s="229">
        <v>0.65629999999999999</v>
      </c>
      <c r="BI20" s="230">
        <v>2307</v>
      </c>
      <c r="BJ20" s="230">
        <v>3537</v>
      </c>
      <c r="BK20" s="230">
        <v>-1230</v>
      </c>
      <c r="BL20" s="229">
        <v>-0.34770000000000001</v>
      </c>
      <c r="BM20" s="230">
        <v>1772</v>
      </c>
      <c r="BN20" s="230">
        <v>2570</v>
      </c>
      <c r="BO20" s="228">
        <v>-798</v>
      </c>
      <c r="BP20" s="229">
        <v>-0.31040000000000001</v>
      </c>
      <c r="BQ20" s="230">
        <v>5276</v>
      </c>
      <c r="BR20" s="230">
        <v>7523</v>
      </c>
      <c r="BS20" s="230">
        <v>-2247</v>
      </c>
      <c r="BT20" s="229">
        <v>-0.29870000000000002</v>
      </c>
      <c r="BU20" s="230">
        <v>6328560</v>
      </c>
      <c r="BV20" s="230">
        <v>5967107</v>
      </c>
      <c r="BW20" s="230">
        <v>361453</v>
      </c>
      <c r="BX20" s="229">
        <v>6.0600000000000001E-2</v>
      </c>
      <c r="BY20" s="230">
        <v>8605</v>
      </c>
      <c r="BZ20" s="230">
        <v>8482</v>
      </c>
      <c r="CA20" s="228">
        <v>123</v>
      </c>
      <c r="CB20" s="229">
        <v>1.4500000000000001E-2</v>
      </c>
      <c r="CC20" s="230">
        <v>8505</v>
      </c>
      <c r="CD20" s="230">
        <v>8400</v>
      </c>
      <c r="CE20" s="228">
        <v>105</v>
      </c>
      <c r="CF20" s="229">
        <v>1.2500000000000001E-2</v>
      </c>
      <c r="CG20" s="228">
        <v>91</v>
      </c>
      <c r="CH20" s="228">
        <v>75</v>
      </c>
      <c r="CI20" s="228">
        <v>16</v>
      </c>
      <c r="CJ20" s="229">
        <v>0.2172</v>
      </c>
      <c r="CK20" s="228">
        <v>9</v>
      </c>
      <c r="CL20" s="228">
        <v>7</v>
      </c>
      <c r="CM20" s="228">
        <v>1</v>
      </c>
      <c r="CN20" s="229">
        <v>0.2024</v>
      </c>
      <c r="CO20" s="230">
        <v>2148</v>
      </c>
      <c r="CP20" s="230">
        <v>1993</v>
      </c>
      <c r="CQ20" s="228">
        <v>155</v>
      </c>
      <c r="CR20" s="229">
        <v>7.7600000000000002E-2</v>
      </c>
      <c r="CS20" s="230">
        <v>1245</v>
      </c>
      <c r="CT20" s="230">
        <v>1226</v>
      </c>
      <c r="CU20" s="228">
        <v>19</v>
      </c>
      <c r="CV20" s="229">
        <v>1.5800000000000002E-2</v>
      </c>
      <c r="CW20" s="230">
        <v>11998</v>
      </c>
      <c r="CX20" s="230">
        <v>11701</v>
      </c>
      <c r="CY20" s="228">
        <v>297</v>
      </c>
      <c r="CZ20" s="229">
        <v>2.5399999999999999E-2</v>
      </c>
      <c r="DA20" s="228">
        <v>19.13</v>
      </c>
      <c r="DB20" s="228">
        <v>22.82</v>
      </c>
      <c r="DC20" s="228">
        <v>-3.69</v>
      </c>
      <c r="DD20" s="228">
        <v>-3.69</v>
      </c>
      <c r="DE20" s="228">
        <v>26.35</v>
      </c>
      <c r="DF20" s="228">
        <v>26.42</v>
      </c>
      <c r="DG20" s="228">
        <v>-7.22</v>
      </c>
      <c r="DH20" s="228">
        <v>-7.0000000000000007E-2</v>
      </c>
      <c r="DI20" s="228">
        <v>18.03</v>
      </c>
      <c r="DJ20" s="228">
        <v>21.38</v>
      </c>
      <c r="DK20" s="228">
        <v>-3.35</v>
      </c>
      <c r="DL20" s="228">
        <v>-3.35</v>
      </c>
      <c r="DM20" s="228">
        <v>20.56</v>
      </c>
      <c r="DN20" s="228">
        <v>24.79</v>
      </c>
      <c r="DO20" s="228">
        <v>-4.2300000000000004</v>
      </c>
      <c r="DP20" s="228">
        <v>-4.2300000000000004</v>
      </c>
      <c r="DQ20" s="228">
        <v>0.57999999999999996</v>
      </c>
      <c r="DR20" s="228">
        <v>0.62</v>
      </c>
      <c r="DS20" s="228">
        <v>-0.04</v>
      </c>
      <c r="DT20" s="229">
        <v>-6.4500000000000002E-2</v>
      </c>
      <c r="DU20" s="231">
        <v>1350</v>
      </c>
      <c r="DV20" s="231">
        <v>1340</v>
      </c>
      <c r="DW20" s="228">
        <v>0.77</v>
      </c>
      <c r="DX20" s="228">
        <v>0.73</v>
      </c>
      <c r="DY20" s="228">
        <v>0.04</v>
      </c>
      <c r="DZ20" s="229">
        <v>5.4800000000000001E-2</v>
      </c>
      <c r="EA20" s="229">
        <v>1.1599999999999999E-2</v>
      </c>
      <c r="EB20" s="230">
        <v>605000</v>
      </c>
      <c r="EC20" s="229">
        <v>6.4999999999999997E-3</v>
      </c>
      <c r="ED20" s="229">
        <v>1.1599999999999999E-2</v>
      </c>
      <c r="EE20" s="228">
        <v>7.4</v>
      </c>
      <c r="EF20" s="229">
        <v>5.4999999999999997E-3</v>
      </c>
      <c r="EG20" s="230">
        <v>3834549</v>
      </c>
      <c r="EH20" s="230">
        <v>4075177</v>
      </c>
      <c r="EI20" s="229">
        <v>-5.8999999999999997E-2</v>
      </c>
      <c r="EJ20" s="229">
        <v>0.60589999999999999</v>
      </c>
      <c r="EK20" s="231">
        <v>2382.9299999999998</v>
      </c>
      <c r="EL20" s="231">
        <v>1752.04</v>
      </c>
      <c r="EM20" s="231">
        <v>1193.6600000000001</v>
      </c>
      <c r="EN20" s="228">
        <v>116.62</v>
      </c>
      <c r="EO20" s="231">
        <v>5328.63</v>
      </c>
      <c r="EP20" s="231">
        <v>7596.19</v>
      </c>
      <c r="EQ20" s="231">
        <v>-2267.5500000000002</v>
      </c>
      <c r="ER20" s="229">
        <v>-0.29849999999999999</v>
      </c>
      <c r="ES20" s="231">
        <v>2224.2199999999998</v>
      </c>
      <c r="ET20" s="231">
        <v>1216.81</v>
      </c>
      <c r="EU20" s="231">
        <v>8605.5400000000009</v>
      </c>
      <c r="EV20" s="231">
        <v>296371456</v>
      </c>
      <c r="EW20" s="231">
        <v>12046.58</v>
      </c>
      <c r="EX20" s="231">
        <v>11735.5</v>
      </c>
      <c r="EY20" s="228">
        <v>311.08</v>
      </c>
      <c r="EZ20" s="229">
        <v>2.6499999999999999E-2</v>
      </c>
      <c r="FA20" s="229">
        <v>0.29849999999999999</v>
      </c>
      <c r="FB20" s="227" t="s">
        <v>555</v>
      </c>
      <c r="FC20">
        <f t="shared" si="0"/>
        <v>100</v>
      </c>
    </row>
    <row r="21" spans="1:159" ht="17.25" hidden="1" thickBot="1" x14ac:dyDescent="0.3">
      <c r="A21" s="226">
        <v>46086</v>
      </c>
      <c r="B21" s="227" t="s">
        <v>162</v>
      </c>
      <c r="C21" s="227" t="s">
        <v>174</v>
      </c>
      <c r="D21" s="228">
        <v>75</v>
      </c>
      <c r="E21" s="228">
        <v>25</v>
      </c>
      <c r="F21" s="231">
        <v>9788.5</v>
      </c>
      <c r="G21" s="231">
        <v>9645</v>
      </c>
      <c r="H21" s="228">
        <v>143.5</v>
      </c>
      <c r="I21" s="229">
        <v>1.49E-2</v>
      </c>
      <c r="J21" s="231">
        <v>9804.5</v>
      </c>
      <c r="K21" s="231">
        <v>9652.5</v>
      </c>
      <c r="L21" s="228">
        <v>152</v>
      </c>
      <c r="M21" s="229">
        <v>1.5699999999999999E-2</v>
      </c>
      <c r="N21" s="231">
        <v>9788.5</v>
      </c>
      <c r="O21" s="231">
        <v>9645</v>
      </c>
      <c r="P21" s="228">
        <v>143.5</v>
      </c>
      <c r="Q21" s="229">
        <v>1.49E-2</v>
      </c>
      <c r="R21" s="231">
        <v>9839.5</v>
      </c>
      <c r="S21" s="231">
        <v>9668.5</v>
      </c>
      <c r="T21" s="228">
        <v>171</v>
      </c>
      <c r="U21" s="229">
        <v>1.77E-2</v>
      </c>
      <c r="V21" s="231">
        <v>9850</v>
      </c>
      <c r="W21" s="231">
        <v>9704.5</v>
      </c>
      <c r="X21" s="228">
        <v>145.5</v>
      </c>
      <c r="Y21" s="229">
        <v>1.4999999999999999E-2</v>
      </c>
      <c r="Z21" s="228">
        <v>-16</v>
      </c>
      <c r="AA21" s="228">
        <v>-7.5</v>
      </c>
      <c r="AB21" s="228">
        <v>-8.5</v>
      </c>
      <c r="AC21" s="229">
        <v>-1.6000000000000001E-3</v>
      </c>
      <c r="AD21" s="228">
        <v>-16</v>
      </c>
      <c r="AE21" s="228">
        <v>-7.5</v>
      </c>
      <c r="AF21" s="228">
        <v>-8.5</v>
      </c>
      <c r="AG21" s="229">
        <v>-1.6000000000000001E-3</v>
      </c>
      <c r="AH21" s="228">
        <v>35</v>
      </c>
      <c r="AI21" s="228">
        <v>16</v>
      </c>
      <c r="AJ21" s="228">
        <v>19</v>
      </c>
      <c r="AK21" s="229">
        <v>3.5999999999999999E-3</v>
      </c>
      <c r="AL21" s="228">
        <v>45.5</v>
      </c>
      <c r="AM21" s="228">
        <v>52</v>
      </c>
      <c r="AN21" s="228">
        <v>-6.5</v>
      </c>
      <c r="AO21" s="229">
        <v>4.5999999999999999E-3</v>
      </c>
      <c r="AP21" s="231">
        <v>9738.31</v>
      </c>
      <c r="AQ21" s="231">
        <v>9788.18</v>
      </c>
      <c r="AR21" s="228">
        <v>0</v>
      </c>
      <c r="AS21" s="228">
        <v>454</v>
      </c>
      <c r="AT21" s="228">
        <v>468</v>
      </c>
      <c r="AU21" s="228">
        <v>-14</v>
      </c>
      <c r="AV21" s="229">
        <v>-2.92E-2</v>
      </c>
      <c r="AW21" s="228">
        <v>443</v>
      </c>
      <c r="AX21" s="228">
        <v>452</v>
      </c>
      <c r="AY21" s="228">
        <v>-9</v>
      </c>
      <c r="AZ21" s="229">
        <v>-1.9599999999999999E-2</v>
      </c>
      <c r="BA21" s="228">
        <v>10</v>
      </c>
      <c r="BB21" s="228">
        <v>14</v>
      </c>
      <c r="BC21" s="228">
        <v>-4</v>
      </c>
      <c r="BD21" s="229">
        <v>-0.254</v>
      </c>
      <c r="BE21" s="228">
        <v>0</v>
      </c>
      <c r="BF21" s="228">
        <v>2</v>
      </c>
      <c r="BG21" s="228">
        <v>-1</v>
      </c>
      <c r="BH21" s="229">
        <v>-0.73909999999999998</v>
      </c>
      <c r="BI21" s="230">
        <v>1447</v>
      </c>
      <c r="BJ21" s="230">
        <v>1668</v>
      </c>
      <c r="BK21" s="228">
        <v>-221</v>
      </c>
      <c r="BL21" s="229">
        <v>-0.13239999999999999</v>
      </c>
      <c r="BM21" s="228">
        <v>980</v>
      </c>
      <c r="BN21" s="230">
        <v>1228</v>
      </c>
      <c r="BO21" s="228">
        <v>-248</v>
      </c>
      <c r="BP21" s="229">
        <v>-0.20180000000000001</v>
      </c>
      <c r="BQ21" s="230">
        <v>2882</v>
      </c>
      <c r="BR21" s="230">
        <v>3364</v>
      </c>
      <c r="BS21" s="228">
        <v>-482</v>
      </c>
      <c r="BT21" s="229">
        <v>-0.1434</v>
      </c>
      <c r="BU21" s="230">
        <v>305406</v>
      </c>
      <c r="BV21" s="230">
        <v>335443</v>
      </c>
      <c r="BW21" s="230">
        <v>-30037</v>
      </c>
      <c r="BX21" s="229">
        <v>-8.9499999999999996E-2</v>
      </c>
      <c r="BY21" s="230">
        <v>2994</v>
      </c>
      <c r="BZ21" s="230">
        <v>2960</v>
      </c>
      <c r="CA21" s="228">
        <v>34</v>
      </c>
      <c r="CB21" s="229">
        <v>1.15E-2</v>
      </c>
      <c r="CC21" s="230">
        <v>2971</v>
      </c>
      <c r="CD21" s="230">
        <v>2936</v>
      </c>
      <c r="CE21" s="228">
        <v>36</v>
      </c>
      <c r="CF21" s="229">
        <v>1.21E-2</v>
      </c>
      <c r="CG21" s="228">
        <v>21</v>
      </c>
      <c r="CH21" s="228">
        <v>22</v>
      </c>
      <c r="CI21" s="228">
        <v>-2</v>
      </c>
      <c r="CJ21" s="229">
        <v>-8.2000000000000003E-2</v>
      </c>
      <c r="CK21" s="228">
        <v>2</v>
      </c>
      <c r="CL21" s="228">
        <v>2</v>
      </c>
      <c r="CM21" s="228">
        <v>0</v>
      </c>
      <c r="CN21" s="229">
        <v>0.1111</v>
      </c>
      <c r="CO21" s="230">
        <v>1289</v>
      </c>
      <c r="CP21" s="230">
        <v>1358</v>
      </c>
      <c r="CQ21" s="228">
        <v>-69</v>
      </c>
      <c r="CR21" s="229">
        <v>-5.0799999999999998E-2</v>
      </c>
      <c r="CS21" s="228">
        <v>676</v>
      </c>
      <c r="CT21" s="228">
        <v>654</v>
      </c>
      <c r="CU21" s="228">
        <v>22</v>
      </c>
      <c r="CV21" s="229">
        <v>3.3700000000000001E-2</v>
      </c>
      <c r="CW21" s="230">
        <v>4959</v>
      </c>
      <c r="CX21" s="230">
        <v>4972</v>
      </c>
      <c r="CY21" s="228">
        <v>-13</v>
      </c>
      <c r="CZ21" s="229">
        <v>-2.5999999999999999E-3</v>
      </c>
      <c r="DA21" s="228">
        <v>24.66</v>
      </c>
      <c r="DB21" s="228">
        <v>26.5</v>
      </c>
      <c r="DC21" s="228">
        <v>-1.84</v>
      </c>
      <c r="DD21" s="228">
        <v>-1.84</v>
      </c>
      <c r="DE21" s="228">
        <v>27.41</v>
      </c>
      <c r="DF21" s="228">
        <v>27.4</v>
      </c>
      <c r="DG21" s="228">
        <v>-2.75</v>
      </c>
      <c r="DH21" s="228">
        <v>0.01</v>
      </c>
      <c r="DI21" s="228">
        <v>22.79</v>
      </c>
      <c r="DJ21" s="228">
        <v>25.18</v>
      </c>
      <c r="DK21" s="228">
        <v>-2.39</v>
      </c>
      <c r="DL21" s="228">
        <v>-2.39</v>
      </c>
      <c r="DM21" s="228">
        <v>27.43</v>
      </c>
      <c r="DN21" s="228">
        <v>28.29</v>
      </c>
      <c r="DO21" s="228">
        <v>-0.86</v>
      </c>
      <c r="DP21" s="228">
        <v>-0.86</v>
      </c>
      <c r="DQ21" s="228">
        <v>0.52</v>
      </c>
      <c r="DR21" s="228">
        <v>0.48</v>
      </c>
      <c r="DS21" s="228">
        <v>0.04</v>
      </c>
      <c r="DT21" s="229">
        <v>8.3299999999999999E-2</v>
      </c>
      <c r="DU21" s="231">
        <v>10500</v>
      </c>
      <c r="DV21" s="231">
        <v>9000</v>
      </c>
      <c r="DW21" s="228">
        <v>0.68</v>
      </c>
      <c r="DX21" s="228">
        <v>0.74</v>
      </c>
      <c r="DY21" s="228">
        <v>-0.06</v>
      </c>
      <c r="DZ21" s="229">
        <v>-8.1100000000000005E-2</v>
      </c>
      <c r="EA21" s="229">
        <v>7.6E-3</v>
      </c>
      <c r="EB21" s="230">
        <v>24900</v>
      </c>
      <c r="EC21" s="229">
        <v>5.1999999999999998E-3</v>
      </c>
      <c r="ED21" s="229">
        <v>7.6E-3</v>
      </c>
      <c r="EE21" s="228">
        <v>49.87</v>
      </c>
      <c r="EF21" s="229">
        <v>5.1000000000000004E-3</v>
      </c>
      <c r="EG21" s="230">
        <v>170654</v>
      </c>
      <c r="EH21" s="230">
        <v>177630</v>
      </c>
      <c r="EI21" s="229">
        <v>-3.9300000000000002E-2</v>
      </c>
      <c r="EJ21" s="229">
        <v>0.55879999999999996</v>
      </c>
      <c r="EK21" s="231">
        <v>1528.27</v>
      </c>
      <c r="EL21" s="228">
        <v>914.18</v>
      </c>
      <c r="EM21" s="228">
        <v>451.79</v>
      </c>
      <c r="EN21" s="228">
        <v>56.4</v>
      </c>
      <c r="EO21" s="231">
        <v>2894.24</v>
      </c>
      <c r="EP21" s="231">
        <v>3379.61</v>
      </c>
      <c r="EQ21" s="228">
        <v>-485.37</v>
      </c>
      <c r="ER21" s="229">
        <v>-0.14360000000000001</v>
      </c>
      <c r="ES21" s="231">
        <v>1367.27</v>
      </c>
      <c r="ET21" s="228">
        <v>643.01</v>
      </c>
      <c r="EU21" s="231">
        <v>2994.37</v>
      </c>
      <c r="EV21" s="231">
        <v>15906526</v>
      </c>
      <c r="EW21" s="231">
        <v>5004.66</v>
      </c>
      <c r="EX21" s="231">
        <v>4978.0600000000004</v>
      </c>
      <c r="EY21" s="228">
        <v>26.6</v>
      </c>
      <c r="EZ21" s="229">
        <v>5.3E-3</v>
      </c>
      <c r="FA21" s="229">
        <v>0.31850000000000001</v>
      </c>
      <c r="FB21" s="227" t="s">
        <v>555</v>
      </c>
      <c r="FC21">
        <f t="shared" si="0"/>
        <v>23</v>
      </c>
    </row>
    <row r="22" spans="1:159" ht="17.25" hidden="1" thickBot="1" x14ac:dyDescent="0.3">
      <c r="A22" s="226">
        <v>46086</v>
      </c>
      <c r="B22" s="227" t="s">
        <v>175</v>
      </c>
      <c r="C22" s="227" t="s">
        <v>176</v>
      </c>
      <c r="D22" s="228">
        <v>250</v>
      </c>
      <c r="E22" s="228">
        <v>25</v>
      </c>
      <c r="F22" s="231">
        <v>1917.9</v>
      </c>
      <c r="G22" s="231">
        <v>1891.8</v>
      </c>
      <c r="H22" s="228">
        <v>26.1</v>
      </c>
      <c r="I22" s="229">
        <v>1.38E-2</v>
      </c>
      <c r="J22" s="231">
        <v>1911.8</v>
      </c>
      <c r="K22" s="231">
        <v>1889.3</v>
      </c>
      <c r="L22" s="228">
        <v>22.5</v>
      </c>
      <c r="M22" s="229">
        <v>1.1900000000000001E-2</v>
      </c>
      <c r="N22" s="231">
        <v>1917.9</v>
      </c>
      <c r="O22" s="231">
        <v>1891.8</v>
      </c>
      <c r="P22" s="228">
        <v>26.1</v>
      </c>
      <c r="Q22" s="229">
        <v>1.38E-2</v>
      </c>
      <c r="R22" s="231">
        <v>1929.4</v>
      </c>
      <c r="S22" s="231">
        <v>1903.7</v>
      </c>
      <c r="T22" s="228">
        <v>25.7</v>
      </c>
      <c r="U22" s="229">
        <v>1.35E-2</v>
      </c>
      <c r="V22" s="231">
        <v>1941.8</v>
      </c>
      <c r="W22" s="231">
        <v>1911.3</v>
      </c>
      <c r="X22" s="228">
        <v>30.5</v>
      </c>
      <c r="Y22" s="229">
        <v>1.6E-2</v>
      </c>
      <c r="Z22" s="228">
        <v>6.1</v>
      </c>
      <c r="AA22" s="228">
        <v>2.5</v>
      </c>
      <c r="AB22" s="228">
        <v>3.6</v>
      </c>
      <c r="AC22" s="229">
        <v>3.2000000000000002E-3</v>
      </c>
      <c r="AD22" s="228">
        <v>6.1</v>
      </c>
      <c r="AE22" s="228">
        <v>2.5</v>
      </c>
      <c r="AF22" s="228">
        <v>3.6</v>
      </c>
      <c r="AG22" s="229">
        <v>3.2000000000000002E-3</v>
      </c>
      <c r="AH22" s="228">
        <v>17.600000000000001</v>
      </c>
      <c r="AI22" s="228">
        <v>14.4</v>
      </c>
      <c r="AJ22" s="228">
        <v>3.2</v>
      </c>
      <c r="AK22" s="229">
        <v>9.1999999999999998E-3</v>
      </c>
      <c r="AL22" s="228">
        <v>30</v>
      </c>
      <c r="AM22" s="228">
        <v>22</v>
      </c>
      <c r="AN22" s="228">
        <v>8</v>
      </c>
      <c r="AO22" s="229">
        <v>1.5699999999999999E-2</v>
      </c>
      <c r="AP22" s="231">
        <v>1902.77</v>
      </c>
      <c r="AQ22" s="231">
        <v>1914.12</v>
      </c>
      <c r="AR22" s="228">
        <v>0</v>
      </c>
      <c r="AS22" s="228">
        <v>373</v>
      </c>
      <c r="AT22" s="228">
        <v>384</v>
      </c>
      <c r="AU22" s="228">
        <v>-11</v>
      </c>
      <c r="AV22" s="229">
        <v>-2.8199999999999999E-2</v>
      </c>
      <c r="AW22" s="228">
        <v>350</v>
      </c>
      <c r="AX22" s="228">
        <v>360</v>
      </c>
      <c r="AY22" s="228">
        <v>-10</v>
      </c>
      <c r="AZ22" s="229">
        <v>-2.7300000000000001E-2</v>
      </c>
      <c r="BA22" s="228">
        <v>20</v>
      </c>
      <c r="BB22" s="228">
        <v>20</v>
      </c>
      <c r="BC22" s="228">
        <v>0</v>
      </c>
      <c r="BD22" s="229">
        <v>-2.3999999999999998E-3</v>
      </c>
      <c r="BE22" s="228">
        <v>3</v>
      </c>
      <c r="BF22" s="228">
        <v>4</v>
      </c>
      <c r="BG22" s="228">
        <v>-1</v>
      </c>
      <c r="BH22" s="229">
        <v>-0.23810000000000001</v>
      </c>
      <c r="BI22" s="228">
        <v>825</v>
      </c>
      <c r="BJ22" s="230">
        <v>1624</v>
      </c>
      <c r="BK22" s="228">
        <v>-800</v>
      </c>
      <c r="BL22" s="229">
        <v>-0.49230000000000002</v>
      </c>
      <c r="BM22" s="228">
        <v>327</v>
      </c>
      <c r="BN22" s="228">
        <v>934</v>
      </c>
      <c r="BO22" s="228">
        <v>-607</v>
      </c>
      <c r="BP22" s="229">
        <v>-0.64980000000000004</v>
      </c>
      <c r="BQ22" s="230">
        <v>1525</v>
      </c>
      <c r="BR22" s="230">
        <v>2942</v>
      </c>
      <c r="BS22" s="230">
        <v>-1417</v>
      </c>
      <c r="BT22" s="229">
        <v>-0.48170000000000002</v>
      </c>
      <c r="BU22" s="230">
        <v>1624631</v>
      </c>
      <c r="BV22" s="230">
        <v>2325658</v>
      </c>
      <c r="BW22" s="230">
        <v>-701027</v>
      </c>
      <c r="BX22" s="229">
        <v>-0.3014</v>
      </c>
      <c r="BY22" s="230">
        <v>2395</v>
      </c>
      <c r="BZ22" s="230">
        <v>2434</v>
      </c>
      <c r="CA22" s="228">
        <v>-39</v>
      </c>
      <c r="CB22" s="229">
        <v>-1.61E-2</v>
      </c>
      <c r="CC22" s="230">
        <v>2363</v>
      </c>
      <c r="CD22" s="230">
        <v>2402</v>
      </c>
      <c r="CE22" s="228">
        <v>-39</v>
      </c>
      <c r="CF22" s="229">
        <v>-1.6299999999999999E-2</v>
      </c>
      <c r="CG22" s="228">
        <v>26</v>
      </c>
      <c r="CH22" s="228">
        <v>28</v>
      </c>
      <c r="CI22" s="228">
        <v>-2</v>
      </c>
      <c r="CJ22" s="229">
        <v>-6.6199999999999995E-2</v>
      </c>
      <c r="CK22" s="228">
        <v>7</v>
      </c>
      <c r="CL22" s="228">
        <v>5</v>
      </c>
      <c r="CM22" s="228">
        <v>2</v>
      </c>
      <c r="CN22" s="229">
        <v>0.3271</v>
      </c>
      <c r="CO22" s="230">
        <v>1071</v>
      </c>
      <c r="CP22" s="228">
        <v>991</v>
      </c>
      <c r="CQ22" s="228">
        <v>79</v>
      </c>
      <c r="CR22" s="229">
        <v>0.08</v>
      </c>
      <c r="CS22" s="228">
        <v>613</v>
      </c>
      <c r="CT22" s="228">
        <v>613</v>
      </c>
      <c r="CU22" s="228">
        <v>0</v>
      </c>
      <c r="CV22" s="229">
        <v>5.0000000000000001E-4</v>
      </c>
      <c r="CW22" s="230">
        <v>4079</v>
      </c>
      <c r="CX22" s="230">
        <v>4039</v>
      </c>
      <c r="CY22" s="228">
        <v>40</v>
      </c>
      <c r="CZ22" s="229">
        <v>0.01</v>
      </c>
      <c r="DA22" s="228">
        <v>20.79</v>
      </c>
      <c r="DB22" s="228">
        <v>24.09</v>
      </c>
      <c r="DC22" s="228">
        <v>-3.3</v>
      </c>
      <c r="DD22" s="228">
        <v>-3.3</v>
      </c>
      <c r="DE22" s="228">
        <v>27.93</v>
      </c>
      <c r="DF22" s="228">
        <v>27.94</v>
      </c>
      <c r="DG22" s="228">
        <v>-7.14</v>
      </c>
      <c r="DH22" s="228">
        <v>-0.01</v>
      </c>
      <c r="DI22" s="228">
        <v>19.84</v>
      </c>
      <c r="DJ22" s="228">
        <v>22.64</v>
      </c>
      <c r="DK22" s="228">
        <v>-2.8</v>
      </c>
      <c r="DL22" s="228">
        <v>-2.8</v>
      </c>
      <c r="DM22" s="228">
        <v>23.19</v>
      </c>
      <c r="DN22" s="228">
        <v>26.63</v>
      </c>
      <c r="DO22" s="228">
        <v>-3.44</v>
      </c>
      <c r="DP22" s="228">
        <v>-3.44</v>
      </c>
      <c r="DQ22" s="228">
        <v>0.56999999999999995</v>
      </c>
      <c r="DR22" s="228">
        <v>0.62</v>
      </c>
      <c r="DS22" s="228">
        <v>-0.05</v>
      </c>
      <c r="DT22" s="229">
        <v>-8.0600000000000005E-2</v>
      </c>
      <c r="DU22" s="231">
        <v>2100</v>
      </c>
      <c r="DV22" s="231">
        <v>1920</v>
      </c>
      <c r="DW22" s="228">
        <v>0.4</v>
      </c>
      <c r="DX22" s="228">
        <v>0.56999999999999995</v>
      </c>
      <c r="DY22" s="228">
        <v>-0.17</v>
      </c>
      <c r="DZ22" s="229">
        <v>-0.29820000000000002</v>
      </c>
      <c r="EA22" s="229">
        <v>1.3599999999999999E-2</v>
      </c>
      <c r="EB22" s="230">
        <v>170250</v>
      </c>
      <c r="EC22" s="229">
        <v>6.0000000000000001E-3</v>
      </c>
      <c r="ED22" s="229">
        <v>1.3599999999999999E-2</v>
      </c>
      <c r="EE22" s="228">
        <v>11.35</v>
      </c>
      <c r="EF22" s="229">
        <v>6.0000000000000001E-3</v>
      </c>
      <c r="EG22" s="230">
        <v>978701</v>
      </c>
      <c r="EH22" s="230">
        <v>1482072</v>
      </c>
      <c r="EI22" s="229">
        <v>-0.33960000000000001</v>
      </c>
      <c r="EJ22" s="229">
        <v>0.60240000000000005</v>
      </c>
      <c r="EK22" s="228">
        <v>864.9</v>
      </c>
      <c r="EL22" s="228">
        <v>320.01</v>
      </c>
      <c r="EM22" s="228">
        <v>370.24</v>
      </c>
      <c r="EN22" s="228">
        <v>50.87</v>
      </c>
      <c r="EO22" s="231">
        <v>1555.15</v>
      </c>
      <c r="EP22" s="231">
        <v>2990.39</v>
      </c>
      <c r="EQ22" s="231">
        <v>-1435.24</v>
      </c>
      <c r="ER22" s="229">
        <v>-0.47989999999999999</v>
      </c>
      <c r="ES22" s="231">
        <v>1130.9000000000001</v>
      </c>
      <c r="ET22" s="228">
        <v>615.98</v>
      </c>
      <c r="EU22" s="231">
        <v>2395.5</v>
      </c>
      <c r="EV22" s="231">
        <v>65701623</v>
      </c>
      <c r="EW22" s="231">
        <v>4142.38</v>
      </c>
      <c r="EX22" s="231">
        <v>4067.8</v>
      </c>
      <c r="EY22" s="228">
        <v>74.58</v>
      </c>
      <c r="EZ22" s="229">
        <v>1.83E-2</v>
      </c>
      <c r="FA22" s="229">
        <v>0.32369999999999999</v>
      </c>
      <c r="FB22" s="227" t="s">
        <v>556</v>
      </c>
      <c r="FC22">
        <f t="shared" si="0"/>
        <v>32</v>
      </c>
    </row>
    <row r="23" spans="1:159" ht="17.25" hidden="1" thickBot="1" x14ac:dyDescent="0.3">
      <c r="A23" s="226">
        <v>46086</v>
      </c>
      <c r="B23" s="227" t="s">
        <v>175</v>
      </c>
      <c r="C23" s="227" t="s">
        <v>690</v>
      </c>
      <c r="D23" s="228">
        <v>50</v>
      </c>
      <c r="E23" s="228">
        <v>25</v>
      </c>
      <c r="F23" s="231">
        <v>10710</v>
      </c>
      <c r="G23" s="231">
        <v>10675</v>
      </c>
      <c r="H23" s="228">
        <v>35</v>
      </c>
      <c r="I23" s="229">
        <v>3.3E-3</v>
      </c>
      <c r="J23" s="231">
        <v>10663</v>
      </c>
      <c r="K23" s="231">
        <v>10651</v>
      </c>
      <c r="L23" s="228">
        <v>12</v>
      </c>
      <c r="M23" s="229">
        <v>1.1000000000000001E-3</v>
      </c>
      <c r="N23" s="231">
        <v>10710</v>
      </c>
      <c r="O23" s="231">
        <v>10675</v>
      </c>
      <c r="P23" s="228">
        <v>35</v>
      </c>
      <c r="Q23" s="229">
        <v>3.3E-3</v>
      </c>
      <c r="R23" s="231">
        <v>10765</v>
      </c>
      <c r="S23" s="231">
        <v>10760</v>
      </c>
      <c r="T23" s="228">
        <v>5</v>
      </c>
      <c r="U23" s="229">
        <v>5.0000000000000001E-4</v>
      </c>
      <c r="V23" s="231">
        <v>10820</v>
      </c>
      <c r="W23" s="231">
        <v>10764</v>
      </c>
      <c r="X23" s="228">
        <v>56</v>
      </c>
      <c r="Y23" s="229">
        <v>5.1999999999999998E-3</v>
      </c>
      <c r="Z23" s="228">
        <v>47</v>
      </c>
      <c r="AA23" s="228">
        <v>24</v>
      </c>
      <c r="AB23" s="228">
        <v>23</v>
      </c>
      <c r="AC23" s="229">
        <v>4.4000000000000003E-3</v>
      </c>
      <c r="AD23" s="228">
        <v>47</v>
      </c>
      <c r="AE23" s="228">
        <v>24</v>
      </c>
      <c r="AF23" s="228">
        <v>23</v>
      </c>
      <c r="AG23" s="229">
        <v>4.4000000000000003E-3</v>
      </c>
      <c r="AH23" s="228">
        <v>102</v>
      </c>
      <c r="AI23" s="228">
        <v>109</v>
      </c>
      <c r="AJ23" s="228">
        <v>-7</v>
      </c>
      <c r="AK23" s="229">
        <v>9.5999999999999992E-3</v>
      </c>
      <c r="AL23" s="228">
        <v>157</v>
      </c>
      <c r="AM23" s="228">
        <v>113</v>
      </c>
      <c r="AN23" s="228">
        <v>44</v>
      </c>
      <c r="AO23" s="229">
        <v>1.47E-2</v>
      </c>
      <c r="AP23" s="231">
        <v>10680.68</v>
      </c>
      <c r="AQ23" s="231">
        <v>10765.88</v>
      </c>
      <c r="AR23" s="228">
        <v>0</v>
      </c>
      <c r="AS23" s="228">
        <v>25</v>
      </c>
      <c r="AT23" s="228">
        <v>31</v>
      </c>
      <c r="AU23" s="228">
        <v>-7</v>
      </c>
      <c r="AV23" s="229">
        <v>-0.20960000000000001</v>
      </c>
      <c r="AW23" s="228">
        <v>24</v>
      </c>
      <c r="AX23" s="228">
        <v>30</v>
      </c>
      <c r="AY23" s="228">
        <v>-7</v>
      </c>
      <c r="AZ23" s="229">
        <v>-0.22320000000000001</v>
      </c>
      <c r="BA23" s="228">
        <v>1</v>
      </c>
      <c r="BB23" s="228">
        <v>1</v>
      </c>
      <c r="BC23" s="228">
        <v>0</v>
      </c>
      <c r="BD23" s="229">
        <v>0.7</v>
      </c>
      <c r="BE23" s="228">
        <v>0</v>
      </c>
      <c r="BF23" s="228">
        <v>0</v>
      </c>
      <c r="BG23" s="228">
        <v>0</v>
      </c>
      <c r="BH23" s="229">
        <v>-0.66669999999999996</v>
      </c>
      <c r="BI23" s="228">
        <v>21</v>
      </c>
      <c r="BJ23" s="228">
        <v>31</v>
      </c>
      <c r="BK23" s="228">
        <v>-10</v>
      </c>
      <c r="BL23" s="229">
        <v>-0.316</v>
      </c>
      <c r="BM23" s="228">
        <v>10</v>
      </c>
      <c r="BN23" s="228">
        <v>43</v>
      </c>
      <c r="BO23" s="228">
        <v>-33</v>
      </c>
      <c r="BP23" s="229">
        <v>-0.76849999999999996</v>
      </c>
      <c r="BQ23" s="228">
        <v>56</v>
      </c>
      <c r="BR23" s="228">
        <v>105</v>
      </c>
      <c r="BS23" s="228">
        <v>-50</v>
      </c>
      <c r="BT23" s="229">
        <v>-0.47110000000000002</v>
      </c>
      <c r="BU23" s="230">
        <v>38066</v>
      </c>
      <c r="BV23" s="230">
        <v>56032</v>
      </c>
      <c r="BW23" s="230">
        <v>-17966</v>
      </c>
      <c r="BX23" s="229">
        <v>-0.3206</v>
      </c>
      <c r="BY23" s="228">
        <v>237</v>
      </c>
      <c r="BZ23" s="228">
        <v>234</v>
      </c>
      <c r="CA23" s="228">
        <v>3</v>
      </c>
      <c r="CB23" s="229">
        <v>1.14E-2</v>
      </c>
      <c r="CC23" s="228">
        <v>234</v>
      </c>
      <c r="CD23" s="228">
        <v>231</v>
      </c>
      <c r="CE23" s="228">
        <v>2</v>
      </c>
      <c r="CF23" s="229">
        <v>9.9000000000000008E-3</v>
      </c>
      <c r="CG23" s="228">
        <v>3</v>
      </c>
      <c r="CH23" s="228">
        <v>3</v>
      </c>
      <c r="CI23" s="228">
        <v>0</v>
      </c>
      <c r="CJ23" s="229">
        <v>0.12770000000000001</v>
      </c>
      <c r="CK23" s="228">
        <v>0</v>
      </c>
      <c r="CL23" s="228">
        <v>0</v>
      </c>
      <c r="CM23" s="228">
        <v>0</v>
      </c>
      <c r="CN23" s="229">
        <v>0.25</v>
      </c>
      <c r="CO23" s="228">
        <v>103</v>
      </c>
      <c r="CP23" s="228">
        <v>102</v>
      </c>
      <c r="CQ23" s="228">
        <v>1</v>
      </c>
      <c r="CR23" s="229">
        <v>8.9999999999999993E-3</v>
      </c>
      <c r="CS23" s="228">
        <v>50</v>
      </c>
      <c r="CT23" s="228">
        <v>50</v>
      </c>
      <c r="CU23" s="228">
        <v>0</v>
      </c>
      <c r="CV23" s="229">
        <v>4.3E-3</v>
      </c>
      <c r="CW23" s="228">
        <v>389</v>
      </c>
      <c r="CX23" s="228">
        <v>386</v>
      </c>
      <c r="CY23" s="228">
        <v>4</v>
      </c>
      <c r="CZ23" s="229">
        <v>9.9000000000000008E-3</v>
      </c>
      <c r="DA23" s="228">
        <v>30.32</v>
      </c>
      <c r="DB23" s="228">
        <v>33.65</v>
      </c>
      <c r="DC23" s="228">
        <v>-3.33</v>
      </c>
      <c r="DD23" s="228">
        <v>-3.33</v>
      </c>
      <c r="DE23" s="228">
        <v>37.020000000000003</v>
      </c>
      <c r="DF23" s="228">
        <v>37.11</v>
      </c>
      <c r="DG23" s="228">
        <v>-6.7</v>
      </c>
      <c r="DH23" s="228">
        <v>-0.09</v>
      </c>
      <c r="DI23" s="228">
        <v>29.86</v>
      </c>
      <c r="DJ23" s="228">
        <v>33.270000000000003</v>
      </c>
      <c r="DK23" s="228">
        <v>-3.41</v>
      </c>
      <c r="DL23" s="228">
        <v>-3.41</v>
      </c>
      <c r="DM23" s="228">
        <v>31.28</v>
      </c>
      <c r="DN23" s="228">
        <v>33.92</v>
      </c>
      <c r="DO23" s="228">
        <v>-2.64</v>
      </c>
      <c r="DP23" s="228">
        <v>-2.64</v>
      </c>
      <c r="DQ23" s="228">
        <v>0.49</v>
      </c>
      <c r="DR23" s="228">
        <v>0.49</v>
      </c>
      <c r="DS23" s="228">
        <v>0</v>
      </c>
      <c r="DT23" s="229">
        <v>0</v>
      </c>
      <c r="DU23" s="231">
        <v>12000</v>
      </c>
      <c r="DV23" s="231">
        <v>11000</v>
      </c>
      <c r="DW23" s="228">
        <v>0.48</v>
      </c>
      <c r="DX23" s="228">
        <v>1.41</v>
      </c>
      <c r="DY23" s="228">
        <v>-0.93</v>
      </c>
      <c r="DZ23" s="229">
        <v>-0.65959999999999996</v>
      </c>
      <c r="EA23" s="229">
        <v>1.3100000000000001E-2</v>
      </c>
      <c r="EB23" s="230">
        <v>2550</v>
      </c>
      <c r="EC23" s="229">
        <v>5.1000000000000004E-3</v>
      </c>
      <c r="ED23" s="229">
        <v>1.3100000000000001E-2</v>
      </c>
      <c r="EE23" s="228">
        <v>85.2</v>
      </c>
      <c r="EF23" s="229">
        <v>8.0000000000000002E-3</v>
      </c>
      <c r="EG23" s="230">
        <v>21643</v>
      </c>
      <c r="EH23" s="230">
        <v>35713</v>
      </c>
      <c r="EI23" s="229">
        <v>-0.39400000000000002</v>
      </c>
      <c r="EJ23" s="229">
        <v>0.56859999999999999</v>
      </c>
      <c r="EK23" s="228">
        <v>22.47</v>
      </c>
      <c r="EL23" s="228">
        <v>10</v>
      </c>
      <c r="EM23" s="228">
        <v>24.57</v>
      </c>
      <c r="EN23" s="228">
        <v>8.0299999999999994</v>
      </c>
      <c r="EO23" s="228">
        <v>57.05</v>
      </c>
      <c r="EP23" s="228">
        <v>105.42</v>
      </c>
      <c r="EQ23" s="228">
        <v>-48.38</v>
      </c>
      <c r="ER23" s="229">
        <v>-0.45889999999999997</v>
      </c>
      <c r="ES23" s="228">
        <v>112.91</v>
      </c>
      <c r="ET23" s="228">
        <v>48.88</v>
      </c>
      <c r="EU23" s="228">
        <v>236.92</v>
      </c>
      <c r="EV23" s="231">
        <v>5401993</v>
      </c>
      <c r="EW23" s="228">
        <v>398.71</v>
      </c>
      <c r="EX23" s="228">
        <v>394.24</v>
      </c>
      <c r="EY23" s="228">
        <v>4.47</v>
      </c>
      <c r="EZ23" s="229">
        <v>1.1299999999999999E-2</v>
      </c>
      <c r="FA23" s="229">
        <v>6.7299999999999999E-2</v>
      </c>
      <c r="FB23" s="227" t="s">
        <v>555</v>
      </c>
      <c r="FC23">
        <f t="shared" si="0"/>
        <v>3</v>
      </c>
    </row>
    <row r="24" spans="1:159" ht="17.25" hidden="1" thickBot="1" x14ac:dyDescent="0.3">
      <c r="A24" s="226">
        <v>46086</v>
      </c>
      <c r="B24" s="227" t="s">
        <v>175</v>
      </c>
      <c r="C24" s="227" t="s">
        <v>177</v>
      </c>
      <c r="D24" s="228">
        <v>750</v>
      </c>
      <c r="E24" s="228">
        <v>25</v>
      </c>
      <c r="F24" s="228">
        <v>964.15</v>
      </c>
      <c r="G24" s="228">
        <v>949.6</v>
      </c>
      <c r="H24" s="228">
        <v>14.55</v>
      </c>
      <c r="I24" s="229">
        <v>1.5299999999999999E-2</v>
      </c>
      <c r="J24" s="228">
        <v>962.4</v>
      </c>
      <c r="K24" s="228">
        <v>945.1</v>
      </c>
      <c r="L24" s="228">
        <v>17.3</v>
      </c>
      <c r="M24" s="229">
        <v>1.83E-2</v>
      </c>
      <c r="N24" s="228">
        <v>964.15</v>
      </c>
      <c r="O24" s="228">
        <v>949.6</v>
      </c>
      <c r="P24" s="228">
        <v>14.55</v>
      </c>
      <c r="Q24" s="229">
        <v>1.5299999999999999E-2</v>
      </c>
      <c r="R24" s="228">
        <v>970.25</v>
      </c>
      <c r="S24" s="228">
        <v>955.8</v>
      </c>
      <c r="T24" s="228">
        <v>14.45</v>
      </c>
      <c r="U24" s="229">
        <v>1.5100000000000001E-2</v>
      </c>
      <c r="V24" s="228">
        <v>974.95</v>
      </c>
      <c r="W24" s="228">
        <v>961.85</v>
      </c>
      <c r="X24" s="228">
        <v>13.1</v>
      </c>
      <c r="Y24" s="229">
        <v>1.3599999999999999E-2</v>
      </c>
      <c r="Z24" s="228">
        <v>1.75</v>
      </c>
      <c r="AA24" s="228">
        <v>4.5</v>
      </c>
      <c r="AB24" s="228">
        <v>-2.75</v>
      </c>
      <c r="AC24" s="229">
        <v>1.8E-3</v>
      </c>
      <c r="AD24" s="228">
        <v>1.75</v>
      </c>
      <c r="AE24" s="228">
        <v>4.5</v>
      </c>
      <c r="AF24" s="228">
        <v>-2.75</v>
      </c>
      <c r="AG24" s="229">
        <v>1.8E-3</v>
      </c>
      <c r="AH24" s="228">
        <v>7.85</v>
      </c>
      <c r="AI24" s="228">
        <v>10.7</v>
      </c>
      <c r="AJ24" s="228">
        <v>-2.85</v>
      </c>
      <c r="AK24" s="229">
        <v>8.2000000000000007E-3</v>
      </c>
      <c r="AL24" s="228">
        <v>12.55</v>
      </c>
      <c r="AM24" s="228">
        <v>16.75</v>
      </c>
      <c r="AN24" s="228">
        <v>-4.2</v>
      </c>
      <c r="AO24" s="229">
        <v>1.2999999999999999E-2</v>
      </c>
      <c r="AP24" s="228">
        <v>959.99</v>
      </c>
      <c r="AQ24" s="228">
        <v>965.79</v>
      </c>
      <c r="AR24" s="228">
        <v>0</v>
      </c>
      <c r="AS24" s="228">
        <v>630</v>
      </c>
      <c r="AT24" s="228">
        <v>980</v>
      </c>
      <c r="AU24" s="228">
        <v>-350</v>
      </c>
      <c r="AV24" s="229">
        <v>-0.3574</v>
      </c>
      <c r="AW24" s="228">
        <v>591</v>
      </c>
      <c r="AX24" s="228">
        <v>927</v>
      </c>
      <c r="AY24" s="228">
        <v>-336</v>
      </c>
      <c r="AZ24" s="229">
        <v>-0.36270000000000002</v>
      </c>
      <c r="BA24" s="228">
        <v>33</v>
      </c>
      <c r="BB24" s="228">
        <v>42</v>
      </c>
      <c r="BC24" s="228">
        <v>-9</v>
      </c>
      <c r="BD24" s="229">
        <v>-0.2198</v>
      </c>
      <c r="BE24" s="228">
        <v>6</v>
      </c>
      <c r="BF24" s="228">
        <v>10</v>
      </c>
      <c r="BG24" s="228">
        <v>-5</v>
      </c>
      <c r="BH24" s="229">
        <v>-0.45450000000000002</v>
      </c>
      <c r="BI24" s="230">
        <v>1414</v>
      </c>
      <c r="BJ24" s="230">
        <v>1462</v>
      </c>
      <c r="BK24" s="228">
        <v>-48</v>
      </c>
      <c r="BL24" s="229">
        <v>-3.3000000000000002E-2</v>
      </c>
      <c r="BM24" s="230">
        <v>1019</v>
      </c>
      <c r="BN24" s="230">
        <v>1319</v>
      </c>
      <c r="BO24" s="228">
        <v>-300</v>
      </c>
      <c r="BP24" s="229">
        <v>-0.22770000000000001</v>
      </c>
      <c r="BQ24" s="230">
        <v>3063</v>
      </c>
      <c r="BR24" s="230">
        <v>3762</v>
      </c>
      <c r="BS24" s="228">
        <v>-699</v>
      </c>
      <c r="BT24" s="229">
        <v>-0.18579999999999999</v>
      </c>
      <c r="BU24" s="230">
        <v>6509620</v>
      </c>
      <c r="BV24" s="230">
        <v>10122545</v>
      </c>
      <c r="BW24" s="230">
        <v>-3612925</v>
      </c>
      <c r="BX24" s="229">
        <v>-0.3569</v>
      </c>
      <c r="BY24" s="230">
        <v>7476</v>
      </c>
      <c r="BZ24" s="230">
        <v>7609</v>
      </c>
      <c r="CA24" s="228">
        <v>-133</v>
      </c>
      <c r="CB24" s="229">
        <v>-1.7500000000000002E-2</v>
      </c>
      <c r="CC24" s="230">
        <v>7319</v>
      </c>
      <c r="CD24" s="230">
        <v>7457</v>
      </c>
      <c r="CE24" s="228">
        <v>-138</v>
      </c>
      <c r="CF24" s="229">
        <v>-1.8499999999999999E-2</v>
      </c>
      <c r="CG24" s="228">
        <v>143</v>
      </c>
      <c r="CH24" s="228">
        <v>139</v>
      </c>
      <c r="CI24" s="228">
        <v>4</v>
      </c>
      <c r="CJ24" s="229">
        <v>2.9100000000000001E-2</v>
      </c>
      <c r="CK24" s="228">
        <v>14</v>
      </c>
      <c r="CL24" s="228">
        <v>13</v>
      </c>
      <c r="CM24" s="228">
        <v>1</v>
      </c>
      <c r="CN24" s="229">
        <v>6.1800000000000001E-2</v>
      </c>
      <c r="CO24" s="230">
        <v>1404</v>
      </c>
      <c r="CP24" s="230">
        <v>1347</v>
      </c>
      <c r="CQ24" s="228">
        <v>57</v>
      </c>
      <c r="CR24" s="229">
        <v>4.2099999999999999E-2</v>
      </c>
      <c r="CS24" s="230">
        <v>1219</v>
      </c>
      <c r="CT24" s="230">
        <v>1194</v>
      </c>
      <c r="CU24" s="228">
        <v>26</v>
      </c>
      <c r="CV24" s="229">
        <v>2.1399999999999999E-2</v>
      </c>
      <c r="CW24" s="230">
        <v>10100</v>
      </c>
      <c r="CX24" s="230">
        <v>10150</v>
      </c>
      <c r="CY24" s="228">
        <v>-51</v>
      </c>
      <c r="CZ24" s="229">
        <v>-5.0000000000000001E-3</v>
      </c>
      <c r="DA24" s="228">
        <v>25.74</v>
      </c>
      <c r="DB24" s="228">
        <v>29</v>
      </c>
      <c r="DC24" s="228">
        <v>-3.26</v>
      </c>
      <c r="DD24" s="228">
        <v>-3.26</v>
      </c>
      <c r="DE24" s="228">
        <v>31.64</v>
      </c>
      <c r="DF24" s="228">
        <v>31.62</v>
      </c>
      <c r="DG24" s="228">
        <v>-5.9</v>
      </c>
      <c r="DH24" s="228">
        <v>0.02</v>
      </c>
      <c r="DI24" s="228">
        <v>24.84</v>
      </c>
      <c r="DJ24" s="228">
        <v>27.78</v>
      </c>
      <c r="DK24" s="228">
        <v>-2.94</v>
      </c>
      <c r="DL24" s="228">
        <v>-2.94</v>
      </c>
      <c r="DM24" s="228">
        <v>27</v>
      </c>
      <c r="DN24" s="228">
        <v>30.35</v>
      </c>
      <c r="DO24" s="228">
        <v>-3.35</v>
      </c>
      <c r="DP24" s="228">
        <v>-3.35</v>
      </c>
      <c r="DQ24" s="228">
        <v>0.87</v>
      </c>
      <c r="DR24" s="228">
        <v>0.89</v>
      </c>
      <c r="DS24" s="228">
        <v>-0.02</v>
      </c>
      <c r="DT24" s="229">
        <v>-2.2499999999999999E-2</v>
      </c>
      <c r="DU24" s="231">
        <v>1100</v>
      </c>
      <c r="DV24" s="228">
        <v>960</v>
      </c>
      <c r="DW24" s="228">
        <v>0.72</v>
      </c>
      <c r="DX24" s="228">
        <v>0.9</v>
      </c>
      <c r="DY24" s="228">
        <v>-0.18</v>
      </c>
      <c r="DZ24" s="229">
        <v>-0.2</v>
      </c>
      <c r="EA24" s="229">
        <v>2.1000000000000001E-2</v>
      </c>
      <c r="EB24" s="230">
        <v>1578000</v>
      </c>
      <c r="EC24" s="229">
        <v>6.3E-3</v>
      </c>
      <c r="ED24" s="229">
        <v>2.1000000000000001E-2</v>
      </c>
      <c r="EE24" s="228">
        <v>5.8</v>
      </c>
      <c r="EF24" s="229">
        <v>6.0000000000000001E-3</v>
      </c>
      <c r="EG24" s="230">
        <v>3468628</v>
      </c>
      <c r="EH24" s="230">
        <v>6419441</v>
      </c>
      <c r="EI24" s="229">
        <v>-0.4597</v>
      </c>
      <c r="EJ24" s="229">
        <v>0.53280000000000005</v>
      </c>
      <c r="EK24" s="231">
        <v>1484.13</v>
      </c>
      <c r="EL24" s="228">
        <v>997.83</v>
      </c>
      <c r="EM24" s="228">
        <v>627.37</v>
      </c>
      <c r="EN24" s="228">
        <v>108.94</v>
      </c>
      <c r="EO24" s="231">
        <v>3109.33</v>
      </c>
      <c r="EP24" s="231">
        <v>3800.75</v>
      </c>
      <c r="EQ24" s="228">
        <v>-691.42</v>
      </c>
      <c r="ER24" s="229">
        <v>-0.18190000000000001</v>
      </c>
      <c r="ES24" s="231">
        <v>1513.97</v>
      </c>
      <c r="ET24" s="231">
        <v>1226.1500000000001</v>
      </c>
      <c r="EU24" s="231">
        <v>7477.32</v>
      </c>
      <c r="EV24" s="231">
        <v>317526833</v>
      </c>
      <c r="EW24" s="231">
        <v>10217.43</v>
      </c>
      <c r="EX24" s="231">
        <v>10156.32</v>
      </c>
      <c r="EY24" s="228">
        <v>61.11</v>
      </c>
      <c r="EZ24" s="229">
        <v>6.0000000000000001E-3</v>
      </c>
      <c r="FA24" s="229">
        <v>0.32990000000000003</v>
      </c>
      <c r="FB24" s="227" t="s">
        <v>556</v>
      </c>
      <c r="FC24">
        <f t="shared" si="0"/>
        <v>157</v>
      </c>
    </row>
    <row r="25" spans="1:159" ht="17.25" hidden="1" thickBot="1" x14ac:dyDescent="0.3">
      <c r="A25" s="226">
        <v>46086</v>
      </c>
      <c r="B25" s="227" t="s">
        <v>172</v>
      </c>
      <c r="C25" s="227" t="s">
        <v>179</v>
      </c>
      <c r="D25" s="228">
        <v>3600</v>
      </c>
      <c r="E25" s="228">
        <v>25</v>
      </c>
      <c r="F25" s="228">
        <v>185.56</v>
      </c>
      <c r="G25" s="228">
        <v>178.3</v>
      </c>
      <c r="H25" s="228">
        <v>7.26</v>
      </c>
      <c r="I25" s="229">
        <v>4.07E-2</v>
      </c>
      <c r="J25" s="228">
        <v>185.03</v>
      </c>
      <c r="K25" s="228">
        <v>177.41</v>
      </c>
      <c r="L25" s="228">
        <v>7.62</v>
      </c>
      <c r="M25" s="229">
        <v>4.2999999999999997E-2</v>
      </c>
      <c r="N25" s="228">
        <v>185.56</v>
      </c>
      <c r="O25" s="228">
        <v>178.3</v>
      </c>
      <c r="P25" s="228">
        <v>7.26</v>
      </c>
      <c r="Q25" s="229">
        <v>4.07E-2</v>
      </c>
      <c r="R25" s="228">
        <v>186.72</v>
      </c>
      <c r="S25" s="228">
        <v>179.33</v>
      </c>
      <c r="T25" s="228">
        <v>7.39</v>
      </c>
      <c r="U25" s="229">
        <v>4.1200000000000001E-2</v>
      </c>
      <c r="V25" s="228">
        <v>187.77</v>
      </c>
      <c r="W25" s="228">
        <v>180.74</v>
      </c>
      <c r="X25" s="228">
        <v>7.03</v>
      </c>
      <c r="Y25" s="229">
        <v>3.8899999999999997E-2</v>
      </c>
      <c r="Z25" s="228">
        <v>0.53</v>
      </c>
      <c r="AA25" s="228">
        <v>0.89</v>
      </c>
      <c r="AB25" s="228">
        <v>-0.36</v>
      </c>
      <c r="AC25" s="229">
        <v>2.8999999999999998E-3</v>
      </c>
      <c r="AD25" s="228">
        <v>0.53</v>
      </c>
      <c r="AE25" s="228">
        <v>0.89</v>
      </c>
      <c r="AF25" s="228">
        <v>-0.36</v>
      </c>
      <c r="AG25" s="229">
        <v>2.8999999999999998E-3</v>
      </c>
      <c r="AH25" s="228">
        <v>1.69</v>
      </c>
      <c r="AI25" s="228">
        <v>1.92</v>
      </c>
      <c r="AJ25" s="228">
        <v>-0.23</v>
      </c>
      <c r="AK25" s="229">
        <v>9.1000000000000004E-3</v>
      </c>
      <c r="AL25" s="228">
        <v>2.74</v>
      </c>
      <c r="AM25" s="228">
        <v>3.33</v>
      </c>
      <c r="AN25" s="228">
        <v>-0.59</v>
      </c>
      <c r="AO25" s="229">
        <v>1.4800000000000001E-2</v>
      </c>
      <c r="AP25" s="228">
        <v>183.27</v>
      </c>
      <c r="AQ25" s="228">
        <v>184.26</v>
      </c>
      <c r="AR25" s="228">
        <v>0</v>
      </c>
      <c r="AS25" s="228">
        <v>489</v>
      </c>
      <c r="AT25" s="228">
        <v>420</v>
      </c>
      <c r="AU25" s="228">
        <v>69</v>
      </c>
      <c r="AV25" s="229">
        <v>0.16470000000000001</v>
      </c>
      <c r="AW25" s="228">
        <v>472</v>
      </c>
      <c r="AX25" s="228">
        <v>389</v>
      </c>
      <c r="AY25" s="228">
        <v>83</v>
      </c>
      <c r="AZ25" s="229">
        <v>0.21310000000000001</v>
      </c>
      <c r="BA25" s="228">
        <v>16</v>
      </c>
      <c r="BB25" s="228">
        <v>24</v>
      </c>
      <c r="BC25" s="228">
        <v>-8</v>
      </c>
      <c r="BD25" s="229">
        <v>-0.3407</v>
      </c>
      <c r="BE25" s="228">
        <v>2</v>
      </c>
      <c r="BF25" s="228">
        <v>7</v>
      </c>
      <c r="BG25" s="228">
        <v>-5</v>
      </c>
      <c r="BH25" s="229">
        <v>-0.74770000000000003</v>
      </c>
      <c r="BI25" s="228">
        <v>846</v>
      </c>
      <c r="BJ25" s="228">
        <v>649</v>
      </c>
      <c r="BK25" s="228">
        <v>197</v>
      </c>
      <c r="BL25" s="229">
        <v>0.30330000000000001</v>
      </c>
      <c r="BM25" s="228">
        <v>362</v>
      </c>
      <c r="BN25" s="228">
        <v>350</v>
      </c>
      <c r="BO25" s="228">
        <v>12</v>
      </c>
      <c r="BP25" s="229">
        <v>3.4700000000000002E-2</v>
      </c>
      <c r="BQ25" s="230">
        <v>1698</v>
      </c>
      <c r="BR25" s="230">
        <v>1420</v>
      </c>
      <c r="BS25" s="228">
        <v>278</v>
      </c>
      <c r="BT25" s="229">
        <v>0.19600000000000001</v>
      </c>
      <c r="BU25" s="230">
        <v>11106704</v>
      </c>
      <c r="BV25" s="230">
        <v>9353021</v>
      </c>
      <c r="BW25" s="230">
        <v>1753683</v>
      </c>
      <c r="BX25" s="229">
        <v>0.1875</v>
      </c>
      <c r="BY25" s="230">
        <v>1677</v>
      </c>
      <c r="BZ25" s="230">
        <v>1671</v>
      </c>
      <c r="CA25" s="228">
        <v>6</v>
      </c>
      <c r="CB25" s="229">
        <v>3.8E-3</v>
      </c>
      <c r="CC25" s="230">
        <v>1625</v>
      </c>
      <c r="CD25" s="230">
        <v>1618</v>
      </c>
      <c r="CE25" s="228">
        <v>7</v>
      </c>
      <c r="CF25" s="229">
        <v>4.4000000000000003E-3</v>
      </c>
      <c r="CG25" s="228">
        <v>43</v>
      </c>
      <c r="CH25" s="228">
        <v>44</v>
      </c>
      <c r="CI25" s="228">
        <v>-1</v>
      </c>
      <c r="CJ25" s="229">
        <v>-1.9800000000000002E-2</v>
      </c>
      <c r="CK25" s="228">
        <v>9</v>
      </c>
      <c r="CL25" s="228">
        <v>9</v>
      </c>
      <c r="CM25" s="228">
        <v>0</v>
      </c>
      <c r="CN25" s="229">
        <v>1.47E-2</v>
      </c>
      <c r="CO25" s="228">
        <v>527</v>
      </c>
      <c r="CP25" s="228">
        <v>540</v>
      </c>
      <c r="CQ25" s="228">
        <v>-13</v>
      </c>
      <c r="CR25" s="229">
        <v>-2.47E-2</v>
      </c>
      <c r="CS25" s="228">
        <v>348</v>
      </c>
      <c r="CT25" s="228">
        <v>321</v>
      </c>
      <c r="CU25" s="228">
        <v>28</v>
      </c>
      <c r="CV25" s="229">
        <v>8.5999999999999993E-2</v>
      </c>
      <c r="CW25" s="230">
        <v>2552</v>
      </c>
      <c r="CX25" s="230">
        <v>2532</v>
      </c>
      <c r="CY25" s="228">
        <v>21</v>
      </c>
      <c r="CZ25" s="229">
        <v>8.0999999999999996E-3</v>
      </c>
      <c r="DA25" s="228">
        <v>34.76</v>
      </c>
      <c r="DB25" s="228">
        <v>37.46</v>
      </c>
      <c r="DC25" s="228">
        <v>-2.7</v>
      </c>
      <c r="DD25" s="228">
        <v>-2.7</v>
      </c>
      <c r="DE25" s="228">
        <v>41.11</v>
      </c>
      <c r="DF25" s="228">
        <v>40.85</v>
      </c>
      <c r="DG25" s="228">
        <v>-6.35</v>
      </c>
      <c r="DH25" s="228">
        <v>0.26</v>
      </c>
      <c r="DI25" s="228">
        <v>34.08</v>
      </c>
      <c r="DJ25" s="228">
        <v>36.75</v>
      </c>
      <c r="DK25" s="228">
        <v>-2.67</v>
      </c>
      <c r="DL25" s="228">
        <v>-2.67</v>
      </c>
      <c r="DM25" s="228">
        <v>36.35</v>
      </c>
      <c r="DN25" s="228">
        <v>38.770000000000003</v>
      </c>
      <c r="DO25" s="228">
        <v>-2.42</v>
      </c>
      <c r="DP25" s="228">
        <v>-2.42</v>
      </c>
      <c r="DQ25" s="228">
        <v>0.66</v>
      </c>
      <c r="DR25" s="228">
        <v>0.59</v>
      </c>
      <c r="DS25" s="228">
        <v>7.0000000000000007E-2</v>
      </c>
      <c r="DT25" s="229">
        <v>0.1186</v>
      </c>
      <c r="DU25" s="228">
        <v>190</v>
      </c>
      <c r="DV25" s="228">
        <v>175</v>
      </c>
      <c r="DW25" s="228">
        <v>0.43</v>
      </c>
      <c r="DX25" s="228">
        <v>0.54</v>
      </c>
      <c r="DY25" s="228">
        <v>-0.11</v>
      </c>
      <c r="DZ25" s="229">
        <v>-0.20369999999999999</v>
      </c>
      <c r="EA25" s="229">
        <v>3.1199999999999999E-2</v>
      </c>
      <c r="EB25" s="230">
        <v>2858400</v>
      </c>
      <c r="EC25" s="229">
        <v>6.3E-3</v>
      </c>
      <c r="ED25" s="229">
        <v>3.1199999999999999E-2</v>
      </c>
      <c r="EE25" s="228">
        <v>0.99</v>
      </c>
      <c r="EF25" s="229">
        <v>5.4000000000000003E-3</v>
      </c>
      <c r="EG25" s="230">
        <v>3841754</v>
      </c>
      <c r="EH25" s="230">
        <v>2868624</v>
      </c>
      <c r="EI25" s="229">
        <v>0.3392</v>
      </c>
      <c r="EJ25" s="229">
        <v>0.34589999999999999</v>
      </c>
      <c r="EK25" s="228">
        <v>886.18</v>
      </c>
      <c r="EL25" s="228">
        <v>348.66</v>
      </c>
      <c r="EM25" s="228">
        <v>483.54</v>
      </c>
      <c r="EN25" s="228">
        <v>78.02</v>
      </c>
      <c r="EO25" s="231">
        <v>1718.38</v>
      </c>
      <c r="EP25" s="231">
        <v>1397.9</v>
      </c>
      <c r="EQ25" s="228">
        <v>320.49</v>
      </c>
      <c r="ER25" s="229">
        <v>0.2293</v>
      </c>
      <c r="ES25" s="228">
        <v>533.21</v>
      </c>
      <c r="ET25" s="228">
        <v>325.7</v>
      </c>
      <c r="EU25" s="231">
        <v>1677.83</v>
      </c>
      <c r="EV25" s="231">
        <v>144289555</v>
      </c>
      <c r="EW25" s="231">
        <v>2536.7399999999998</v>
      </c>
      <c r="EX25" s="231">
        <v>2451.37</v>
      </c>
      <c r="EY25" s="228">
        <v>85.37</v>
      </c>
      <c r="EZ25" s="229">
        <v>3.4799999999999998E-2</v>
      </c>
      <c r="FA25" s="229">
        <v>0.95320000000000005</v>
      </c>
      <c r="FB25" s="227" t="s">
        <v>555</v>
      </c>
      <c r="FC25">
        <f t="shared" si="0"/>
        <v>52</v>
      </c>
    </row>
    <row r="26" spans="1:159" ht="17.25" hidden="1" thickBot="1" x14ac:dyDescent="0.3">
      <c r="A26" s="226">
        <v>46086</v>
      </c>
      <c r="B26" s="227" t="s">
        <v>172</v>
      </c>
      <c r="C26" s="227" t="s">
        <v>180</v>
      </c>
      <c r="D26" s="228">
        <v>2925</v>
      </c>
      <c r="E26" s="228">
        <v>25</v>
      </c>
      <c r="F26" s="228">
        <v>303.35000000000002</v>
      </c>
      <c r="G26" s="228">
        <v>300.75</v>
      </c>
      <c r="H26" s="228">
        <v>2.6</v>
      </c>
      <c r="I26" s="229">
        <v>8.6E-3</v>
      </c>
      <c r="J26" s="228">
        <v>301.85000000000002</v>
      </c>
      <c r="K26" s="228">
        <v>299.3</v>
      </c>
      <c r="L26" s="228">
        <v>2.5499999999999998</v>
      </c>
      <c r="M26" s="229">
        <v>8.5000000000000006E-3</v>
      </c>
      <c r="N26" s="228">
        <v>303.35000000000002</v>
      </c>
      <c r="O26" s="228">
        <v>300.75</v>
      </c>
      <c r="P26" s="228">
        <v>2.6</v>
      </c>
      <c r="Q26" s="229">
        <v>8.6E-3</v>
      </c>
      <c r="R26" s="228">
        <v>305.35000000000002</v>
      </c>
      <c r="S26" s="228">
        <v>302.60000000000002</v>
      </c>
      <c r="T26" s="228">
        <v>2.75</v>
      </c>
      <c r="U26" s="229">
        <v>9.1000000000000004E-3</v>
      </c>
      <c r="V26" s="228">
        <v>307.55</v>
      </c>
      <c r="W26" s="228">
        <v>304.05</v>
      </c>
      <c r="X26" s="228">
        <v>3.5</v>
      </c>
      <c r="Y26" s="229">
        <v>1.15E-2</v>
      </c>
      <c r="Z26" s="228">
        <v>1.5</v>
      </c>
      <c r="AA26" s="228">
        <v>1.45</v>
      </c>
      <c r="AB26" s="228">
        <v>0.05</v>
      </c>
      <c r="AC26" s="229">
        <v>5.0000000000000001E-3</v>
      </c>
      <c r="AD26" s="228">
        <v>1.5</v>
      </c>
      <c r="AE26" s="228">
        <v>1.45</v>
      </c>
      <c r="AF26" s="228">
        <v>0.05</v>
      </c>
      <c r="AG26" s="229">
        <v>5.0000000000000001E-3</v>
      </c>
      <c r="AH26" s="228">
        <v>3.5</v>
      </c>
      <c r="AI26" s="228">
        <v>3.3</v>
      </c>
      <c r="AJ26" s="228">
        <v>0.2</v>
      </c>
      <c r="AK26" s="229">
        <v>1.1599999999999999E-2</v>
      </c>
      <c r="AL26" s="228">
        <v>5.7</v>
      </c>
      <c r="AM26" s="228">
        <v>4.75</v>
      </c>
      <c r="AN26" s="228">
        <v>0.95</v>
      </c>
      <c r="AO26" s="229">
        <v>1.89E-2</v>
      </c>
      <c r="AP26" s="228">
        <v>302.83999999999997</v>
      </c>
      <c r="AQ26" s="228">
        <v>304.39999999999998</v>
      </c>
      <c r="AR26" s="228">
        <v>0</v>
      </c>
      <c r="AS26" s="228">
        <v>888</v>
      </c>
      <c r="AT26" s="230">
        <v>1331</v>
      </c>
      <c r="AU26" s="228">
        <v>-443</v>
      </c>
      <c r="AV26" s="229">
        <v>-0.33310000000000001</v>
      </c>
      <c r="AW26" s="228">
        <v>717</v>
      </c>
      <c r="AX26" s="230">
        <v>1054</v>
      </c>
      <c r="AY26" s="228">
        <v>-337</v>
      </c>
      <c r="AZ26" s="229">
        <v>-0.31979999999999997</v>
      </c>
      <c r="BA26" s="228">
        <v>97</v>
      </c>
      <c r="BB26" s="228">
        <v>63</v>
      </c>
      <c r="BC26" s="228">
        <v>34</v>
      </c>
      <c r="BD26" s="229">
        <v>0.53649999999999998</v>
      </c>
      <c r="BE26" s="228">
        <v>74</v>
      </c>
      <c r="BF26" s="228">
        <v>214</v>
      </c>
      <c r="BG26" s="228">
        <v>-140</v>
      </c>
      <c r="BH26" s="229">
        <v>-0.65559999999999996</v>
      </c>
      <c r="BI26" s="230">
        <v>1240</v>
      </c>
      <c r="BJ26" s="230">
        <v>2022</v>
      </c>
      <c r="BK26" s="228">
        <v>-782</v>
      </c>
      <c r="BL26" s="229">
        <v>-0.38679999999999998</v>
      </c>
      <c r="BM26" s="228">
        <v>982</v>
      </c>
      <c r="BN26" s="230">
        <v>1651</v>
      </c>
      <c r="BO26" s="228">
        <v>-669</v>
      </c>
      <c r="BP26" s="229">
        <v>-0.40539999999999998</v>
      </c>
      <c r="BQ26" s="230">
        <v>3109</v>
      </c>
      <c r="BR26" s="230">
        <v>5004</v>
      </c>
      <c r="BS26" s="230">
        <v>-1895</v>
      </c>
      <c r="BT26" s="229">
        <v>-0.37869999999999998</v>
      </c>
      <c r="BU26" s="230">
        <v>10536861</v>
      </c>
      <c r="BV26" s="230">
        <v>18064384</v>
      </c>
      <c r="BW26" s="230">
        <v>-7527523</v>
      </c>
      <c r="BX26" s="229">
        <v>-0.41670000000000001</v>
      </c>
      <c r="BY26" s="230">
        <v>2975</v>
      </c>
      <c r="BZ26" s="230">
        <v>2751</v>
      </c>
      <c r="CA26" s="228">
        <v>223</v>
      </c>
      <c r="CB26" s="229">
        <v>8.1100000000000005E-2</v>
      </c>
      <c r="CC26" s="230">
        <v>2531</v>
      </c>
      <c r="CD26" s="230">
        <v>2441</v>
      </c>
      <c r="CE26" s="228">
        <v>90</v>
      </c>
      <c r="CF26" s="229">
        <v>3.6799999999999999E-2</v>
      </c>
      <c r="CG26" s="228">
        <v>240</v>
      </c>
      <c r="CH26" s="228">
        <v>172</v>
      </c>
      <c r="CI26" s="228">
        <v>68</v>
      </c>
      <c r="CJ26" s="229">
        <v>0.39639999999999997</v>
      </c>
      <c r="CK26" s="228">
        <v>203</v>
      </c>
      <c r="CL26" s="228">
        <v>138</v>
      </c>
      <c r="CM26" s="228">
        <v>65</v>
      </c>
      <c r="CN26" s="229">
        <v>0.47139999999999999</v>
      </c>
      <c r="CO26" s="230">
        <v>1069</v>
      </c>
      <c r="CP26" s="228">
        <v>998</v>
      </c>
      <c r="CQ26" s="228">
        <v>71</v>
      </c>
      <c r="CR26" s="229">
        <v>7.0800000000000002E-2</v>
      </c>
      <c r="CS26" s="228">
        <v>886</v>
      </c>
      <c r="CT26" s="228">
        <v>873</v>
      </c>
      <c r="CU26" s="228">
        <v>13</v>
      </c>
      <c r="CV26" s="229">
        <v>1.55E-2</v>
      </c>
      <c r="CW26" s="230">
        <v>4930</v>
      </c>
      <c r="CX26" s="230">
        <v>4622</v>
      </c>
      <c r="CY26" s="228">
        <v>307</v>
      </c>
      <c r="CZ26" s="229">
        <v>6.6500000000000004E-2</v>
      </c>
      <c r="DA26" s="228">
        <v>29.36</v>
      </c>
      <c r="DB26" s="228">
        <v>32.99</v>
      </c>
      <c r="DC26" s="228">
        <v>-3.63</v>
      </c>
      <c r="DD26" s="228">
        <v>-3.63</v>
      </c>
      <c r="DE26" s="228">
        <v>34.33</v>
      </c>
      <c r="DF26" s="228">
        <v>34.4</v>
      </c>
      <c r="DG26" s="228">
        <v>-4.97</v>
      </c>
      <c r="DH26" s="228">
        <v>-7.0000000000000007E-2</v>
      </c>
      <c r="DI26" s="228">
        <v>28.75</v>
      </c>
      <c r="DJ26" s="228">
        <v>32.43</v>
      </c>
      <c r="DK26" s="228">
        <v>-3.68</v>
      </c>
      <c r="DL26" s="228">
        <v>-3.68</v>
      </c>
      <c r="DM26" s="228">
        <v>30.11</v>
      </c>
      <c r="DN26" s="228">
        <v>33.67</v>
      </c>
      <c r="DO26" s="228">
        <v>-3.56</v>
      </c>
      <c r="DP26" s="228">
        <v>-3.56</v>
      </c>
      <c r="DQ26" s="228">
        <v>0.83</v>
      </c>
      <c r="DR26" s="228">
        <v>0.87</v>
      </c>
      <c r="DS26" s="228">
        <v>-0.04</v>
      </c>
      <c r="DT26" s="229">
        <v>-4.5999999999999999E-2</v>
      </c>
      <c r="DU26" s="228">
        <v>350</v>
      </c>
      <c r="DV26" s="228">
        <v>300</v>
      </c>
      <c r="DW26" s="228">
        <v>0.79</v>
      </c>
      <c r="DX26" s="228">
        <v>0.82</v>
      </c>
      <c r="DY26" s="228">
        <v>-0.03</v>
      </c>
      <c r="DZ26" s="229">
        <v>-3.6600000000000001E-2</v>
      </c>
      <c r="EA26" s="229">
        <v>0.14910000000000001</v>
      </c>
      <c r="EB26" s="230">
        <v>10228725</v>
      </c>
      <c r="EC26" s="229">
        <v>6.6E-3</v>
      </c>
      <c r="ED26" s="229">
        <v>0.14910000000000001</v>
      </c>
      <c r="EE26" s="228">
        <v>1.56</v>
      </c>
      <c r="EF26" s="229">
        <v>5.1999999999999998E-3</v>
      </c>
      <c r="EG26" s="230">
        <v>5646569</v>
      </c>
      <c r="EH26" s="230">
        <v>9845757</v>
      </c>
      <c r="EI26" s="229">
        <v>-0.42649999999999999</v>
      </c>
      <c r="EJ26" s="229">
        <v>0.53590000000000004</v>
      </c>
      <c r="EK26" s="231">
        <v>1309.99</v>
      </c>
      <c r="EL26" s="228">
        <v>972.71</v>
      </c>
      <c r="EM26" s="228">
        <v>887.48</v>
      </c>
      <c r="EN26" s="228">
        <v>118.79</v>
      </c>
      <c r="EO26" s="231">
        <v>3170.18</v>
      </c>
      <c r="EP26" s="231">
        <v>5163.1499999999996</v>
      </c>
      <c r="EQ26" s="231">
        <v>-1992.97</v>
      </c>
      <c r="ER26" s="229">
        <v>-0.38600000000000001</v>
      </c>
      <c r="ES26" s="231">
        <v>1138.28</v>
      </c>
      <c r="ET26" s="228">
        <v>875.89</v>
      </c>
      <c r="EU26" s="231">
        <v>2978.98</v>
      </c>
      <c r="EV26" s="231">
        <v>279476623</v>
      </c>
      <c r="EW26" s="231">
        <v>4993.1499999999996</v>
      </c>
      <c r="EX26" s="231">
        <v>4661.43</v>
      </c>
      <c r="EY26" s="228">
        <v>331.72</v>
      </c>
      <c r="EZ26" s="229">
        <v>7.1199999999999999E-2</v>
      </c>
      <c r="FA26" s="229">
        <v>0.58150000000000002</v>
      </c>
      <c r="FB26" s="227" t="s">
        <v>555</v>
      </c>
      <c r="FC26">
        <f t="shared" si="0"/>
        <v>444</v>
      </c>
    </row>
    <row r="27" spans="1:159" ht="17.25" hidden="1" thickBot="1" x14ac:dyDescent="0.3">
      <c r="A27" s="226">
        <v>46086</v>
      </c>
      <c r="B27" s="227" t="s">
        <v>172</v>
      </c>
      <c r="C27" s="227" t="s">
        <v>602</v>
      </c>
      <c r="D27" s="228">
        <v>5200</v>
      </c>
      <c r="E27" s="228">
        <v>25</v>
      </c>
      <c r="F27" s="228">
        <v>164.96</v>
      </c>
      <c r="G27" s="228">
        <v>164.14</v>
      </c>
      <c r="H27" s="228">
        <v>0.82</v>
      </c>
      <c r="I27" s="229">
        <v>5.0000000000000001E-3</v>
      </c>
      <c r="J27" s="228">
        <v>164.18</v>
      </c>
      <c r="K27" s="228">
        <v>163.38999999999999</v>
      </c>
      <c r="L27" s="228">
        <v>0.79</v>
      </c>
      <c r="M27" s="229">
        <v>4.7999999999999996E-3</v>
      </c>
      <c r="N27" s="228">
        <v>164.96</v>
      </c>
      <c r="O27" s="228">
        <v>164.14</v>
      </c>
      <c r="P27" s="228">
        <v>0.82</v>
      </c>
      <c r="Q27" s="229">
        <v>5.0000000000000001E-3</v>
      </c>
      <c r="R27" s="228">
        <v>165.93</v>
      </c>
      <c r="S27" s="228">
        <v>165.17</v>
      </c>
      <c r="T27" s="228">
        <v>0.76</v>
      </c>
      <c r="U27" s="229">
        <v>4.5999999999999999E-3</v>
      </c>
      <c r="V27" s="228">
        <v>166.79</v>
      </c>
      <c r="W27" s="228">
        <v>165.79</v>
      </c>
      <c r="X27" s="228">
        <v>1</v>
      </c>
      <c r="Y27" s="229">
        <v>6.0000000000000001E-3</v>
      </c>
      <c r="Z27" s="228">
        <v>0.78</v>
      </c>
      <c r="AA27" s="228">
        <v>0.75</v>
      </c>
      <c r="AB27" s="228">
        <v>0.03</v>
      </c>
      <c r="AC27" s="229">
        <v>4.7999999999999996E-3</v>
      </c>
      <c r="AD27" s="228">
        <v>0.78</v>
      </c>
      <c r="AE27" s="228">
        <v>0.75</v>
      </c>
      <c r="AF27" s="228">
        <v>0.03</v>
      </c>
      <c r="AG27" s="229">
        <v>4.7999999999999996E-3</v>
      </c>
      <c r="AH27" s="228">
        <v>1.75</v>
      </c>
      <c r="AI27" s="228">
        <v>1.78</v>
      </c>
      <c r="AJ27" s="228">
        <v>-0.03</v>
      </c>
      <c r="AK27" s="229">
        <v>1.0699999999999999E-2</v>
      </c>
      <c r="AL27" s="228">
        <v>2.61</v>
      </c>
      <c r="AM27" s="228">
        <v>2.4</v>
      </c>
      <c r="AN27" s="228">
        <v>0.21</v>
      </c>
      <c r="AO27" s="229">
        <v>1.5900000000000001E-2</v>
      </c>
      <c r="AP27" s="228">
        <v>164.97</v>
      </c>
      <c r="AQ27" s="228">
        <v>165.98</v>
      </c>
      <c r="AR27" s="228">
        <v>0</v>
      </c>
      <c r="AS27" s="228">
        <v>258</v>
      </c>
      <c r="AT27" s="228">
        <v>400</v>
      </c>
      <c r="AU27" s="228">
        <v>-142</v>
      </c>
      <c r="AV27" s="229">
        <v>-0.35570000000000002</v>
      </c>
      <c r="AW27" s="228">
        <v>244</v>
      </c>
      <c r="AX27" s="228">
        <v>374</v>
      </c>
      <c r="AY27" s="228">
        <v>-131</v>
      </c>
      <c r="AZ27" s="229">
        <v>-0.34949999999999998</v>
      </c>
      <c r="BA27" s="228">
        <v>12</v>
      </c>
      <c r="BB27" s="228">
        <v>21</v>
      </c>
      <c r="BC27" s="228">
        <v>-10</v>
      </c>
      <c r="BD27" s="229">
        <v>-0.44579999999999997</v>
      </c>
      <c r="BE27" s="228">
        <v>2</v>
      </c>
      <c r="BF27" s="228">
        <v>4</v>
      </c>
      <c r="BG27" s="228">
        <v>-2</v>
      </c>
      <c r="BH27" s="229">
        <v>-0.45829999999999999</v>
      </c>
      <c r="BI27" s="228">
        <v>276</v>
      </c>
      <c r="BJ27" s="228">
        <v>495</v>
      </c>
      <c r="BK27" s="228">
        <v>-219</v>
      </c>
      <c r="BL27" s="229">
        <v>-0.44280000000000003</v>
      </c>
      <c r="BM27" s="228">
        <v>179</v>
      </c>
      <c r="BN27" s="228">
        <v>434</v>
      </c>
      <c r="BO27" s="228">
        <v>-255</v>
      </c>
      <c r="BP27" s="229">
        <v>-0.58760000000000001</v>
      </c>
      <c r="BQ27" s="228">
        <v>712</v>
      </c>
      <c r="BR27" s="230">
        <v>1328</v>
      </c>
      <c r="BS27" s="228">
        <v>-616</v>
      </c>
      <c r="BT27" s="229">
        <v>-0.46389999999999998</v>
      </c>
      <c r="BU27" s="230">
        <v>11450092</v>
      </c>
      <c r="BV27" s="230">
        <v>14385455</v>
      </c>
      <c r="BW27" s="230">
        <v>-2935363</v>
      </c>
      <c r="BX27" s="229">
        <v>-0.2041</v>
      </c>
      <c r="BY27" s="228">
        <v>891</v>
      </c>
      <c r="BZ27" s="228">
        <v>864</v>
      </c>
      <c r="CA27" s="228">
        <v>26</v>
      </c>
      <c r="CB27" s="229">
        <v>3.04E-2</v>
      </c>
      <c r="CC27" s="228">
        <v>864</v>
      </c>
      <c r="CD27" s="228">
        <v>839</v>
      </c>
      <c r="CE27" s="228">
        <v>25</v>
      </c>
      <c r="CF27" s="229">
        <v>2.98E-2</v>
      </c>
      <c r="CG27" s="228">
        <v>24</v>
      </c>
      <c r="CH27" s="228">
        <v>22</v>
      </c>
      <c r="CI27" s="228">
        <v>1</v>
      </c>
      <c r="CJ27" s="229">
        <v>4.9599999999999998E-2</v>
      </c>
      <c r="CK27" s="228">
        <v>3</v>
      </c>
      <c r="CL27" s="228">
        <v>3</v>
      </c>
      <c r="CM27" s="228">
        <v>0</v>
      </c>
      <c r="CN27" s="229">
        <v>5.2600000000000001E-2</v>
      </c>
      <c r="CO27" s="228">
        <v>311</v>
      </c>
      <c r="CP27" s="228">
        <v>288</v>
      </c>
      <c r="CQ27" s="228">
        <v>23</v>
      </c>
      <c r="CR27" s="229">
        <v>8.1100000000000005E-2</v>
      </c>
      <c r="CS27" s="228">
        <v>261</v>
      </c>
      <c r="CT27" s="228">
        <v>253</v>
      </c>
      <c r="CU27" s="228">
        <v>8</v>
      </c>
      <c r="CV27" s="229">
        <v>3.1600000000000003E-2</v>
      </c>
      <c r="CW27" s="230">
        <v>1462</v>
      </c>
      <c r="CX27" s="230">
        <v>1405</v>
      </c>
      <c r="CY27" s="228">
        <v>58</v>
      </c>
      <c r="CZ27" s="229">
        <v>4.1000000000000002E-2</v>
      </c>
      <c r="DA27" s="228">
        <v>36.89</v>
      </c>
      <c r="DB27" s="228">
        <v>39.6</v>
      </c>
      <c r="DC27" s="228">
        <v>-2.71</v>
      </c>
      <c r="DD27" s="228">
        <v>-2.71</v>
      </c>
      <c r="DE27" s="228">
        <v>40.450000000000003</v>
      </c>
      <c r="DF27" s="228">
        <v>40.549999999999997</v>
      </c>
      <c r="DG27" s="228">
        <v>-3.56</v>
      </c>
      <c r="DH27" s="228">
        <v>-0.1</v>
      </c>
      <c r="DI27" s="228">
        <v>36.22</v>
      </c>
      <c r="DJ27" s="228">
        <v>38.869999999999997</v>
      </c>
      <c r="DK27" s="228">
        <v>-2.65</v>
      </c>
      <c r="DL27" s="228">
        <v>-2.65</v>
      </c>
      <c r="DM27" s="228">
        <v>37.909999999999997</v>
      </c>
      <c r="DN27" s="228">
        <v>40.43</v>
      </c>
      <c r="DO27" s="228">
        <v>-2.52</v>
      </c>
      <c r="DP27" s="228">
        <v>-2.52</v>
      </c>
      <c r="DQ27" s="228">
        <v>0.84</v>
      </c>
      <c r="DR27" s="228">
        <v>0.88</v>
      </c>
      <c r="DS27" s="228">
        <v>-0.04</v>
      </c>
      <c r="DT27" s="229">
        <v>-4.5499999999999999E-2</v>
      </c>
      <c r="DU27" s="228">
        <v>180</v>
      </c>
      <c r="DV27" s="228">
        <v>160</v>
      </c>
      <c r="DW27" s="228">
        <v>0.65</v>
      </c>
      <c r="DX27" s="228">
        <v>0.88</v>
      </c>
      <c r="DY27" s="228">
        <v>-0.23</v>
      </c>
      <c r="DZ27" s="229">
        <v>-0.26140000000000002</v>
      </c>
      <c r="EA27" s="229">
        <v>3.0300000000000001E-2</v>
      </c>
      <c r="EB27" s="230">
        <v>1560000</v>
      </c>
      <c r="EC27" s="229">
        <v>5.8999999999999999E-3</v>
      </c>
      <c r="ED27" s="229">
        <v>3.0300000000000001E-2</v>
      </c>
      <c r="EE27" s="228">
        <v>1.01</v>
      </c>
      <c r="EF27" s="229">
        <v>6.1000000000000004E-3</v>
      </c>
      <c r="EG27" s="230">
        <v>4897543</v>
      </c>
      <c r="EH27" s="230">
        <v>4783730</v>
      </c>
      <c r="EI27" s="229">
        <v>2.3800000000000002E-2</v>
      </c>
      <c r="EJ27" s="229">
        <v>0.42770000000000002</v>
      </c>
      <c r="EK27" s="228">
        <v>295.16000000000003</v>
      </c>
      <c r="EL27" s="228">
        <v>182.01</v>
      </c>
      <c r="EM27" s="228">
        <v>257.70999999999998</v>
      </c>
      <c r="EN27" s="228">
        <v>33.119999999999997</v>
      </c>
      <c r="EO27" s="228">
        <v>734.88</v>
      </c>
      <c r="EP27" s="231">
        <v>1367.55</v>
      </c>
      <c r="EQ27" s="228">
        <v>-632.66999999999996</v>
      </c>
      <c r="ER27" s="229">
        <v>-0.46260000000000001</v>
      </c>
      <c r="ES27" s="228">
        <v>334.79</v>
      </c>
      <c r="ET27" s="228">
        <v>260.04000000000002</v>
      </c>
      <c r="EU27" s="228">
        <v>890.82</v>
      </c>
      <c r="EV27" s="231">
        <v>181770921</v>
      </c>
      <c r="EW27" s="231">
        <v>1485.65</v>
      </c>
      <c r="EX27" s="231">
        <v>1422.91</v>
      </c>
      <c r="EY27" s="228">
        <v>62.74</v>
      </c>
      <c r="EZ27" s="229">
        <v>4.41E-2</v>
      </c>
      <c r="FA27" s="229">
        <v>0.48770000000000002</v>
      </c>
      <c r="FB27" s="227" t="s">
        <v>555</v>
      </c>
      <c r="FC27">
        <f t="shared" si="0"/>
        <v>27</v>
      </c>
    </row>
    <row r="28" spans="1:159" ht="17.25" hidden="1" thickBot="1" x14ac:dyDescent="0.3">
      <c r="A28" s="226">
        <v>46086</v>
      </c>
      <c r="B28" s="227" t="s">
        <v>181</v>
      </c>
      <c r="C28" s="227" t="s">
        <v>182</v>
      </c>
      <c r="D28" s="228">
        <v>30</v>
      </c>
      <c r="E28" s="228">
        <v>25</v>
      </c>
      <c r="F28" s="231">
        <v>59375.199999999997</v>
      </c>
      <c r="G28" s="231">
        <v>59100.4</v>
      </c>
      <c r="H28" s="228">
        <v>274.8</v>
      </c>
      <c r="I28" s="229">
        <v>4.5999999999999999E-3</v>
      </c>
      <c r="J28" s="231">
        <v>59055.85</v>
      </c>
      <c r="K28" s="231">
        <v>58755.25</v>
      </c>
      <c r="L28" s="228">
        <v>300.60000000000002</v>
      </c>
      <c r="M28" s="229">
        <v>5.1000000000000004E-3</v>
      </c>
      <c r="N28" s="231">
        <v>59375.199999999997</v>
      </c>
      <c r="O28" s="231">
        <v>59100.4</v>
      </c>
      <c r="P28" s="228">
        <v>274.8</v>
      </c>
      <c r="Q28" s="229">
        <v>4.5999999999999999E-3</v>
      </c>
      <c r="R28" s="231">
        <v>59740.4</v>
      </c>
      <c r="S28" s="231">
        <v>59467.6</v>
      </c>
      <c r="T28" s="228">
        <v>272.8</v>
      </c>
      <c r="U28" s="229">
        <v>4.5999999999999999E-3</v>
      </c>
      <c r="V28" s="231">
        <v>59954.2</v>
      </c>
      <c r="W28" s="231">
        <v>59700</v>
      </c>
      <c r="X28" s="228">
        <v>254.2</v>
      </c>
      <c r="Y28" s="229">
        <v>4.3E-3</v>
      </c>
      <c r="Z28" s="228">
        <v>319.35000000000002</v>
      </c>
      <c r="AA28" s="228">
        <v>345.15</v>
      </c>
      <c r="AB28" s="228">
        <v>-25.8</v>
      </c>
      <c r="AC28" s="229">
        <v>5.4000000000000003E-3</v>
      </c>
      <c r="AD28" s="228">
        <v>319.35000000000002</v>
      </c>
      <c r="AE28" s="228">
        <v>345.15</v>
      </c>
      <c r="AF28" s="228">
        <v>-25.8</v>
      </c>
      <c r="AG28" s="229">
        <v>5.4000000000000003E-3</v>
      </c>
      <c r="AH28" s="228">
        <v>684.55</v>
      </c>
      <c r="AI28" s="228">
        <v>712.35</v>
      </c>
      <c r="AJ28" s="228">
        <v>-27.8</v>
      </c>
      <c r="AK28" s="229">
        <v>1.1599999999999999E-2</v>
      </c>
      <c r="AL28" s="228">
        <v>898.35</v>
      </c>
      <c r="AM28" s="228">
        <v>944.75</v>
      </c>
      <c r="AN28" s="228">
        <v>-46.4</v>
      </c>
      <c r="AO28" s="229">
        <v>1.52E-2</v>
      </c>
      <c r="AP28" s="231">
        <v>59238.75</v>
      </c>
      <c r="AQ28" s="231">
        <v>59589.18</v>
      </c>
      <c r="AR28" s="228">
        <v>0</v>
      </c>
      <c r="AS28" s="230">
        <v>8906</v>
      </c>
      <c r="AT28" s="230">
        <v>10079</v>
      </c>
      <c r="AU28" s="230">
        <v>-1173</v>
      </c>
      <c r="AV28" s="229">
        <v>-0.1164</v>
      </c>
      <c r="AW28" s="230">
        <v>7341</v>
      </c>
      <c r="AX28" s="230">
        <v>8575</v>
      </c>
      <c r="AY28" s="230">
        <v>-1234</v>
      </c>
      <c r="AZ28" s="229">
        <v>-0.1439</v>
      </c>
      <c r="BA28" s="228">
        <v>841</v>
      </c>
      <c r="BB28" s="230">
        <v>1079</v>
      </c>
      <c r="BC28" s="228">
        <v>-238</v>
      </c>
      <c r="BD28" s="229">
        <v>-0.22090000000000001</v>
      </c>
      <c r="BE28" s="228">
        <v>724</v>
      </c>
      <c r="BF28" s="228">
        <v>425</v>
      </c>
      <c r="BG28" s="228">
        <v>299</v>
      </c>
      <c r="BH28" s="229">
        <v>0.70369999999999999</v>
      </c>
      <c r="BI28" s="230">
        <v>256920</v>
      </c>
      <c r="BJ28" s="230">
        <v>226732</v>
      </c>
      <c r="BK28" s="230">
        <v>30189</v>
      </c>
      <c r="BL28" s="229">
        <v>0.1331</v>
      </c>
      <c r="BM28" s="230">
        <v>221506</v>
      </c>
      <c r="BN28" s="230">
        <v>256069</v>
      </c>
      <c r="BO28" s="230">
        <v>-34563</v>
      </c>
      <c r="BP28" s="229">
        <v>-0.13500000000000001</v>
      </c>
      <c r="BQ28" s="230">
        <v>487332</v>
      </c>
      <c r="BR28" s="230">
        <v>492880</v>
      </c>
      <c r="BS28" s="230">
        <v>-5548</v>
      </c>
      <c r="BT28" s="229">
        <v>-1.1299999999999999E-2</v>
      </c>
      <c r="BU28" s="228">
        <v>0</v>
      </c>
      <c r="BV28" s="228">
        <v>0</v>
      </c>
      <c r="BW28" s="228">
        <v>0</v>
      </c>
      <c r="BX28" s="229">
        <v>0</v>
      </c>
      <c r="BY28" s="230">
        <v>15131</v>
      </c>
      <c r="BZ28" s="230">
        <v>14737</v>
      </c>
      <c r="CA28" s="228">
        <v>394</v>
      </c>
      <c r="CB28" s="229">
        <v>2.6700000000000002E-2</v>
      </c>
      <c r="CC28" s="230">
        <v>11581</v>
      </c>
      <c r="CD28" s="230">
        <v>11265</v>
      </c>
      <c r="CE28" s="228">
        <v>316</v>
      </c>
      <c r="CF28" s="229">
        <v>2.81E-2</v>
      </c>
      <c r="CG28" s="230">
        <v>2101</v>
      </c>
      <c r="CH28" s="230">
        <v>2080</v>
      </c>
      <c r="CI28" s="228">
        <v>21</v>
      </c>
      <c r="CJ28" s="229">
        <v>1.01E-2</v>
      </c>
      <c r="CK28" s="230">
        <v>1449</v>
      </c>
      <c r="CL28" s="230">
        <v>1393</v>
      </c>
      <c r="CM28" s="228">
        <v>57</v>
      </c>
      <c r="CN28" s="229">
        <v>4.07E-2</v>
      </c>
      <c r="CO28" s="230">
        <v>83504</v>
      </c>
      <c r="CP28" s="230">
        <v>77615</v>
      </c>
      <c r="CQ28" s="230">
        <v>5889</v>
      </c>
      <c r="CR28" s="229">
        <v>7.5899999999999995E-2</v>
      </c>
      <c r="CS28" s="230">
        <v>76757</v>
      </c>
      <c r="CT28" s="230">
        <v>72304</v>
      </c>
      <c r="CU28" s="230">
        <v>4453</v>
      </c>
      <c r="CV28" s="229">
        <v>6.1600000000000002E-2</v>
      </c>
      <c r="CW28" s="230">
        <v>175392</v>
      </c>
      <c r="CX28" s="230">
        <v>164656</v>
      </c>
      <c r="CY28" s="230">
        <v>10736</v>
      </c>
      <c r="CZ28" s="229">
        <v>6.5199999999999994E-2</v>
      </c>
      <c r="DA28" s="228">
        <v>16.45</v>
      </c>
      <c r="DB28" s="228">
        <v>18.899999999999999</v>
      </c>
      <c r="DC28" s="228">
        <v>-2.4500000000000002</v>
      </c>
      <c r="DD28" s="228">
        <v>-2.4500000000000002</v>
      </c>
      <c r="DE28" s="228">
        <v>15.83</v>
      </c>
      <c r="DF28" s="228">
        <v>15.86</v>
      </c>
      <c r="DG28" s="228">
        <v>0.62</v>
      </c>
      <c r="DH28" s="228">
        <v>-0.03</v>
      </c>
      <c r="DI28" s="228">
        <v>14.95</v>
      </c>
      <c r="DJ28" s="228">
        <v>17.170000000000002</v>
      </c>
      <c r="DK28" s="228">
        <v>-2.2200000000000002</v>
      </c>
      <c r="DL28" s="228">
        <v>-2.2200000000000002</v>
      </c>
      <c r="DM28" s="228">
        <v>18.2</v>
      </c>
      <c r="DN28" s="228">
        <v>20.43</v>
      </c>
      <c r="DO28" s="228">
        <v>-2.23</v>
      </c>
      <c r="DP28" s="228">
        <v>-2.23</v>
      </c>
      <c r="DQ28" s="228">
        <v>0.92</v>
      </c>
      <c r="DR28" s="228">
        <v>0.93</v>
      </c>
      <c r="DS28" s="228">
        <v>-0.01</v>
      </c>
      <c r="DT28" s="229">
        <v>-1.0800000000000001E-2</v>
      </c>
      <c r="DU28" s="231">
        <v>62000</v>
      </c>
      <c r="DV28" s="231">
        <v>59000</v>
      </c>
      <c r="DW28" s="228">
        <v>0.86</v>
      </c>
      <c r="DX28" s="228">
        <v>1.1299999999999999</v>
      </c>
      <c r="DY28" s="228">
        <v>-0.27</v>
      </c>
      <c r="DZ28" s="229">
        <v>-0.2389</v>
      </c>
      <c r="EA28" s="229">
        <v>0.2346</v>
      </c>
      <c r="EB28" s="230">
        <v>584820</v>
      </c>
      <c r="EC28" s="229">
        <v>6.1999999999999998E-3</v>
      </c>
      <c r="ED28" s="229">
        <v>0.2346</v>
      </c>
      <c r="EE28" s="228">
        <v>350.43</v>
      </c>
      <c r="EF28" s="229">
        <v>5.8999999999999999E-3</v>
      </c>
      <c r="EG28" s="228">
        <v>0</v>
      </c>
      <c r="EH28" s="228">
        <v>0</v>
      </c>
      <c r="EI28" s="229">
        <v>0</v>
      </c>
      <c r="EJ28" s="229">
        <v>0</v>
      </c>
      <c r="EK28" s="231">
        <v>265788.79999999999</v>
      </c>
      <c r="EL28" s="231">
        <v>216730.1</v>
      </c>
      <c r="EM28" s="231">
        <v>8897.19</v>
      </c>
      <c r="EN28" s="228">
        <v>0</v>
      </c>
      <c r="EO28" s="231">
        <v>491416.09</v>
      </c>
      <c r="EP28" s="231">
        <v>496737.28000000003</v>
      </c>
      <c r="EQ28" s="231">
        <v>-5321.2</v>
      </c>
      <c r="ER28" s="229">
        <v>-1.0699999999999999E-2</v>
      </c>
      <c r="ES28" s="231">
        <v>86640.16</v>
      </c>
      <c r="ET28" s="231">
        <v>74895.27</v>
      </c>
      <c r="EU28" s="231">
        <v>15157.75</v>
      </c>
      <c r="EV28" s="228">
        <v>0</v>
      </c>
      <c r="EW28" s="231">
        <v>176693.18</v>
      </c>
      <c r="EX28" s="231">
        <v>166017.19</v>
      </c>
      <c r="EY28" s="231">
        <v>10675.99</v>
      </c>
      <c r="EZ28" s="229">
        <v>6.4299999999999996E-2</v>
      </c>
      <c r="FA28" s="229">
        <v>0</v>
      </c>
      <c r="FB28" s="227" t="s">
        <v>555</v>
      </c>
      <c r="FC28">
        <f t="shared" si="0"/>
        <v>3550</v>
      </c>
    </row>
    <row r="29" spans="1:159" s="195" customFormat="1" ht="17.25" hidden="1" thickBot="1" x14ac:dyDescent="0.3">
      <c r="A29" s="226">
        <v>46086</v>
      </c>
      <c r="B29" s="227" t="s">
        <v>184</v>
      </c>
      <c r="C29" s="227" t="s">
        <v>670</v>
      </c>
      <c r="D29" s="228">
        <v>350</v>
      </c>
      <c r="E29" s="228">
        <v>25</v>
      </c>
      <c r="F29" s="231">
        <v>1283</v>
      </c>
      <c r="G29" s="231">
        <v>1254.9000000000001</v>
      </c>
      <c r="H29" s="228">
        <v>28.1</v>
      </c>
      <c r="I29" s="229">
        <v>2.24E-2</v>
      </c>
      <c r="J29" s="231">
        <v>1280.5999999999999</v>
      </c>
      <c r="K29" s="231">
        <v>1269.3</v>
      </c>
      <c r="L29" s="228">
        <v>11.3</v>
      </c>
      <c r="M29" s="229">
        <v>8.8999999999999999E-3</v>
      </c>
      <c r="N29" s="231">
        <v>1283</v>
      </c>
      <c r="O29" s="231">
        <v>1254.9000000000001</v>
      </c>
      <c r="P29" s="228">
        <v>28.1</v>
      </c>
      <c r="Q29" s="229">
        <v>2.24E-2</v>
      </c>
      <c r="R29" s="231">
        <v>1274.3</v>
      </c>
      <c r="S29" s="231">
        <v>1240.7</v>
      </c>
      <c r="T29" s="228">
        <v>33.6</v>
      </c>
      <c r="U29" s="229">
        <v>2.7099999999999999E-2</v>
      </c>
      <c r="V29" s="231">
        <v>1269.9000000000001</v>
      </c>
      <c r="W29" s="231">
        <v>1235.3</v>
      </c>
      <c r="X29" s="228">
        <v>34.6</v>
      </c>
      <c r="Y29" s="229">
        <v>2.8000000000000001E-2</v>
      </c>
      <c r="Z29" s="228">
        <v>2.4</v>
      </c>
      <c r="AA29" s="228">
        <v>-14.4</v>
      </c>
      <c r="AB29" s="228">
        <v>16.8</v>
      </c>
      <c r="AC29" s="229">
        <v>1.9E-3</v>
      </c>
      <c r="AD29" s="228">
        <v>2.4</v>
      </c>
      <c r="AE29" s="228">
        <v>-14.4</v>
      </c>
      <c r="AF29" s="228">
        <v>16.8</v>
      </c>
      <c r="AG29" s="229">
        <v>1.9E-3</v>
      </c>
      <c r="AH29" s="228">
        <v>-6.3</v>
      </c>
      <c r="AI29" s="228">
        <v>-28.6</v>
      </c>
      <c r="AJ29" s="228">
        <v>22.3</v>
      </c>
      <c r="AK29" s="229">
        <v>-4.8999999999999998E-3</v>
      </c>
      <c r="AL29" s="228">
        <v>-10.7</v>
      </c>
      <c r="AM29" s="228">
        <v>-34</v>
      </c>
      <c r="AN29" s="228">
        <v>23.3</v>
      </c>
      <c r="AO29" s="229">
        <v>-8.3999999999999995E-3</v>
      </c>
      <c r="AP29" s="231">
        <v>1292.7</v>
      </c>
      <c r="AQ29" s="231">
        <v>1281.44</v>
      </c>
      <c r="AR29" s="228">
        <v>0</v>
      </c>
      <c r="AS29" s="228">
        <v>390</v>
      </c>
      <c r="AT29" s="228">
        <v>260</v>
      </c>
      <c r="AU29" s="228">
        <v>130</v>
      </c>
      <c r="AV29" s="229">
        <v>0.49780000000000002</v>
      </c>
      <c r="AW29" s="228">
        <v>336</v>
      </c>
      <c r="AX29" s="228">
        <v>238</v>
      </c>
      <c r="AY29" s="228">
        <v>98</v>
      </c>
      <c r="AZ29" s="229">
        <v>0.41020000000000001</v>
      </c>
      <c r="BA29" s="228">
        <v>49</v>
      </c>
      <c r="BB29" s="228">
        <v>20</v>
      </c>
      <c r="BC29" s="228">
        <v>29</v>
      </c>
      <c r="BD29" s="229">
        <v>1.4100999999999999</v>
      </c>
      <c r="BE29" s="228">
        <v>5</v>
      </c>
      <c r="BF29" s="228">
        <v>2</v>
      </c>
      <c r="BG29" s="228">
        <v>3</v>
      </c>
      <c r="BH29" s="229">
        <v>1.6829000000000001</v>
      </c>
      <c r="BI29" s="230">
        <v>1640</v>
      </c>
      <c r="BJ29" s="230">
        <v>1104</v>
      </c>
      <c r="BK29" s="228">
        <v>536</v>
      </c>
      <c r="BL29" s="229">
        <v>0.48549999999999999</v>
      </c>
      <c r="BM29" s="228">
        <v>342</v>
      </c>
      <c r="BN29" s="228">
        <v>328</v>
      </c>
      <c r="BO29" s="228">
        <v>14</v>
      </c>
      <c r="BP29" s="229">
        <v>4.3700000000000003E-2</v>
      </c>
      <c r="BQ29" s="230">
        <v>2372</v>
      </c>
      <c r="BR29" s="230">
        <v>1692</v>
      </c>
      <c r="BS29" s="228">
        <v>680</v>
      </c>
      <c r="BT29" s="229">
        <v>0.40189999999999998</v>
      </c>
      <c r="BU29" s="230">
        <v>1994202</v>
      </c>
      <c r="BV29" s="230">
        <v>1667737</v>
      </c>
      <c r="BW29" s="230">
        <v>326465</v>
      </c>
      <c r="BX29" s="229">
        <v>0.1958</v>
      </c>
      <c r="BY29" s="228">
        <v>676</v>
      </c>
      <c r="BZ29" s="228">
        <v>728</v>
      </c>
      <c r="CA29" s="228">
        <v>-52</v>
      </c>
      <c r="CB29" s="229">
        <v>-7.0900000000000005E-2</v>
      </c>
      <c r="CC29" s="228">
        <v>604</v>
      </c>
      <c r="CD29" s="228">
        <v>665</v>
      </c>
      <c r="CE29" s="228">
        <v>-61</v>
      </c>
      <c r="CF29" s="229">
        <v>-9.1600000000000001E-2</v>
      </c>
      <c r="CG29" s="228">
        <v>69</v>
      </c>
      <c r="CH29" s="228">
        <v>59</v>
      </c>
      <c r="CI29" s="228">
        <v>9</v>
      </c>
      <c r="CJ29" s="229">
        <v>0.1525</v>
      </c>
      <c r="CK29" s="228">
        <v>4</v>
      </c>
      <c r="CL29" s="228">
        <v>4</v>
      </c>
      <c r="CM29" s="228">
        <v>0</v>
      </c>
      <c r="CN29" s="229">
        <v>6.4100000000000004E-2</v>
      </c>
      <c r="CO29" s="228">
        <v>488</v>
      </c>
      <c r="CP29" s="228">
        <v>520</v>
      </c>
      <c r="CQ29" s="228">
        <v>-31</v>
      </c>
      <c r="CR29" s="229">
        <v>-6.0499999999999998E-2</v>
      </c>
      <c r="CS29" s="228">
        <v>301</v>
      </c>
      <c r="CT29" s="228">
        <v>301</v>
      </c>
      <c r="CU29" s="228">
        <v>0</v>
      </c>
      <c r="CV29" s="229">
        <v>-1.6000000000000001E-3</v>
      </c>
      <c r="CW29" s="230">
        <v>1465</v>
      </c>
      <c r="CX29" s="230">
        <v>1549</v>
      </c>
      <c r="CY29" s="228">
        <v>-84</v>
      </c>
      <c r="CZ29" s="229">
        <v>-5.3900000000000003E-2</v>
      </c>
      <c r="DA29" s="228">
        <v>39.1</v>
      </c>
      <c r="DB29" s="228">
        <v>43.79</v>
      </c>
      <c r="DC29" s="228">
        <v>-4.6900000000000004</v>
      </c>
      <c r="DD29" s="228">
        <v>-4.6900000000000004</v>
      </c>
      <c r="DE29" s="228">
        <v>51.27</v>
      </c>
      <c r="DF29" s="228">
        <v>51.31</v>
      </c>
      <c r="DG29" s="228">
        <v>-12.17</v>
      </c>
      <c r="DH29" s="228">
        <v>-0.04</v>
      </c>
      <c r="DI29" s="228">
        <v>38.79</v>
      </c>
      <c r="DJ29" s="228">
        <v>43.27</v>
      </c>
      <c r="DK29" s="228">
        <v>-4.4800000000000004</v>
      </c>
      <c r="DL29" s="228">
        <v>-4.4800000000000004</v>
      </c>
      <c r="DM29" s="228">
        <v>40.56</v>
      </c>
      <c r="DN29" s="228">
        <v>45.54</v>
      </c>
      <c r="DO29" s="228">
        <v>-4.9800000000000004</v>
      </c>
      <c r="DP29" s="228">
        <v>-4.9800000000000004</v>
      </c>
      <c r="DQ29" s="228">
        <v>0.62</v>
      </c>
      <c r="DR29" s="228">
        <v>0.57999999999999996</v>
      </c>
      <c r="DS29" s="228">
        <v>0.04</v>
      </c>
      <c r="DT29" s="229">
        <v>6.9000000000000006E-2</v>
      </c>
      <c r="DU29" s="231">
        <v>1300</v>
      </c>
      <c r="DV29" s="231">
        <v>1300</v>
      </c>
      <c r="DW29" s="228">
        <v>0.21</v>
      </c>
      <c r="DX29" s="228">
        <v>0.3</v>
      </c>
      <c r="DY29" s="228">
        <v>-0.09</v>
      </c>
      <c r="DZ29" s="229">
        <v>-0.3</v>
      </c>
      <c r="EA29" s="229">
        <v>0.1069</v>
      </c>
      <c r="EB29" s="230">
        <v>491050</v>
      </c>
      <c r="EC29" s="229">
        <v>-6.7999999999999996E-3</v>
      </c>
      <c r="ED29" s="229">
        <v>0.1069</v>
      </c>
      <c r="EE29" s="228">
        <v>-11.26</v>
      </c>
      <c r="EF29" s="229">
        <v>-8.6999999999999994E-3</v>
      </c>
      <c r="EG29" s="230">
        <v>473896</v>
      </c>
      <c r="EH29" s="230">
        <v>349475</v>
      </c>
      <c r="EI29" s="229">
        <v>0.35599999999999998</v>
      </c>
      <c r="EJ29" s="229">
        <v>0.23760000000000001</v>
      </c>
      <c r="EK29" s="231">
        <v>1770.81</v>
      </c>
      <c r="EL29" s="228">
        <v>334.85</v>
      </c>
      <c r="EM29" s="228">
        <v>392.5</v>
      </c>
      <c r="EN29" s="228">
        <v>52.3</v>
      </c>
      <c r="EO29" s="231">
        <v>2498.15</v>
      </c>
      <c r="EP29" s="231">
        <v>1747.64</v>
      </c>
      <c r="EQ29" s="228">
        <v>750.52</v>
      </c>
      <c r="ER29" s="229">
        <v>0.4294</v>
      </c>
      <c r="ES29" s="228">
        <v>521.14</v>
      </c>
      <c r="ET29" s="228">
        <v>291.57</v>
      </c>
      <c r="EU29" s="228">
        <v>675.59</v>
      </c>
      <c r="EV29" s="231">
        <v>13786716</v>
      </c>
      <c r="EW29" s="231">
        <v>1488.3</v>
      </c>
      <c r="EX29" s="231">
        <v>1552.27</v>
      </c>
      <c r="EY29" s="228">
        <v>-63.97</v>
      </c>
      <c r="EZ29" s="229">
        <v>-4.1200000000000001E-2</v>
      </c>
      <c r="FA29" s="229">
        <v>0.82840000000000003</v>
      </c>
      <c r="FB29" s="227" t="s">
        <v>556</v>
      </c>
      <c r="FC29" s="195">
        <f t="shared" si="0"/>
        <v>72</v>
      </c>
    </row>
    <row r="30" spans="1:159" ht="17.25" hidden="1" thickBot="1" x14ac:dyDescent="0.3">
      <c r="A30" s="226">
        <v>46086</v>
      </c>
      <c r="B30" s="227" t="s">
        <v>184</v>
      </c>
      <c r="C30" s="227" t="s">
        <v>185</v>
      </c>
      <c r="D30" s="228">
        <v>1425</v>
      </c>
      <c r="E30" s="228">
        <v>25</v>
      </c>
      <c r="F30" s="228">
        <v>459.85</v>
      </c>
      <c r="G30" s="228">
        <v>445.8</v>
      </c>
      <c r="H30" s="228">
        <v>14.05</v>
      </c>
      <c r="I30" s="229">
        <v>3.15E-2</v>
      </c>
      <c r="J30" s="228">
        <v>460</v>
      </c>
      <c r="K30" s="228">
        <v>446.85</v>
      </c>
      <c r="L30" s="228">
        <v>13.15</v>
      </c>
      <c r="M30" s="229">
        <v>2.9399999999999999E-2</v>
      </c>
      <c r="N30" s="228">
        <v>459.85</v>
      </c>
      <c r="O30" s="228">
        <v>445.8</v>
      </c>
      <c r="P30" s="228">
        <v>14.05</v>
      </c>
      <c r="Q30" s="229">
        <v>3.15E-2</v>
      </c>
      <c r="R30" s="228">
        <v>462.85</v>
      </c>
      <c r="S30" s="228">
        <v>448.5</v>
      </c>
      <c r="T30" s="228">
        <v>14.35</v>
      </c>
      <c r="U30" s="229">
        <v>3.2000000000000001E-2</v>
      </c>
      <c r="V30" s="228">
        <v>465.45</v>
      </c>
      <c r="W30" s="228">
        <v>450.7</v>
      </c>
      <c r="X30" s="228">
        <v>14.75</v>
      </c>
      <c r="Y30" s="229">
        <v>3.27E-2</v>
      </c>
      <c r="Z30" s="228">
        <v>-0.15</v>
      </c>
      <c r="AA30" s="228">
        <v>-1.05</v>
      </c>
      <c r="AB30" s="228">
        <v>0.9</v>
      </c>
      <c r="AC30" s="229">
        <v>-2.9999999999999997E-4</v>
      </c>
      <c r="AD30" s="228">
        <v>-0.15</v>
      </c>
      <c r="AE30" s="228">
        <v>-1.05</v>
      </c>
      <c r="AF30" s="228">
        <v>0.9</v>
      </c>
      <c r="AG30" s="229">
        <v>-2.9999999999999997E-4</v>
      </c>
      <c r="AH30" s="228">
        <v>2.85</v>
      </c>
      <c r="AI30" s="228">
        <v>1.65</v>
      </c>
      <c r="AJ30" s="228">
        <v>1.2</v>
      </c>
      <c r="AK30" s="229">
        <v>6.1999999999999998E-3</v>
      </c>
      <c r="AL30" s="228">
        <v>5.45</v>
      </c>
      <c r="AM30" s="228">
        <v>3.85</v>
      </c>
      <c r="AN30" s="228">
        <v>1.6</v>
      </c>
      <c r="AO30" s="229">
        <v>1.18E-2</v>
      </c>
      <c r="AP30" s="228">
        <v>460.57</v>
      </c>
      <c r="AQ30" s="228">
        <v>463.31</v>
      </c>
      <c r="AR30" s="228">
        <v>0</v>
      </c>
      <c r="AS30" s="230">
        <v>2193</v>
      </c>
      <c r="AT30" s="230">
        <v>1762</v>
      </c>
      <c r="AU30" s="228">
        <v>431</v>
      </c>
      <c r="AV30" s="229">
        <v>0.24460000000000001</v>
      </c>
      <c r="AW30" s="230">
        <v>1991</v>
      </c>
      <c r="AX30" s="230">
        <v>1630</v>
      </c>
      <c r="AY30" s="228">
        <v>361</v>
      </c>
      <c r="AZ30" s="229">
        <v>0.22120000000000001</v>
      </c>
      <c r="BA30" s="228">
        <v>167</v>
      </c>
      <c r="BB30" s="228">
        <v>108</v>
      </c>
      <c r="BC30" s="228">
        <v>59</v>
      </c>
      <c r="BD30" s="229">
        <v>0.54079999999999995</v>
      </c>
      <c r="BE30" s="228">
        <v>35</v>
      </c>
      <c r="BF30" s="228">
        <v>24</v>
      </c>
      <c r="BG30" s="228">
        <v>12</v>
      </c>
      <c r="BH30" s="229">
        <v>0.50139999999999996</v>
      </c>
      <c r="BI30" s="230">
        <v>9439</v>
      </c>
      <c r="BJ30" s="230">
        <v>5187</v>
      </c>
      <c r="BK30" s="230">
        <v>4252</v>
      </c>
      <c r="BL30" s="229">
        <v>0.81969999999999998</v>
      </c>
      <c r="BM30" s="230">
        <v>4426</v>
      </c>
      <c r="BN30" s="230">
        <v>2361</v>
      </c>
      <c r="BO30" s="230">
        <v>2065</v>
      </c>
      <c r="BP30" s="229">
        <v>0.87490000000000001</v>
      </c>
      <c r="BQ30" s="230">
        <v>16058</v>
      </c>
      <c r="BR30" s="230">
        <v>9310</v>
      </c>
      <c r="BS30" s="230">
        <v>6748</v>
      </c>
      <c r="BT30" s="229">
        <v>0.7248</v>
      </c>
      <c r="BU30" s="230">
        <v>39879751</v>
      </c>
      <c r="BV30" s="230">
        <v>37141581</v>
      </c>
      <c r="BW30" s="230">
        <v>2738170</v>
      </c>
      <c r="BX30" s="229">
        <v>7.3700000000000002E-2</v>
      </c>
      <c r="BY30" s="230">
        <v>5033</v>
      </c>
      <c r="BZ30" s="230">
        <v>5190</v>
      </c>
      <c r="CA30" s="228">
        <v>-157</v>
      </c>
      <c r="CB30" s="229">
        <v>-3.0300000000000001E-2</v>
      </c>
      <c r="CC30" s="230">
        <v>4794</v>
      </c>
      <c r="CD30" s="230">
        <v>4949</v>
      </c>
      <c r="CE30" s="228">
        <v>-156</v>
      </c>
      <c r="CF30" s="229">
        <v>-3.1399999999999997E-2</v>
      </c>
      <c r="CG30" s="228">
        <v>184</v>
      </c>
      <c r="CH30" s="228">
        <v>186</v>
      </c>
      <c r="CI30" s="228">
        <v>-1</v>
      </c>
      <c r="CJ30" s="229">
        <v>-5.7000000000000002E-3</v>
      </c>
      <c r="CK30" s="228">
        <v>55</v>
      </c>
      <c r="CL30" s="228">
        <v>55</v>
      </c>
      <c r="CM30" s="228">
        <v>0</v>
      </c>
      <c r="CN30" s="229">
        <v>-5.8999999999999999E-3</v>
      </c>
      <c r="CO30" s="230">
        <v>1924</v>
      </c>
      <c r="CP30" s="230">
        <v>2212</v>
      </c>
      <c r="CQ30" s="228">
        <v>-287</v>
      </c>
      <c r="CR30" s="229">
        <v>-0.1298</v>
      </c>
      <c r="CS30" s="230">
        <v>1284</v>
      </c>
      <c r="CT30" s="230">
        <v>1161</v>
      </c>
      <c r="CU30" s="228">
        <v>123</v>
      </c>
      <c r="CV30" s="229">
        <v>0.1056</v>
      </c>
      <c r="CW30" s="230">
        <v>8242</v>
      </c>
      <c r="CX30" s="230">
        <v>8563</v>
      </c>
      <c r="CY30" s="228">
        <v>-321</v>
      </c>
      <c r="CZ30" s="229">
        <v>-3.7499999999999999E-2</v>
      </c>
      <c r="DA30" s="228">
        <v>29.01</v>
      </c>
      <c r="DB30" s="228">
        <v>33.659999999999997</v>
      </c>
      <c r="DC30" s="228">
        <v>-4.6500000000000004</v>
      </c>
      <c r="DD30" s="228">
        <v>-4.6500000000000004</v>
      </c>
      <c r="DE30" s="228">
        <v>36.93</v>
      </c>
      <c r="DF30" s="228">
        <v>36.79</v>
      </c>
      <c r="DG30" s="228">
        <v>-7.92</v>
      </c>
      <c r="DH30" s="228">
        <v>0.14000000000000001</v>
      </c>
      <c r="DI30" s="228">
        <v>28.68</v>
      </c>
      <c r="DJ30" s="228">
        <v>33.39</v>
      </c>
      <c r="DK30" s="228">
        <v>-4.71</v>
      </c>
      <c r="DL30" s="228">
        <v>-4.71</v>
      </c>
      <c r="DM30" s="228">
        <v>29.72</v>
      </c>
      <c r="DN30" s="228">
        <v>34.25</v>
      </c>
      <c r="DO30" s="228">
        <v>-4.53</v>
      </c>
      <c r="DP30" s="228">
        <v>-4.53</v>
      </c>
      <c r="DQ30" s="228">
        <v>0.67</v>
      </c>
      <c r="DR30" s="228">
        <v>0.53</v>
      </c>
      <c r="DS30" s="228">
        <v>0.14000000000000001</v>
      </c>
      <c r="DT30" s="229">
        <v>0.26419999999999999</v>
      </c>
      <c r="DU30" s="228">
        <v>500</v>
      </c>
      <c r="DV30" s="228">
        <v>440</v>
      </c>
      <c r="DW30" s="228">
        <v>0.47</v>
      </c>
      <c r="DX30" s="228">
        <v>0.46</v>
      </c>
      <c r="DY30" s="228">
        <v>0.01</v>
      </c>
      <c r="DZ30" s="229">
        <v>2.1700000000000001E-2</v>
      </c>
      <c r="EA30" s="229">
        <v>4.7600000000000003E-2</v>
      </c>
      <c r="EB30" s="230">
        <v>5236875</v>
      </c>
      <c r="EC30" s="229">
        <v>6.4999999999999997E-3</v>
      </c>
      <c r="ED30" s="229">
        <v>4.7600000000000003E-2</v>
      </c>
      <c r="EE30" s="228">
        <v>2.74</v>
      </c>
      <c r="EF30" s="229">
        <v>5.8999999999999999E-3</v>
      </c>
      <c r="EG30" s="230">
        <v>15402452</v>
      </c>
      <c r="EH30" s="230">
        <v>19057427</v>
      </c>
      <c r="EI30" s="229">
        <v>-0.1918</v>
      </c>
      <c r="EJ30" s="229">
        <v>0.38619999999999999</v>
      </c>
      <c r="EK30" s="231">
        <v>9919.57</v>
      </c>
      <c r="EL30" s="231">
        <v>4311.05</v>
      </c>
      <c r="EM30" s="231">
        <v>2197.67</v>
      </c>
      <c r="EN30" s="228">
        <v>196.89</v>
      </c>
      <c r="EO30" s="231">
        <v>16428.29</v>
      </c>
      <c r="EP30" s="231">
        <v>9380.0499999999993</v>
      </c>
      <c r="EQ30" s="231">
        <v>7048.23</v>
      </c>
      <c r="ER30" s="229">
        <v>0.75139999999999996</v>
      </c>
      <c r="ES30" s="231">
        <v>1963.89</v>
      </c>
      <c r="ET30" s="231">
        <v>1204.3699999999999</v>
      </c>
      <c r="EU30" s="231">
        <v>5035</v>
      </c>
      <c r="EV30" s="231">
        <v>535778534</v>
      </c>
      <c r="EW30" s="231">
        <v>8203.25</v>
      </c>
      <c r="EX30" s="231">
        <v>8340.85</v>
      </c>
      <c r="EY30" s="228">
        <v>-137.6</v>
      </c>
      <c r="EZ30" s="229">
        <v>-1.6500000000000001E-2</v>
      </c>
      <c r="FA30" s="229">
        <v>0.33450000000000002</v>
      </c>
      <c r="FB30" s="227" t="s">
        <v>556</v>
      </c>
      <c r="FC30">
        <f t="shared" si="0"/>
        <v>239</v>
      </c>
    </row>
    <row r="31" spans="1:159" ht="17.25" hidden="1" thickBot="1" x14ac:dyDescent="0.3">
      <c r="A31" s="226">
        <v>46086</v>
      </c>
      <c r="B31" s="227" t="s">
        <v>162</v>
      </c>
      <c r="C31" s="227" t="s">
        <v>187</v>
      </c>
      <c r="D31" s="228">
        <v>500</v>
      </c>
      <c r="E31" s="228">
        <v>25</v>
      </c>
      <c r="F31" s="231">
        <v>1902</v>
      </c>
      <c r="G31" s="231">
        <v>1845.1</v>
      </c>
      <c r="H31" s="228">
        <v>56.9</v>
      </c>
      <c r="I31" s="229">
        <v>3.0800000000000001E-2</v>
      </c>
      <c r="J31" s="231">
        <v>1898.4</v>
      </c>
      <c r="K31" s="231">
        <v>1841.8</v>
      </c>
      <c r="L31" s="228">
        <v>56.6</v>
      </c>
      <c r="M31" s="229">
        <v>3.0700000000000002E-2</v>
      </c>
      <c r="N31" s="231">
        <v>1902</v>
      </c>
      <c r="O31" s="231">
        <v>1845.1</v>
      </c>
      <c r="P31" s="228">
        <v>56.9</v>
      </c>
      <c r="Q31" s="229">
        <v>3.0800000000000001E-2</v>
      </c>
      <c r="R31" s="231">
        <v>1908.3</v>
      </c>
      <c r="S31" s="231">
        <v>1851.5</v>
      </c>
      <c r="T31" s="228">
        <v>56.8</v>
      </c>
      <c r="U31" s="229">
        <v>3.0700000000000002E-2</v>
      </c>
      <c r="V31" s="231">
        <v>1916.6</v>
      </c>
      <c r="W31" s="231">
        <v>1857</v>
      </c>
      <c r="X31" s="228">
        <v>59.6</v>
      </c>
      <c r="Y31" s="229">
        <v>3.2099999999999997E-2</v>
      </c>
      <c r="Z31" s="228">
        <v>3.6</v>
      </c>
      <c r="AA31" s="228">
        <v>3.3</v>
      </c>
      <c r="AB31" s="228">
        <v>0.3</v>
      </c>
      <c r="AC31" s="229">
        <v>1.9E-3</v>
      </c>
      <c r="AD31" s="228">
        <v>3.6</v>
      </c>
      <c r="AE31" s="228">
        <v>3.3</v>
      </c>
      <c r="AF31" s="228">
        <v>0.3</v>
      </c>
      <c r="AG31" s="229">
        <v>1.9E-3</v>
      </c>
      <c r="AH31" s="228">
        <v>9.9</v>
      </c>
      <c r="AI31" s="228">
        <v>9.6999999999999993</v>
      </c>
      <c r="AJ31" s="228">
        <v>0.2</v>
      </c>
      <c r="AK31" s="229">
        <v>5.1999999999999998E-3</v>
      </c>
      <c r="AL31" s="228">
        <v>18.2</v>
      </c>
      <c r="AM31" s="228">
        <v>15.2</v>
      </c>
      <c r="AN31" s="228">
        <v>3</v>
      </c>
      <c r="AO31" s="229">
        <v>9.5999999999999992E-3</v>
      </c>
      <c r="AP31" s="231">
        <v>1894.55</v>
      </c>
      <c r="AQ31" s="231">
        <v>1903.81</v>
      </c>
      <c r="AR31" s="228">
        <v>0</v>
      </c>
      <c r="AS31" s="228">
        <v>806</v>
      </c>
      <c r="AT31" s="228">
        <v>524</v>
      </c>
      <c r="AU31" s="228">
        <v>282</v>
      </c>
      <c r="AV31" s="229">
        <v>0.53790000000000004</v>
      </c>
      <c r="AW31" s="228">
        <v>773</v>
      </c>
      <c r="AX31" s="228">
        <v>509</v>
      </c>
      <c r="AY31" s="228">
        <v>264</v>
      </c>
      <c r="AZ31" s="229">
        <v>0.51990000000000003</v>
      </c>
      <c r="BA31" s="228">
        <v>28</v>
      </c>
      <c r="BB31" s="228">
        <v>14</v>
      </c>
      <c r="BC31" s="228">
        <v>14</v>
      </c>
      <c r="BD31" s="229">
        <v>0.97960000000000003</v>
      </c>
      <c r="BE31" s="228">
        <v>5</v>
      </c>
      <c r="BF31" s="228">
        <v>1</v>
      </c>
      <c r="BG31" s="228">
        <v>4</v>
      </c>
      <c r="BH31" s="229">
        <v>3.1667000000000001</v>
      </c>
      <c r="BI31" s="230">
        <v>2767</v>
      </c>
      <c r="BJ31" s="228">
        <v>872</v>
      </c>
      <c r="BK31" s="230">
        <v>1894</v>
      </c>
      <c r="BL31" s="229">
        <v>2.1722000000000001</v>
      </c>
      <c r="BM31" s="228">
        <v>894</v>
      </c>
      <c r="BN31" s="228">
        <v>744</v>
      </c>
      <c r="BO31" s="228">
        <v>150</v>
      </c>
      <c r="BP31" s="229">
        <v>0.20119999999999999</v>
      </c>
      <c r="BQ31" s="230">
        <v>4466</v>
      </c>
      <c r="BR31" s="230">
        <v>2140</v>
      </c>
      <c r="BS31" s="230">
        <v>2326</v>
      </c>
      <c r="BT31" s="229">
        <v>1.0867</v>
      </c>
      <c r="BU31" s="230">
        <v>3262041</v>
      </c>
      <c r="BV31" s="230">
        <v>1798104</v>
      </c>
      <c r="BW31" s="230">
        <v>1463937</v>
      </c>
      <c r="BX31" s="229">
        <v>0.81420000000000003</v>
      </c>
      <c r="BY31" s="230">
        <v>1333</v>
      </c>
      <c r="BZ31" s="230">
        <v>1295</v>
      </c>
      <c r="CA31" s="228">
        <v>38</v>
      </c>
      <c r="CB31" s="229">
        <v>2.9000000000000001E-2</v>
      </c>
      <c r="CC31" s="230">
        <v>1312</v>
      </c>
      <c r="CD31" s="230">
        <v>1276</v>
      </c>
      <c r="CE31" s="228">
        <v>36</v>
      </c>
      <c r="CF31" s="229">
        <v>2.86E-2</v>
      </c>
      <c r="CG31" s="228">
        <v>18</v>
      </c>
      <c r="CH31" s="228">
        <v>17</v>
      </c>
      <c r="CI31" s="228">
        <v>1</v>
      </c>
      <c r="CJ31" s="229">
        <v>3.9100000000000003E-2</v>
      </c>
      <c r="CK31" s="228">
        <v>3</v>
      </c>
      <c r="CL31" s="228">
        <v>3</v>
      </c>
      <c r="CM31" s="228">
        <v>0</v>
      </c>
      <c r="CN31" s="229">
        <v>0.1852</v>
      </c>
      <c r="CO31" s="228">
        <v>662</v>
      </c>
      <c r="CP31" s="228">
        <v>520</v>
      </c>
      <c r="CQ31" s="228">
        <v>143</v>
      </c>
      <c r="CR31" s="229">
        <v>0.27439999999999998</v>
      </c>
      <c r="CS31" s="228">
        <v>487</v>
      </c>
      <c r="CT31" s="228">
        <v>467</v>
      </c>
      <c r="CU31" s="228">
        <v>21</v>
      </c>
      <c r="CV31" s="229">
        <v>4.3999999999999997E-2</v>
      </c>
      <c r="CW31" s="230">
        <v>2483</v>
      </c>
      <c r="CX31" s="230">
        <v>2282</v>
      </c>
      <c r="CY31" s="228">
        <v>201</v>
      </c>
      <c r="CZ31" s="229">
        <v>8.7999999999999995E-2</v>
      </c>
      <c r="DA31" s="228">
        <v>31.4</v>
      </c>
      <c r="DB31" s="228">
        <v>33.92</v>
      </c>
      <c r="DC31" s="228">
        <v>-2.52</v>
      </c>
      <c r="DD31" s="228">
        <v>-2.52</v>
      </c>
      <c r="DE31" s="228">
        <v>37.659999999999997</v>
      </c>
      <c r="DF31" s="228">
        <v>37.53</v>
      </c>
      <c r="DG31" s="228">
        <v>-6.26</v>
      </c>
      <c r="DH31" s="228">
        <v>0.13</v>
      </c>
      <c r="DI31" s="228">
        <v>31.06</v>
      </c>
      <c r="DJ31" s="228">
        <v>32.82</v>
      </c>
      <c r="DK31" s="228">
        <v>-1.76</v>
      </c>
      <c r="DL31" s="228">
        <v>-1.76</v>
      </c>
      <c r="DM31" s="228">
        <v>32.47</v>
      </c>
      <c r="DN31" s="228">
        <v>35.21</v>
      </c>
      <c r="DO31" s="228">
        <v>-2.74</v>
      </c>
      <c r="DP31" s="228">
        <v>-2.74</v>
      </c>
      <c r="DQ31" s="228">
        <v>0.74</v>
      </c>
      <c r="DR31" s="228">
        <v>0.9</v>
      </c>
      <c r="DS31" s="228">
        <v>-0.16</v>
      </c>
      <c r="DT31" s="229">
        <v>-0.17780000000000001</v>
      </c>
      <c r="DU31" s="231">
        <v>1900</v>
      </c>
      <c r="DV31" s="231">
        <v>1800</v>
      </c>
      <c r="DW31" s="228">
        <v>0.32</v>
      </c>
      <c r="DX31" s="228">
        <v>0.85</v>
      </c>
      <c r="DY31" s="228">
        <v>-0.53</v>
      </c>
      <c r="DZ31" s="229">
        <v>-0.62350000000000005</v>
      </c>
      <c r="EA31" s="229">
        <v>1.5599999999999999E-2</v>
      </c>
      <c r="EB31" s="230">
        <v>103000</v>
      </c>
      <c r="EC31" s="229">
        <v>3.3E-3</v>
      </c>
      <c r="ED31" s="229">
        <v>1.5599999999999999E-2</v>
      </c>
      <c r="EE31" s="228">
        <v>9.26</v>
      </c>
      <c r="EF31" s="229">
        <v>4.8999999999999998E-3</v>
      </c>
      <c r="EG31" s="230">
        <v>1149355</v>
      </c>
      <c r="EH31" s="230">
        <v>955143</v>
      </c>
      <c r="EI31" s="229">
        <v>0.20330000000000001</v>
      </c>
      <c r="EJ31" s="229">
        <v>0.3523</v>
      </c>
      <c r="EK31" s="231">
        <v>2909</v>
      </c>
      <c r="EL31" s="228">
        <v>878.68</v>
      </c>
      <c r="EM31" s="228">
        <v>802.62</v>
      </c>
      <c r="EN31" s="228">
        <v>41.18</v>
      </c>
      <c r="EO31" s="231">
        <v>4590.3</v>
      </c>
      <c r="EP31" s="231">
        <v>2129.48</v>
      </c>
      <c r="EQ31" s="231">
        <v>2460.8200000000002</v>
      </c>
      <c r="ER31" s="229">
        <v>1.1556</v>
      </c>
      <c r="ES31" s="228">
        <v>667.37</v>
      </c>
      <c r="ET31" s="228">
        <v>449.98</v>
      </c>
      <c r="EU31" s="231">
        <v>1332.91</v>
      </c>
      <c r="EV31" s="231">
        <v>40107751</v>
      </c>
      <c r="EW31" s="231">
        <v>2450.2600000000002</v>
      </c>
      <c r="EX31" s="231">
        <v>2205.21</v>
      </c>
      <c r="EY31" s="228">
        <v>245.05</v>
      </c>
      <c r="EZ31" s="229">
        <v>0.1111</v>
      </c>
      <c r="FA31" s="229">
        <v>0.32540000000000002</v>
      </c>
      <c r="FB31" s="227" t="s">
        <v>555</v>
      </c>
      <c r="FC31">
        <f t="shared" si="0"/>
        <v>21</v>
      </c>
    </row>
    <row r="32" spans="1:159" ht="17.25" hidden="1" thickBot="1" x14ac:dyDescent="0.3">
      <c r="A32" s="226">
        <v>46086</v>
      </c>
      <c r="B32" s="227" t="s">
        <v>188</v>
      </c>
      <c r="C32" s="227" t="s">
        <v>189</v>
      </c>
      <c r="D32" s="228">
        <v>475</v>
      </c>
      <c r="E32" s="228">
        <v>25</v>
      </c>
      <c r="F32" s="231">
        <v>1914.5</v>
      </c>
      <c r="G32" s="231">
        <v>1912.3</v>
      </c>
      <c r="H32" s="228">
        <v>2.2000000000000002</v>
      </c>
      <c r="I32" s="229">
        <v>1.1999999999999999E-3</v>
      </c>
      <c r="J32" s="231">
        <v>1907</v>
      </c>
      <c r="K32" s="231">
        <v>1905.9</v>
      </c>
      <c r="L32" s="228">
        <v>1.1000000000000001</v>
      </c>
      <c r="M32" s="229">
        <v>5.9999999999999995E-4</v>
      </c>
      <c r="N32" s="231">
        <v>1914.5</v>
      </c>
      <c r="O32" s="231">
        <v>1912.3</v>
      </c>
      <c r="P32" s="228">
        <v>2.2000000000000002</v>
      </c>
      <c r="Q32" s="229">
        <v>1.1999999999999999E-3</v>
      </c>
      <c r="R32" s="231">
        <v>1926.3</v>
      </c>
      <c r="S32" s="231">
        <v>1924.6</v>
      </c>
      <c r="T32" s="228">
        <v>1.7</v>
      </c>
      <c r="U32" s="229">
        <v>8.9999999999999998E-4</v>
      </c>
      <c r="V32" s="231">
        <v>1938.3</v>
      </c>
      <c r="W32" s="231">
        <v>1932.7</v>
      </c>
      <c r="X32" s="228">
        <v>5.6</v>
      </c>
      <c r="Y32" s="229">
        <v>2.8999999999999998E-3</v>
      </c>
      <c r="Z32" s="228">
        <v>7.5</v>
      </c>
      <c r="AA32" s="228">
        <v>6.4</v>
      </c>
      <c r="AB32" s="228">
        <v>1.1000000000000001</v>
      </c>
      <c r="AC32" s="229">
        <v>3.8999999999999998E-3</v>
      </c>
      <c r="AD32" s="228">
        <v>7.5</v>
      </c>
      <c r="AE32" s="228">
        <v>6.4</v>
      </c>
      <c r="AF32" s="228">
        <v>1.1000000000000001</v>
      </c>
      <c r="AG32" s="229">
        <v>3.8999999999999998E-3</v>
      </c>
      <c r="AH32" s="228">
        <v>19.3</v>
      </c>
      <c r="AI32" s="228">
        <v>18.7</v>
      </c>
      <c r="AJ32" s="228">
        <v>0.6</v>
      </c>
      <c r="AK32" s="229">
        <v>1.01E-2</v>
      </c>
      <c r="AL32" s="228">
        <v>31.3</v>
      </c>
      <c r="AM32" s="228">
        <v>26.8</v>
      </c>
      <c r="AN32" s="228">
        <v>4.5</v>
      </c>
      <c r="AO32" s="229">
        <v>1.6400000000000001E-2</v>
      </c>
      <c r="AP32" s="231">
        <v>1916.56</v>
      </c>
      <c r="AQ32" s="231">
        <v>1928.64</v>
      </c>
      <c r="AR32" s="228">
        <v>0</v>
      </c>
      <c r="AS32" s="230">
        <v>1266</v>
      </c>
      <c r="AT32" s="230">
        <v>2371</v>
      </c>
      <c r="AU32" s="230">
        <v>-1105</v>
      </c>
      <c r="AV32" s="229">
        <v>-0.4662</v>
      </c>
      <c r="AW32" s="230">
        <v>1174</v>
      </c>
      <c r="AX32" s="230">
        <v>2182</v>
      </c>
      <c r="AY32" s="230">
        <v>-1008</v>
      </c>
      <c r="AZ32" s="229">
        <v>-0.46200000000000002</v>
      </c>
      <c r="BA32" s="228">
        <v>88</v>
      </c>
      <c r="BB32" s="228">
        <v>178</v>
      </c>
      <c r="BC32" s="228">
        <v>-90</v>
      </c>
      <c r="BD32" s="229">
        <v>-0.50819999999999999</v>
      </c>
      <c r="BE32" s="228">
        <v>4</v>
      </c>
      <c r="BF32" s="228">
        <v>11</v>
      </c>
      <c r="BG32" s="228">
        <v>-7</v>
      </c>
      <c r="BH32" s="229">
        <v>-0.63029999999999997</v>
      </c>
      <c r="BI32" s="230">
        <v>4106</v>
      </c>
      <c r="BJ32" s="230">
        <v>9886</v>
      </c>
      <c r="BK32" s="230">
        <v>-5780</v>
      </c>
      <c r="BL32" s="229">
        <v>-0.5847</v>
      </c>
      <c r="BM32" s="230">
        <v>2641</v>
      </c>
      <c r="BN32" s="230">
        <v>4707</v>
      </c>
      <c r="BO32" s="230">
        <v>-2066</v>
      </c>
      <c r="BP32" s="229">
        <v>-0.43890000000000001</v>
      </c>
      <c r="BQ32" s="230">
        <v>8013</v>
      </c>
      <c r="BR32" s="230">
        <v>16964</v>
      </c>
      <c r="BS32" s="230">
        <v>-8951</v>
      </c>
      <c r="BT32" s="229">
        <v>-0.52769999999999995</v>
      </c>
      <c r="BU32" s="230">
        <v>13300106</v>
      </c>
      <c r="BV32" s="230">
        <v>21231269</v>
      </c>
      <c r="BW32" s="230">
        <v>-7931163</v>
      </c>
      <c r="BX32" s="229">
        <v>-0.37359999999999999</v>
      </c>
      <c r="BY32" s="230">
        <v>11412</v>
      </c>
      <c r="BZ32" s="230">
        <v>11683</v>
      </c>
      <c r="CA32" s="228">
        <v>-271</v>
      </c>
      <c r="CB32" s="229">
        <v>-2.3199999999999998E-2</v>
      </c>
      <c r="CC32" s="230">
        <v>10913</v>
      </c>
      <c r="CD32" s="230">
        <v>11194</v>
      </c>
      <c r="CE32" s="228">
        <v>-282</v>
      </c>
      <c r="CF32" s="229">
        <v>-2.52E-2</v>
      </c>
      <c r="CG32" s="228">
        <v>476</v>
      </c>
      <c r="CH32" s="228">
        <v>465</v>
      </c>
      <c r="CI32" s="228">
        <v>11</v>
      </c>
      <c r="CJ32" s="229">
        <v>2.3900000000000001E-2</v>
      </c>
      <c r="CK32" s="228">
        <v>24</v>
      </c>
      <c r="CL32" s="228">
        <v>24</v>
      </c>
      <c r="CM32" s="228">
        <v>0</v>
      </c>
      <c r="CN32" s="229">
        <v>0</v>
      </c>
      <c r="CO32" s="230">
        <v>2769</v>
      </c>
      <c r="CP32" s="230">
        <v>2758</v>
      </c>
      <c r="CQ32" s="228">
        <v>10</v>
      </c>
      <c r="CR32" s="229">
        <v>3.7000000000000002E-3</v>
      </c>
      <c r="CS32" s="230">
        <v>1546</v>
      </c>
      <c r="CT32" s="230">
        <v>1670</v>
      </c>
      <c r="CU32" s="228">
        <v>-124</v>
      </c>
      <c r="CV32" s="229">
        <v>-7.4200000000000002E-2</v>
      </c>
      <c r="CW32" s="230">
        <v>15727</v>
      </c>
      <c r="CX32" s="230">
        <v>16111</v>
      </c>
      <c r="CY32" s="228">
        <v>-384</v>
      </c>
      <c r="CZ32" s="229">
        <v>-2.3800000000000002E-2</v>
      </c>
      <c r="DA32" s="228">
        <v>21.21</v>
      </c>
      <c r="DB32" s="228">
        <v>22.61</v>
      </c>
      <c r="DC32" s="228">
        <v>-1.4</v>
      </c>
      <c r="DD32" s="228">
        <v>-1.4</v>
      </c>
      <c r="DE32" s="228">
        <v>23.84</v>
      </c>
      <c r="DF32" s="228">
        <v>23.9</v>
      </c>
      <c r="DG32" s="228">
        <v>-2.63</v>
      </c>
      <c r="DH32" s="228">
        <v>-0.06</v>
      </c>
      <c r="DI32" s="228">
        <v>20.79</v>
      </c>
      <c r="DJ32" s="228">
        <v>21.78</v>
      </c>
      <c r="DK32" s="228">
        <v>-0.99</v>
      </c>
      <c r="DL32" s="228">
        <v>-0.99</v>
      </c>
      <c r="DM32" s="228">
        <v>21.87</v>
      </c>
      <c r="DN32" s="228">
        <v>24.36</v>
      </c>
      <c r="DO32" s="228">
        <v>-2.4900000000000002</v>
      </c>
      <c r="DP32" s="228">
        <v>-2.4900000000000002</v>
      </c>
      <c r="DQ32" s="228">
        <v>0.56000000000000005</v>
      </c>
      <c r="DR32" s="228">
        <v>0.61</v>
      </c>
      <c r="DS32" s="228">
        <v>-0.05</v>
      </c>
      <c r="DT32" s="229">
        <v>-8.2000000000000003E-2</v>
      </c>
      <c r="DU32" s="231">
        <v>2000</v>
      </c>
      <c r="DV32" s="231">
        <v>1900</v>
      </c>
      <c r="DW32" s="228">
        <v>0.64</v>
      </c>
      <c r="DX32" s="228">
        <v>0.48</v>
      </c>
      <c r="DY32" s="228">
        <v>0.16</v>
      </c>
      <c r="DZ32" s="229">
        <v>0.33329999999999999</v>
      </c>
      <c r="EA32" s="229">
        <v>4.3799999999999999E-2</v>
      </c>
      <c r="EB32" s="230">
        <v>2550750</v>
      </c>
      <c r="EC32" s="229">
        <v>6.1999999999999998E-3</v>
      </c>
      <c r="ED32" s="229">
        <v>4.3799999999999999E-2</v>
      </c>
      <c r="EE32" s="228">
        <v>12.08</v>
      </c>
      <c r="EF32" s="229">
        <v>6.3E-3</v>
      </c>
      <c r="EG32" s="230">
        <v>7893010</v>
      </c>
      <c r="EH32" s="230">
        <v>14410688</v>
      </c>
      <c r="EI32" s="229">
        <v>-0.45229999999999998</v>
      </c>
      <c r="EJ32" s="229">
        <v>0.59350000000000003</v>
      </c>
      <c r="EK32" s="231">
        <v>4285.7299999999996</v>
      </c>
      <c r="EL32" s="231">
        <v>2607.25</v>
      </c>
      <c r="EM32" s="231">
        <v>1267.56</v>
      </c>
      <c r="EN32" s="228">
        <v>192.56</v>
      </c>
      <c r="EO32" s="231">
        <v>8160.54</v>
      </c>
      <c r="EP32" s="231">
        <v>17200.38</v>
      </c>
      <c r="EQ32" s="231">
        <v>-9039.83</v>
      </c>
      <c r="ER32" s="229">
        <v>-0.52559999999999996</v>
      </c>
      <c r="ES32" s="231">
        <v>2910.03</v>
      </c>
      <c r="ET32" s="231">
        <v>1512.51</v>
      </c>
      <c r="EU32" s="231">
        <v>11415.49</v>
      </c>
      <c r="EV32" s="231">
        <v>367085962</v>
      </c>
      <c r="EW32" s="231">
        <v>15838.03</v>
      </c>
      <c r="EX32" s="231">
        <v>16200.87</v>
      </c>
      <c r="EY32" s="228">
        <v>-362.84</v>
      </c>
      <c r="EZ32" s="229">
        <v>-2.24E-2</v>
      </c>
      <c r="FA32" s="229">
        <v>0.2238</v>
      </c>
      <c r="FB32" s="227" t="s">
        <v>556</v>
      </c>
      <c r="FC32">
        <f t="shared" si="0"/>
        <v>499</v>
      </c>
    </row>
    <row r="33" spans="1:159" ht="17.25" hidden="1" thickBot="1" x14ac:dyDescent="0.3">
      <c r="A33" s="226">
        <v>46086</v>
      </c>
      <c r="B33" s="227" t="s">
        <v>184</v>
      </c>
      <c r="C33" s="227" t="s">
        <v>190</v>
      </c>
      <c r="D33" s="228">
        <v>2625</v>
      </c>
      <c r="E33" s="228">
        <v>25</v>
      </c>
      <c r="F33" s="228">
        <v>257.64999999999998</v>
      </c>
      <c r="G33" s="228">
        <v>248.9</v>
      </c>
      <c r="H33" s="228">
        <v>8.75</v>
      </c>
      <c r="I33" s="229">
        <v>3.5200000000000002E-2</v>
      </c>
      <c r="J33" s="228">
        <v>257.25</v>
      </c>
      <c r="K33" s="228">
        <v>247.9</v>
      </c>
      <c r="L33" s="228">
        <v>9.35</v>
      </c>
      <c r="M33" s="229">
        <v>3.7699999999999997E-2</v>
      </c>
      <c r="N33" s="228">
        <v>257.64999999999998</v>
      </c>
      <c r="O33" s="228">
        <v>248.9</v>
      </c>
      <c r="P33" s="228">
        <v>8.75</v>
      </c>
      <c r="Q33" s="229">
        <v>3.5200000000000002E-2</v>
      </c>
      <c r="R33" s="228">
        <v>259.35000000000002</v>
      </c>
      <c r="S33" s="228">
        <v>250.65</v>
      </c>
      <c r="T33" s="228">
        <v>8.6999999999999993</v>
      </c>
      <c r="U33" s="229">
        <v>3.4700000000000002E-2</v>
      </c>
      <c r="V33" s="228">
        <v>260.35000000000002</v>
      </c>
      <c r="W33" s="228">
        <v>251.95</v>
      </c>
      <c r="X33" s="228">
        <v>8.4</v>
      </c>
      <c r="Y33" s="229">
        <v>3.3300000000000003E-2</v>
      </c>
      <c r="Z33" s="228">
        <v>0.4</v>
      </c>
      <c r="AA33" s="228">
        <v>1</v>
      </c>
      <c r="AB33" s="228">
        <v>-0.6</v>
      </c>
      <c r="AC33" s="229">
        <v>1.6000000000000001E-3</v>
      </c>
      <c r="AD33" s="228">
        <v>0.4</v>
      </c>
      <c r="AE33" s="228">
        <v>1</v>
      </c>
      <c r="AF33" s="228">
        <v>-0.6</v>
      </c>
      <c r="AG33" s="229">
        <v>1.6000000000000001E-3</v>
      </c>
      <c r="AH33" s="228">
        <v>2.1</v>
      </c>
      <c r="AI33" s="228">
        <v>2.75</v>
      </c>
      <c r="AJ33" s="228">
        <v>-0.65</v>
      </c>
      <c r="AK33" s="229">
        <v>8.2000000000000007E-3</v>
      </c>
      <c r="AL33" s="228">
        <v>3.1</v>
      </c>
      <c r="AM33" s="228">
        <v>4.05</v>
      </c>
      <c r="AN33" s="228">
        <v>-0.95</v>
      </c>
      <c r="AO33" s="229">
        <v>1.21E-2</v>
      </c>
      <c r="AP33" s="228">
        <v>254.12</v>
      </c>
      <c r="AQ33" s="228">
        <v>255.7</v>
      </c>
      <c r="AR33" s="228">
        <v>0</v>
      </c>
      <c r="AS33" s="228">
        <v>808</v>
      </c>
      <c r="AT33" s="228">
        <v>876</v>
      </c>
      <c r="AU33" s="228">
        <v>-67</v>
      </c>
      <c r="AV33" s="229">
        <v>-7.6999999999999999E-2</v>
      </c>
      <c r="AW33" s="228">
        <v>646</v>
      </c>
      <c r="AX33" s="228">
        <v>614</v>
      </c>
      <c r="AY33" s="228">
        <v>32</v>
      </c>
      <c r="AZ33" s="229">
        <v>5.21E-2</v>
      </c>
      <c r="BA33" s="228">
        <v>92</v>
      </c>
      <c r="BB33" s="228">
        <v>49</v>
      </c>
      <c r="BC33" s="228">
        <v>44</v>
      </c>
      <c r="BD33" s="229">
        <v>0.89859999999999995</v>
      </c>
      <c r="BE33" s="228">
        <v>70</v>
      </c>
      <c r="BF33" s="228">
        <v>213</v>
      </c>
      <c r="BG33" s="228">
        <v>-143</v>
      </c>
      <c r="BH33" s="229">
        <v>-0.67159999999999997</v>
      </c>
      <c r="BI33" s="230">
        <v>1072</v>
      </c>
      <c r="BJ33" s="230">
        <v>1323</v>
      </c>
      <c r="BK33" s="228">
        <v>-251</v>
      </c>
      <c r="BL33" s="229">
        <v>-0.18990000000000001</v>
      </c>
      <c r="BM33" s="228">
        <v>511</v>
      </c>
      <c r="BN33" s="228">
        <v>684</v>
      </c>
      <c r="BO33" s="228">
        <v>-173</v>
      </c>
      <c r="BP33" s="229">
        <v>-0.25230000000000002</v>
      </c>
      <c r="BQ33" s="230">
        <v>2392</v>
      </c>
      <c r="BR33" s="230">
        <v>2883</v>
      </c>
      <c r="BS33" s="228">
        <v>-491</v>
      </c>
      <c r="BT33" s="229">
        <v>-0.1704</v>
      </c>
      <c r="BU33" s="230">
        <v>10934547</v>
      </c>
      <c r="BV33" s="230">
        <v>16709342</v>
      </c>
      <c r="BW33" s="230">
        <v>-5774795</v>
      </c>
      <c r="BX33" s="229">
        <v>-0.34560000000000002</v>
      </c>
      <c r="BY33" s="230">
        <v>3481</v>
      </c>
      <c r="BZ33" s="230">
        <v>3356</v>
      </c>
      <c r="CA33" s="228">
        <v>125</v>
      </c>
      <c r="CB33" s="229">
        <v>3.7199999999999997E-2</v>
      </c>
      <c r="CC33" s="230">
        <v>3059</v>
      </c>
      <c r="CD33" s="230">
        <v>3071</v>
      </c>
      <c r="CE33" s="228">
        <v>-12</v>
      </c>
      <c r="CF33" s="229">
        <v>-4.0000000000000001E-3</v>
      </c>
      <c r="CG33" s="228">
        <v>241</v>
      </c>
      <c r="CH33" s="228">
        <v>170</v>
      </c>
      <c r="CI33" s="228">
        <v>70</v>
      </c>
      <c r="CJ33" s="229">
        <v>0.41289999999999999</v>
      </c>
      <c r="CK33" s="228">
        <v>182</v>
      </c>
      <c r="CL33" s="228">
        <v>115</v>
      </c>
      <c r="CM33" s="228">
        <v>67</v>
      </c>
      <c r="CN33" s="229">
        <v>0.58309999999999995</v>
      </c>
      <c r="CO33" s="228">
        <v>778</v>
      </c>
      <c r="CP33" s="228">
        <v>774</v>
      </c>
      <c r="CQ33" s="228">
        <v>4</v>
      </c>
      <c r="CR33" s="229">
        <v>4.4999999999999997E-3</v>
      </c>
      <c r="CS33" s="228">
        <v>581</v>
      </c>
      <c r="CT33" s="228">
        <v>570</v>
      </c>
      <c r="CU33" s="228">
        <v>11</v>
      </c>
      <c r="CV33" s="229">
        <v>2.01E-2</v>
      </c>
      <c r="CW33" s="230">
        <v>4841</v>
      </c>
      <c r="CX33" s="230">
        <v>4701</v>
      </c>
      <c r="CY33" s="228">
        <v>140</v>
      </c>
      <c r="CZ33" s="229">
        <v>2.98E-2</v>
      </c>
      <c r="DA33" s="228">
        <v>34.75</v>
      </c>
      <c r="DB33" s="228">
        <v>38.409999999999997</v>
      </c>
      <c r="DC33" s="228">
        <v>-3.66</v>
      </c>
      <c r="DD33" s="228">
        <v>-3.66</v>
      </c>
      <c r="DE33" s="228">
        <v>46.07</v>
      </c>
      <c r="DF33" s="228">
        <v>45.95</v>
      </c>
      <c r="DG33" s="228">
        <v>-11.32</v>
      </c>
      <c r="DH33" s="228">
        <v>0.12</v>
      </c>
      <c r="DI33" s="228">
        <v>33.47</v>
      </c>
      <c r="DJ33" s="228">
        <v>37.85</v>
      </c>
      <c r="DK33" s="228">
        <v>-4.38</v>
      </c>
      <c r="DL33" s="228">
        <v>-4.38</v>
      </c>
      <c r="DM33" s="228">
        <v>37.44</v>
      </c>
      <c r="DN33" s="228">
        <v>39.5</v>
      </c>
      <c r="DO33" s="228">
        <v>-2.06</v>
      </c>
      <c r="DP33" s="228">
        <v>-2.06</v>
      </c>
      <c r="DQ33" s="228">
        <v>0.75</v>
      </c>
      <c r="DR33" s="228">
        <v>0.74</v>
      </c>
      <c r="DS33" s="228">
        <v>0.01</v>
      </c>
      <c r="DT33" s="229">
        <v>1.35E-2</v>
      </c>
      <c r="DU33" s="228">
        <v>260</v>
      </c>
      <c r="DV33" s="228">
        <v>240</v>
      </c>
      <c r="DW33" s="228">
        <v>0.48</v>
      </c>
      <c r="DX33" s="228">
        <v>0.52</v>
      </c>
      <c r="DY33" s="228">
        <v>-0.04</v>
      </c>
      <c r="DZ33" s="229">
        <v>-7.6899999999999996E-2</v>
      </c>
      <c r="EA33" s="229">
        <v>0.12130000000000001</v>
      </c>
      <c r="EB33" s="230">
        <v>11064375</v>
      </c>
      <c r="EC33" s="229">
        <v>6.6E-3</v>
      </c>
      <c r="ED33" s="229">
        <v>0.12130000000000001</v>
      </c>
      <c r="EE33" s="228">
        <v>1.58</v>
      </c>
      <c r="EF33" s="229">
        <v>6.1999999999999998E-3</v>
      </c>
      <c r="EG33" s="230">
        <v>4301772</v>
      </c>
      <c r="EH33" s="230">
        <v>7649255</v>
      </c>
      <c r="EI33" s="229">
        <v>-0.43759999999999999</v>
      </c>
      <c r="EJ33" s="229">
        <v>0.39340000000000003</v>
      </c>
      <c r="EK33" s="231">
        <v>1130.1400000000001</v>
      </c>
      <c r="EL33" s="228">
        <v>499.62</v>
      </c>
      <c r="EM33" s="228">
        <v>798.65</v>
      </c>
      <c r="EN33" s="228">
        <v>92.32</v>
      </c>
      <c r="EO33" s="231">
        <v>2428.41</v>
      </c>
      <c r="EP33" s="231">
        <v>2939.45</v>
      </c>
      <c r="EQ33" s="228">
        <v>-511.04</v>
      </c>
      <c r="ER33" s="229">
        <v>-0.1739</v>
      </c>
      <c r="ES33" s="228">
        <v>831.33</v>
      </c>
      <c r="ET33" s="228">
        <v>563.75</v>
      </c>
      <c r="EU33" s="231">
        <v>3484.7</v>
      </c>
      <c r="EV33" s="231">
        <v>192361942</v>
      </c>
      <c r="EW33" s="231">
        <v>4879.78</v>
      </c>
      <c r="EX33" s="231">
        <v>4625.45</v>
      </c>
      <c r="EY33" s="228">
        <v>254.33</v>
      </c>
      <c r="EZ33" s="229">
        <v>5.5E-2</v>
      </c>
      <c r="FA33" s="229">
        <v>0.97670000000000001</v>
      </c>
      <c r="FB33" s="227" t="s">
        <v>555</v>
      </c>
      <c r="FC33">
        <f t="shared" si="0"/>
        <v>422</v>
      </c>
    </row>
    <row r="34" spans="1:159" ht="17.25" hidden="1" thickBot="1" x14ac:dyDescent="0.3">
      <c r="A34" s="226">
        <v>46086</v>
      </c>
      <c r="B34" s="227" t="s">
        <v>170</v>
      </c>
      <c r="C34" s="227" t="s">
        <v>191</v>
      </c>
      <c r="D34" s="228">
        <v>2500</v>
      </c>
      <c r="E34" s="228">
        <v>25</v>
      </c>
      <c r="F34" s="228">
        <v>388.6</v>
      </c>
      <c r="G34" s="228">
        <v>379.3</v>
      </c>
      <c r="H34" s="228">
        <v>9.3000000000000007</v>
      </c>
      <c r="I34" s="229">
        <v>2.4500000000000001E-2</v>
      </c>
      <c r="J34" s="228">
        <v>386.8</v>
      </c>
      <c r="K34" s="228">
        <v>378.35</v>
      </c>
      <c r="L34" s="228">
        <v>8.4499999999999993</v>
      </c>
      <c r="M34" s="229">
        <v>2.23E-2</v>
      </c>
      <c r="N34" s="228">
        <v>388.6</v>
      </c>
      <c r="O34" s="228">
        <v>379.3</v>
      </c>
      <c r="P34" s="228">
        <v>9.3000000000000007</v>
      </c>
      <c r="Q34" s="229">
        <v>2.4500000000000001E-2</v>
      </c>
      <c r="R34" s="228">
        <v>391</v>
      </c>
      <c r="S34" s="228">
        <v>382.1</v>
      </c>
      <c r="T34" s="228">
        <v>8.9</v>
      </c>
      <c r="U34" s="229">
        <v>2.3300000000000001E-2</v>
      </c>
      <c r="V34" s="228">
        <v>393.5</v>
      </c>
      <c r="W34" s="228">
        <v>384.85</v>
      </c>
      <c r="X34" s="228">
        <v>8.65</v>
      </c>
      <c r="Y34" s="229">
        <v>2.2499999999999999E-2</v>
      </c>
      <c r="Z34" s="228">
        <v>1.8</v>
      </c>
      <c r="AA34" s="228">
        <v>0.95</v>
      </c>
      <c r="AB34" s="228">
        <v>0.85</v>
      </c>
      <c r="AC34" s="229">
        <v>4.7000000000000002E-3</v>
      </c>
      <c r="AD34" s="228">
        <v>1.8</v>
      </c>
      <c r="AE34" s="228">
        <v>0.95</v>
      </c>
      <c r="AF34" s="228">
        <v>0.85</v>
      </c>
      <c r="AG34" s="229">
        <v>4.7000000000000002E-3</v>
      </c>
      <c r="AH34" s="228">
        <v>4.2</v>
      </c>
      <c r="AI34" s="228">
        <v>3.75</v>
      </c>
      <c r="AJ34" s="228">
        <v>0.45</v>
      </c>
      <c r="AK34" s="229">
        <v>1.09E-2</v>
      </c>
      <c r="AL34" s="228">
        <v>6.7</v>
      </c>
      <c r="AM34" s="228">
        <v>6.5</v>
      </c>
      <c r="AN34" s="228">
        <v>0.2</v>
      </c>
      <c r="AO34" s="229">
        <v>1.7299999999999999E-2</v>
      </c>
      <c r="AP34" s="228">
        <v>385.57</v>
      </c>
      <c r="AQ34" s="228">
        <v>387.72</v>
      </c>
      <c r="AR34" s="228">
        <v>0</v>
      </c>
      <c r="AS34" s="228">
        <v>237</v>
      </c>
      <c r="AT34" s="228">
        <v>331</v>
      </c>
      <c r="AU34" s="228">
        <v>-93</v>
      </c>
      <c r="AV34" s="229">
        <v>-0.28270000000000001</v>
      </c>
      <c r="AW34" s="228">
        <v>218</v>
      </c>
      <c r="AX34" s="228">
        <v>297</v>
      </c>
      <c r="AY34" s="228">
        <v>-78</v>
      </c>
      <c r="AZ34" s="229">
        <v>-0.26419999999999999</v>
      </c>
      <c r="BA34" s="228">
        <v>16</v>
      </c>
      <c r="BB34" s="228">
        <v>24</v>
      </c>
      <c r="BC34" s="228">
        <v>-8</v>
      </c>
      <c r="BD34" s="229">
        <v>-0.33200000000000002</v>
      </c>
      <c r="BE34" s="228">
        <v>3</v>
      </c>
      <c r="BF34" s="228">
        <v>10</v>
      </c>
      <c r="BG34" s="228">
        <v>-7</v>
      </c>
      <c r="BH34" s="229">
        <v>-0.71150000000000002</v>
      </c>
      <c r="BI34" s="228">
        <v>567</v>
      </c>
      <c r="BJ34" s="228">
        <v>735</v>
      </c>
      <c r="BK34" s="228">
        <v>-168</v>
      </c>
      <c r="BL34" s="229">
        <v>-0.2286</v>
      </c>
      <c r="BM34" s="228">
        <v>229</v>
      </c>
      <c r="BN34" s="228">
        <v>260</v>
      </c>
      <c r="BO34" s="228">
        <v>-31</v>
      </c>
      <c r="BP34" s="229">
        <v>-0.1188</v>
      </c>
      <c r="BQ34" s="230">
        <v>1033</v>
      </c>
      <c r="BR34" s="230">
        <v>1326</v>
      </c>
      <c r="BS34" s="228">
        <v>-292</v>
      </c>
      <c r="BT34" s="229">
        <v>-0.22059999999999999</v>
      </c>
      <c r="BU34" s="230">
        <v>2996865</v>
      </c>
      <c r="BV34" s="230">
        <v>5223195</v>
      </c>
      <c r="BW34" s="230">
        <v>-2226330</v>
      </c>
      <c r="BX34" s="229">
        <v>-0.42620000000000002</v>
      </c>
      <c r="BY34" s="230">
        <v>1443</v>
      </c>
      <c r="BZ34" s="230">
        <v>1497</v>
      </c>
      <c r="CA34" s="228">
        <v>-54</v>
      </c>
      <c r="CB34" s="229">
        <v>-3.6299999999999999E-2</v>
      </c>
      <c r="CC34" s="230">
        <v>1377</v>
      </c>
      <c r="CD34" s="230">
        <v>1432</v>
      </c>
      <c r="CE34" s="228">
        <v>-54</v>
      </c>
      <c r="CF34" s="229">
        <v>-3.7999999999999999E-2</v>
      </c>
      <c r="CG34" s="228">
        <v>47</v>
      </c>
      <c r="CH34" s="228">
        <v>47</v>
      </c>
      <c r="CI34" s="228">
        <v>-1</v>
      </c>
      <c r="CJ34" s="229">
        <v>-1.44E-2</v>
      </c>
      <c r="CK34" s="228">
        <v>19</v>
      </c>
      <c r="CL34" s="228">
        <v>19</v>
      </c>
      <c r="CM34" s="228">
        <v>1</v>
      </c>
      <c r="CN34" s="229">
        <v>4.1700000000000001E-2</v>
      </c>
      <c r="CO34" s="228">
        <v>602</v>
      </c>
      <c r="CP34" s="228">
        <v>593</v>
      </c>
      <c r="CQ34" s="228">
        <v>9</v>
      </c>
      <c r="CR34" s="229">
        <v>1.5100000000000001E-2</v>
      </c>
      <c r="CS34" s="228">
        <v>398</v>
      </c>
      <c r="CT34" s="228">
        <v>397</v>
      </c>
      <c r="CU34" s="228">
        <v>1</v>
      </c>
      <c r="CV34" s="229">
        <v>1.5E-3</v>
      </c>
      <c r="CW34" s="230">
        <v>2443</v>
      </c>
      <c r="CX34" s="230">
        <v>2487</v>
      </c>
      <c r="CY34" s="228">
        <v>-45</v>
      </c>
      <c r="CZ34" s="229">
        <v>-1.7999999999999999E-2</v>
      </c>
      <c r="DA34" s="228">
        <v>27.58</v>
      </c>
      <c r="DB34" s="228">
        <v>31.23</v>
      </c>
      <c r="DC34" s="228">
        <v>-3.65</v>
      </c>
      <c r="DD34" s="228">
        <v>-3.65</v>
      </c>
      <c r="DE34" s="228">
        <v>35.51</v>
      </c>
      <c r="DF34" s="228">
        <v>35.450000000000003</v>
      </c>
      <c r="DG34" s="228">
        <v>-7.93</v>
      </c>
      <c r="DH34" s="228">
        <v>0.06</v>
      </c>
      <c r="DI34" s="228">
        <v>26.67</v>
      </c>
      <c r="DJ34" s="228">
        <v>30.79</v>
      </c>
      <c r="DK34" s="228">
        <v>-4.12</v>
      </c>
      <c r="DL34" s="228">
        <v>-4.12</v>
      </c>
      <c r="DM34" s="228">
        <v>29.83</v>
      </c>
      <c r="DN34" s="228">
        <v>32.47</v>
      </c>
      <c r="DO34" s="228">
        <v>-2.64</v>
      </c>
      <c r="DP34" s="228">
        <v>-2.64</v>
      </c>
      <c r="DQ34" s="228">
        <v>0.66</v>
      </c>
      <c r="DR34" s="228">
        <v>0.67</v>
      </c>
      <c r="DS34" s="228">
        <v>-0.01</v>
      </c>
      <c r="DT34" s="229">
        <v>-1.49E-2</v>
      </c>
      <c r="DU34" s="228">
        <v>400</v>
      </c>
      <c r="DV34" s="228">
        <v>370</v>
      </c>
      <c r="DW34" s="228">
        <v>0.4</v>
      </c>
      <c r="DX34" s="228">
        <v>0.35</v>
      </c>
      <c r="DY34" s="228">
        <v>0.05</v>
      </c>
      <c r="DZ34" s="229">
        <v>0.1429</v>
      </c>
      <c r="EA34" s="229">
        <v>4.58E-2</v>
      </c>
      <c r="EB34" s="230">
        <v>1697500</v>
      </c>
      <c r="EC34" s="229">
        <v>6.1999999999999998E-3</v>
      </c>
      <c r="ED34" s="229">
        <v>4.58E-2</v>
      </c>
      <c r="EE34" s="228">
        <v>2.15</v>
      </c>
      <c r="EF34" s="229">
        <v>5.5999999999999999E-3</v>
      </c>
      <c r="EG34" s="230">
        <v>1604121</v>
      </c>
      <c r="EH34" s="230">
        <v>3345018</v>
      </c>
      <c r="EI34" s="229">
        <v>-0.52039999999999997</v>
      </c>
      <c r="EJ34" s="229">
        <v>0.5353</v>
      </c>
      <c r="EK34" s="228">
        <v>597.77</v>
      </c>
      <c r="EL34" s="228">
        <v>223.93</v>
      </c>
      <c r="EM34" s="228">
        <v>235.41</v>
      </c>
      <c r="EN34" s="228">
        <v>34.11</v>
      </c>
      <c r="EO34" s="231">
        <v>1057.1099999999999</v>
      </c>
      <c r="EP34" s="231">
        <v>1350.34</v>
      </c>
      <c r="EQ34" s="228">
        <v>-293.22000000000003</v>
      </c>
      <c r="ER34" s="229">
        <v>-0.21709999999999999</v>
      </c>
      <c r="ES34" s="228">
        <v>626.52</v>
      </c>
      <c r="ET34" s="228">
        <v>382.62</v>
      </c>
      <c r="EU34" s="231">
        <v>1443.7</v>
      </c>
      <c r="EV34" s="231">
        <v>91057772</v>
      </c>
      <c r="EW34" s="231">
        <v>2452.84</v>
      </c>
      <c r="EX34" s="231">
        <v>2461.15</v>
      </c>
      <c r="EY34" s="228">
        <v>-8.31</v>
      </c>
      <c r="EZ34" s="229">
        <v>-3.3999999999999998E-3</v>
      </c>
      <c r="FA34" s="229">
        <v>0.69030000000000002</v>
      </c>
      <c r="FB34" s="227" t="s">
        <v>556</v>
      </c>
      <c r="FC34">
        <f t="shared" si="0"/>
        <v>66</v>
      </c>
    </row>
    <row r="35" spans="1:159" ht="17.25" hidden="1" thickBot="1" x14ac:dyDescent="0.3">
      <c r="A35" s="226">
        <v>46086</v>
      </c>
      <c r="B35" s="227" t="s">
        <v>184</v>
      </c>
      <c r="C35" s="227" t="s">
        <v>678</v>
      </c>
      <c r="D35" s="228">
        <v>325</v>
      </c>
      <c r="E35" s="228">
        <v>25</v>
      </c>
      <c r="F35" s="231">
        <v>1949.7</v>
      </c>
      <c r="G35" s="231">
        <v>1846.4</v>
      </c>
      <c r="H35" s="228">
        <v>103.3</v>
      </c>
      <c r="I35" s="229">
        <v>5.5899999999999998E-2</v>
      </c>
      <c r="J35" s="231">
        <v>1946.7</v>
      </c>
      <c r="K35" s="231">
        <v>1843.6</v>
      </c>
      <c r="L35" s="228">
        <v>103.1</v>
      </c>
      <c r="M35" s="229">
        <v>5.5899999999999998E-2</v>
      </c>
      <c r="N35" s="231">
        <v>1949.7</v>
      </c>
      <c r="O35" s="231">
        <v>1846.4</v>
      </c>
      <c r="P35" s="228">
        <v>103.3</v>
      </c>
      <c r="Q35" s="229">
        <v>5.5899999999999998E-2</v>
      </c>
      <c r="R35" s="231">
        <v>1956.1</v>
      </c>
      <c r="S35" s="231">
        <v>1855.7</v>
      </c>
      <c r="T35" s="228">
        <v>100.4</v>
      </c>
      <c r="U35" s="229">
        <v>5.4100000000000002E-2</v>
      </c>
      <c r="V35" s="231">
        <v>1917.3</v>
      </c>
      <c r="W35" s="231">
        <v>1876.1</v>
      </c>
      <c r="X35" s="228">
        <v>41.2</v>
      </c>
      <c r="Y35" s="229">
        <v>2.1999999999999999E-2</v>
      </c>
      <c r="Z35" s="228">
        <v>3</v>
      </c>
      <c r="AA35" s="228">
        <v>2.8</v>
      </c>
      <c r="AB35" s="228">
        <v>0.2</v>
      </c>
      <c r="AC35" s="229">
        <v>1.5E-3</v>
      </c>
      <c r="AD35" s="228">
        <v>3</v>
      </c>
      <c r="AE35" s="228">
        <v>2.8</v>
      </c>
      <c r="AF35" s="228">
        <v>0.2</v>
      </c>
      <c r="AG35" s="229">
        <v>1.5E-3</v>
      </c>
      <c r="AH35" s="228">
        <v>9.4</v>
      </c>
      <c r="AI35" s="228">
        <v>12.1</v>
      </c>
      <c r="AJ35" s="228">
        <v>-2.7</v>
      </c>
      <c r="AK35" s="229">
        <v>4.7999999999999996E-3</v>
      </c>
      <c r="AL35" s="228">
        <v>-29.4</v>
      </c>
      <c r="AM35" s="228">
        <v>32.5</v>
      </c>
      <c r="AN35" s="228">
        <v>-61.9</v>
      </c>
      <c r="AO35" s="229">
        <v>-1.5100000000000001E-2</v>
      </c>
      <c r="AP35" s="231">
        <v>1911.14</v>
      </c>
      <c r="AQ35" s="231">
        <v>1916.74</v>
      </c>
      <c r="AR35" s="228">
        <v>0</v>
      </c>
      <c r="AS35" s="228">
        <v>303</v>
      </c>
      <c r="AT35" s="228">
        <v>202</v>
      </c>
      <c r="AU35" s="228">
        <v>101</v>
      </c>
      <c r="AV35" s="229">
        <v>0.50029999999999997</v>
      </c>
      <c r="AW35" s="228">
        <v>295</v>
      </c>
      <c r="AX35" s="228">
        <v>195</v>
      </c>
      <c r="AY35" s="228">
        <v>100</v>
      </c>
      <c r="AZ35" s="229">
        <v>0.51170000000000004</v>
      </c>
      <c r="BA35" s="228">
        <v>8</v>
      </c>
      <c r="BB35" s="228">
        <v>7</v>
      </c>
      <c r="BC35" s="228">
        <v>1</v>
      </c>
      <c r="BD35" s="229">
        <v>9.0899999999999995E-2</v>
      </c>
      <c r="BE35" s="228">
        <v>1</v>
      </c>
      <c r="BF35" s="228">
        <v>0</v>
      </c>
      <c r="BG35" s="228">
        <v>1</v>
      </c>
      <c r="BH35" s="229">
        <v>5.5</v>
      </c>
      <c r="BI35" s="228">
        <v>681</v>
      </c>
      <c r="BJ35" s="228">
        <v>237</v>
      </c>
      <c r="BK35" s="228">
        <v>444</v>
      </c>
      <c r="BL35" s="229">
        <v>1.8725000000000001</v>
      </c>
      <c r="BM35" s="228">
        <v>103</v>
      </c>
      <c r="BN35" s="228">
        <v>134</v>
      </c>
      <c r="BO35" s="228">
        <v>-31</v>
      </c>
      <c r="BP35" s="229">
        <v>-0.2306</v>
      </c>
      <c r="BQ35" s="230">
        <v>1087</v>
      </c>
      <c r="BR35" s="228">
        <v>573</v>
      </c>
      <c r="BS35" s="228">
        <v>514</v>
      </c>
      <c r="BT35" s="229">
        <v>0.89749999999999996</v>
      </c>
      <c r="BU35" s="230">
        <v>843334</v>
      </c>
      <c r="BV35" s="230">
        <v>479789</v>
      </c>
      <c r="BW35" s="230">
        <v>363545</v>
      </c>
      <c r="BX35" s="229">
        <v>0.75770000000000004</v>
      </c>
      <c r="BY35" s="228">
        <v>525</v>
      </c>
      <c r="BZ35" s="228">
        <v>511</v>
      </c>
      <c r="CA35" s="228">
        <v>14</v>
      </c>
      <c r="CB35" s="229">
        <v>2.8299999999999999E-2</v>
      </c>
      <c r="CC35" s="228">
        <v>519</v>
      </c>
      <c r="CD35" s="228">
        <v>505</v>
      </c>
      <c r="CE35" s="228">
        <v>13</v>
      </c>
      <c r="CF35" s="229">
        <v>2.6599999999999999E-2</v>
      </c>
      <c r="CG35" s="228">
        <v>6</v>
      </c>
      <c r="CH35" s="228">
        <v>5</v>
      </c>
      <c r="CI35" s="228">
        <v>1</v>
      </c>
      <c r="CJ35" s="229">
        <v>0.1429</v>
      </c>
      <c r="CK35" s="228">
        <v>1</v>
      </c>
      <c r="CL35" s="228">
        <v>0</v>
      </c>
      <c r="CM35" s="228">
        <v>0</v>
      </c>
      <c r="CN35" s="229">
        <v>1.25</v>
      </c>
      <c r="CO35" s="228">
        <v>204</v>
      </c>
      <c r="CP35" s="228">
        <v>178</v>
      </c>
      <c r="CQ35" s="228">
        <v>26</v>
      </c>
      <c r="CR35" s="229">
        <v>0.1434</v>
      </c>
      <c r="CS35" s="228">
        <v>100</v>
      </c>
      <c r="CT35" s="228">
        <v>81</v>
      </c>
      <c r="CU35" s="228">
        <v>19</v>
      </c>
      <c r="CV35" s="229">
        <v>0.2379</v>
      </c>
      <c r="CW35" s="228">
        <v>829</v>
      </c>
      <c r="CX35" s="228">
        <v>770</v>
      </c>
      <c r="CY35" s="228">
        <v>59</v>
      </c>
      <c r="CZ35" s="229">
        <v>7.6999999999999999E-2</v>
      </c>
      <c r="DA35" s="228">
        <v>33.47</v>
      </c>
      <c r="DB35" s="228">
        <v>35.69</v>
      </c>
      <c r="DC35" s="228">
        <v>-2.2200000000000002</v>
      </c>
      <c r="DD35" s="228">
        <v>-2.2200000000000002</v>
      </c>
      <c r="DE35" s="228">
        <v>39.14</v>
      </c>
      <c r="DF35" s="228">
        <v>38.54</v>
      </c>
      <c r="DG35" s="228">
        <v>-5.67</v>
      </c>
      <c r="DH35" s="228">
        <v>0.6</v>
      </c>
      <c r="DI35" s="228">
        <v>33.43</v>
      </c>
      <c r="DJ35" s="228">
        <v>36.97</v>
      </c>
      <c r="DK35" s="228">
        <v>-3.54</v>
      </c>
      <c r="DL35" s="228">
        <v>-3.54</v>
      </c>
      <c r="DM35" s="228">
        <v>33.74</v>
      </c>
      <c r="DN35" s="228">
        <v>33.42</v>
      </c>
      <c r="DO35" s="228">
        <v>0.32</v>
      </c>
      <c r="DP35" s="228">
        <v>0.32</v>
      </c>
      <c r="DQ35" s="228">
        <v>0.49</v>
      </c>
      <c r="DR35" s="228">
        <v>0.45</v>
      </c>
      <c r="DS35" s="228">
        <v>0.04</v>
      </c>
      <c r="DT35" s="229">
        <v>8.8900000000000007E-2</v>
      </c>
      <c r="DU35" s="231">
        <v>2200</v>
      </c>
      <c r="DV35" s="231">
        <v>1900</v>
      </c>
      <c r="DW35" s="228">
        <v>0.15</v>
      </c>
      <c r="DX35" s="228">
        <v>0.56000000000000005</v>
      </c>
      <c r="DY35" s="228">
        <v>-0.41</v>
      </c>
      <c r="DZ35" s="229">
        <v>-0.73209999999999997</v>
      </c>
      <c r="EA35" s="229">
        <v>1.17E-2</v>
      </c>
      <c r="EB35" s="230">
        <v>26325</v>
      </c>
      <c r="EC35" s="229">
        <v>3.3E-3</v>
      </c>
      <c r="ED35" s="229">
        <v>1.17E-2</v>
      </c>
      <c r="EE35" s="228">
        <v>5.6</v>
      </c>
      <c r="EF35" s="229">
        <v>2.8999999999999998E-3</v>
      </c>
      <c r="EG35" s="230">
        <v>320519</v>
      </c>
      <c r="EH35" s="230">
        <v>212458</v>
      </c>
      <c r="EI35" s="229">
        <v>0.50860000000000005</v>
      </c>
      <c r="EJ35" s="229">
        <v>0.38009999999999999</v>
      </c>
      <c r="EK35" s="228">
        <v>714.51</v>
      </c>
      <c r="EL35" s="228">
        <v>102.64</v>
      </c>
      <c r="EM35" s="228">
        <v>297.08999999999997</v>
      </c>
      <c r="EN35" s="228">
        <v>22.52</v>
      </c>
      <c r="EO35" s="231">
        <v>1114.24</v>
      </c>
      <c r="EP35" s="228">
        <v>573.46</v>
      </c>
      <c r="EQ35" s="228">
        <v>540.77</v>
      </c>
      <c r="ER35" s="229">
        <v>0.94299999999999995</v>
      </c>
      <c r="ES35" s="228">
        <v>214.12</v>
      </c>
      <c r="ET35" s="228">
        <v>97.23</v>
      </c>
      <c r="EU35" s="228">
        <v>524.99</v>
      </c>
      <c r="EV35" s="231">
        <v>17213286</v>
      </c>
      <c r="EW35" s="228">
        <v>836.34</v>
      </c>
      <c r="EX35" s="228">
        <v>749.26</v>
      </c>
      <c r="EY35" s="228">
        <v>87.08</v>
      </c>
      <c r="EZ35" s="229">
        <v>0.1162</v>
      </c>
      <c r="FA35" s="229">
        <v>0.24709999999999999</v>
      </c>
      <c r="FB35" s="227" t="s">
        <v>555</v>
      </c>
      <c r="FC35">
        <f t="shared" si="0"/>
        <v>6</v>
      </c>
    </row>
    <row r="36" spans="1:159" ht="17.25" hidden="1" thickBot="1" x14ac:dyDescent="0.3">
      <c r="A36" s="226">
        <v>46086</v>
      </c>
      <c r="B36" s="227" t="s">
        <v>162</v>
      </c>
      <c r="C36" s="227" t="s">
        <v>192</v>
      </c>
      <c r="D36" s="228">
        <v>25</v>
      </c>
      <c r="E36" s="228">
        <v>25</v>
      </c>
      <c r="F36" s="231">
        <v>33400</v>
      </c>
      <c r="G36" s="231">
        <v>33555</v>
      </c>
      <c r="H36" s="228">
        <v>-155</v>
      </c>
      <c r="I36" s="229">
        <v>-4.5999999999999999E-3</v>
      </c>
      <c r="J36" s="231">
        <v>33230</v>
      </c>
      <c r="K36" s="231">
        <v>33390</v>
      </c>
      <c r="L36" s="228">
        <v>-160</v>
      </c>
      <c r="M36" s="229">
        <v>-4.7999999999999996E-3</v>
      </c>
      <c r="N36" s="231">
        <v>33400</v>
      </c>
      <c r="O36" s="231">
        <v>33555</v>
      </c>
      <c r="P36" s="228">
        <v>-155</v>
      </c>
      <c r="Q36" s="229">
        <v>-4.5999999999999999E-3</v>
      </c>
      <c r="R36" s="231">
        <v>33640</v>
      </c>
      <c r="S36" s="231">
        <v>33755</v>
      </c>
      <c r="T36" s="228">
        <v>-115</v>
      </c>
      <c r="U36" s="229">
        <v>-3.3999999999999998E-3</v>
      </c>
      <c r="V36" s="231">
        <v>33800</v>
      </c>
      <c r="W36" s="231">
        <v>33895</v>
      </c>
      <c r="X36" s="228">
        <v>-95</v>
      </c>
      <c r="Y36" s="229">
        <v>-2.8E-3</v>
      </c>
      <c r="Z36" s="228">
        <v>170</v>
      </c>
      <c r="AA36" s="228">
        <v>165</v>
      </c>
      <c r="AB36" s="228">
        <v>5</v>
      </c>
      <c r="AC36" s="229">
        <v>5.1000000000000004E-3</v>
      </c>
      <c r="AD36" s="228">
        <v>170</v>
      </c>
      <c r="AE36" s="228">
        <v>165</v>
      </c>
      <c r="AF36" s="228">
        <v>5</v>
      </c>
      <c r="AG36" s="229">
        <v>5.1000000000000004E-3</v>
      </c>
      <c r="AH36" s="228">
        <v>410</v>
      </c>
      <c r="AI36" s="228">
        <v>365</v>
      </c>
      <c r="AJ36" s="228">
        <v>45</v>
      </c>
      <c r="AK36" s="229">
        <v>1.23E-2</v>
      </c>
      <c r="AL36" s="228">
        <v>570</v>
      </c>
      <c r="AM36" s="228">
        <v>505</v>
      </c>
      <c r="AN36" s="228">
        <v>65</v>
      </c>
      <c r="AO36" s="229">
        <v>1.72E-2</v>
      </c>
      <c r="AP36" s="231">
        <v>33432.410000000003</v>
      </c>
      <c r="AQ36" s="231">
        <v>33624</v>
      </c>
      <c r="AR36" s="228">
        <v>0</v>
      </c>
      <c r="AS36" s="228">
        <v>160</v>
      </c>
      <c r="AT36" s="228">
        <v>247</v>
      </c>
      <c r="AU36" s="228">
        <v>-87</v>
      </c>
      <c r="AV36" s="229">
        <v>-0.35099999999999998</v>
      </c>
      <c r="AW36" s="228">
        <v>150</v>
      </c>
      <c r="AX36" s="228">
        <v>232</v>
      </c>
      <c r="AY36" s="228">
        <v>-82</v>
      </c>
      <c r="AZ36" s="229">
        <v>-0.35160000000000002</v>
      </c>
      <c r="BA36" s="228">
        <v>10</v>
      </c>
      <c r="BB36" s="228">
        <v>14</v>
      </c>
      <c r="BC36" s="228">
        <v>-4</v>
      </c>
      <c r="BD36" s="229">
        <v>-0.31140000000000001</v>
      </c>
      <c r="BE36" s="228">
        <v>0</v>
      </c>
      <c r="BF36" s="228">
        <v>1</v>
      </c>
      <c r="BG36" s="228">
        <v>-1</v>
      </c>
      <c r="BH36" s="229">
        <v>-0.71430000000000005</v>
      </c>
      <c r="BI36" s="228">
        <v>461</v>
      </c>
      <c r="BJ36" s="228">
        <v>785</v>
      </c>
      <c r="BK36" s="228">
        <v>-324</v>
      </c>
      <c r="BL36" s="229">
        <v>-0.41289999999999999</v>
      </c>
      <c r="BM36" s="228">
        <v>247</v>
      </c>
      <c r="BN36" s="228">
        <v>758</v>
      </c>
      <c r="BO36" s="228">
        <v>-511</v>
      </c>
      <c r="BP36" s="229">
        <v>-0.67459999999999998</v>
      </c>
      <c r="BQ36" s="228">
        <v>868</v>
      </c>
      <c r="BR36" s="230">
        <v>1790</v>
      </c>
      <c r="BS36" s="228">
        <v>-922</v>
      </c>
      <c r="BT36" s="229">
        <v>-0.5151</v>
      </c>
      <c r="BU36" s="230">
        <v>23867</v>
      </c>
      <c r="BV36" s="230">
        <v>52538</v>
      </c>
      <c r="BW36" s="230">
        <v>-28671</v>
      </c>
      <c r="BX36" s="229">
        <v>-0.54569999999999996</v>
      </c>
      <c r="BY36" s="228">
        <v>695</v>
      </c>
      <c r="BZ36" s="228">
        <v>694</v>
      </c>
      <c r="CA36" s="228">
        <v>1</v>
      </c>
      <c r="CB36" s="229">
        <v>2E-3</v>
      </c>
      <c r="CC36" s="228">
        <v>677</v>
      </c>
      <c r="CD36" s="228">
        <v>681</v>
      </c>
      <c r="CE36" s="228">
        <v>-3</v>
      </c>
      <c r="CF36" s="229">
        <v>-4.7999999999999996E-3</v>
      </c>
      <c r="CG36" s="228">
        <v>16</v>
      </c>
      <c r="CH36" s="228">
        <v>12</v>
      </c>
      <c r="CI36" s="228">
        <v>4</v>
      </c>
      <c r="CJ36" s="229">
        <v>0.36809999999999998</v>
      </c>
      <c r="CK36" s="228">
        <v>1</v>
      </c>
      <c r="CL36" s="228">
        <v>1</v>
      </c>
      <c r="CM36" s="228">
        <v>0</v>
      </c>
      <c r="CN36" s="229">
        <v>0.3</v>
      </c>
      <c r="CO36" s="228">
        <v>576</v>
      </c>
      <c r="CP36" s="228">
        <v>519</v>
      </c>
      <c r="CQ36" s="228">
        <v>57</v>
      </c>
      <c r="CR36" s="229">
        <v>0.1096</v>
      </c>
      <c r="CS36" s="228">
        <v>277</v>
      </c>
      <c r="CT36" s="228">
        <v>275</v>
      </c>
      <c r="CU36" s="228">
        <v>2</v>
      </c>
      <c r="CV36" s="229">
        <v>8.5000000000000006E-3</v>
      </c>
      <c r="CW36" s="230">
        <v>1549</v>
      </c>
      <c r="CX36" s="230">
        <v>1488</v>
      </c>
      <c r="CY36" s="228">
        <v>61</v>
      </c>
      <c r="CZ36" s="229">
        <v>4.0800000000000003E-2</v>
      </c>
      <c r="DA36" s="228">
        <v>30.11</v>
      </c>
      <c r="DB36" s="228">
        <v>33.619999999999997</v>
      </c>
      <c r="DC36" s="228">
        <v>-3.51</v>
      </c>
      <c r="DD36" s="228">
        <v>-3.51</v>
      </c>
      <c r="DE36" s="228">
        <v>30.21</v>
      </c>
      <c r="DF36" s="228">
        <v>30.28</v>
      </c>
      <c r="DG36" s="228">
        <v>-0.1</v>
      </c>
      <c r="DH36" s="228">
        <v>-7.0000000000000007E-2</v>
      </c>
      <c r="DI36" s="228">
        <v>29.96</v>
      </c>
      <c r="DJ36" s="228">
        <v>32.61</v>
      </c>
      <c r="DK36" s="228">
        <v>-2.65</v>
      </c>
      <c r="DL36" s="228">
        <v>-2.65</v>
      </c>
      <c r="DM36" s="228">
        <v>30.39</v>
      </c>
      <c r="DN36" s="228">
        <v>34.67</v>
      </c>
      <c r="DO36" s="228">
        <v>-4.28</v>
      </c>
      <c r="DP36" s="228">
        <v>-4.28</v>
      </c>
      <c r="DQ36" s="228">
        <v>0.48</v>
      </c>
      <c r="DR36" s="228">
        <v>0.53</v>
      </c>
      <c r="DS36" s="228">
        <v>-0.05</v>
      </c>
      <c r="DT36" s="229">
        <v>-9.4299999999999995E-2</v>
      </c>
      <c r="DU36" s="231">
        <v>40000</v>
      </c>
      <c r="DV36" s="231">
        <v>30000</v>
      </c>
      <c r="DW36" s="228">
        <v>0.54</v>
      </c>
      <c r="DX36" s="228">
        <v>0.97</v>
      </c>
      <c r="DY36" s="228">
        <v>-0.43</v>
      </c>
      <c r="DZ36" s="229">
        <v>-0.44330000000000003</v>
      </c>
      <c r="EA36" s="229">
        <v>2.52E-2</v>
      </c>
      <c r="EB36" s="230">
        <v>3850</v>
      </c>
      <c r="EC36" s="229">
        <v>7.1999999999999998E-3</v>
      </c>
      <c r="ED36" s="229">
        <v>2.52E-2</v>
      </c>
      <c r="EE36" s="228">
        <v>191.59</v>
      </c>
      <c r="EF36" s="229">
        <v>5.7000000000000002E-3</v>
      </c>
      <c r="EG36" s="230">
        <v>9986</v>
      </c>
      <c r="EH36" s="230">
        <v>25532</v>
      </c>
      <c r="EI36" s="229">
        <v>-0.6089</v>
      </c>
      <c r="EJ36" s="229">
        <v>0.41839999999999999</v>
      </c>
      <c r="EK36" s="228">
        <v>503.51</v>
      </c>
      <c r="EL36" s="228">
        <v>238.7</v>
      </c>
      <c r="EM36" s="228">
        <v>160.62</v>
      </c>
      <c r="EN36" s="228">
        <v>18.510000000000002</v>
      </c>
      <c r="EO36" s="228">
        <v>902.83</v>
      </c>
      <c r="EP36" s="231">
        <v>1873.34</v>
      </c>
      <c r="EQ36" s="228">
        <v>-970.52</v>
      </c>
      <c r="ER36" s="229">
        <v>-0.5181</v>
      </c>
      <c r="ES36" s="228">
        <v>651.21</v>
      </c>
      <c r="ET36" s="228">
        <v>280.49</v>
      </c>
      <c r="EU36" s="228">
        <v>695.1</v>
      </c>
      <c r="EV36" s="231">
        <v>882048</v>
      </c>
      <c r="EW36" s="231">
        <v>1626.8</v>
      </c>
      <c r="EX36" s="231">
        <v>1567.21</v>
      </c>
      <c r="EY36" s="228">
        <v>59.59</v>
      </c>
      <c r="EZ36" s="229">
        <v>3.7999999999999999E-2</v>
      </c>
      <c r="FA36" s="229">
        <v>0.52569999999999995</v>
      </c>
      <c r="FB36" s="227" t="s">
        <v>567</v>
      </c>
      <c r="FC36">
        <f t="shared" si="0"/>
        <v>18</v>
      </c>
    </row>
    <row r="37" spans="1:159" ht="17.25" hidden="1" thickBot="1" x14ac:dyDescent="0.3">
      <c r="A37" s="226">
        <v>46086</v>
      </c>
      <c r="B37" s="227" t="s">
        <v>193</v>
      </c>
      <c r="C37" s="227" t="s">
        <v>194</v>
      </c>
      <c r="D37" s="228">
        <v>1975</v>
      </c>
      <c r="E37" s="228">
        <v>25</v>
      </c>
      <c r="F37" s="228">
        <v>361.5</v>
      </c>
      <c r="G37" s="228">
        <v>356.8</v>
      </c>
      <c r="H37" s="228">
        <v>4.7</v>
      </c>
      <c r="I37" s="229">
        <v>1.32E-2</v>
      </c>
      <c r="J37" s="228">
        <v>360.35</v>
      </c>
      <c r="K37" s="228">
        <v>356.4</v>
      </c>
      <c r="L37" s="228">
        <v>3.95</v>
      </c>
      <c r="M37" s="229">
        <v>1.11E-2</v>
      </c>
      <c r="N37" s="228">
        <v>361.5</v>
      </c>
      <c r="O37" s="228">
        <v>356.8</v>
      </c>
      <c r="P37" s="228">
        <v>4.7</v>
      </c>
      <c r="Q37" s="229">
        <v>1.32E-2</v>
      </c>
      <c r="R37" s="228">
        <v>363.3</v>
      </c>
      <c r="S37" s="228">
        <v>359</v>
      </c>
      <c r="T37" s="228">
        <v>4.3</v>
      </c>
      <c r="U37" s="229">
        <v>1.2E-2</v>
      </c>
      <c r="V37" s="228">
        <v>363.8</v>
      </c>
      <c r="W37" s="228">
        <v>360.95</v>
      </c>
      <c r="X37" s="228">
        <v>2.85</v>
      </c>
      <c r="Y37" s="229">
        <v>7.9000000000000008E-3</v>
      </c>
      <c r="Z37" s="228">
        <v>1.1499999999999999</v>
      </c>
      <c r="AA37" s="228">
        <v>0.4</v>
      </c>
      <c r="AB37" s="228">
        <v>0.75</v>
      </c>
      <c r="AC37" s="229">
        <v>3.2000000000000002E-3</v>
      </c>
      <c r="AD37" s="228">
        <v>1.1499999999999999</v>
      </c>
      <c r="AE37" s="228">
        <v>0.4</v>
      </c>
      <c r="AF37" s="228">
        <v>0.75</v>
      </c>
      <c r="AG37" s="229">
        <v>3.2000000000000002E-3</v>
      </c>
      <c r="AH37" s="228">
        <v>2.95</v>
      </c>
      <c r="AI37" s="228">
        <v>2.6</v>
      </c>
      <c r="AJ37" s="228">
        <v>0.35</v>
      </c>
      <c r="AK37" s="229">
        <v>8.2000000000000007E-3</v>
      </c>
      <c r="AL37" s="228">
        <v>3.45</v>
      </c>
      <c r="AM37" s="228">
        <v>4.55</v>
      </c>
      <c r="AN37" s="228">
        <v>-1.1000000000000001</v>
      </c>
      <c r="AO37" s="229">
        <v>9.5999999999999992E-3</v>
      </c>
      <c r="AP37" s="228">
        <v>358.74</v>
      </c>
      <c r="AQ37" s="228">
        <v>361.33</v>
      </c>
      <c r="AR37" s="228">
        <v>0</v>
      </c>
      <c r="AS37" s="228">
        <v>761</v>
      </c>
      <c r="AT37" s="228">
        <v>482</v>
      </c>
      <c r="AU37" s="228">
        <v>279</v>
      </c>
      <c r="AV37" s="229">
        <v>0.57820000000000005</v>
      </c>
      <c r="AW37" s="228">
        <v>736</v>
      </c>
      <c r="AX37" s="228">
        <v>466</v>
      </c>
      <c r="AY37" s="228">
        <v>270</v>
      </c>
      <c r="AZ37" s="229">
        <v>0.58099999999999996</v>
      </c>
      <c r="BA37" s="228">
        <v>21</v>
      </c>
      <c r="BB37" s="228">
        <v>15</v>
      </c>
      <c r="BC37" s="228">
        <v>6</v>
      </c>
      <c r="BD37" s="229">
        <v>0.439</v>
      </c>
      <c r="BE37" s="228">
        <v>4</v>
      </c>
      <c r="BF37" s="228">
        <v>2</v>
      </c>
      <c r="BG37" s="228">
        <v>2</v>
      </c>
      <c r="BH37" s="229">
        <v>0.93100000000000005</v>
      </c>
      <c r="BI37" s="230">
        <v>1526</v>
      </c>
      <c r="BJ37" s="230">
        <v>1000</v>
      </c>
      <c r="BK37" s="228">
        <v>526</v>
      </c>
      <c r="BL37" s="229">
        <v>0.52580000000000005</v>
      </c>
      <c r="BM37" s="230">
        <v>1531</v>
      </c>
      <c r="BN37" s="230">
        <v>1622</v>
      </c>
      <c r="BO37" s="228">
        <v>-91</v>
      </c>
      <c r="BP37" s="229">
        <v>-5.6300000000000003E-2</v>
      </c>
      <c r="BQ37" s="230">
        <v>3817</v>
      </c>
      <c r="BR37" s="230">
        <v>3104</v>
      </c>
      <c r="BS37" s="228">
        <v>713</v>
      </c>
      <c r="BT37" s="229">
        <v>0.2298</v>
      </c>
      <c r="BU37" s="230">
        <v>12647039</v>
      </c>
      <c r="BV37" s="230">
        <v>14549518</v>
      </c>
      <c r="BW37" s="230">
        <v>-1902479</v>
      </c>
      <c r="BX37" s="229">
        <v>-0.1308</v>
      </c>
      <c r="BY37" s="230">
        <v>1402</v>
      </c>
      <c r="BZ37" s="230">
        <v>1303</v>
      </c>
      <c r="CA37" s="228">
        <v>98</v>
      </c>
      <c r="CB37" s="229">
        <v>7.5399999999999995E-2</v>
      </c>
      <c r="CC37" s="230">
        <v>1382</v>
      </c>
      <c r="CD37" s="230">
        <v>1286</v>
      </c>
      <c r="CE37" s="228">
        <v>96</v>
      </c>
      <c r="CF37" s="229">
        <v>7.46E-2</v>
      </c>
      <c r="CG37" s="228">
        <v>17</v>
      </c>
      <c r="CH37" s="228">
        <v>14</v>
      </c>
      <c r="CI37" s="228">
        <v>3</v>
      </c>
      <c r="CJ37" s="229">
        <v>0.18720000000000001</v>
      </c>
      <c r="CK37" s="228">
        <v>3</v>
      </c>
      <c r="CL37" s="228">
        <v>3</v>
      </c>
      <c r="CM37" s="228">
        <v>0</v>
      </c>
      <c r="CN37" s="229">
        <v>-0.11360000000000001</v>
      </c>
      <c r="CO37" s="228">
        <v>620</v>
      </c>
      <c r="CP37" s="228">
        <v>537</v>
      </c>
      <c r="CQ37" s="228">
        <v>84</v>
      </c>
      <c r="CR37" s="229">
        <v>0.15559999999999999</v>
      </c>
      <c r="CS37" s="228">
        <v>524</v>
      </c>
      <c r="CT37" s="228">
        <v>464</v>
      </c>
      <c r="CU37" s="228">
        <v>60</v>
      </c>
      <c r="CV37" s="229">
        <v>0.12889999999999999</v>
      </c>
      <c r="CW37" s="230">
        <v>2546</v>
      </c>
      <c r="CX37" s="230">
        <v>2304</v>
      </c>
      <c r="CY37" s="228">
        <v>242</v>
      </c>
      <c r="CZ37" s="229">
        <v>0.10489999999999999</v>
      </c>
      <c r="DA37" s="228">
        <v>34.03</v>
      </c>
      <c r="DB37" s="228">
        <v>39.26</v>
      </c>
      <c r="DC37" s="228">
        <v>-5.23</v>
      </c>
      <c r="DD37" s="228">
        <v>-5.23</v>
      </c>
      <c r="DE37" s="228">
        <v>33.03</v>
      </c>
      <c r="DF37" s="228">
        <v>33.06</v>
      </c>
      <c r="DG37" s="228">
        <v>1</v>
      </c>
      <c r="DH37" s="228">
        <v>-0.03</v>
      </c>
      <c r="DI37" s="228">
        <v>31.77</v>
      </c>
      <c r="DJ37" s="228">
        <v>36.840000000000003</v>
      </c>
      <c r="DK37" s="228">
        <v>-5.07</v>
      </c>
      <c r="DL37" s="228">
        <v>-5.07</v>
      </c>
      <c r="DM37" s="228">
        <v>36.270000000000003</v>
      </c>
      <c r="DN37" s="228">
        <v>40.76</v>
      </c>
      <c r="DO37" s="228">
        <v>-4.49</v>
      </c>
      <c r="DP37" s="228">
        <v>-4.49</v>
      </c>
      <c r="DQ37" s="228">
        <v>0.84</v>
      </c>
      <c r="DR37" s="228">
        <v>0.86</v>
      </c>
      <c r="DS37" s="228">
        <v>-0.02</v>
      </c>
      <c r="DT37" s="229">
        <v>-2.3300000000000001E-2</v>
      </c>
      <c r="DU37" s="228">
        <v>380</v>
      </c>
      <c r="DV37" s="228">
        <v>350</v>
      </c>
      <c r="DW37" s="228">
        <v>1</v>
      </c>
      <c r="DX37" s="228">
        <v>1.62</v>
      </c>
      <c r="DY37" s="228">
        <v>-0.62</v>
      </c>
      <c r="DZ37" s="229">
        <v>-0.38269999999999998</v>
      </c>
      <c r="EA37" s="229">
        <v>1.43E-2</v>
      </c>
      <c r="EB37" s="230">
        <v>487825</v>
      </c>
      <c r="EC37" s="229">
        <v>5.0000000000000001E-3</v>
      </c>
      <c r="ED37" s="229">
        <v>1.43E-2</v>
      </c>
      <c r="EE37" s="228">
        <v>2.59</v>
      </c>
      <c r="EF37" s="229">
        <v>7.1999999999999998E-3</v>
      </c>
      <c r="EG37" s="230">
        <v>6439996</v>
      </c>
      <c r="EH37" s="230">
        <v>8242937</v>
      </c>
      <c r="EI37" s="229">
        <v>-0.21870000000000001</v>
      </c>
      <c r="EJ37" s="229">
        <v>0.50919999999999999</v>
      </c>
      <c r="EK37" s="231">
        <v>1624.2</v>
      </c>
      <c r="EL37" s="231">
        <v>1478.26</v>
      </c>
      <c r="EM37" s="228">
        <v>755.41</v>
      </c>
      <c r="EN37" s="228">
        <v>53.35</v>
      </c>
      <c r="EO37" s="231">
        <v>3857.86</v>
      </c>
      <c r="EP37" s="231">
        <v>3152.43</v>
      </c>
      <c r="EQ37" s="228">
        <v>705.44</v>
      </c>
      <c r="ER37" s="229">
        <v>0.2238</v>
      </c>
      <c r="ES37" s="228">
        <v>660.67</v>
      </c>
      <c r="ET37" s="228">
        <v>500.23</v>
      </c>
      <c r="EU37" s="231">
        <v>1401.9</v>
      </c>
      <c r="EV37" s="231">
        <v>306020745</v>
      </c>
      <c r="EW37" s="231">
        <v>2562.79</v>
      </c>
      <c r="EX37" s="231">
        <v>2306.17</v>
      </c>
      <c r="EY37" s="228">
        <v>256.62</v>
      </c>
      <c r="EZ37" s="229">
        <v>0.1113</v>
      </c>
      <c r="FA37" s="229">
        <v>0.2301</v>
      </c>
      <c r="FB37" s="227" t="s">
        <v>555</v>
      </c>
      <c r="FC37">
        <f t="shared" si="0"/>
        <v>20</v>
      </c>
    </row>
    <row r="38" spans="1:159" ht="17.25" hidden="1" thickBot="1" x14ac:dyDescent="0.3">
      <c r="A38" s="226">
        <v>46086</v>
      </c>
      <c r="B38" s="227" t="s">
        <v>168</v>
      </c>
      <c r="C38" s="227" t="s">
        <v>195</v>
      </c>
      <c r="D38" s="228">
        <v>125</v>
      </c>
      <c r="E38" s="228">
        <v>25</v>
      </c>
      <c r="F38" s="231">
        <v>5982</v>
      </c>
      <c r="G38" s="231">
        <v>5902.5</v>
      </c>
      <c r="H38" s="228">
        <v>79.5</v>
      </c>
      <c r="I38" s="229">
        <v>1.35E-2</v>
      </c>
      <c r="J38" s="231">
        <v>5963</v>
      </c>
      <c r="K38" s="231">
        <v>5889.5</v>
      </c>
      <c r="L38" s="228">
        <v>73.5</v>
      </c>
      <c r="M38" s="229">
        <v>1.2500000000000001E-2</v>
      </c>
      <c r="N38" s="231">
        <v>5982</v>
      </c>
      <c r="O38" s="231">
        <v>5902.5</v>
      </c>
      <c r="P38" s="228">
        <v>79.5</v>
      </c>
      <c r="Q38" s="229">
        <v>1.35E-2</v>
      </c>
      <c r="R38" s="231">
        <v>6029</v>
      </c>
      <c r="S38" s="231">
        <v>5938</v>
      </c>
      <c r="T38" s="228">
        <v>91</v>
      </c>
      <c r="U38" s="229">
        <v>1.5299999999999999E-2</v>
      </c>
      <c r="V38" s="231">
        <v>6040</v>
      </c>
      <c r="W38" s="231">
        <v>5971.5</v>
      </c>
      <c r="X38" s="228">
        <v>68.5</v>
      </c>
      <c r="Y38" s="229">
        <v>1.15E-2</v>
      </c>
      <c r="Z38" s="228">
        <v>19</v>
      </c>
      <c r="AA38" s="228">
        <v>13</v>
      </c>
      <c r="AB38" s="228">
        <v>6</v>
      </c>
      <c r="AC38" s="229">
        <v>3.2000000000000002E-3</v>
      </c>
      <c r="AD38" s="228">
        <v>19</v>
      </c>
      <c r="AE38" s="228">
        <v>13</v>
      </c>
      <c r="AF38" s="228">
        <v>6</v>
      </c>
      <c r="AG38" s="229">
        <v>3.2000000000000002E-3</v>
      </c>
      <c r="AH38" s="228">
        <v>66</v>
      </c>
      <c r="AI38" s="228">
        <v>48.5</v>
      </c>
      <c r="AJ38" s="228">
        <v>17.5</v>
      </c>
      <c r="AK38" s="229">
        <v>1.11E-2</v>
      </c>
      <c r="AL38" s="228">
        <v>77</v>
      </c>
      <c r="AM38" s="228">
        <v>82</v>
      </c>
      <c r="AN38" s="228">
        <v>-5</v>
      </c>
      <c r="AO38" s="229">
        <v>1.29E-2</v>
      </c>
      <c r="AP38" s="231">
        <v>5945</v>
      </c>
      <c r="AQ38" s="231">
        <v>5980.9</v>
      </c>
      <c r="AR38" s="228">
        <v>0</v>
      </c>
      <c r="AS38" s="228">
        <v>141</v>
      </c>
      <c r="AT38" s="228">
        <v>156</v>
      </c>
      <c r="AU38" s="228">
        <v>-15</v>
      </c>
      <c r="AV38" s="229">
        <v>-9.8000000000000004E-2</v>
      </c>
      <c r="AW38" s="228">
        <v>138</v>
      </c>
      <c r="AX38" s="228">
        <v>154</v>
      </c>
      <c r="AY38" s="228">
        <v>-16</v>
      </c>
      <c r="AZ38" s="229">
        <v>-0.1018</v>
      </c>
      <c r="BA38" s="228">
        <v>2</v>
      </c>
      <c r="BB38" s="228">
        <v>2</v>
      </c>
      <c r="BC38" s="228">
        <v>0</v>
      </c>
      <c r="BD38" s="229">
        <v>0.1923</v>
      </c>
      <c r="BE38" s="228">
        <v>0</v>
      </c>
      <c r="BF38" s="228">
        <v>0</v>
      </c>
      <c r="BG38" s="228">
        <v>0</v>
      </c>
      <c r="BH38" s="229">
        <v>0</v>
      </c>
      <c r="BI38" s="228">
        <v>344</v>
      </c>
      <c r="BJ38" s="228">
        <v>330</v>
      </c>
      <c r="BK38" s="228">
        <v>14</v>
      </c>
      <c r="BL38" s="229">
        <v>4.1200000000000001E-2</v>
      </c>
      <c r="BM38" s="228">
        <v>226</v>
      </c>
      <c r="BN38" s="228">
        <v>241</v>
      </c>
      <c r="BO38" s="228">
        <v>-15</v>
      </c>
      <c r="BP38" s="229">
        <v>-6.2E-2</v>
      </c>
      <c r="BQ38" s="228">
        <v>711</v>
      </c>
      <c r="BR38" s="228">
        <v>728</v>
      </c>
      <c r="BS38" s="228">
        <v>-17</v>
      </c>
      <c r="BT38" s="229">
        <v>-2.29E-2</v>
      </c>
      <c r="BU38" s="230">
        <v>213749</v>
      </c>
      <c r="BV38" s="230">
        <v>304319</v>
      </c>
      <c r="BW38" s="230">
        <v>-90570</v>
      </c>
      <c r="BX38" s="229">
        <v>-0.29759999999999998</v>
      </c>
      <c r="BY38" s="230">
        <v>2002</v>
      </c>
      <c r="BZ38" s="230">
        <v>2022</v>
      </c>
      <c r="CA38" s="228">
        <v>-20</v>
      </c>
      <c r="CB38" s="229">
        <v>-9.9000000000000008E-3</v>
      </c>
      <c r="CC38" s="230">
        <v>1993</v>
      </c>
      <c r="CD38" s="230">
        <v>2014</v>
      </c>
      <c r="CE38" s="228">
        <v>-21</v>
      </c>
      <c r="CF38" s="229">
        <v>-1.04E-2</v>
      </c>
      <c r="CG38" s="228">
        <v>9</v>
      </c>
      <c r="CH38" s="228">
        <v>8</v>
      </c>
      <c r="CI38" s="228">
        <v>1</v>
      </c>
      <c r="CJ38" s="229">
        <v>8.4900000000000003E-2</v>
      </c>
      <c r="CK38" s="228">
        <v>0</v>
      </c>
      <c r="CL38" s="228">
        <v>0</v>
      </c>
      <c r="CM38" s="228">
        <v>0</v>
      </c>
      <c r="CN38" s="229">
        <v>0.66669999999999996</v>
      </c>
      <c r="CO38" s="228">
        <v>384</v>
      </c>
      <c r="CP38" s="228">
        <v>362</v>
      </c>
      <c r="CQ38" s="228">
        <v>22</v>
      </c>
      <c r="CR38" s="229">
        <v>6.0699999999999997E-2</v>
      </c>
      <c r="CS38" s="228">
        <v>196</v>
      </c>
      <c r="CT38" s="228">
        <v>179</v>
      </c>
      <c r="CU38" s="228">
        <v>17</v>
      </c>
      <c r="CV38" s="229">
        <v>9.7000000000000003E-2</v>
      </c>
      <c r="CW38" s="230">
        <v>2582</v>
      </c>
      <c r="CX38" s="230">
        <v>2563</v>
      </c>
      <c r="CY38" s="228">
        <v>19</v>
      </c>
      <c r="CZ38" s="229">
        <v>7.4999999999999997E-3</v>
      </c>
      <c r="DA38" s="228">
        <v>20.54</v>
      </c>
      <c r="DB38" s="228">
        <v>22.17</v>
      </c>
      <c r="DC38" s="228">
        <v>-1.63</v>
      </c>
      <c r="DD38" s="228">
        <v>-1.63</v>
      </c>
      <c r="DE38" s="228">
        <v>23.9</v>
      </c>
      <c r="DF38" s="228">
        <v>23.9</v>
      </c>
      <c r="DG38" s="228">
        <v>-3.36</v>
      </c>
      <c r="DH38" s="228">
        <v>0</v>
      </c>
      <c r="DI38" s="228">
        <v>19.649999999999999</v>
      </c>
      <c r="DJ38" s="228">
        <v>21.42</v>
      </c>
      <c r="DK38" s="228">
        <v>-1.77</v>
      </c>
      <c r="DL38" s="228">
        <v>-1.77</v>
      </c>
      <c r="DM38" s="228">
        <v>21.88</v>
      </c>
      <c r="DN38" s="228">
        <v>23.2</v>
      </c>
      <c r="DO38" s="228">
        <v>-1.32</v>
      </c>
      <c r="DP38" s="228">
        <v>-1.32</v>
      </c>
      <c r="DQ38" s="228">
        <v>0.51</v>
      </c>
      <c r="DR38" s="228">
        <v>0.49</v>
      </c>
      <c r="DS38" s="228">
        <v>0.02</v>
      </c>
      <c r="DT38" s="229">
        <v>4.0800000000000003E-2</v>
      </c>
      <c r="DU38" s="231">
        <v>6700</v>
      </c>
      <c r="DV38" s="231">
        <v>5500</v>
      </c>
      <c r="DW38" s="228">
        <v>0.66</v>
      </c>
      <c r="DX38" s="228">
        <v>0.73</v>
      </c>
      <c r="DY38" s="228">
        <v>-7.0000000000000007E-2</v>
      </c>
      <c r="DZ38" s="229">
        <v>-9.5899999999999999E-2</v>
      </c>
      <c r="EA38" s="229">
        <v>4.4999999999999997E-3</v>
      </c>
      <c r="EB38" s="230">
        <v>13625</v>
      </c>
      <c r="EC38" s="229">
        <v>7.9000000000000008E-3</v>
      </c>
      <c r="ED38" s="229">
        <v>4.4999999999999997E-3</v>
      </c>
      <c r="EE38" s="228">
        <v>35.9</v>
      </c>
      <c r="EF38" s="229">
        <v>6.0000000000000001E-3</v>
      </c>
      <c r="EG38" s="230">
        <v>120549</v>
      </c>
      <c r="EH38" s="230">
        <v>199841</v>
      </c>
      <c r="EI38" s="229">
        <v>-0.39679999999999999</v>
      </c>
      <c r="EJ38" s="229">
        <v>0.56399999999999995</v>
      </c>
      <c r="EK38" s="228">
        <v>359.63</v>
      </c>
      <c r="EL38" s="228">
        <v>216.05</v>
      </c>
      <c r="EM38" s="228">
        <v>140.16999999999999</v>
      </c>
      <c r="EN38" s="228">
        <v>21.49</v>
      </c>
      <c r="EO38" s="228">
        <v>715.84</v>
      </c>
      <c r="EP38" s="228">
        <v>736.12</v>
      </c>
      <c r="EQ38" s="228">
        <v>-20.28</v>
      </c>
      <c r="ER38" s="229">
        <v>-2.75E-2</v>
      </c>
      <c r="ES38" s="228">
        <v>411.51</v>
      </c>
      <c r="ET38" s="228">
        <v>188.42</v>
      </c>
      <c r="EU38" s="231">
        <v>2001.8</v>
      </c>
      <c r="EV38" s="231">
        <v>16370935</v>
      </c>
      <c r="EW38" s="231">
        <v>2601.73</v>
      </c>
      <c r="EX38" s="231">
        <v>2555.86</v>
      </c>
      <c r="EY38" s="228">
        <v>45.87</v>
      </c>
      <c r="EZ38" s="229">
        <v>1.7899999999999999E-2</v>
      </c>
      <c r="FA38" s="229">
        <v>0.26369999999999999</v>
      </c>
      <c r="FB38" s="227" t="s">
        <v>556</v>
      </c>
      <c r="FC38">
        <f t="shared" si="0"/>
        <v>9</v>
      </c>
    </row>
    <row r="39" spans="1:159" ht="17.25" hidden="1" thickBot="1" x14ac:dyDescent="0.3">
      <c r="A39" s="226">
        <v>46086</v>
      </c>
      <c r="B39" s="227" t="s">
        <v>175</v>
      </c>
      <c r="C39" s="227" t="s">
        <v>584</v>
      </c>
      <c r="D39" s="228">
        <v>375</v>
      </c>
      <c r="E39" s="228">
        <v>25</v>
      </c>
      <c r="F39" s="231">
        <v>2765</v>
      </c>
      <c r="G39" s="231">
        <v>2628.9</v>
      </c>
      <c r="H39" s="228">
        <v>136.1</v>
      </c>
      <c r="I39" s="229">
        <v>5.1799999999999999E-2</v>
      </c>
      <c r="J39" s="231">
        <v>2761.4</v>
      </c>
      <c r="K39" s="231">
        <v>2626.9</v>
      </c>
      <c r="L39" s="228">
        <v>134.5</v>
      </c>
      <c r="M39" s="229">
        <v>5.1200000000000002E-2</v>
      </c>
      <c r="N39" s="231">
        <v>2765</v>
      </c>
      <c r="O39" s="231">
        <v>2628.9</v>
      </c>
      <c r="P39" s="228">
        <v>136.1</v>
      </c>
      <c r="Q39" s="229">
        <v>5.1799999999999999E-2</v>
      </c>
      <c r="R39" s="231">
        <v>2778.7</v>
      </c>
      <c r="S39" s="231">
        <v>2643.7</v>
      </c>
      <c r="T39" s="228">
        <v>135</v>
      </c>
      <c r="U39" s="229">
        <v>5.11E-2</v>
      </c>
      <c r="V39" s="231">
        <v>2783.9</v>
      </c>
      <c r="W39" s="231">
        <v>2651.1</v>
      </c>
      <c r="X39" s="228">
        <v>132.80000000000001</v>
      </c>
      <c r="Y39" s="229">
        <v>5.0099999999999999E-2</v>
      </c>
      <c r="Z39" s="228">
        <v>3.6</v>
      </c>
      <c r="AA39" s="228">
        <v>2</v>
      </c>
      <c r="AB39" s="228">
        <v>1.6</v>
      </c>
      <c r="AC39" s="229">
        <v>1.2999999999999999E-3</v>
      </c>
      <c r="AD39" s="228">
        <v>3.6</v>
      </c>
      <c r="AE39" s="228">
        <v>2</v>
      </c>
      <c r="AF39" s="228">
        <v>1.6</v>
      </c>
      <c r="AG39" s="229">
        <v>1.2999999999999999E-3</v>
      </c>
      <c r="AH39" s="228">
        <v>17.3</v>
      </c>
      <c r="AI39" s="228">
        <v>16.8</v>
      </c>
      <c r="AJ39" s="228">
        <v>0.5</v>
      </c>
      <c r="AK39" s="229">
        <v>6.3E-3</v>
      </c>
      <c r="AL39" s="228">
        <v>22.5</v>
      </c>
      <c r="AM39" s="228">
        <v>24.2</v>
      </c>
      <c r="AN39" s="228">
        <v>-1.7</v>
      </c>
      <c r="AO39" s="229">
        <v>8.0999999999999996E-3</v>
      </c>
      <c r="AP39" s="231">
        <v>2726.85</v>
      </c>
      <c r="AQ39" s="231">
        <v>2740.13</v>
      </c>
      <c r="AR39" s="228">
        <v>0</v>
      </c>
      <c r="AS39" s="230">
        <v>1798</v>
      </c>
      <c r="AT39" s="230">
        <v>1221</v>
      </c>
      <c r="AU39" s="228">
        <v>577</v>
      </c>
      <c r="AV39" s="229">
        <v>0.4723</v>
      </c>
      <c r="AW39" s="230">
        <v>1677</v>
      </c>
      <c r="AX39" s="230">
        <v>1131</v>
      </c>
      <c r="AY39" s="228">
        <v>547</v>
      </c>
      <c r="AZ39" s="229">
        <v>0.4834</v>
      </c>
      <c r="BA39" s="228">
        <v>103</v>
      </c>
      <c r="BB39" s="228">
        <v>70</v>
      </c>
      <c r="BC39" s="228">
        <v>33</v>
      </c>
      <c r="BD39" s="229">
        <v>0.47849999999999998</v>
      </c>
      <c r="BE39" s="228">
        <v>18</v>
      </c>
      <c r="BF39" s="228">
        <v>21</v>
      </c>
      <c r="BG39" s="228">
        <v>-3</v>
      </c>
      <c r="BH39" s="229">
        <v>-0.14779999999999999</v>
      </c>
      <c r="BI39" s="230">
        <v>6361</v>
      </c>
      <c r="BJ39" s="230">
        <v>3832</v>
      </c>
      <c r="BK39" s="230">
        <v>2529</v>
      </c>
      <c r="BL39" s="229">
        <v>0.66010000000000002</v>
      </c>
      <c r="BM39" s="230">
        <v>3271</v>
      </c>
      <c r="BN39" s="230">
        <v>2733</v>
      </c>
      <c r="BO39" s="228">
        <v>537</v>
      </c>
      <c r="BP39" s="229">
        <v>0.1966</v>
      </c>
      <c r="BQ39" s="230">
        <v>11430</v>
      </c>
      <c r="BR39" s="230">
        <v>7786</v>
      </c>
      <c r="BS39" s="230">
        <v>3643</v>
      </c>
      <c r="BT39" s="229">
        <v>0.46789999999999998</v>
      </c>
      <c r="BU39" s="230">
        <v>7464269</v>
      </c>
      <c r="BV39" s="230">
        <v>4779189</v>
      </c>
      <c r="BW39" s="230">
        <v>2685080</v>
      </c>
      <c r="BX39" s="229">
        <v>0.56179999999999997</v>
      </c>
      <c r="BY39" s="230">
        <v>2397</v>
      </c>
      <c r="BZ39" s="230">
        <v>2522</v>
      </c>
      <c r="CA39" s="228">
        <v>-125</v>
      </c>
      <c r="CB39" s="229">
        <v>-4.9599999999999998E-2</v>
      </c>
      <c r="CC39" s="230">
        <v>2237</v>
      </c>
      <c r="CD39" s="230">
        <v>2367</v>
      </c>
      <c r="CE39" s="228">
        <v>-130</v>
      </c>
      <c r="CF39" s="229">
        <v>-5.5E-2</v>
      </c>
      <c r="CG39" s="228">
        <v>143</v>
      </c>
      <c r="CH39" s="228">
        <v>138</v>
      </c>
      <c r="CI39" s="228">
        <v>5</v>
      </c>
      <c r="CJ39" s="229">
        <v>3.4500000000000003E-2</v>
      </c>
      <c r="CK39" s="228">
        <v>16</v>
      </c>
      <c r="CL39" s="228">
        <v>16</v>
      </c>
      <c r="CM39" s="228">
        <v>0</v>
      </c>
      <c r="CN39" s="229">
        <v>1.9199999999999998E-2</v>
      </c>
      <c r="CO39" s="230">
        <v>1993</v>
      </c>
      <c r="CP39" s="230">
        <v>2002</v>
      </c>
      <c r="CQ39" s="228">
        <v>-10</v>
      </c>
      <c r="CR39" s="229">
        <v>-4.8999999999999998E-3</v>
      </c>
      <c r="CS39" s="230">
        <v>1509</v>
      </c>
      <c r="CT39" s="230">
        <v>1454</v>
      </c>
      <c r="CU39" s="228">
        <v>55</v>
      </c>
      <c r="CV39" s="229">
        <v>3.7600000000000001E-2</v>
      </c>
      <c r="CW39" s="230">
        <v>5898</v>
      </c>
      <c r="CX39" s="230">
        <v>5978</v>
      </c>
      <c r="CY39" s="228">
        <v>-80</v>
      </c>
      <c r="CZ39" s="229">
        <v>-1.34E-2</v>
      </c>
      <c r="DA39" s="228">
        <v>39.74</v>
      </c>
      <c r="DB39" s="228">
        <v>44.58</v>
      </c>
      <c r="DC39" s="228">
        <v>-4.84</v>
      </c>
      <c r="DD39" s="228">
        <v>-4.84</v>
      </c>
      <c r="DE39" s="228">
        <v>59.26</v>
      </c>
      <c r="DF39" s="228">
        <v>59.02</v>
      </c>
      <c r="DG39" s="228">
        <v>-19.52</v>
      </c>
      <c r="DH39" s="228">
        <v>0.24</v>
      </c>
      <c r="DI39" s="228">
        <v>38.64</v>
      </c>
      <c r="DJ39" s="228">
        <v>43.12</v>
      </c>
      <c r="DK39" s="228">
        <v>-4.4800000000000004</v>
      </c>
      <c r="DL39" s="228">
        <v>-4.4800000000000004</v>
      </c>
      <c r="DM39" s="228">
        <v>41.87</v>
      </c>
      <c r="DN39" s="228">
        <v>46.63</v>
      </c>
      <c r="DO39" s="228">
        <v>-4.76</v>
      </c>
      <c r="DP39" s="228">
        <v>-4.76</v>
      </c>
      <c r="DQ39" s="228">
        <v>0.76</v>
      </c>
      <c r="DR39" s="228">
        <v>0.73</v>
      </c>
      <c r="DS39" s="228">
        <v>0.03</v>
      </c>
      <c r="DT39" s="229">
        <v>4.1099999999999998E-2</v>
      </c>
      <c r="DU39" s="231">
        <v>2800</v>
      </c>
      <c r="DV39" s="231">
        <v>2700</v>
      </c>
      <c r="DW39" s="228">
        <v>0.51</v>
      </c>
      <c r="DX39" s="228">
        <v>0.71</v>
      </c>
      <c r="DY39" s="228">
        <v>-0.2</v>
      </c>
      <c r="DZ39" s="229">
        <v>-0.28170000000000001</v>
      </c>
      <c r="EA39" s="229">
        <v>6.6500000000000004E-2</v>
      </c>
      <c r="EB39" s="230">
        <v>558000</v>
      </c>
      <c r="EC39" s="229">
        <v>5.0000000000000001E-3</v>
      </c>
      <c r="ED39" s="229">
        <v>6.6500000000000004E-2</v>
      </c>
      <c r="EE39" s="228">
        <v>13.28</v>
      </c>
      <c r="EF39" s="229">
        <v>4.8999999999999998E-3</v>
      </c>
      <c r="EG39" s="230">
        <v>1859956</v>
      </c>
      <c r="EH39" s="230">
        <v>1234386</v>
      </c>
      <c r="EI39" s="229">
        <v>0.50680000000000003</v>
      </c>
      <c r="EJ39" s="229">
        <v>0.2492</v>
      </c>
      <c r="EK39" s="231">
        <v>6742.03</v>
      </c>
      <c r="EL39" s="231">
        <v>3156.93</v>
      </c>
      <c r="EM39" s="231">
        <v>1773.98</v>
      </c>
      <c r="EN39" s="228">
        <v>139.1</v>
      </c>
      <c r="EO39" s="231">
        <v>11672.94</v>
      </c>
      <c r="EP39" s="231">
        <v>7635.95</v>
      </c>
      <c r="EQ39" s="231">
        <v>4036.99</v>
      </c>
      <c r="ER39" s="229">
        <v>0.52869999999999995</v>
      </c>
      <c r="ES39" s="231">
        <v>2117.81</v>
      </c>
      <c r="ET39" s="231">
        <v>1437.61</v>
      </c>
      <c r="EU39" s="231">
        <v>2397.35</v>
      </c>
      <c r="EV39" s="231">
        <v>61094861</v>
      </c>
      <c r="EW39" s="231">
        <v>5952.77</v>
      </c>
      <c r="EX39" s="231">
        <v>5900.5</v>
      </c>
      <c r="EY39" s="228">
        <v>52.27</v>
      </c>
      <c r="EZ39" s="229">
        <v>8.8999999999999999E-3</v>
      </c>
      <c r="FA39" s="229">
        <v>0.34910000000000002</v>
      </c>
      <c r="FB39" s="227" t="s">
        <v>556</v>
      </c>
      <c r="FC39">
        <f t="shared" si="0"/>
        <v>160</v>
      </c>
    </row>
    <row r="40" spans="1:159" ht="17.25" hidden="1" thickBot="1" x14ac:dyDescent="0.3">
      <c r="A40" s="226">
        <v>46086</v>
      </c>
      <c r="B40" s="227" t="s">
        <v>175</v>
      </c>
      <c r="C40" s="227" t="s">
        <v>611</v>
      </c>
      <c r="D40" s="228">
        <v>750</v>
      </c>
      <c r="E40" s="228">
        <v>25</v>
      </c>
      <c r="F40" s="228">
        <v>654.85</v>
      </c>
      <c r="G40" s="228">
        <v>633.25</v>
      </c>
      <c r="H40" s="228">
        <v>21.6</v>
      </c>
      <c r="I40" s="229">
        <v>3.4099999999999998E-2</v>
      </c>
      <c r="J40" s="228">
        <v>652.35</v>
      </c>
      <c r="K40" s="228">
        <v>629.9</v>
      </c>
      <c r="L40" s="228">
        <v>22.45</v>
      </c>
      <c r="M40" s="229">
        <v>3.56E-2</v>
      </c>
      <c r="N40" s="228">
        <v>654.85</v>
      </c>
      <c r="O40" s="228">
        <v>633.25</v>
      </c>
      <c r="P40" s="228">
        <v>21.6</v>
      </c>
      <c r="Q40" s="229">
        <v>3.4099999999999998E-2</v>
      </c>
      <c r="R40" s="228">
        <v>659.15</v>
      </c>
      <c r="S40" s="228">
        <v>636.6</v>
      </c>
      <c r="T40" s="228">
        <v>22.55</v>
      </c>
      <c r="U40" s="229">
        <v>3.5400000000000001E-2</v>
      </c>
      <c r="V40" s="228">
        <v>657.2</v>
      </c>
      <c r="W40" s="228">
        <v>641.95000000000005</v>
      </c>
      <c r="X40" s="228">
        <v>15.25</v>
      </c>
      <c r="Y40" s="229">
        <v>2.3800000000000002E-2</v>
      </c>
      <c r="Z40" s="228">
        <v>2.5</v>
      </c>
      <c r="AA40" s="228">
        <v>3.35</v>
      </c>
      <c r="AB40" s="228">
        <v>-0.85</v>
      </c>
      <c r="AC40" s="229">
        <v>3.8E-3</v>
      </c>
      <c r="AD40" s="228">
        <v>2.5</v>
      </c>
      <c r="AE40" s="228">
        <v>3.35</v>
      </c>
      <c r="AF40" s="228">
        <v>-0.85</v>
      </c>
      <c r="AG40" s="229">
        <v>3.8E-3</v>
      </c>
      <c r="AH40" s="228">
        <v>6.8</v>
      </c>
      <c r="AI40" s="228">
        <v>6.7</v>
      </c>
      <c r="AJ40" s="228">
        <v>0.1</v>
      </c>
      <c r="AK40" s="229">
        <v>1.04E-2</v>
      </c>
      <c r="AL40" s="228">
        <v>4.8499999999999996</v>
      </c>
      <c r="AM40" s="228">
        <v>12.05</v>
      </c>
      <c r="AN40" s="228">
        <v>-7.2</v>
      </c>
      <c r="AO40" s="229">
        <v>7.4000000000000003E-3</v>
      </c>
      <c r="AP40" s="228">
        <v>647.34</v>
      </c>
      <c r="AQ40" s="228">
        <v>652.53</v>
      </c>
      <c r="AR40" s="228">
        <v>0</v>
      </c>
      <c r="AS40" s="228">
        <v>196</v>
      </c>
      <c r="AT40" s="228">
        <v>211</v>
      </c>
      <c r="AU40" s="228">
        <v>-15</v>
      </c>
      <c r="AV40" s="229">
        <v>-7.2800000000000004E-2</v>
      </c>
      <c r="AW40" s="228">
        <v>185</v>
      </c>
      <c r="AX40" s="228">
        <v>198</v>
      </c>
      <c r="AY40" s="228">
        <v>-14</v>
      </c>
      <c r="AZ40" s="229">
        <v>-6.8599999999999994E-2</v>
      </c>
      <c r="BA40" s="228">
        <v>11</v>
      </c>
      <c r="BB40" s="228">
        <v>12</v>
      </c>
      <c r="BC40" s="228">
        <v>-1</v>
      </c>
      <c r="BD40" s="229">
        <v>-8.8200000000000001E-2</v>
      </c>
      <c r="BE40" s="228">
        <v>1</v>
      </c>
      <c r="BF40" s="228">
        <v>1</v>
      </c>
      <c r="BG40" s="228">
        <v>-1</v>
      </c>
      <c r="BH40" s="229">
        <v>-0.53569999999999995</v>
      </c>
      <c r="BI40" s="228">
        <v>199</v>
      </c>
      <c r="BJ40" s="228">
        <v>198</v>
      </c>
      <c r="BK40" s="228">
        <v>1</v>
      </c>
      <c r="BL40" s="229">
        <v>4.4999999999999997E-3</v>
      </c>
      <c r="BM40" s="228">
        <v>114</v>
      </c>
      <c r="BN40" s="228">
        <v>157</v>
      </c>
      <c r="BO40" s="228">
        <v>-43</v>
      </c>
      <c r="BP40" s="229">
        <v>-0.27360000000000001</v>
      </c>
      <c r="BQ40" s="228">
        <v>508</v>
      </c>
      <c r="BR40" s="228">
        <v>566</v>
      </c>
      <c r="BS40" s="228">
        <v>-57</v>
      </c>
      <c r="BT40" s="229">
        <v>-0.1014</v>
      </c>
      <c r="BU40" s="230">
        <v>4929099</v>
      </c>
      <c r="BV40" s="230">
        <v>3364841</v>
      </c>
      <c r="BW40" s="230">
        <v>1564258</v>
      </c>
      <c r="BX40" s="229">
        <v>0.46489999999999998</v>
      </c>
      <c r="BY40" s="228">
        <v>490</v>
      </c>
      <c r="BZ40" s="228">
        <v>486</v>
      </c>
      <c r="CA40" s="228">
        <v>3</v>
      </c>
      <c r="CB40" s="229">
        <v>7.1999999999999998E-3</v>
      </c>
      <c r="CC40" s="228">
        <v>465</v>
      </c>
      <c r="CD40" s="228">
        <v>463</v>
      </c>
      <c r="CE40" s="228">
        <v>3</v>
      </c>
      <c r="CF40" s="229">
        <v>5.4999999999999997E-3</v>
      </c>
      <c r="CG40" s="228">
        <v>22</v>
      </c>
      <c r="CH40" s="228">
        <v>21</v>
      </c>
      <c r="CI40" s="228">
        <v>1</v>
      </c>
      <c r="CJ40" s="229">
        <v>4.4699999999999997E-2</v>
      </c>
      <c r="CK40" s="228">
        <v>3</v>
      </c>
      <c r="CL40" s="228">
        <v>3</v>
      </c>
      <c r="CM40" s="228">
        <v>0</v>
      </c>
      <c r="CN40" s="229">
        <v>0</v>
      </c>
      <c r="CO40" s="228">
        <v>188</v>
      </c>
      <c r="CP40" s="228">
        <v>185</v>
      </c>
      <c r="CQ40" s="228">
        <v>2</v>
      </c>
      <c r="CR40" s="229">
        <v>1.2699999999999999E-2</v>
      </c>
      <c r="CS40" s="228">
        <v>152</v>
      </c>
      <c r="CT40" s="228">
        <v>147</v>
      </c>
      <c r="CU40" s="228">
        <v>5</v>
      </c>
      <c r="CV40" s="229">
        <v>3.2099999999999997E-2</v>
      </c>
      <c r="CW40" s="228">
        <v>829</v>
      </c>
      <c r="CX40" s="228">
        <v>818</v>
      </c>
      <c r="CY40" s="228">
        <v>11</v>
      </c>
      <c r="CZ40" s="229">
        <v>1.29E-2</v>
      </c>
      <c r="DA40" s="228">
        <v>32.61</v>
      </c>
      <c r="DB40" s="228">
        <v>35.729999999999997</v>
      </c>
      <c r="DC40" s="228">
        <v>-3.12</v>
      </c>
      <c r="DD40" s="228">
        <v>-3.12</v>
      </c>
      <c r="DE40" s="228">
        <v>40.18</v>
      </c>
      <c r="DF40" s="228">
        <v>40.020000000000003</v>
      </c>
      <c r="DG40" s="228">
        <v>-7.57</v>
      </c>
      <c r="DH40" s="228">
        <v>0.16</v>
      </c>
      <c r="DI40" s="228">
        <v>31.43</v>
      </c>
      <c r="DJ40" s="228">
        <v>35.1</v>
      </c>
      <c r="DK40" s="228">
        <v>-3.67</v>
      </c>
      <c r="DL40" s="228">
        <v>-3.67</v>
      </c>
      <c r="DM40" s="228">
        <v>34.68</v>
      </c>
      <c r="DN40" s="228">
        <v>36.520000000000003</v>
      </c>
      <c r="DO40" s="228">
        <v>-1.84</v>
      </c>
      <c r="DP40" s="228">
        <v>-1.84</v>
      </c>
      <c r="DQ40" s="228">
        <v>0.81</v>
      </c>
      <c r="DR40" s="228">
        <v>0.79</v>
      </c>
      <c r="DS40" s="228">
        <v>0.02</v>
      </c>
      <c r="DT40" s="229">
        <v>2.53E-2</v>
      </c>
      <c r="DU40" s="228">
        <v>700</v>
      </c>
      <c r="DV40" s="228">
        <v>600</v>
      </c>
      <c r="DW40" s="228">
        <v>0.56999999999999995</v>
      </c>
      <c r="DX40" s="228">
        <v>0.79</v>
      </c>
      <c r="DY40" s="228">
        <v>-0.22</v>
      </c>
      <c r="DZ40" s="229">
        <v>-0.27850000000000003</v>
      </c>
      <c r="EA40" s="229">
        <v>5.0099999999999999E-2</v>
      </c>
      <c r="EB40" s="230">
        <v>360000</v>
      </c>
      <c r="EC40" s="229">
        <v>6.6E-3</v>
      </c>
      <c r="ED40" s="229">
        <v>5.0099999999999999E-2</v>
      </c>
      <c r="EE40" s="228">
        <v>5.19</v>
      </c>
      <c r="EF40" s="229">
        <v>8.0000000000000002E-3</v>
      </c>
      <c r="EG40" s="230">
        <v>3343488</v>
      </c>
      <c r="EH40" s="230">
        <v>2152956</v>
      </c>
      <c r="EI40" s="229">
        <v>0.55300000000000005</v>
      </c>
      <c r="EJ40" s="229">
        <v>0.67830000000000001</v>
      </c>
      <c r="EK40" s="228">
        <v>209.14</v>
      </c>
      <c r="EL40" s="228">
        <v>113.15</v>
      </c>
      <c r="EM40" s="228">
        <v>193.71</v>
      </c>
      <c r="EN40" s="228">
        <v>33.340000000000003</v>
      </c>
      <c r="EO40" s="228">
        <v>516.01</v>
      </c>
      <c r="EP40" s="228">
        <v>569.58000000000004</v>
      </c>
      <c r="EQ40" s="228">
        <v>-53.57</v>
      </c>
      <c r="ER40" s="229">
        <v>-9.4E-2</v>
      </c>
      <c r="ES40" s="228">
        <v>204.03</v>
      </c>
      <c r="ET40" s="228">
        <v>156.05000000000001</v>
      </c>
      <c r="EU40" s="228">
        <v>489.72</v>
      </c>
      <c r="EV40" s="231">
        <v>37122288</v>
      </c>
      <c r="EW40" s="228">
        <v>849.8</v>
      </c>
      <c r="EX40" s="228">
        <v>823.57</v>
      </c>
      <c r="EY40" s="228">
        <v>26.23</v>
      </c>
      <c r="EZ40" s="229">
        <v>3.1800000000000002E-2</v>
      </c>
      <c r="FA40" s="229">
        <v>0.34100000000000003</v>
      </c>
      <c r="FB40" s="227" t="s">
        <v>555</v>
      </c>
      <c r="FC40">
        <f t="shared" si="0"/>
        <v>25</v>
      </c>
    </row>
    <row r="41" spans="1:159" ht="17.25" hidden="1" thickBot="1" x14ac:dyDescent="0.3">
      <c r="A41" s="226">
        <v>46086</v>
      </c>
      <c r="B41" s="227" t="s">
        <v>172</v>
      </c>
      <c r="C41" s="227" t="s">
        <v>196</v>
      </c>
      <c r="D41" s="228">
        <v>6750</v>
      </c>
      <c r="E41" s="228">
        <v>25</v>
      </c>
      <c r="F41" s="228">
        <v>149.19</v>
      </c>
      <c r="G41" s="228">
        <v>147.57</v>
      </c>
      <c r="H41" s="228">
        <v>1.62</v>
      </c>
      <c r="I41" s="229">
        <v>1.0999999999999999E-2</v>
      </c>
      <c r="J41" s="228">
        <v>148.51</v>
      </c>
      <c r="K41" s="228">
        <v>146.93</v>
      </c>
      <c r="L41" s="228">
        <v>1.58</v>
      </c>
      <c r="M41" s="229">
        <v>1.0800000000000001E-2</v>
      </c>
      <c r="N41" s="228">
        <v>149.19</v>
      </c>
      <c r="O41" s="228">
        <v>147.57</v>
      </c>
      <c r="P41" s="228">
        <v>1.62</v>
      </c>
      <c r="Q41" s="229">
        <v>1.0999999999999999E-2</v>
      </c>
      <c r="R41" s="228">
        <v>150.13999999999999</v>
      </c>
      <c r="S41" s="228">
        <v>148.41999999999999</v>
      </c>
      <c r="T41" s="228">
        <v>1.72</v>
      </c>
      <c r="U41" s="229">
        <v>1.1599999999999999E-2</v>
      </c>
      <c r="V41" s="228">
        <v>150.65</v>
      </c>
      <c r="W41" s="228">
        <v>149.09</v>
      </c>
      <c r="X41" s="228">
        <v>1.56</v>
      </c>
      <c r="Y41" s="229">
        <v>1.0500000000000001E-2</v>
      </c>
      <c r="Z41" s="228">
        <v>0.68</v>
      </c>
      <c r="AA41" s="228">
        <v>0.64</v>
      </c>
      <c r="AB41" s="228">
        <v>0.04</v>
      </c>
      <c r="AC41" s="229">
        <v>4.5999999999999999E-3</v>
      </c>
      <c r="AD41" s="228">
        <v>0.68</v>
      </c>
      <c r="AE41" s="228">
        <v>0.64</v>
      </c>
      <c r="AF41" s="228">
        <v>0.04</v>
      </c>
      <c r="AG41" s="229">
        <v>4.5999999999999999E-3</v>
      </c>
      <c r="AH41" s="228">
        <v>1.63</v>
      </c>
      <c r="AI41" s="228">
        <v>1.49</v>
      </c>
      <c r="AJ41" s="228">
        <v>0.14000000000000001</v>
      </c>
      <c r="AK41" s="229">
        <v>1.0999999999999999E-2</v>
      </c>
      <c r="AL41" s="228">
        <v>2.14</v>
      </c>
      <c r="AM41" s="228">
        <v>2.16</v>
      </c>
      <c r="AN41" s="228">
        <v>-0.02</v>
      </c>
      <c r="AO41" s="229">
        <v>1.44E-2</v>
      </c>
      <c r="AP41" s="228">
        <v>148.30000000000001</v>
      </c>
      <c r="AQ41" s="228">
        <v>149.5</v>
      </c>
      <c r="AR41" s="228">
        <v>0</v>
      </c>
      <c r="AS41" s="228">
        <v>973</v>
      </c>
      <c r="AT41" s="230">
        <v>1127</v>
      </c>
      <c r="AU41" s="228">
        <v>-154</v>
      </c>
      <c r="AV41" s="229">
        <v>-0.13700000000000001</v>
      </c>
      <c r="AW41" s="228">
        <v>887</v>
      </c>
      <c r="AX41" s="230">
        <v>1027</v>
      </c>
      <c r="AY41" s="228">
        <v>-141</v>
      </c>
      <c r="AZ41" s="229">
        <v>-0.13700000000000001</v>
      </c>
      <c r="BA41" s="228">
        <v>70</v>
      </c>
      <c r="BB41" s="228">
        <v>77</v>
      </c>
      <c r="BC41" s="228">
        <v>-7</v>
      </c>
      <c r="BD41" s="229">
        <v>-9.0800000000000006E-2</v>
      </c>
      <c r="BE41" s="228">
        <v>16</v>
      </c>
      <c r="BF41" s="228">
        <v>23</v>
      </c>
      <c r="BG41" s="228">
        <v>-7</v>
      </c>
      <c r="BH41" s="229">
        <v>-0.28820000000000001</v>
      </c>
      <c r="BI41" s="230">
        <v>1577</v>
      </c>
      <c r="BJ41" s="230">
        <v>1593</v>
      </c>
      <c r="BK41" s="228">
        <v>-16</v>
      </c>
      <c r="BL41" s="229">
        <v>-0.01</v>
      </c>
      <c r="BM41" s="228">
        <v>960</v>
      </c>
      <c r="BN41" s="230">
        <v>1347</v>
      </c>
      <c r="BO41" s="228">
        <v>-386</v>
      </c>
      <c r="BP41" s="229">
        <v>-0.28689999999999999</v>
      </c>
      <c r="BQ41" s="230">
        <v>3510</v>
      </c>
      <c r="BR41" s="230">
        <v>4067</v>
      </c>
      <c r="BS41" s="228">
        <v>-557</v>
      </c>
      <c r="BT41" s="229">
        <v>-0.13689999999999999</v>
      </c>
      <c r="BU41" s="230">
        <v>25057925</v>
      </c>
      <c r="BV41" s="230">
        <v>37146334</v>
      </c>
      <c r="BW41" s="230">
        <v>-12088409</v>
      </c>
      <c r="BX41" s="229">
        <v>-0.32540000000000002</v>
      </c>
      <c r="BY41" s="230">
        <v>2455</v>
      </c>
      <c r="BZ41" s="230">
        <v>2411</v>
      </c>
      <c r="CA41" s="228">
        <v>44</v>
      </c>
      <c r="CB41" s="229">
        <v>1.83E-2</v>
      </c>
      <c r="CC41" s="230">
        <v>2326</v>
      </c>
      <c r="CD41" s="230">
        <v>2299</v>
      </c>
      <c r="CE41" s="228">
        <v>27</v>
      </c>
      <c r="CF41" s="229">
        <v>1.17E-2</v>
      </c>
      <c r="CG41" s="228">
        <v>110</v>
      </c>
      <c r="CH41" s="228">
        <v>93</v>
      </c>
      <c r="CI41" s="228">
        <v>16</v>
      </c>
      <c r="CJ41" s="229">
        <v>0.17349999999999999</v>
      </c>
      <c r="CK41" s="228">
        <v>19</v>
      </c>
      <c r="CL41" s="228">
        <v>18</v>
      </c>
      <c r="CM41" s="228">
        <v>1</v>
      </c>
      <c r="CN41" s="229">
        <v>5.5599999999999997E-2</v>
      </c>
      <c r="CO41" s="230">
        <v>1380</v>
      </c>
      <c r="CP41" s="230">
        <v>1205</v>
      </c>
      <c r="CQ41" s="228">
        <v>174</v>
      </c>
      <c r="CR41" s="229">
        <v>0.1444</v>
      </c>
      <c r="CS41" s="230">
        <v>1052</v>
      </c>
      <c r="CT41" s="228">
        <v>953</v>
      </c>
      <c r="CU41" s="228">
        <v>99</v>
      </c>
      <c r="CV41" s="229">
        <v>0.10340000000000001</v>
      </c>
      <c r="CW41" s="230">
        <v>4886</v>
      </c>
      <c r="CX41" s="230">
        <v>4569</v>
      </c>
      <c r="CY41" s="228">
        <v>317</v>
      </c>
      <c r="CZ41" s="229">
        <v>6.93E-2</v>
      </c>
      <c r="DA41" s="228">
        <v>30.86</v>
      </c>
      <c r="DB41" s="228">
        <v>34.81</v>
      </c>
      <c r="DC41" s="228">
        <v>-3.95</v>
      </c>
      <c r="DD41" s="228">
        <v>-3.95</v>
      </c>
      <c r="DE41" s="228">
        <v>35.94</v>
      </c>
      <c r="DF41" s="228">
        <v>36</v>
      </c>
      <c r="DG41" s="228">
        <v>-5.08</v>
      </c>
      <c r="DH41" s="228">
        <v>-0.06</v>
      </c>
      <c r="DI41" s="228">
        <v>30.45</v>
      </c>
      <c r="DJ41" s="228">
        <v>34.42</v>
      </c>
      <c r="DK41" s="228">
        <v>-3.97</v>
      </c>
      <c r="DL41" s="228">
        <v>-3.97</v>
      </c>
      <c r="DM41" s="228">
        <v>31.54</v>
      </c>
      <c r="DN41" s="228">
        <v>35.270000000000003</v>
      </c>
      <c r="DO41" s="228">
        <v>-3.73</v>
      </c>
      <c r="DP41" s="228">
        <v>-3.73</v>
      </c>
      <c r="DQ41" s="228">
        <v>0.76</v>
      </c>
      <c r="DR41" s="228">
        <v>0.79</v>
      </c>
      <c r="DS41" s="228">
        <v>-0.03</v>
      </c>
      <c r="DT41" s="229">
        <v>-3.7999999999999999E-2</v>
      </c>
      <c r="DU41" s="228">
        <v>160</v>
      </c>
      <c r="DV41" s="228">
        <v>140</v>
      </c>
      <c r="DW41" s="228">
        <v>0.61</v>
      </c>
      <c r="DX41" s="228">
        <v>0.85</v>
      </c>
      <c r="DY41" s="228">
        <v>-0.24</v>
      </c>
      <c r="DZ41" s="229">
        <v>-0.28239999999999998</v>
      </c>
      <c r="EA41" s="229">
        <v>5.2499999999999998E-2</v>
      </c>
      <c r="EB41" s="230">
        <v>7479000</v>
      </c>
      <c r="EC41" s="229">
        <v>6.4000000000000003E-3</v>
      </c>
      <c r="ED41" s="229">
        <v>5.2499999999999998E-2</v>
      </c>
      <c r="EE41" s="228">
        <v>1.2</v>
      </c>
      <c r="EF41" s="229">
        <v>8.0999999999999996E-3</v>
      </c>
      <c r="EG41" s="230">
        <v>11583210</v>
      </c>
      <c r="EH41" s="230">
        <v>19125070</v>
      </c>
      <c r="EI41" s="229">
        <v>-0.39429999999999998</v>
      </c>
      <c r="EJ41" s="229">
        <v>0.46229999999999999</v>
      </c>
      <c r="EK41" s="231">
        <v>1669.02</v>
      </c>
      <c r="EL41" s="228">
        <v>964.38</v>
      </c>
      <c r="EM41" s="228">
        <v>967.52</v>
      </c>
      <c r="EN41" s="228">
        <v>95.86</v>
      </c>
      <c r="EO41" s="231">
        <v>3600.92</v>
      </c>
      <c r="EP41" s="231">
        <v>4174.87</v>
      </c>
      <c r="EQ41" s="228">
        <v>-573.95000000000005</v>
      </c>
      <c r="ER41" s="229">
        <v>-0.13750000000000001</v>
      </c>
      <c r="ES41" s="231">
        <v>1461.13</v>
      </c>
      <c r="ET41" s="231">
        <v>1048.52</v>
      </c>
      <c r="EU41" s="231">
        <v>2455.63</v>
      </c>
      <c r="EV41" s="231">
        <v>504315430</v>
      </c>
      <c r="EW41" s="231">
        <v>4965.28</v>
      </c>
      <c r="EX41" s="231">
        <v>4630.84</v>
      </c>
      <c r="EY41" s="228">
        <v>334.44</v>
      </c>
      <c r="EZ41" s="229">
        <v>7.22E-2</v>
      </c>
      <c r="FA41" s="229">
        <v>0.64939999999999998</v>
      </c>
      <c r="FB41" s="227" t="s">
        <v>555</v>
      </c>
      <c r="FC41">
        <f t="shared" si="0"/>
        <v>129</v>
      </c>
    </row>
    <row r="42" spans="1:159" ht="17.25" hidden="1" thickBot="1" x14ac:dyDescent="0.3">
      <c r="A42" s="226">
        <v>46086</v>
      </c>
      <c r="B42" s="227" t="s">
        <v>175</v>
      </c>
      <c r="C42" s="227" t="s">
        <v>597</v>
      </c>
      <c r="D42" s="228">
        <v>475</v>
      </c>
      <c r="E42" s="228">
        <v>25</v>
      </c>
      <c r="F42" s="231">
        <v>1242.2</v>
      </c>
      <c r="G42" s="231">
        <v>1211.5999999999999</v>
      </c>
      <c r="H42" s="228">
        <v>30.6</v>
      </c>
      <c r="I42" s="229">
        <v>2.53E-2</v>
      </c>
      <c r="J42" s="231">
        <v>1239.5999999999999</v>
      </c>
      <c r="K42" s="231">
        <v>1209.4000000000001</v>
      </c>
      <c r="L42" s="228">
        <v>30.2</v>
      </c>
      <c r="M42" s="229">
        <v>2.5000000000000001E-2</v>
      </c>
      <c r="N42" s="231">
        <v>1242.2</v>
      </c>
      <c r="O42" s="231">
        <v>1211.5999999999999</v>
      </c>
      <c r="P42" s="228">
        <v>30.6</v>
      </c>
      <c r="Q42" s="229">
        <v>2.53E-2</v>
      </c>
      <c r="R42" s="231">
        <v>1242.0999999999999</v>
      </c>
      <c r="S42" s="231">
        <v>1210.9000000000001</v>
      </c>
      <c r="T42" s="228">
        <v>31.2</v>
      </c>
      <c r="U42" s="229">
        <v>2.58E-2</v>
      </c>
      <c r="V42" s="231">
        <v>1243.5</v>
      </c>
      <c r="W42" s="231">
        <v>1212.8</v>
      </c>
      <c r="X42" s="228">
        <v>30.7</v>
      </c>
      <c r="Y42" s="229">
        <v>2.53E-2</v>
      </c>
      <c r="Z42" s="228">
        <v>2.6</v>
      </c>
      <c r="AA42" s="228">
        <v>2.2000000000000002</v>
      </c>
      <c r="AB42" s="228">
        <v>0.4</v>
      </c>
      <c r="AC42" s="229">
        <v>2.0999999999999999E-3</v>
      </c>
      <c r="AD42" s="228">
        <v>2.6</v>
      </c>
      <c r="AE42" s="228">
        <v>2.2000000000000002</v>
      </c>
      <c r="AF42" s="228">
        <v>0.4</v>
      </c>
      <c r="AG42" s="229">
        <v>2.0999999999999999E-3</v>
      </c>
      <c r="AH42" s="228">
        <v>2.5</v>
      </c>
      <c r="AI42" s="228">
        <v>1.5</v>
      </c>
      <c r="AJ42" s="228">
        <v>1</v>
      </c>
      <c r="AK42" s="229">
        <v>2E-3</v>
      </c>
      <c r="AL42" s="228">
        <v>3.9</v>
      </c>
      <c r="AM42" s="228">
        <v>3.4</v>
      </c>
      <c r="AN42" s="228">
        <v>0.5</v>
      </c>
      <c r="AO42" s="229">
        <v>3.0999999999999999E-3</v>
      </c>
      <c r="AP42" s="231">
        <v>1228.43</v>
      </c>
      <c r="AQ42" s="231">
        <v>1228.3900000000001</v>
      </c>
      <c r="AR42" s="228">
        <v>0</v>
      </c>
      <c r="AS42" s="228">
        <v>236</v>
      </c>
      <c r="AT42" s="228">
        <v>315</v>
      </c>
      <c r="AU42" s="228">
        <v>-80</v>
      </c>
      <c r="AV42" s="229">
        <v>-0.25340000000000001</v>
      </c>
      <c r="AW42" s="228">
        <v>205</v>
      </c>
      <c r="AX42" s="228">
        <v>288</v>
      </c>
      <c r="AY42" s="228">
        <v>-83</v>
      </c>
      <c r="AZ42" s="229">
        <v>-0.28910000000000002</v>
      </c>
      <c r="BA42" s="228">
        <v>25</v>
      </c>
      <c r="BB42" s="228">
        <v>23</v>
      </c>
      <c r="BC42" s="228">
        <v>2</v>
      </c>
      <c r="BD42" s="229">
        <v>9.3899999999999997E-2</v>
      </c>
      <c r="BE42" s="228">
        <v>5</v>
      </c>
      <c r="BF42" s="228">
        <v>4</v>
      </c>
      <c r="BG42" s="228">
        <v>1</v>
      </c>
      <c r="BH42" s="229">
        <v>0.28989999999999999</v>
      </c>
      <c r="BI42" s="228">
        <v>688</v>
      </c>
      <c r="BJ42" s="228">
        <v>880</v>
      </c>
      <c r="BK42" s="228">
        <v>-193</v>
      </c>
      <c r="BL42" s="229">
        <v>-0.21879999999999999</v>
      </c>
      <c r="BM42" s="228">
        <v>279</v>
      </c>
      <c r="BN42" s="228">
        <v>497</v>
      </c>
      <c r="BO42" s="228">
        <v>-218</v>
      </c>
      <c r="BP42" s="229">
        <v>-0.43890000000000001</v>
      </c>
      <c r="BQ42" s="230">
        <v>1202</v>
      </c>
      <c r="BR42" s="230">
        <v>1693</v>
      </c>
      <c r="BS42" s="228">
        <v>-491</v>
      </c>
      <c r="BT42" s="229">
        <v>-0.28989999999999999</v>
      </c>
      <c r="BU42" s="230">
        <v>1533461</v>
      </c>
      <c r="BV42" s="230">
        <v>2561793</v>
      </c>
      <c r="BW42" s="230">
        <v>-1028332</v>
      </c>
      <c r="BX42" s="229">
        <v>-0.40139999999999998</v>
      </c>
      <c r="BY42" s="230">
        <v>1413</v>
      </c>
      <c r="BZ42" s="230">
        <v>1410</v>
      </c>
      <c r="CA42" s="228">
        <v>3</v>
      </c>
      <c r="CB42" s="229">
        <v>2E-3</v>
      </c>
      <c r="CC42" s="230">
        <v>1275</v>
      </c>
      <c r="CD42" s="230">
        <v>1279</v>
      </c>
      <c r="CE42" s="228">
        <v>-4</v>
      </c>
      <c r="CF42" s="229">
        <v>-3.0000000000000001E-3</v>
      </c>
      <c r="CG42" s="228">
        <v>122</v>
      </c>
      <c r="CH42" s="228">
        <v>118</v>
      </c>
      <c r="CI42" s="228">
        <v>4</v>
      </c>
      <c r="CJ42" s="229">
        <v>3.7499999999999999E-2</v>
      </c>
      <c r="CK42" s="228">
        <v>16</v>
      </c>
      <c r="CL42" s="228">
        <v>14</v>
      </c>
      <c r="CM42" s="228">
        <v>2</v>
      </c>
      <c r="CN42" s="229">
        <v>0.16239999999999999</v>
      </c>
      <c r="CO42" s="228">
        <v>793</v>
      </c>
      <c r="CP42" s="228">
        <v>780</v>
      </c>
      <c r="CQ42" s="228">
        <v>13</v>
      </c>
      <c r="CR42" s="229">
        <v>1.6799999999999999E-2</v>
      </c>
      <c r="CS42" s="228">
        <v>607</v>
      </c>
      <c r="CT42" s="228">
        <v>613</v>
      </c>
      <c r="CU42" s="228">
        <v>-5</v>
      </c>
      <c r="CV42" s="229">
        <v>-8.6999999999999994E-3</v>
      </c>
      <c r="CW42" s="230">
        <v>2813</v>
      </c>
      <c r="CX42" s="230">
        <v>2803</v>
      </c>
      <c r="CY42" s="228">
        <v>11</v>
      </c>
      <c r="CZ42" s="229">
        <v>3.8E-3</v>
      </c>
      <c r="DA42" s="228">
        <v>33.76</v>
      </c>
      <c r="DB42" s="228">
        <v>37.01</v>
      </c>
      <c r="DC42" s="228">
        <v>-3.25</v>
      </c>
      <c r="DD42" s="228">
        <v>-3.25</v>
      </c>
      <c r="DE42" s="228">
        <v>45.02</v>
      </c>
      <c r="DF42" s="228">
        <v>45</v>
      </c>
      <c r="DG42" s="228">
        <v>-11.26</v>
      </c>
      <c r="DH42" s="228">
        <v>0.02</v>
      </c>
      <c r="DI42" s="228">
        <v>33.19</v>
      </c>
      <c r="DJ42" s="228">
        <v>36.46</v>
      </c>
      <c r="DK42" s="228">
        <v>-3.27</v>
      </c>
      <c r="DL42" s="228">
        <v>-3.27</v>
      </c>
      <c r="DM42" s="228">
        <v>35.14</v>
      </c>
      <c r="DN42" s="228">
        <v>37.979999999999997</v>
      </c>
      <c r="DO42" s="228">
        <v>-2.84</v>
      </c>
      <c r="DP42" s="228">
        <v>-2.84</v>
      </c>
      <c r="DQ42" s="228">
        <v>0.77</v>
      </c>
      <c r="DR42" s="228">
        <v>0.79</v>
      </c>
      <c r="DS42" s="228">
        <v>-0.02</v>
      </c>
      <c r="DT42" s="229">
        <v>-2.53E-2</v>
      </c>
      <c r="DU42" s="231">
        <v>1400</v>
      </c>
      <c r="DV42" s="231">
        <v>1300</v>
      </c>
      <c r="DW42" s="228">
        <v>0.41</v>
      </c>
      <c r="DX42" s="228">
        <v>0.56000000000000005</v>
      </c>
      <c r="DY42" s="228">
        <v>-0.15</v>
      </c>
      <c r="DZ42" s="229">
        <v>-0.26790000000000003</v>
      </c>
      <c r="EA42" s="229">
        <v>9.8000000000000004E-2</v>
      </c>
      <c r="EB42" s="230">
        <v>1061625</v>
      </c>
      <c r="EC42" s="229">
        <v>-1E-4</v>
      </c>
      <c r="ED42" s="229">
        <v>9.8000000000000004E-2</v>
      </c>
      <c r="EE42" s="228">
        <v>-0.04</v>
      </c>
      <c r="EF42" s="229">
        <v>0</v>
      </c>
      <c r="EG42" s="230">
        <v>449252</v>
      </c>
      <c r="EH42" s="230">
        <v>921774</v>
      </c>
      <c r="EI42" s="229">
        <v>-0.51259999999999994</v>
      </c>
      <c r="EJ42" s="229">
        <v>0.29299999999999998</v>
      </c>
      <c r="EK42" s="228">
        <v>729.86</v>
      </c>
      <c r="EL42" s="228">
        <v>273.85000000000002</v>
      </c>
      <c r="EM42" s="228">
        <v>232.94</v>
      </c>
      <c r="EN42" s="228">
        <v>76.28</v>
      </c>
      <c r="EO42" s="231">
        <v>1236.6500000000001</v>
      </c>
      <c r="EP42" s="231">
        <v>1726.01</v>
      </c>
      <c r="EQ42" s="228">
        <v>-489.36</v>
      </c>
      <c r="ER42" s="229">
        <v>-0.28349999999999997</v>
      </c>
      <c r="ES42" s="228">
        <v>870.2</v>
      </c>
      <c r="ET42" s="228">
        <v>635.89</v>
      </c>
      <c r="EU42" s="231">
        <v>1413.28</v>
      </c>
      <c r="EV42" s="231">
        <v>26647500</v>
      </c>
      <c r="EW42" s="231">
        <v>2919.38</v>
      </c>
      <c r="EX42" s="231">
        <v>2872.32</v>
      </c>
      <c r="EY42" s="228">
        <v>47.06</v>
      </c>
      <c r="EZ42" s="229">
        <v>1.6400000000000001E-2</v>
      </c>
      <c r="FA42" s="229">
        <v>0.84989999999999999</v>
      </c>
      <c r="FB42" s="227" t="s">
        <v>555</v>
      </c>
      <c r="FC42">
        <f t="shared" si="0"/>
        <v>138</v>
      </c>
    </row>
    <row r="43" spans="1:159" ht="17.25" hidden="1" thickBot="1" x14ac:dyDescent="0.3">
      <c r="A43" s="226">
        <v>46086</v>
      </c>
      <c r="B43" s="227" t="s">
        <v>161</v>
      </c>
      <c r="C43" s="227" t="s">
        <v>612</v>
      </c>
      <c r="D43" s="228">
        <v>850</v>
      </c>
      <c r="E43" s="228">
        <v>25</v>
      </c>
      <c r="F43" s="228">
        <v>702.5</v>
      </c>
      <c r="G43" s="228">
        <v>686.1</v>
      </c>
      <c r="H43" s="228">
        <v>16.399999999999999</v>
      </c>
      <c r="I43" s="229">
        <v>2.3900000000000001E-2</v>
      </c>
      <c r="J43" s="228">
        <v>701.1</v>
      </c>
      <c r="K43" s="228">
        <v>684.9</v>
      </c>
      <c r="L43" s="228">
        <v>16.2</v>
      </c>
      <c r="M43" s="229">
        <v>2.3699999999999999E-2</v>
      </c>
      <c r="N43" s="228">
        <v>702.5</v>
      </c>
      <c r="O43" s="228">
        <v>686.1</v>
      </c>
      <c r="P43" s="228">
        <v>16.399999999999999</v>
      </c>
      <c r="Q43" s="229">
        <v>2.3900000000000001E-2</v>
      </c>
      <c r="R43" s="228">
        <v>706.45</v>
      </c>
      <c r="S43" s="228">
        <v>690</v>
      </c>
      <c r="T43" s="228">
        <v>16.45</v>
      </c>
      <c r="U43" s="229">
        <v>2.3800000000000002E-2</v>
      </c>
      <c r="V43" s="228">
        <v>713.5</v>
      </c>
      <c r="W43" s="228">
        <v>693</v>
      </c>
      <c r="X43" s="228">
        <v>20.5</v>
      </c>
      <c r="Y43" s="229">
        <v>2.9600000000000001E-2</v>
      </c>
      <c r="Z43" s="228">
        <v>1.4</v>
      </c>
      <c r="AA43" s="228">
        <v>1.2</v>
      </c>
      <c r="AB43" s="228">
        <v>0.2</v>
      </c>
      <c r="AC43" s="229">
        <v>2E-3</v>
      </c>
      <c r="AD43" s="228">
        <v>1.4</v>
      </c>
      <c r="AE43" s="228">
        <v>1.2</v>
      </c>
      <c r="AF43" s="228">
        <v>0.2</v>
      </c>
      <c r="AG43" s="229">
        <v>2E-3</v>
      </c>
      <c r="AH43" s="228">
        <v>5.35</v>
      </c>
      <c r="AI43" s="228">
        <v>5.0999999999999996</v>
      </c>
      <c r="AJ43" s="228">
        <v>0.25</v>
      </c>
      <c r="AK43" s="229">
        <v>7.6E-3</v>
      </c>
      <c r="AL43" s="228">
        <v>12.4</v>
      </c>
      <c r="AM43" s="228">
        <v>8.1</v>
      </c>
      <c r="AN43" s="228">
        <v>4.3</v>
      </c>
      <c r="AO43" s="229">
        <v>1.77E-2</v>
      </c>
      <c r="AP43" s="228">
        <v>695.42</v>
      </c>
      <c r="AQ43" s="228">
        <v>697.56</v>
      </c>
      <c r="AR43" s="228">
        <v>0</v>
      </c>
      <c r="AS43" s="228">
        <v>108</v>
      </c>
      <c r="AT43" s="228">
        <v>272</v>
      </c>
      <c r="AU43" s="228">
        <v>-164</v>
      </c>
      <c r="AV43" s="229">
        <v>-0.60319999999999996</v>
      </c>
      <c r="AW43" s="228">
        <v>102</v>
      </c>
      <c r="AX43" s="228">
        <v>263</v>
      </c>
      <c r="AY43" s="228">
        <v>-161</v>
      </c>
      <c r="AZ43" s="229">
        <v>-0.61170000000000002</v>
      </c>
      <c r="BA43" s="228">
        <v>5</v>
      </c>
      <c r="BB43" s="228">
        <v>8</v>
      </c>
      <c r="BC43" s="228">
        <v>-3</v>
      </c>
      <c r="BD43" s="229">
        <v>-0.38519999999999999</v>
      </c>
      <c r="BE43" s="228">
        <v>1</v>
      </c>
      <c r="BF43" s="228">
        <v>0</v>
      </c>
      <c r="BG43" s="228">
        <v>0</v>
      </c>
      <c r="BH43" s="229">
        <v>0.375</v>
      </c>
      <c r="BI43" s="228">
        <v>231</v>
      </c>
      <c r="BJ43" s="228">
        <v>388</v>
      </c>
      <c r="BK43" s="228">
        <v>-157</v>
      </c>
      <c r="BL43" s="229">
        <v>-0.40500000000000003</v>
      </c>
      <c r="BM43" s="228">
        <v>103</v>
      </c>
      <c r="BN43" s="228">
        <v>268</v>
      </c>
      <c r="BO43" s="228">
        <v>-165</v>
      </c>
      <c r="BP43" s="229">
        <v>-0.61509999999999998</v>
      </c>
      <c r="BQ43" s="228">
        <v>442</v>
      </c>
      <c r="BR43" s="228">
        <v>928</v>
      </c>
      <c r="BS43" s="228">
        <v>-486</v>
      </c>
      <c r="BT43" s="229">
        <v>-0.52380000000000004</v>
      </c>
      <c r="BU43" s="230">
        <v>1439098</v>
      </c>
      <c r="BV43" s="230">
        <v>4291057</v>
      </c>
      <c r="BW43" s="230">
        <v>-2851959</v>
      </c>
      <c r="BX43" s="229">
        <v>-0.66459999999999997</v>
      </c>
      <c r="BY43" s="230">
        <v>1048</v>
      </c>
      <c r="BZ43" s="230">
        <v>1062</v>
      </c>
      <c r="CA43" s="228">
        <v>-14</v>
      </c>
      <c r="CB43" s="229">
        <v>-1.3599999999999999E-2</v>
      </c>
      <c r="CC43" s="230">
        <v>1035</v>
      </c>
      <c r="CD43" s="230">
        <v>1050</v>
      </c>
      <c r="CE43" s="228">
        <v>-15</v>
      </c>
      <c r="CF43" s="229">
        <v>-1.43E-2</v>
      </c>
      <c r="CG43" s="228">
        <v>11</v>
      </c>
      <c r="CH43" s="228">
        <v>11</v>
      </c>
      <c r="CI43" s="228">
        <v>0</v>
      </c>
      <c r="CJ43" s="229">
        <v>2.7E-2</v>
      </c>
      <c r="CK43" s="228">
        <v>1</v>
      </c>
      <c r="CL43" s="228">
        <v>1</v>
      </c>
      <c r="CM43" s="228">
        <v>0</v>
      </c>
      <c r="CN43" s="229">
        <v>0.30769999999999997</v>
      </c>
      <c r="CO43" s="228">
        <v>241</v>
      </c>
      <c r="CP43" s="228">
        <v>248</v>
      </c>
      <c r="CQ43" s="228">
        <v>-7</v>
      </c>
      <c r="CR43" s="229">
        <v>-2.7E-2</v>
      </c>
      <c r="CS43" s="228">
        <v>149</v>
      </c>
      <c r="CT43" s="228">
        <v>151</v>
      </c>
      <c r="CU43" s="228">
        <v>-2</v>
      </c>
      <c r="CV43" s="229">
        <v>-1.23E-2</v>
      </c>
      <c r="CW43" s="230">
        <v>1438</v>
      </c>
      <c r="CX43" s="230">
        <v>1461</v>
      </c>
      <c r="CY43" s="228">
        <v>-23</v>
      </c>
      <c r="CZ43" s="229">
        <v>-1.5699999999999999E-2</v>
      </c>
      <c r="DA43" s="228">
        <v>33.29</v>
      </c>
      <c r="DB43" s="228">
        <v>36.22</v>
      </c>
      <c r="DC43" s="228">
        <v>-2.93</v>
      </c>
      <c r="DD43" s="228">
        <v>-2.93</v>
      </c>
      <c r="DE43" s="228">
        <v>41.63</v>
      </c>
      <c r="DF43" s="228">
        <v>41.61</v>
      </c>
      <c r="DG43" s="228">
        <v>-8.34</v>
      </c>
      <c r="DH43" s="228">
        <v>0.02</v>
      </c>
      <c r="DI43" s="228">
        <v>32.68</v>
      </c>
      <c r="DJ43" s="228">
        <v>35.380000000000003</v>
      </c>
      <c r="DK43" s="228">
        <v>-2.7</v>
      </c>
      <c r="DL43" s="228">
        <v>-2.7</v>
      </c>
      <c r="DM43" s="228">
        <v>34.659999999999997</v>
      </c>
      <c r="DN43" s="228">
        <v>37.43</v>
      </c>
      <c r="DO43" s="228">
        <v>-2.77</v>
      </c>
      <c r="DP43" s="228">
        <v>-2.77</v>
      </c>
      <c r="DQ43" s="228">
        <v>0.62</v>
      </c>
      <c r="DR43" s="228">
        <v>0.61</v>
      </c>
      <c r="DS43" s="228">
        <v>0.01</v>
      </c>
      <c r="DT43" s="229">
        <v>1.6400000000000001E-2</v>
      </c>
      <c r="DU43" s="228">
        <v>720</v>
      </c>
      <c r="DV43" s="228">
        <v>700</v>
      </c>
      <c r="DW43" s="228">
        <v>0.45</v>
      </c>
      <c r="DX43" s="228">
        <v>0.69</v>
      </c>
      <c r="DY43" s="228">
        <v>-0.24</v>
      </c>
      <c r="DZ43" s="229">
        <v>-0.3478</v>
      </c>
      <c r="EA43" s="229">
        <v>1.18E-2</v>
      </c>
      <c r="EB43" s="230">
        <v>168300</v>
      </c>
      <c r="EC43" s="229">
        <v>5.5999999999999999E-3</v>
      </c>
      <c r="ED43" s="229">
        <v>1.18E-2</v>
      </c>
      <c r="EE43" s="228">
        <v>2.14</v>
      </c>
      <c r="EF43" s="229">
        <v>3.0999999999999999E-3</v>
      </c>
      <c r="EG43" s="230">
        <v>568151</v>
      </c>
      <c r="EH43" s="230">
        <v>2143355</v>
      </c>
      <c r="EI43" s="229">
        <v>-0.7349</v>
      </c>
      <c r="EJ43" s="229">
        <v>0.39479999999999998</v>
      </c>
      <c r="EK43" s="228">
        <v>242.73</v>
      </c>
      <c r="EL43" s="228">
        <v>99.26</v>
      </c>
      <c r="EM43" s="228">
        <v>106.72</v>
      </c>
      <c r="EN43" s="228">
        <v>39.950000000000003</v>
      </c>
      <c r="EO43" s="228">
        <v>448.7</v>
      </c>
      <c r="EP43" s="228">
        <v>936.86</v>
      </c>
      <c r="EQ43" s="228">
        <v>-488.16</v>
      </c>
      <c r="ER43" s="229">
        <v>-0.52110000000000001</v>
      </c>
      <c r="ES43" s="228">
        <v>251.56</v>
      </c>
      <c r="ET43" s="228">
        <v>143.28</v>
      </c>
      <c r="EU43" s="231">
        <v>1047.6199999999999</v>
      </c>
      <c r="EV43" s="231">
        <v>103060454</v>
      </c>
      <c r="EW43" s="231">
        <v>1442.46</v>
      </c>
      <c r="EX43" s="231">
        <v>1439.7</v>
      </c>
      <c r="EY43" s="228">
        <v>2.76</v>
      </c>
      <c r="EZ43" s="229">
        <v>1.9E-3</v>
      </c>
      <c r="FA43" s="229">
        <v>0.1986</v>
      </c>
      <c r="FB43" s="227" t="s">
        <v>556</v>
      </c>
      <c r="FC43">
        <f t="shared" si="0"/>
        <v>13</v>
      </c>
    </row>
    <row r="44" spans="1:159" ht="17.25" hidden="1" thickBot="1" x14ac:dyDescent="0.3">
      <c r="A44" s="226">
        <v>46086</v>
      </c>
      <c r="B44" s="227" t="s">
        <v>175</v>
      </c>
      <c r="C44" s="227" t="s">
        <v>198</v>
      </c>
      <c r="D44" s="228">
        <v>625</v>
      </c>
      <c r="E44" s="228">
        <v>25</v>
      </c>
      <c r="F44" s="231">
        <v>1679.2</v>
      </c>
      <c r="G44" s="231">
        <v>1661.6</v>
      </c>
      <c r="H44" s="228">
        <v>17.600000000000001</v>
      </c>
      <c r="I44" s="229">
        <v>1.06E-2</v>
      </c>
      <c r="J44" s="231">
        <v>1669</v>
      </c>
      <c r="K44" s="231">
        <v>1653.6</v>
      </c>
      <c r="L44" s="228">
        <v>15.4</v>
      </c>
      <c r="M44" s="229">
        <v>9.2999999999999992E-3</v>
      </c>
      <c r="N44" s="231">
        <v>1679.2</v>
      </c>
      <c r="O44" s="231">
        <v>1661.6</v>
      </c>
      <c r="P44" s="228">
        <v>17.600000000000001</v>
      </c>
      <c r="Q44" s="229">
        <v>1.06E-2</v>
      </c>
      <c r="R44" s="231">
        <v>1687.4</v>
      </c>
      <c r="S44" s="231">
        <v>1670.9</v>
      </c>
      <c r="T44" s="228">
        <v>16.5</v>
      </c>
      <c r="U44" s="229">
        <v>9.9000000000000008E-3</v>
      </c>
      <c r="V44" s="231">
        <v>1686.7</v>
      </c>
      <c r="W44" s="231">
        <v>1668.6</v>
      </c>
      <c r="X44" s="228">
        <v>18.100000000000001</v>
      </c>
      <c r="Y44" s="229">
        <v>1.0800000000000001E-2</v>
      </c>
      <c r="Z44" s="228">
        <v>10.199999999999999</v>
      </c>
      <c r="AA44" s="228">
        <v>8</v>
      </c>
      <c r="AB44" s="228">
        <v>2.2000000000000002</v>
      </c>
      <c r="AC44" s="229">
        <v>6.1000000000000004E-3</v>
      </c>
      <c r="AD44" s="228">
        <v>10.199999999999999</v>
      </c>
      <c r="AE44" s="228">
        <v>8</v>
      </c>
      <c r="AF44" s="228">
        <v>2.2000000000000002</v>
      </c>
      <c r="AG44" s="229">
        <v>6.1000000000000004E-3</v>
      </c>
      <c r="AH44" s="228">
        <v>18.399999999999999</v>
      </c>
      <c r="AI44" s="228">
        <v>17.3</v>
      </c>
      <c r="AJ44" s="228">
        <v>1.1000000000000001</v>
      </c>
      <c r="AK44" s="229">
        <v>1.0999999999999999E-2</v>
      </c>
      <c r="AL44" s="228">
        <v>17.7</v>
      </c>
      <c r="AM44" s="228">
        <v>15</v>
      </c>
      <c r="AN44" s="228">
        <v>2.7</v>
      </c>
      <c r="AO44" s="229">
        <v>1.06E-2</v>
      </c>
      <c r="AP44" s="231">
        <v>1672.17</v>
      </c>
      <c r="AQ44" s="231">
        <v>1679.11</v>
      </c>
      <c r="AR44" s="228">
        <v>0</v>
      </c>
      <c r="AS44" s="228">
        <v>354</v>
      </c>
      <c r="AT44" s="228">
        <v>367</v>
      </c>
      <c r="AU44" s="228">
        <v>-13</v>
      </c>
      <c r="AV44" s="229">
        <v>-3.6299999999999999E-2</v>
      </c>
      <c r="AW44" s="228">
        <v>344</v>
      </c>
      <c r="AX44" s="228">
        <v>360</v>
      </c>
      <c r="AY44" s="228">
        <v>-16</v>
      </c>
      <c r="AZ44" s="229">
        <v>-4.58E-2</v>
      </c>
      <c r="BA44" s="228">
        <v>10</v>
      </c>
      <c r="BB44" s="228">
        <v>6</v>
      </c>
      <c r="BC44" s="228">
        <v>3</v>
      </c>
      <c r="BD44" s="229">
        <v>0.54100000000000004</v>
      </c>
      <c r="BE44" s="228">
        <v>1</v>
      </c>
      <c r="BF44" s="228">
        <v>1</v>
      </c>
      <c r="BG44" s="228">
        <v>0</v>
      </c>
      <c r="BH44" s="229">
        <v>-0.33329999999999999</v>
      </c>
      <c r="BI44" s="228">
        <v>522</v>
      </c>
      <c r="BJ44" s="228">
        <v>547</v>
      </c>
      <c r="BK44" s="228">
        <v>-24</v>
      </c>
      <c r="BL44" s="229">
        <v>-4.4699999999999997E-2</v>
      </c>
      <c r="BM44" s="228">
        <v>433</v>
      </c>
      <c r="BN44" s="228">
        <v>613</v>
      </c>
      <c r="BO44" s="228">
        <v>-180</v>
      </c>
      <c r="BP44" s="229">
        <v>-0.29370000000000002</v>
      </c>
      <c r="BQ44" s="230">
        <v>1309</v>
      </c>
      <c r="BR44" s="230">
        <v>1527</v>
      </c>
      <c r="BS44" s="228">
        <v>-218</v>
      </c>
      <c r="BT44" s="229">
        <v>-0.1426</v>
      </c>
      <c r="BU44" s="230">
        <v>2098706</v>
      </c>
      <c r="BV44" s="230">
        <v>1550590</v>
      </c>
      <c r="BW44" s="230">
        <v>548116</v>
      </c>
      <c r="BX44" s="229">
        <v>0.35349999999999998</v>
      </c>
      <c r="BY44" s="230">
        <v>2693</v>
      </c>
      <c r="BZ44" s="230">
        <v>2673</v>
      </c>
      <c r="CA44" s="228">
        <v>20</v>
      </c>
      <c r="CB44" s="229">
        <v>7.4000000000000003E-3</v>
      </c>
      <c r="CC44" s="230">
        <v>2676</v>
      </c>
      <c r="CD44" s="230">
        <v>2658</v>
      </c>
      <c r="CE44" s="228">
        <v>19</v>
      </c>
      <c r="CF44" s="229">
        <v>7.0000000000000001E-3</v>
      </c>
      <c r="CG44" s="228">
        <v>15</v>
      </c>
      <c r="CH44" s="228">
        <v>13</v>
      </c>
      <c r="CI44" s="228">
        <v>1</v>
      </c>
      <c r="CJ44" s="229">
        <v>0.1032</v>
      </c>
      <c r="CK44" s="228">
        <v>2</v>
      </c>
      <c r="CL44" s="228">
        <v>2</v>
      </c>
      <c r="CM44" s="228">
        <v>0</v>
      </c>
      <c r="CN44" s="229">
        <v>-9.0899999999999995E-2</v>
      </c>
      <c r="CO44" s="228">
        <v>481</v>
      </c>
      <c r="CP44" s="228">
        <v>481</v>
      </c>
      <c r="CQ44" s="228">
        <v>0</v>
      </c>
      <c r="CR44" s="229">
        <v>4.0000000000000002E-4</v>
      </c>
      <c r="CS44" s="228">
        <v>481</v>
      </c>
      <c r="CT44" s="228">
        <v>529</v>
      </c>
      <c r="CU44" s="228">
        <v>-48</v>
      </c>
      <c r="CV44" s="229">
        <v>-9.0700000000000003E-2</v>
      </c>
      <c r="CW44" s="230">
        <v>3655</v>
      </c>
      <c r="CX44" s="230">
        <v>3682</v>
      </c>
      <c r="CY44" s="228">
        <v>-28</v>
      </c>
      <c r="CZ44" s="229">
        <v>-7.6E-3</v>
      </c>
      <c r="DA44" s="228">
        <v>28.96</v>
      </c>
      <c r="DB44" s="228">
        <v>32.72</v>
      </c>
      <c r="DC44" s="228">
        <v>-3.76</v>
      </c>
      <c r="DD44" s="228">
        <v>-3.76</v>
      </c>
      <c r="DE44" s="228">
        <v>36.89</v>
      </c>
      <c r="DF44" s="228">
        <v>36.97</v>
      </c>
      <c r="DG44" s="228">
        <v>-7.93</v>
      </c>
      <c r="DH44" s="228">
        <v>-0.08</v>
      </c>
      <c r="DI44" s="228">
        <v>27.48</v>
      </c>
      <c r="DJ44" s="228">
        <v>30.98</v>
      </c>
      <c r="DK44" s="228">
        <v>-3.5</v>
      </c>
      <c r="DL44" s="228">
        <v>-3.5</v>
      </c>
      <c r="DM44" s="228">
        <v>30.74</v>
      </c>
      <c r="DN44" s="228">
        <v>34.26</v>
      </c>
      <c r="DO44" s="228">
        <v>-3.52</v>
      </c>
      <c r="DP44" s="228">
        <v>-3.52</v>
      </c>
      <c r="DQ44" s="228">
        <v>1</v>
      </c>
      <c r="DR44" s="228">
        <v>1.1000000000000001</v>
      </c>
      <c r="DS44" s="228">
        <v>-0.1</v>
      </c>
      <c r="DT44" s="229">
        <v>-9.0899999999999995E-2</v>
      </c>
      <c r="DU44" s="231">
        <v>1800</v>
      </c>
      <c r="DV44" s="231">
        <v>1600</v>
      </c>
      <c r="DW44" s="228">
        <v>0.83</v>
      </c>
      <c r="DX44" s="228">
        <v>1.1200000000000001</v>
      </c>
      <c r="DY44" s="228">
        <v>-0.28999999999999998</v>
      </c>
      <c r="DZ44" s="229">
        <v>-0.25890000000000002</v>
      </c>
      <c r="EA44" s="229">
        <v>6.1999999999999998E-3</v>
      </c>
      <c r="EB44" s="230">
        <v>92500</v>
      </c>
      <c r="EC44" s="229">
        <v>4.8999999999999998E-3</v>
      </c>
      <c r="ED44" s="229">
        <v>6.1999999999999998E-3</v>
      </c>
      <c r="EE44" s="228">
        <v>6.94</v>
      </c>
      <c r="EF44" s="229">
        <v>4.1999999999999997E-3</v>
      </c>
      <c r="EG44" s="230">
        <v>1220999</v>
      </c>
      <c r="EH44" s="230">
        <v>905956</v>
      </c>
      <c r="EI44" s="229">
        <v>0.34770000000000001</v>
      </c>
      <c r="EJ44" s="229">
        <v>0.58179999999999998</v>
      </c>
      <c r="EK44" s="228">
        <v>551.29999999999995</v>
      </c>
      <c r="EL44" s="228">
        <v>430.28</v>
      </c>
      <c r="EM44" s="228">
        <v>352.56</v>
      </c>
      <c r="EN44" s="228">
        <v>108.98</v>
      </c>
      <c r="EO44" s="231">
        <v>1334.14</v>
      </c>
      <c r="EP44" s="231">
        <v>1537.83</v>
      </c>
      <c r="EQ44" s="228">
        <v>-203.69</v>
      </c>
      <c r="ER44" s="229">
        <v>-0.13250000000000001</v>
      </c>
      <c r="ES44" s="228">
        <v>507.37</v>
      </c>
      <c r="ET44" s="228">
        <v>467.63</v>
      </c>
      <c r="EU44" s="231">
        <v>2693.1</v>
      </c>
      <c r="EV44" s="231">
        <v>63257923</v>
      </c>
      <c r="EW44" s="231">
        <v>3668.1</v>
      </c>
      <c r="EX44" s="231">
        <v>3669.71</v>
      </c>
      <c r="EY44" s="228">
        <v>-1.61</v>
      </c>
      <c r="EZ44" s="229">
        <v>-4.0000000000000002E-4</v>
      </c>
      <c r="FA44" s="229">
        <v>0.34399999999999997</v>
      </c>
      <c r="FB44" s="227" t="s">
        <v>555</v>
      </c>
      <c r="FC44">
        <f t="shared" si="0"/>
        <v>17</v>
      </c>
    </row>
    <row r="45" spans="1:159" ht="17.25" hidden="1" thickBot="1" x14ac:dyDescent="0.3">
      <c r="A45" s="226">
        <v>46086</v>
      </c>
      <c r="B45" s="227" t="s">
        <v>170</v>
      </c>
      <c r="C45" s="227" t="s">
        <v>199</v>
      </c>
      <c r="D45" s="228">
        <v>375</v>
      </c>
      <c r="E45" s="228">
        <v>25</v>
      </c>
      <c r="F45" s="231">
        <v>1332.3</v>
      </c>
      <c r="G45" s="231">
        <v>1319.7</v>
      </c>
      <c r="H45" s="228">
        <v>12.6</v>
      </c>
      <c r="I45" s="229">
        <v>9.4999999999999998E-3</v>
      </c>
      <c r="J45" s="231">
        <v>1326.4</v>
      </c>
      <c r="K45" s="231">
        <v>1313.2</v>
      </c>
      <c r="L45" s="228">
        <v>13.2</v>
      </c>
      <c r="M45" s="229">
        <v>1.01E-2</v>
      </c>
      <c r="N45" s="231">
        <v>1332.3</v>
      </c>
      <c r="O45" s="231">
        <v>1319.7</v>
      </c>
      <c r="P45" s="228">
        <v>12.6</v>
      </c>
      <c r="Q45" s="229">
        <v>9.4999999999999998E-3</v>
      </c>
      <c r="R45" s="231">
        <v>1341</v>
      </c>
      <c r="S45" s="231">
        <v>1328.7</v>
      </c>
      <c r="T45" s="228">
        <v>12.3</v>
      </c>
      <c r="U45" s="229">
        <v>9.2999999999999992E-3</v>
      </c>
      <c r="V45" s="231">
        <v>1345.2</v>
      </c>
      <c r="W45" s="231">
        <v>1334.8</v>
      </c>
      <c r="X45" s="228">
        <v>10.4</v>
      </c>
      <c r="Y45" s="229">
        <v>7.7999999999999996E-3</v>
      </c>
      <c r="Z45" s="228">
        <v>5.9</v>
      </c>
      <c r="AA45" s="228">
        <v>6.5</v>
      </c>
      <c r="AB45" s="228">
        <v>-0.6</v>
      </c>
      <c r="AC45" s="229">
        <v>4.4000000000000003E-3</v>
      </c>
      <c r="AD45" s="228">
        <v>5.9</v>
      </c>
      <c r="AE45" s="228">
        <v>6.5</v>
      </c>
      <c r="AF45" s="228">
        <v>-0.6</v>
      </c>
      <c r="AG45" s="229">
        <v>4.4000000000000003E-3</v>
      </c>
      <c r="AH45" s="228">
        <v>14.6</v>
      </c>
      <c r="AI45" s="228">
        <v>15.5</v>
      </c>
      <c r="AJ45" s="228">
        <v>-0.9</v>
      </c>
      <c r="AK45" s="229">
        <v>1.0999999999999999E-2</v>
      </c>
      <c r="AL45" s="228">
        <v>18.8</v>
      </c>
      <c r="AM45" s="228">
        <v>21.6</v>
      </c>
      <c r="AN45" s="228">
        <v>-2.8</v>
      </c>
      <c r="AO45" s="229">
        <v>1.4200000000000001E-2</v>
      </c>
      <c r="AP45" s="231">
        <v>1329.45</v>
      </c>
      <c r="AQ45" s="231">
        <v>1337.66</v>
      </c>
      <c r="AR45" s="228">
        <v>0</v>
      </c>
      <c r="AS45" s="228">
        <v>172</v>
      </c>
      <c r="AT45" s="228">
        <v>268</v>
      </c>
      <c r="AU45" s="228">
        <v>-95</v>
      </c>
      <c r="AV45" s="229">
        <v>-0.35560000000000003</v>
      </c>
      <c r="AW45" s="228">
        <v>166</v>
      </c>
      <c r="AX45" s="228">
        <v>248</v>
      </c>
      <c r="AY45" s="228">
        <v>-82</v>
      </c>
      <c r="AZ45" s="229">
        <v>-0.33179999999999998</v>
      </c>
      <c r="BA45" s="228">
        <v>6</v>
      </c>
      <c r="BB45" s="228">
        <v>16</v>
      </c>
      <c r="BC45" s="228">
        <v>-10</v>
      </c>
      <c r="BD45" s="229">
        <v>-0.62580000000000002</v>
      </c>
      <c r="BE45" s="228">
        <v>1</v>
      </c>
      <c r="BF45" s="228">
        <v>4</v>
      </c>
      <c r="BG45" s="228">
        <v>-3</v>
      </c>
      <c r="BH45" s="229">
        <v>-0.78669999999999995</v>
      </c>
      <c r="BI45" s="228">
        <v>387</v>
      </c>
      <c r="BJ45" s="228">
        <v>791</v>
      </c>
      <c r="BK45" s="228">
        <v>-405</v>
      </c>
      <c r="BL45" s="229">
        <v>-0.51139999999999997</v>
      </c>
      <c r="BM45" s="228">
        <v>183</v>
      </c>
      <c r="BN45" s="228">
        <v>369</v>
      </c>
      <c r="BO45" s="228">
        <v>-186</v>
      </c>
      <c r="BP45" s="229">
        <v>-0.50370000000000004</v>
      </c>
      <c r="BQ45" s="228">
        <v>742</v>
      </c>
      <c r="BR45" s="230">
        <v>1428</v>
      </c>
      <c r="BS45" s="228">
        <v>-686</v>
      </c>
      <c r="BT45" s="229">
        <v>-0.48020000000000002</v>
      </c>
      <c r="BU45" s="230">
        <v>1216232</v>
      </c>
      <c r="BV45" s="230">
        <v>2065547</v>
      </c>
      <c r="BW45" s="230">
        <v>-849315</v>
      </c>
      <c r="BX45" s="229">
        <v>-0.41120000000000001</v>
      </c>
      <c r="BY45" s="230">
        <v>1768</v>
      </c>
      <c r="BZ45" s="230">
        <v>1775</v>
      </c>
      <c r="CA45" s="228">
        <v>-7</v>
      </c>
      <c r="CB45" s="229">
        <v>-3.8999999999999998E-3</v>
      </c>
      <c r="CC45" s="230">
        <v>1740</v>
      </c>
      <c r="CD45" s="230">
        <v>1748</v>
      </c>
      <c r="CE45" s="228">
        <v>-8</v>
      </c>
      <c r="CF45" s="229">
        <v>-4.4000000000000003E-3</v>
      </c>
      <c r="CG45" s="228">
        <v>23</v>
      </c>
      <c r="CH45" s="228">
        <v>22</v>
      </c>
      <c r="CI45" s="228">
        <v>1</v>
      </c>
      <c r="CJ45" s="229">
        <v>2.9100000000000001E-2</v>
      </c>
      <c r="CK45" s="228">
        <v>5</v>
      </c>
      <c r="CL45" s="228">
        <v>5</v>
      </c>
      <c r="CM45" s="228">
        <v>0</v>
      </c>
      <c r="CN45" s="229">
        <v>3.1899999999999998E-2</v>
      </c>
      <c r="CO45" s="228">
        <v>647</v>
      </c>
      <c r="CP45" s="228">
        <v>682</v>
      </c>
      <c r="CQ45" s="228">
        <v>-34</v>
      </c>
      <c r="CR45" s="229">
        <v>-5.04E-2</v>
      </c>
      <c r="CS45" s="228">
        <v>404</v>
      </c>
      <c r="CT45" s="228">
        <v>401</v>
      </c>
      <c r="CU45" s="228">
        <v>4</v>
      </c>
      <c r="CV45" s="229">
        <v>9.1000000000000004E-3</v>
      </c>
      <c r="CW45" s="230">
        <v>2819</v>
      </c>
      <c r="CX45" s="230">
        <v>2857</v>
      </c>
      <c r="CY45" s="228">
        <v>-38</v>
      </c>
      <c r="CZ45" s="229">
        <v>-1.32E-2</v>
      </c>
      <c r="DA45" s="228">
        <v>21.47</v>
      </c>
      <c r="DB45" s="228">
        <v>24.21</v>
      </c>
      <c r="DC45" s="228">
        <v>-2.74</v>
      </c>
      <c r="DD45" s="228">
        <v>-2.74</v>
      </c>
      <c r="DE45" s="228">
        <v>25.27</v>
      </c>
      <c r="DF45" s="228">
        <v>25.3</v>
      </c>
      <c r="DG45" s="228">
        <v>-3.8</v>
      </c>
      <c r="DH45" s="228">
        <v>-0.03</v>
      </c>
      <c r="DI45" s="228">
        <v>20.62</v>
      </c>
      <c r="DJ45" s="228">
        <v>23.48</v>
      </c>
      <c r="DK45" s="228">
        <v>-2.86</v>
      </c>
      <c r="DL45" s="228">
        <v>-2.86</v>
      </c>
      <c r="DM45" s="228">
        <v>23.26</v>
      </c>
      <c r="DN45" s="228">
        <v>25.77</v>
      </c>
      <c r="DO45" s="228">
        <v>-2.5099999999999998</v>
      </c>
      <c r="DP45" s="228">
        <v>-2.5099999999999998</v>
      </c>
      <c r="DQ45" s="228">
        <v>0.62</v>
      </c>
      <c r="DR45" s="228">
        <v>0.59</v>
      </c>
      <c r="DS45" s="228">
        <v>0.03</v>
      </c>
      <c r="DT45" s="229">
        <v>5.0799999999999998E-2</v>
      </c>
      <c r="DU45" s="231">
        <v>1500</v>
      </c>
      <c r="DV45" s="231">
        <v>1260</v>
      </c>
      <c r="DW45" s="228">
        <v>0.47</v>
      </c>
      <c r="DX45" s="228">
        <v>0.47</v>
      </c>
      <c r="DY45" s="228">
        <v>0</v>
      </c>
      <c r="DZ45" s="229">
        <v>0</v>
      </c>
      <c r="EA45" s="229">
        <v>1.5699999999999999E-2</v>
      </c>
      <c r="EB45" s="230">
        <v>202875</v>
      </c>
      <c r="EC45" s="229">
        <v>6.4999999999999997E-3</v>
      </c>
      <c r="ED45" s="229">
        <v>1.5699999999999999E-2</v>
      </c>
      <c r="EE45" s="228">
        <v>8.2100000000000009</v>
      </c>
      <c r="EF45" s="229">
        <v>6.1999999999999998E-3</v>
      </c>
      <c r="EG45" s="230">
        <v>720072</v>
      </c>
      <c r="EH45" s="230">
        <v>1300002</v>
      </c>
      <c r="EI45" s="229">
        <v>-0.4461</v>
      </c>
      <c r="EJ45" s="229">
        <v>0.59209999999999996</v>
      </c>
      <c r="EK45" s="228">
        <v>406.29</v>
      </c>
      <c r="EL45" s="228">
        <v>177.33</v>
      </c>
      <c r="EM45" s="228">
        <v>172.14</v>
      </c>
      <c r="EN45" s="228">
        <v>49.11</v>
      </c>
      <c r="EO45" s="228">
        <v>755.76</v>
      </c>
      <c r="EP45" s="231">
        <v>1464.56</v>
      </c>
      <c r="EQ45" s="228">
        <v>-708.8</v>
      </c>
      <c r="ER45" s="229">
        <v>-0.48399999999999999</v>
      </c>
      <c r="ES45" s="228">
        <v>686.93</v>
      </c>
      <c r="ET45" s="228">
        <v>391.61</v>
      </c>
      <c r="EU45" s="231">
        <v>1768.08</v>
      </c>
      <c r="EV45" s="231">
        <v>59297360</v>
      </c>
      <c r="EW45" s="231">
        <v>2846.61</v>
      </c>
      <c r="EX45" s="231">
        <v>2868.18</v>
      </c>
      <c r="EY45" s="228">
        <v>-21.57</v>
      </c>
      <c r="EZ45" s="229">
        <v>-7.4999999999999997E-3</v>
      </c>
      <c r="FA45" s="229">
        <v>0.3569</v>
      </c>
      <c r="FB45" s="227" t="s">
        <v>556</v>
      </c>
      <c r="FC45">
        <f t="shared" si="0"/>
        <v>28</v>
      </c>
    </row>
    <row r="46" spans="1:159" ht="17.25" hidden="1" thickBot="1" x14ac:dyDescent="0.3">
      <c r="A46" s="226">
        <v>46086</v>
      </c>
      <c r="B46" s="227" t="s">
        <v>227</v>
      </c>
      <c r="C46" s="227" t="s">
        <v>200</v>
      </c>
      <c r="D46" s="228">
        <v>1350</v>
      </c>
      <c r="E46" s="228">
        <v>25</v>
      </c>
      <c r="F46" s="228">
        <v>450.5</v>
      </c>
      <c r="G46" s="228">
        <v>436.85</v>
      </c>
      <c r="H46" s="228">
        <v>13.65</v>
      </c>
      <c r="I46" s="229">
        <v>3.1199999999999999E-2</v>
      </c>
      <c r="J46" s="228">
        <v>449.4</v>
      </c>
      <c r="K46" s="228">
        <v>435.15</v>
      </c>
      <c r="L46" s="228">
        <v>14.25</v>
      </c>
      <c r="M46" s="229">
        <v>3.27E-2</v>
      </c>
      <c r="N46" s="228">
        <v>450.5</v>
      </c>
      <c r="O46" s="228">
        <v>436.85</v>
      </c>
      <c r="P46" s="228">
        <v>13.65</v>
      </c>
      <c r="Q46" s="229">
        <v>3.1199999999999999E-2</v>
      </c>
      <c r="R46" s="228">
        <v>453.3</v>
      </c>
      <c r="S46" s="228">
        <v>439.15</v>
      </c>
      <c r="T46" s="228">
        <v>14.15</v>
      </c>
      <c r="U46" s="229">
        <v>3.2199999999999999E-2</v>
      </c>
      <c r="V46" s="228">
        <v>455</v>
      </c>
      <c r="W46" s="228">
        <v>441.9</v>
      </c>
      <c r="X46" s="228">
        <v>13.1</v>
      </c>
      <c r="Y46" s="229">
        <v>2.9600000000000001E-2</v>
      </c>
      <c r="Z46" s="228">
        <v>1.1000000000000001</v>
      </c>
      <c r="AA46" s="228">
        <v>1.7</v>
      </c>
      <c r="AB46" s="228">
        <v>-0.6</v>
      </c>
      <c r="AC46" s="229">
        <v>2.3999999999999998E-3</v>
      </c>
      <c r="AD46" s="228">
        <v>1.1000000000000001</v>
      </c>
      <c r="AE46" s="228">
        <v>1.7</v>
      </c>
      <c r="AF46" s="228">
        <v>-0.6</v>
      </c>
      <c r="AG46" s="229">
        <v>2.3999999999999998E-3</v>
      </c>
      <c r="AH46" s="228">
        <v>3.9</v>
      </c>
      <c r="AI46" s="228">
        <v>4</v>
      </c>
      <c r="AJ46" s="228">
        <v>-0.1</v>
      </c>
      <c r="AK46" s="229">
        <v>8.6999999999999994E-3</v>
      </c>
      <c r="AL46" s="228">
        <v>5.6</v>
      </c>
      <c r="AM46" s="228">
        <v>6.75</v>
      </c>
      <c r="AN46" s="228">
        <v>-1.1499999999999999</v>
      </c>
      <c r="AO46" s="229">
        <v>1.2500000000000001E-2</v>
      </c>
      <c r="AP46" s="228">
        <v>453.58</v>
      </c>
      <c r="AQ46" s="228">
        <v>455.44</v>
      </c>
      <c r="AR46" s="228">
        <v>0</v>
      </c>
      <c r="AS46" s="230">
        <v>1366</v>
      </c>
      <c r="AT46" s="230">
        <v>1006</v>
      </c>
      <c r="AU46" s="228">
        <v>361</v>
      </c>
      <c r="AV46" s="229">
        <v>0.35849999999999999</v>
      </c>
      <c r="AW46" s="230">
        <v>1280</v>
      </c>
      <c r="AX46" s="228">
        <v>944</v>
      </c>
      <c r="AY46" s="228">
        <v>336</v>
      </c>
      <c r="AZ46" s="229">
        <v>0.35630000000000001</v>
      </c>
      <c r="BA46" s="228">
        <v>75</v>
      </c>
      <c r="BB46" s="228">
        <v>54</v>
      </c>
      <c r="BC46" s="228">
        <v>21</v>
      </c>
      <c r="BD46" s="229">
        <v>0.38990000000000002</v>
      </c>
      <c r="BE46" s="228">
        <v>11</v>
      </c>
      <c r="BF46" s="228">
        <v>7</v>
      </c>
      <c r="BG46" s="228">
        <v>3</v>
      </c>
      <c r="BH46" s="229">
        <v>0.40649999999999997</v>
      </c>
      <c r="BI46" s="230">
        <v>8122</v>
      </c>
      <c r="BJ46" s="230">
        <v>4478</v>
      </c>
      <c r="BK46" s="230">
        <v>3644</v>
      </c>
      <c r="BL46" s="229">
        <v>0.81369999999999998</v>
      </c>
      <c r="BM46" s="230">
        <v>3509</v>
      </c>
      <c r="BN46" s="230">
        <v>1752</v>
      </c>
      <c r="BO46" s="230">
        <v>1756</v>
      </c>
      <c r="BP46" s="229">
        <v>1.002</v>
      </c>
      <c r="BQ46" s="230">
        <v>12997</v>
      </c>
      <c r="BR46" s="230">
        <v>7236</v>
      </c>
      <c r="BS46" s="230">
        <v>5761</v>
      </c>
      <c r="BT46" s="229">
        <v>0.79610000000000003</v>
      </c>
      <c r="BU46" s="230">
        <v>32390589</v>
      </c>
      <c r="BV46" s="230">
        <v>19950117</v>
      </c>
      <c r="BW46" s="230">
        <v>12440472</v>
      </c>
      <c r="BX46" s="229">
        <v>0.62360000000000004</v>
      </c>
      <c r="BY46" s="230">
        <v>2094</v>
      </c>
      <c r="BZ46" s="230">
        <v>2084</v>
      </c>
      <c r="CA46" s="228">
        <v>10</v>
      </c>
      <c r="CB46" s="229">
        <v>5.0000000000000001E-3</v>
      </c>
      <c r="CC46" s="230">
        <v>1861</v>
      </c>
      <c r="CD46" s="230">
        <v>1851</v>
      </c>
      <c r="CE46" s="228">
        <v>11</v>
      </c>
      <c r="CF46" s="229">
        <v>5.7999999999999996E-3</v>
      </c>
      <c r="CG46" s="228">
        <v>226</v>
      </c>
      <c r="CH46" s="228">
        <v>227</v>
      </c>
      <c r="CI46" s="228">
        <v>-1</v>
      </c>
      <c r="CJ46" s="229">
        <v>-2.7000000000000001E-3</v>
      </c>
      <c r="CK46" s="228">
        <v>6</v>
      </c>
      <c r="CL46" s="228">
        <v>6</v>
      </c>
      <c r="CM46" s="228">
        <v>0</v>
      </c>
      <c r="CN46" s="229">
        <v>4.9500000000000002E-2</v>
      </c>
      <c r="CO46" s="230">
        <v>1288</v>
      </c>
      <c r="CP46" s="230">
        <v>1145</v>
      </c>
      <c r="CQ46" s="228">
        <v>143</v>
      </c>
      <c r="CR46" s="229">
        <v>0.12520000000000001</v>
      </c>
      <c r="CS46" s="228">
        <v>956</v>
      </c>
      <c r="CT46" s="228">
        <v>706</v>
      </c>
      <c r="CU46" s="228">
        <v>251</v>
      </c>
      <c r="CV46" s="229">
        <v>0.3548</v>
      </c>
      <c r="CW46" s="230">
        <v>4339</v>
      </c>
      <c r="CX46" s="230">
        <v>3934</v>
      </c>
      <c r="CY46" s="228">
        <v>404</v>
      </c>
      <c r="CZ46" s="229">
        <v>0.1028</v>
      </c>
      <c r="DA46" s="228">
        <v>27.29</v>
      </c>
      <c r="DB46" s="228">
        <v>28.59</v>
      </c>
      <c r="DC46" s="228">
        <v>-1.3</v>
      </c>
      <c r="DD46" s="228">
        <v>-1.3</v>
      </c>
      <c r="DE46" s="228">
        <v>30.01</v>
      </c>
      <c r="DF46" s="228">
        <v>29.79</v>
      </c>
      <c r="DG46" s="228">
        <v>-2.72</v>
      </c>
      <c r="DH46" s="228">
        <v>0.22</v>
      </c>
      <c r="DI46" s="228">
        <v>27.1</v>
      </c>
      <c r="DJ46" s="228">
        <v>28.43</v>
      </c>
      <c r="DK46" s="228">
        <v>-1.33</v>
      </c>
      <c r="DL46" s="228">
        <v>-1.33</v>
      </c>
      <c r="DM46" s="228">
        <v>27.72</v>
      </c>
      <c r="DN46" s="228">
        <v>29.01</v>
      </c>
      <c r="DO46" s="228">
        <v>-1.29</v>
      </c>
      <c r="DP46" s="228">
        <v>-1.29</v>
      </c>
      <c r="DQ46" s="228">
        <v>0.74</v>
      </c>
      <c r="DR46" s="228">
        <v>0.62</v>
      </c>
      <c r="DS46" s="228">
        <v>0.12</v>
      </c>
      <c r="DT46" s="229">
        <v>0.19350000000000001</v>
      </c>
      <c r="DU46" s="228">
        <v>455</v>
      </c>
      <c r="DV46" s="228">
        <v>410</v>
      </c>
      <c r="DW46" s="228">
        <v>0.43</v>
      </c>
      <c r="DX46" s="228">
        <v>0.39</v>
      </c>
      <c r="DY46" s="228">
        <v>0.04</v>
      </c>
      <c r="DZ46" s="229">
        <v>0.1026</v>
      </c>
      <c r="EA46" s="229">
        <v>0.11119999999999999</v>
      </c>
      <c r="EB46" s="230">
        <v>5174550</v>
      </c>
      <c r="EC46" s="229">
        <v>6.1999999999999998E-3</v>
      </c>
      <c r="ED46" s="229">
        <v>0.11119999999999999</v>
      </c>
      <c r="EE46" s="228">
        <v>1.86</v>
      </c>
      <c r="EF46" s="229">
        <v>4.1000000000000003E-3</v>
      </c>
      <c r="EG46" s="230">
        <v>13299898</v>
      </c>
      <c r="EH46" s="230">
        <v>8185565</v>
      </c>
      <c r="EI46" s="229">
        <v>0.62480000000000002</v>
      </c>
      <c r="EJ46" s="229">
        <v>0.41060000000000002</v>
      </c>
      <c r="EK46" s="231">
        <v>8576.33</v>
      </c>
      <c r="EL46" s="231">
        <v>3460.09</v>
      </c>
      <c r="EM46" s="231">
        <v>1375.89</v>
      </c>
      <c r="EN46" s="228">
        <v>115.67</v>
      </c>
      <c r="EO46" s="231">
        <v>13412.31</v>
      </c>
      <c r="EP46" s="231">
        <v>7219.41</v>
      </c>
      <c r="EQ46" s="231">
        <v>6192.91</v>
      </c>
      <c r="ER46" s="229">
        <v>0.85780000000000001</v>
      </c>
      <c r="ES46" s="231">
        <v>1314.37</v>
      </c>
      <c r="ET46" s="228">
        <v>905.68</v>
      </c>
      <c r="EU46" s="231">
        <v>2095.6</v>
      </c>
      <c r="EV46" s="231">
        <v>278206904</v>
      </c>
      <c r="EW46" s="231">
        <v>4315.6499999999996</v>
      </c>
      <c r="EX46" s="231">
        <v>3825.44</v>
      </c>
      <c r="EY46" s="228">
        <v>490.21</v>
      </c>
      <c r="EZ46" s="229">
        <v>0.12809999999999999</v>
      </c>
      <c r="FA46" s="229">
        <v>0.34620000000000001</v>
      </c>
      <c r="FB46" s="227" t="s">
        <v>555</v>
      </c>
      <c r="FC46">
        <f t="shared" si="0"/>
        <v>233</v>
      </c>
    </row>
    <row r="47" spans="1:159" ht="17.25" hidden="1" thickBot="1" x14ac:dyDescent="0.3">
      <c r="A47" s="226">
        <v>46086</v>
      </c>
      <c r="B47" s="227" t="s">
        <v>221</v>
      </c>
      <c r="C47" s="227" t="s">
        <v>470</v>
      </c>
      <c r="D47" s="228">
        <v>375</v>
      </c>
      <c r="E47" s="228">
        <v>25</v>
      </c>
      <c r="F47" s="231">
        <v>1158.2</v>
      </c>
      <c r="G47" s="231">
        <v>1172.4000000000001</v>
      </c>
      <c r="H47" s="228">
        <v>-14.2</v>
      </c>
      <c r="I47" s="229">
        <v>-1.21E-2</v>
      </c>
      <c r="J47" s="231">
        <v>1152.7</v>
      </c>
      <c r="K47" s="231">
        <v>1170</v>
      </c>
      <c r="L47" s="228">
        <v>-17.3</v>
      </c>
      <c r="M47" s="229">
        <v>-1.4800000000000001E-2</v>
      </c>
      <c r="N47" s="231">
        <v>1158.2</v>
      </c>
      <c r="O47" s="231">
        <v>1172.4000000000001</v>
      </c>
      <c r="P47" s="228">
        <v>-14.2</v>
      </c>
      <c r="Q47" s="229">
        <v>-1.21E-2</v>
      </c>
      <c r="R47" s="231">
        <v>1164.2</v>
      </c>
      <c r="S47" s="231">
        <v>1178.2</v>
      </c>
      <c r="T47" s="228">
        <v>-14</v>
      </c>
      <c r="U47" s="229">
        <v>-1.1900000000000001E-2</v>
      </c>
      <c r="V47" s="231">
        <v>1165.4000000000001</v>
      </c>
      <c r="W47" s="231">
        <v>1180.8</v>
      </c>
      <c r="X47" s="228">
        <v>-15.4</v>
      </c>
      <c r="Y47" s="229">
        <v>-1.2999999999999999E-2</v>
      </c>
      <c r="Z47" s="228">
        <v>5.5</v>
      </c>
      <c r="AA47" s="228">
        <v>2.4</v>
      </c>
      <c r="AB47" s="228">
        <v>3.1</v>
      </c>
      <c r="AC47" s="229">
        <v>4.7999999999999996E-3</v>
      </c>
      <c r="AD47" s="228">
        <v>5.5</v>
      </c>
      <c r="AE47" s="228">
        <v>2.4</v>
      </c>
      <c r="AF47" s="228">
        <v>3.1</v>
      </c>
      <c r="AG47" s="229">
        <v>4.7999999999999996E-3</v>
      </c>
      <c r="AH47" s="228">
        <v>11.5</v>
      </c>
      <c r="AI47" s="228">
        <v>8.1999999999999993</v>
      </c>
      <c r="AJ47" s="228">
        <v>3.3</v>
      </c>
      <c r="AK47" s="229">
        <v>0.01</v>
      </c>
      <c r="AL47" s="228">
        <v>12.7</v>
      </c>
      <c r="AM47" s="228">
        <v>10.8</v>
      </c>
      <c r="AN47" s="228">
        <v>1.9</v>
      </c>
      <c r="AO47" s="229">
        <v>1.0999999999999999E-2</v>
      </c>
      <c r="AP47" s="231">
        <v>1159.83</v>
      </c>
      <c r="AQ47" s="231">
        <v>1164.3599999999999</v>
      </c>
      <c r="AR47" s="228">
        <v>0</v>
      </c>
      <c r="AS47" s="228">
        <v>538</v>
      </c>
      <c r="AT47" s="228">
        <v>507</v>
      </c>
      <c r="AU47" s="228">
        <v>31</v>
      </c>
      <c r="AV47" s="229">
        <v>6.1499999999999999E-2</v>
      </c>
      <c r="AW47" s="228">
        <v>490</v>
      </c>
      <c r="AX47" s="228">
        <v>484</v>
      </c>
      <c r="AY47" s="228">
        <v>5</v>
      </c>
      <c r="AZ47" s="229">
        <v>1.0999999999999999E-2</v>
      </c>
      <c r="BA47" s="228">
        <v>37</v>
      </c>
      <c r="BB47" s="228">
        <v>20</v>
      </c>
      <c r="BC47" s="228">
        <v>17</v>
      </c>
      <c r="BD47" s="229">
        <v>0.83799999999999997</v>
      </c>
      <c r="BE47" s="228">
        <v>11</v>
      </c>
      <c r="BF47" s="228">
        <v>2</v>
      </c>
      <c r="BG47" s="228">
        <v>9</v>
      </c>
      <c r="BH47" s="229">
        <v>3.7635999999999998</v>
      </c>
      <c r="BI47" s="230">
        <v>1111</v>
      </c>
      <c r="BJ47" s="230">
        <v>1003</v>
      </c>
      <c r="BK47" s="228">
        <v>108</v>
      </c>
      <c r="BL47" s="229">
        <v>0.10780000000000001</v>
      </c>
      <c r="BM47" s="228">
        <v>524</v>
      </c>
      <c r="BN47" s="228">
        <v>418</v>
      </c>
      <c r="BO47" s="228">
        <v>106</v>
      </c>
      <c r="BP47" s="229">
        <v>0.2545</v>
      </c>
      <c r="BQ47" s="230">
        <v>2173</v>
      </c>
      <c r="BR47" s="230">
        <v>1928</v>
      </c>
      <c r="BS47" s="228">
        <v>246</v>
      </c>
      <c r="BT47" s="229">
        <v>0.12740000000000001</v>
      </c>
      <c r="BU47" s="230">
        <v>3314265</v>
      </c>
      <c r="BV47" s="230">
        <v>3278144</v>
      </c>
      <c r="BW47" s="230">
        <v>36121</v>
      </c>
      <c r="BX47" s="229">
        <v>1.0999999999999999E-2</v>
      </c>
      <c r="BY47" s="230">
        <v>3141</v>
      </c>
      <c r="BZ47" s="230">
        <v>3056</v>
      </c>
      <c r="CA47" s="228">
        <v>85</v>
      </c>
      <c r="CB47" s="229">
        <v>2.7900000000000001E-2</v>
      </c>
      <c r="CC47" s="230">
        <v>3021</v>
      </c>
      <c r="CD47" s="230">
        <v>2953</v>
      </c>
      <c r="CE47" s="228">
        <v>68</v>
      </c>
      <c r="CF47" s="229">
        <v>2.3E-2</v>
      </c>
      <c r="CG47" s="228">
        <v>106</v>
      </c>
      <c r="CH47" s="228">
        <v>94</v>
      </c>
      <c r="CI47" s="228">
        <v>12</v>
      </c>
      <c r="CJ47" s="229">
        <v>0.1275</v>
      </c>
      <c r="CK47" s="228">
        <v>14</v>
      </c>
      <c r="CL47" s="228">
        <v>8</v>
      </c>
      <c r="CM47" s="228">
        <v>5</v>
      </c>
      <c r="CN47" s="229">
        <v>0.64059999999999995</v>
      </c>
      <c r="CO47" s="230">
        <v>1301</v>
      </c>
      <c r="CP47" s="230">
        <v>1197</v>
      </c>
      <c r="CQ47" s="228">
        <v>104</v>
      </c>
      <c r="CR47" s="229">
        <v>8.6599999999999996E-2</v>
      </c>
      <c r="CS47" s="228">
        <v>558</v>
      </c>
      <c r="CT47" s="228">
        <v>528</v>
      </c>
      <c r="CU47" s="228">
        <v>29</v>
      </c>
      <c r="CV47" s="229">
        <v>5.5800000000000002E-2</v>
      </c>
      <c r="CW47" s="230">
        <v>5000</v>
      </c>
      <c r="CX47" s="230">
        <v>4781</v>
      </c>
      <c r="CY47" s="228">
        <v>218</v>
      </c>
      <c r="CZ47" s="229">
        <v>4.5699999999999998E-2</v>
      </c>
      <c r="DA47" s="228">
        <v>44.17</v>
      </c>
      <c r="DB47" s="228">
        <v>46.67</v>
      </c>
      <c r="DC47" s="228">
        <v>-2.5</v>
      </c>
      <c r="DD47" s="228">
        <v>-2.5</v>
      </c>
      <c r="DE47" s="228">
        <v>42.35</v>
      </c>
      <c r="DF47" s="228">
        <v>42.41</v>
      </c>
      <c r="DG47" s="228">
        <v>1.82</v>
      </c>
      <c r="DH47" s="228">
        <v>-0.06</v>
      </c>
      <c r="DI47" s="228">
        <v>43.97</v>
      </c>
      <c r="DJ47" s="228">
        <v>46.1</v>
      </c>
      <c r="DK47" s="228">
        <v>-2.13</v>
      </c>
      <c r="DL47" s="228">
        <v>-2.13</v>
      </c>
      <c r="DM47" s="228">
        <v>44.61</v>
      </c>
      <c r="DN47" s="228">
        <v>48.03</v>
      </c>
      <c r="DO47" s="228">
        <v>-3.42</v>
      </c>
      <c r="DP47" s="228">
        <v>-3.42</v>
      </c>
      <c r="DQ47" s="228">
        <v>0.43</v>
      </c>
      <c r="DR47" s="228">
        <v>0.44</v>
      </c>
      <c r="DS47" s="228">
        <v>-0.01</v>
      </c>
      <c r="DT47" s="229">
        <v>-2.2700000000000001E-2</v>
      </c>
      <c r="DU47" s="231">
        <v>1200</v>
      </c>
      <c r="DV47" s="231">
        <v>1100</v>
      </c>
      <c r="DW47" s="228">
        <v>0.47</v>
      </c>
      <c r="DX47" s="228">
        <v>0.42</v>
      </c>
      <c r="DY47" s="228">
        <v>0.05</v>
      </c>
      <c r="DZ47" s="229">
        <v>0.11899999999999999</v>
      </c>
      <c r="EA47" s="229">
        <v>3.8100000000000002E-2</v>
      </c>
      <c r="EB47" s="230">
        <v>883500</v>
      </c>
      <c r="EC47" s="229">
        <v>5.1999999999999998E-3</v>
      </c>
      <c r="ED47" s="229">
        <v>3.8100000000000002E-2</v>
      </c>
      <c r="EE47" s="228">
        <v>4.53</v>
      </c>
      <c r="EF47" s="229">
        <v>3.8999999999999998E-3</v>
      </c>
      <c r="EG47" s="230">
        <v>1424344</v>
      </c>
      <c r="EH47" s="230">
        <v>1585473</v>
      </c>
      <c r="EI47" s="229">
        <v>-0.1016</v>
      </c>
      <c r="EJ47" s="229">
        <v>0.42980000000000002</v>
      </c>
      <c r="EK47" s="231">
        <v>1236.42</v>
      </c>
      <c r="EL47" s="228">
        <v>524.01</v>
      </c>
      <c r="EM47" s="228">
        <v>538.92999999999995</v>
      </c>
      <c r="EN47" s="228">
        <v>129.36000000000001</v>
      </c>
      <c r="EO47" s="231">
        <v>2299.36</v>
      </c>
      <c r="EP47" s="231">
        <v>2048.12</v>
      </c>
      <c r="EQ47" s="228">
        <v>251.24</v>
      </c>
      <c r="ER47" s="229">
        <v>0.1227</v>
      </c>
      <c r="ES47" s="231">
        <v>1502.9</v>
      </c>
      <c r="ET47" s="228">
        <v>581.99</v>
      </c>
      <c r="EU47" s="231">
        <v>3141.54</v>
      </c>
      <c r="EV47" s="231">
        <v>50189409</v>
      </c>
      <c r="EW47" s="231">
        <v>5226.43</v>
      </c>
      <c r="EX47" s="231">
        <v>5050.46</v>
      </c>
      <c r="EY47" s="228">
        <v>175.97</v>
      </c>
      <c r="EZ47" s="229">
        <v>3.4799999999999998E-2</v>
      </c>
      <c r="FA47" s="229">
        <v>0.86009999999999998</v>
      </c>
      <c r="FB47" s="227" t="s">
        <v>567</v>
      </c>
      <c r="FC47">
        <f t="shared" si="0"/>
        <v>120</v>
      </c>
    </row>
    <row r="48" spans="1:159" ht="17.25" hidden="1" thickBot="1" x14ac:dyDescent="0.3">
      <c r="A48" s="226">
        <v>46086</v>
      </c>
      <c r="B48" s="227" t="s">
        <v>168</v>
      </c>
      <c r="C48" s="227" t="s">
        <v>201</v>
      </c>
      <c r="D48" s="228">
        <v>225</v>
      </c>
      <c r="E48" s="228">
        <v>25</v>
      </c>
      <c r="F48" s="231">
        <v>2209.1</v>
      </c>
      <c r="G48" s="231">
        <v>2187.9</v>
      </c>
      <c r="H48" s="228">
        <v>21.2</v>
      </c>
      <c r="I48" s="229">
        <v>9.7000000000000003E-3</v>
      </c>
      <c r="J48" s="231">
        <v>2200.6</v>
      </c>
      <c r="K48" s="231">
        <v>2183.6999999999998</v>
      </c>
      <c r="L48" s="228">
        <v>16.899999999999999</v>
      </c>
      <c r="M48" s="229">
        <v>7.7000000000000002E-3</v>
      </c>
      <c r="N48" s="231">
        <v>2209.1</v>
      </c>
      <c r="O48" s="231">
        <v>2187.9</v>
      </c>
      <c r="P48" s="228">
        <v>21.2</v>
      </c>
      <c r="Q48" s="229">
        <v>9.7000000000000003E-3</v>
      </c>
      <c r="R48" s="231">
        <v>2217.9</v>
      </c>
      <c r="S48" s="231">
        <v>2197</v>
      </c>
      <c r="T48" s="228">
        <v>20.9</v>
      </c>
      <c r="U48" s="229">
        <v>9.4999999999999998E-3</v>
      </c>
      <c r="V48" s="231">
        <v>2198</v>
      </c>
      <c r="W48" s="231">
        <v>2196.3000000000002</v>
      </c>
      <c r="X48" s="228">
        <v>1.7</v>
      </c>
      <c r="Y48" s="229">
        <v>8.0000000000000004E-4</v>
      </c>
      <c r="Z48" s="228">
        <v>8.5</v>
      </c>
      <c r="AA48" s="228">
        <v>4.2</v>
      </c>
      <c r="AB48" s="228">
        <v>4.3</v>
      </c>
      <c r="AC48" s="229">
        <v>3.8999999999999998E-3</v>
      </c>
      <c r="AD48" s="228">
        <v>8.5</v>
      </c>
      <c r="AE48" s="228">
        <v>4.2</v>
      </c>
      <c r="AF48" s="228">
        <v>4.3</v>
      </c>
      <c r="AG48" s="229">
        <v>3.8999999999999998E-3</v>
      </c>
      <c r="AH48" s="228">
        <v>17.3</v>
      </c>
      <c r="AI48" s="228">
        <v>13.3</v>
      </c>
      <c r="AJ48" s="228">
        <v>4</v>
      </c>
      <c r="AK48" s="229">
        <v>7.9000000000000008E-3</v>
      </c>
      <c r="AL48" s="228">
        <v>-2.6</v>
      </c>
      <c r="AM48" s="228">
        <v>12.6</v>
      </c>
      <c r="AN48" s="228">
        <v>-15.2</v>
      </c>
      <c r="AO48" s="229">
        <v>-1.1999999999999999E-3</v>
      </c>
      <c r="AP48" s="231">
        <v>2196.4499999999998</v>
      </c>
      <c r="AQ48" s="231">
        <v>2202.9</v>
      </c>
      <c r="AR48" s="228">
        <v>0</v>
      </c>
      <c r="AS48" s="228">
        <v>87</v>
      </c>
      <c r="AT48" s="228">
        <v>113</v>
      </c>
      <c r="AU48" s="228">
        <v>-26</v>
      </c>
      <c r="AV48" s="229">
        <v>-0.2306</v>
      </c>
      <c r="AW48" s="228">
        <v>80</v>
      </c>
      <c r="AX48" s="228">
        <v>105</v>
      </c>
      <c r="AY48" s="228">
        <v>-25</v>
      </c>
      <c r="AZ48" s="229">
        <v>-0.2404</v>
      </c>
      <c r="BA48" s="228">
        <v>5</v>
      </c>
      <c r="BB48" s="228">
        <v>6</v>
      </c>
      <c r="BC48" s="228">
        <v>0</v>
      </c>
      <c r="BD48" s="229">
        <v>-6.0299999999999999E-2</v>
      </c>
      <c r="BE48" s="228">
        <v>2</v>
      </c>
      <c r="BF48" s="228">
        <v>2</v>
      </c>
      <c r="BG48" s="228">
        <v>0</v>
      </c>
      <c r="BH48" s="229">
        <v>-0.2051</v>
      </c>
      <c r="BI48" s="228">
        <v>281</v>
      </c>
      <c r="BJ48" s="228">
        <v>249</v>
      </c>
      <c r="BK48" s="228">
        <v>33</v>
      </c>
      <c r="BL48" s="229">
        <v>0.13100000000000001</v>
      </c>
      <c r="BM48" s="228">
        <v>104</v>
      </c>
      <c r="BN48" s="228">
        <v>108</v>
      </c>
      <c r="BO48" s="228">
        <v>-3</v>
      </c>
      <c r="BP48" s="229">
        <v>-3.2300000000000002E-2</v>
      </c>
      <c r="BQ48" s="228">
        <v>472</v>
      </c>
      <c r="BR48" s="228">
        <v>469</v>
      </c>
      <c r="BS48" s="228">
        <v>3</v>
      </c>
      <c r="BT48" s="229">
        <v>6.7999999999999996E-3</v>
      </c>
      <c r="BU48" s="230">
        <v>268826</v>
      </c>
      <c r="BV48" s="230">
        <v>287160</v>
      </c>
      <c r="BW48" s="230">
        <v>-18334</v>
      </c>
      <c r="BX48" s="229">
        <v>-6.3799999999999996E-2</v>
      </c>
      <c r="BY48" s="230">
        <v>1217</v>
      </c>
      <c r="BZ48" s="230">
        <v>1221</v>
      </c>
      <c r="CA48" s="228">
        <v>-4</v>
      </c>
      <c r="CB48" s="229">
        <v>-3.0000000000000001E-3</v>
      </c>
      <c r="CC48" s="230">
        <v>1184</v>
      </c>
      <c r="CD48" s="230">
        <v>1189</v>
      </c>
      <c r="CE48" s="228">
        <v>-6</v>
      </c>
      <c r="CF48" s="229">
        <v>-4.7000000000000002E-3</v>
      </c>
      <c r="CG48" s="228">
        <v>27</v>
      </c>
      <c r="CH48" s="228">
        <v>26</v>
      </c>
      <c r="CI48" s="228">
        <v>1</v>
      </c>
      <c r="CJ48" s="229">
        <v>2.2599999999999999E-2</v>
      </c>
      <c r="CK48" s="228">
        <v>7</v>
      </c>
      <c r="CL48" s="228">
        <v>5</v>
      </c>
      <c r="CM48" s="228">
        <v>1</v>
      </c>
      <c r="CN48" s="229">
        <v>0.25230000000000002</v>
      </c>
      <c r="CO48" s="228">
        <v>395</v>
      </c>
      <c r="CP48" s="228">
        <v>397</v>
      </c>
      <c r="CQ48" s="228">
        <v>-2</v>
      </c>
      <c r="CR48" s="229">
        <v>-5.4000000000000003E-3</v>
      </c>
      <c r="CS48" s="228">
        <v>267</v>
      </c>
      <c r="CT48" s="228">
        <v>244</v>
      </c>
      <c r="CU48" s="228">
        <v>24</v>
      </c>
      <c r="CV48" s="229">
        <v>9.69E-2</v>
      </c>
      <c r="CW48" s="230">
        <v>1879</v>
      </c>
      <c r="CX48" s="230">
        <v>1861</v>
      </c>
      <c r="CY48" s="228">
        <v>18</v>
      </c>
      <c r="CZ48" s="229">
        <v>9.5999999999999992E-3</v>
      </c>
      <c r="DA48" s="228">
        <v>22.43</v>
      </c>
      <c r="DB48" s="228">
        <v>24.36</v>
      </c>
      <c r="DC48" s="228">
        <v>-1.93</v>
      </c>
      <c r="DD48" s="228">
        <v>-1.93</v>
      </c>
      <c r="DE48" s="228">
        <v>26.59</v>
      </c>
      <c r="DF48" s="228">
        <v>26.62</v>
      </c>
      <c r="DG48" s="228">
        <v>-4.16</v>
      </c>
      <c r="DH48" s="228">
        <v>-0.03</v>
      </c>
      <c r="DI48" s="228">
        <v>22.01</v>
      </c>
      <c r="DJ48" s="228">
        <v>24.46</v>
      </c>
      <c r="DK48" s="228">
        <v>-2.4500000000000002</v>
      </c>
      <c r="DL48" s="228">
        <v>-2.4500000000000002</v>
      </c>
      <c r="DM48" s="228">
        <v>23.58</v>
      </c>
      <c r="DN48" s="228">
        <v>24.11</v>
      </c>
      <c r="DO48" s="228">
        <v>-0.53</v>
      </c>
      <c r="DP48" s="228">
        <v>-0.53</v>
      </c>
      <c r="DQ48" s="228">
        <v>0.68</v>
      </c>
      <c r="DR48" s="228">
        <v>0.61</v>
      </c>
      <c r="DS48" s="228">
        <v>7.0000000000000007E-2</v>
      </c>
      <c r="DT48" s="229">
        <v>0.1148</v>
      </c>
      <c r="DU48" s="231">
        <v>2400</v>
      </c>
      <c r="DV48" s="231">
        <v>2200</v>
      </c>
      <c r="DW48" s="228">
        <v>0.37</v>
      </c>
      <c r="DX48" s="228">
        <v>0.43</v>
      </c>
      <c r="DY48" s="228">
        <v>-0.06</v>
      </c>
      <c r="DZ48" s="229">
        <v>-0.13950000000000001</v>
      </c>
      <c r="EA48" s="229">
        <v>2.7699999999999999E-2</v>
      </c>
      <c r="EB48" s="230">
        <v>143775</v>
      </c>
      <c r="EC48" s="229">
        <v>4.0000000000000001E-3</v>
      </c>
      <c r="ED48" s="229">
        <v>2.7699999999999999E-2</v>
      </c>
      <c r="EE48" s="228">
        <v>6.45</v>
      </c>
      <c r="EF48" s="229">
        <v>2.8999999999999998E-3</v>
      </c>
      <c r="EG48" s="230">
        <v>123315</v>
      </c>
      <c r="EH48" s="230">
        <v>157573</v>
      </c>
      <c r="EI48" s="229">
        <v>-0.21740000000000001</v>
      </c>
      <c r="EJ48" s="229">
        <v>0.4587</v>
      </c>
      <c r="EK48" s="228">
        <v>296.44</v>
      </c>
      <c r="EL48" s="228">
        <v>100.04</v>
      </c>
      <c r="EM48" s="228">
        <v>86.1</v>
      </c>
      <c r="EN48" s="228">
        <v>30.03</v>
      </c>
      <c r="EO48" s="228">
        <v>482.58</v>
      </c>
      <c r="EP48" s="228">
        <v>483.05</v>
      </c>
      <c r="EQ48" s="228">
        <v>-0.47</v>
      </c>
      <c r="ER48" s="229">
        <v>-1E-3</v>
      </c>
      <c r="ES48" s="228">
        <v>414.65</v>
      </c>
      <c r="ET48" s="228">
        <v>263.05</v>
      </c>
      <c r="EU48" s="231">
        <v>1217.49</v>
      </c>
      <c r="EV48" s="231">
        <v>19546143</v>
      </c>
      <c r="EW48" s="231">
        <v>1895.19</v>
      </c>
      <c r="EX48" s="231">
        <v>1868.4</v>
      </c>
      <c r="EY48" s="228">
        <v>26.79</v>
      </c>
      <c r="EZ48" s="229">
        <v>1.43E-2</v>
      </c>
      <c r="FA48" s="229">
        <v>0.43519999999999998</v>
      </c>
      <c r="FB48" s="227" t="s">
        <v>556</v>
      </c>
      <c r="FC48">
        <f t="shared" si="0"/>
        <v>33</v>
      </c>
    </row>
    <row r="49" spans="1:159" ht="17.25" hidden="1" thickBot="1" x14ac:dyDescent="0.3">
      <c r="A49" s="226">
        <v>46086</v>
      </c>
      <c r="B49" s="227" t="s">
        <v>215</v>
      </c>
      <c r="C49" s="227" t="s">
        <v>202</v>
      </c>
      <c r="D49" s="228">
        <v>1250</v>
      </c>
      <c r="E49" s="228">
        <v>25</v>
      </c>
      <c r="F49" s="228">
        <v>481.15</v>
      </c>
      <c r="G49" s="228">
        <v>463.25</v>
      </c>
      <c r="H49" s="228">
        <v>17.899999999999999</v>
      </c>
      <c r="I49" s="229">
        <v>3.8600000000000002E-2</v>
      </c>
      <c r="J49" s="228">
        <v>479.95</v>
      </c>
      <c r="K49" s="228">
        <v>462.2</v>
      </c>
      <c r="L49" s="228">
        <v>17.75</v>
      </c>
      <c r="M49" s="229">
        <v>3.8399999999999997E-2</v>
      </c>
      <c r="N49" s="228">
        <v>481.15</v>
      </c>
      <c r="O49" s="228">
        <v>463.25</v>
      </c>
      <c r="P49" s="228">
        <v>17.899999999999999</v>
      </c>
      <c r="Q49" s="229">
        <v>3.8600000000000002E-2</v>
      </c>
      <c r="R49" s="228">
        <v>483.45</v>
      </c>
      <c r="S49" s="228">
        <v>466.15</v>
      </c>
      <c r="T49" s="228">
        <v>17.3</v>
      </c>
      <c r="U49" s="229">
        <v>3.7100000000000001E-2</v>
      </c>
      <c r="V49" s="228">
        <v>488</v>
      </c>
      <c r="W49" s="228">
        <v>469.1</v>
      </c>
      <c r="X49" s="228">
        <v>18.899999999999999</v>
      </c>
      <c r="Y49" s="229">
        <v>4.0300000000000002E-2</v>
      </c>
      <c r="Z49" s="228">
        <v>1.2</v>
      </c>
      <c r="AA49" s="228">
        <v>1.05</v>
      </c>
      <c r="AB49" s="228">
        <v>0.15</v>
      </c>
      <c r="AC49" s="229">
        <v>2.5000000000000001E-3</v>
      </c>
      <c r="AD49" s="228">
        <v>1.2</v>
      </c>
      <c r="AE49" s="228">
        <v>1.05</v>
      </c>
      <c r="AF49" s="228">
        <v>0.15</v>
      </c>
      <c r="AG49" s="229">
        <v>2.5000000000000001E-3</v>
      </c>
      <c r="AH49" s="228">
        <v>3.5</v>
      </c>
      <c r="AI49" s="228">
        <v>3.95</v>
      </c>
      <c r="AJ49" s="228">
        <v>-0.45</v>
      </c>
      <c r="AK49" s="229">
        <v>7.3000000000000001E-3</v>
      </c>
      <c r="AL49" s="228">
        <v>8.0500000000000007</v>
      </c>
      <c r="AM49" s="228">
        <v>6.9</v>
      </c>
      <c r="AN49" s="228">
        <v>1.1499999999999999</v>
      </c>
      <c r="AO49" s="229">
        <v>1.6799999999999999E-2</v>
      </c>
      <c r="AP49" s="228">
        <v>472.2</v>
      </c>
      <c r="AQ49" s="228">
        <v>474.53</v>
      </c>
      <c r="AR49" s="228">
        <v>0</v>
      </c>
      <c r="AS49" s="228">
        <v>223</v>
      </c>
      <c r="AT49" s="228">
        <v>286</v>
      </c>
      <c r="AU49" s="228">
        <v>-63</v>
      </c>
      <c r="AV49" s="229">
        <v>-0.22020000000000001</v>
      </c>
      <c r="AW49" s="228">
        <v>206</v>
      </c>
      <c r="AX49" s="228">
        <v>260</v>
      </c>
      <c r="AY49" s="228">
        <v>-54</v>
      </c>
      <c r="AZ49" s="229">
        <v>-0.20760000000000001</v>
      </c>
      <c r="BA49" s="228">
        <v>16</v>
      </c>
      <c r="BB49" s="228">
        <v>23</v>
      </c>
      <c r="BC49" s="228">
        <v>-8</v>
      </c>
      <c r="BD49" s="229">
        <v>-0.32729999999999998</v>
      </c>
      <c r="BE49" s="228">
        <v>1</v>
      </c>
      <c r="BF49" s="228">
        <v>3</v>
      </c>
      <c r="BG49" s="228">
        <v>-1</v>
      </c>
      <c r="BH49" s="229">
        <v>-0.52270000000000005</v>
      </c>
      <c r="BI49" s="228">
        <v>427</v>
      </c>
      <c r="BJ49" s="228">
        <v>454</v>
      </c>
      <c r="BK49" s="228">
        <v>-27</v>
      </c>
      <c r="BL49" s="229">
        <v>-5.8599999999999999E-2</v>
      </c>
      <c r="BM49" s="228">
        <v>222</v>
      </c>
      <c r="BN49" s="228">
        <v>293</v>
      </c>
      <c r="BO49" s="228">
        <v>-71</v>
      </c>
      <c r="BP49" s="229">
        <v>-0.24129999999999999</v>
      </c>
      <c r="BQ49" s="228">
        <v>872</v>
      </c>
      <c r="BR49" s="230">
        <v>1032</v>
      </c>
      <c r="BS49" s="228">
        <v>-160</v>
      </c>
      <c r="BT49" s="229">
        <v>-0.1552</v>
      </c>
      <c r="BU49" s="230">
        <v>1681218</v>
      </c>
      <c r="BV49" s="230">
        <v>2570892</v>
      </c>
      <c r="BW49" s="230">
        <v>-889674</v>
      </c>
      <c r="BX49" s="229">
        <v>-0.34610000000000002</v>
      </c>
      <c r="BY49" s="230">
        <v>1410</v>
      </c>
      <c r="BZ49" s="230">
        <v>1422</v>
      </c>
      <c r="CA49" s="228">
        <v>-12</v>
      </c>
      <c r="CB49" s="229">
        <v>-8.3000000000000001E-3</v>
      </c>
      <c r="CC49" s="230">
        <v>1353</v>
      </c>
      <c r="CD49" s="230">
        <v>1363</v>
      </c>
      <c r="CE49" s="228">
        <v>-10</v>
      </c>
      <c r="CF49" s="229">
        <v>-7.1000000000000004E-3</v>
      </c>
      <c r="CG49" s="228">
        <v>53</v>
      </c>
      <c r="CH49" s="228">
        <v>55</v>
      </c>
      <c r="CI49" s="228">
        <v>-3</v>
      </c>
      <c r="CJ49" s="229">
        <v>-4.8899999999999999E-2</v>
      </c>
      <c r="CK49" s="228">
        <v>4</v>
      </c>
      <c r="CL49" s="228">
        <v>3</v>
      </c>
      <c r="CM49" s="228">
        <v>1</v>
      </c>
      <c r="CN49" s="229">
        <v>0.1552</v>
      </c>
      <c r="CO49" s="228">
        <v>494</v>
      </c>
      <c r="CP49" s="228">
        <v>523</v>
      </c>
      <c r="CQ49" s="228">
        <v>-29</v>
      </c>
      <c r="CR49" s="229">
        <v>-5.5199999999999999E-2</v>
      </c>
      <c r="CS49" s="228">
        <v>377</v>
      </c>
      <c r="CT49" s="228">
        <v>353</v>
      </c>
      <c r="CU49" s="228">
        <v>24</v>
      </c>
      <c r="CV49" s="229">
        <v>6.83E-2</v>
      </c>
      <c r="CW49" s="230">
        <v>2281</v>
      </c>
      <c r="CX49" s="230">
        <v>2297</v>
      </c>
      <c r="CY49" s="228">
        <v>-17</v>
      </c>
      <c r="CZ49" s="229">
        <v>-7.1999999999999998E-3</v>
      </c>
      <c r="DA49" s="228">
        <v>27.73</v>
      </c>
      <c r="DB49" s="228">
        <v>31.83</v>
      </c>
      <c r="DC49" s="228">
        <v>-4.0999999999999996</v>
      </c>
      <c r="DD49" s="228">
        <v>-4.0999999999999996</v>
      </c>
      <c r="DE49" s="228">
        <v>33.200000000000003</v>
      </c>
      <c r="DF49" s="228">
        <v>32.89</v>
      </c>
      <c r="DG49" s="228">
        <v>-5.47</v>
      </c>
      <c r="DH49" s="228">
        <v>0.31</v>
      </c>
      <c r="DI49" s="228">
        <v>26.71</v>
      </c>
      <c r="DJ49" s="228">
        <v>31.48</v>
      </c>
      <c r="DK49" s="228">
        <v>-4.7699999999999996</v>
      </c>
      <c r="DL49" s="228">
        <v>-4.7699999999999996</v>
      </c>
      <c r="DM49" s="228">
        <v>29.68</v>
      </c>
      <c r="DN49" s="228">
        <v>32.380000000000003</v>
      </c>
      <c r="DO49" s="228">
        <v>-2.7</v>
      </c>
      <c r="DP49" s="228">
        <v>-2.7</v>
      </c>
      <c r="DQ49" s="228">
        <v>0.76</v>
      </c>
      <c r="DR49" s="228">
        <v>0.68</v>
      </c>
      <c r="DS49" s="228">
        <v>0.08</v>
      </c>
      <c r="DT49" s="229">
        <v>0.1176</v>
      </c>
      <c r="DU49" s="228">
        <v>520</v>
      </c>
      <c r="DV49" s="228">
        <v>500</v>
      </c>
      <c r="DW49" s="228">
        <v>0.52</v>
      </c>
      <c r="DX49" s="228">
        <v>0.65</v>
      </c>
      <c r="DY49" s="228">
        <v>-0.13</v>
      </c>
      <c r="DZ49" s="229">
        <v>-0.2</v>
      </c>
      <c r="EA49" s="229">
        <v>4.02E-2</v>
      </c>
      <c r="EB49" s="230">
        <v>1222500</v>
      </c>
      <c r="EC49" s="229">
        <v>4.7999999999999996E-3</v>
      </c>
      <c r="ED49" s="229">
        <v>4.02E-2</v>
      </c>
      <c r="EE49" s="228">
        <v>2.33</v>
      </c>
      <c r="EF49" s="229">
        <v>4.8999999999999998E-3</v>
      </c>
      <c r="EG49" s="230">
        <v>814651</v>
      </c>
      <c r="EH49" s="230">
        <v>1406689</v>
      </c>
      <c r="EI49" s="229">
        <v>-0.4209</v>
      </c>
      <c r="EJ49" s="229">
        <v>0.48459999999999998</v>
      </c>
      <c r="EK49" s="228">
        <v>447.27</v>
      </c>
      <c r="EL49" s="228">
        <v>215.75</v>
      </c>
      <c r="EM49" s="228">
        <v>218.89</v>
      </c>
      <c r="EN49" s="228">
        <v>30.13</v>
      </c>
      <c r="EO49" s="228">
        <v>881.91</v>
      </c>
      <c r="EP49" s="231">
        <v>1042.3900000000001</v>
      </c>
      <c r="EQ49" s="228">
        <v>-160.47999999999999</v>
      </c>
      <c r="ER49" s="229">
        <v>-0.154</v>
      </c>
      <c r="ES49" s="228">
        <v>540.01</v>
      </c>
      <c r="ET49" s="228">
        <v>391.01</v>
      </c>
      <c r="EU49" s="231">
        <v>1410.08</v>
      </c>
      <c r="EV49" s="231">
        <v>51639257</v>
      </c>
      <c r="EW49" s="231">
        <v>2341.09</v>
      </c>
      <c r="EX49" s="231">
        <v>2307.13</v>
      </c>
      <c r="EY49" s="228">
        <v>33.96</v>
      </c>
      <c r="EZ49" s="229">
        <v>1.47E-2</v>
      </c>
      <c r="FA49" s="229">
        <v>0.91800000000000004</v>
      </c>
      <c r="FB49" s="227" t="s">
        <v>556</v>
      </c>
      <c r="FC49">
        <f t="shared" si="0"/>
        <v>57</v>
      </c>
    </row>
    <row r="50" spans="1:159" ht="17.25" hidden="1" thickBot="1" x14ac:dyDescent="0.3">
      <c r="A50" s="226">
        <v>46086</v>
      </c>
      <c r="B50" s="227" t="s">
        <v>184</v>
      </c>
      <c r="C50" s="227" t="s">
        <v>523</v>
      </c>
      <c r="D50" s="228">
        <v>1800</v>
      </c>
      <c r="E50" s="228">
        <v>25</v>
      </c>
      <c r="F50" s="228">
        <v>250.75</v>
      </c>
      <c r="G50" s="228">
        <v>246.55</v>
      </c>
      <c r="H50" s="228">
        <v>4.2</v>
      </c>
      <c r="I50" s="229">
        <v>1.7000000000000001E-2</v>
      </c>
      <c r="J50" s="228">
        <v>250.1</v>
      </c>
      <c r="K50" s="228">
        <v>245.35</v>
      </c>
      <c r="L50" s="228">
        <v>4.75</v>
      </c>
      <c r="M50" s="229">
        <v>1.9400000000000001E-2</v>
      </c>
      <c r="N50" s="228">
        <v>250.75</v>
      </c>
      <c r="O50" s="228">
        <v>246.55</v>
      </c>
      <c r="P50" s="228">
        <v>4.2</v>
      </c>
      <c r="Q50" s="229">
        <v>1.7000000000000001E-2</v>
      </c>
      <c r="R50" s="228">
        <v>252.5</v>
      </c>
      <c r="S50" s="228">
        <v>248.1</v>
      </c>
      <c r="T50" s="228">
        <v>4.4000000000000004</v>
      </c>
      <c r="U50" s="229">
        <v>1.77E-2</v>
      </c>
      <c r="V50" s="228">
        <v>253.55</v>
      </c>
      <c r="W50" s="228">
        <v>249.35</v>
      </c>
      <c r="X50" s="228">
        <v>4.2</v>
      </c>
      <c r="Y50" s="229">
        <v>1.6799999999999999E-2</v>
      </c>
      <c r="Z50" s="228">
        <v>0.65</v>
      </c>
      <c r="AA50" s="228">
        <v>1.2</v>
      </c>
      <c r="AB50" s="228">
        <v>-0.55000000000000004</v>
      </c>
      <c r="AC50" s="229">
        <v>2.5999999999999999E-3</v>
      </c>
      <c r="AD50" s="228">
        <v>0.65</v>
      </c>
      <c r="AE50" s="228">
        <v>1.2</v>
      </c>
      <c r="AF50" s="228">
        <v>-0.55000000000000004</v>
      </c>
      <c r="AG50" s="229">
        <v>2.5999999999999999E-3</v>
      </c>
      <c r="AH50" s="228">
        <v>2.4</v>
      </c>
      <c r="AI50" s="228">
        <v>2.75</v>
      </c>
      <c r="AJ50" s="228">
        <v>-0.35</v>
      </c>
      <c r="AK50" s="229">
        <v>9.5999999999999992E-3</v>
      </c>
      <c r="AL50" s="228">
        <v>3.45</v>
      </c>
      <c r="AM50" s="228">
        <v>4</v>
      </c>
      <c r="AN50" s="228">
        <v>-0.55000000000000004</v>
      </c>
      <c r="AO50" s="229">
        <v>1.38E-2</v>
      </c>
      <c r="AP50" s="228">
        <v>246.87</v>
      </c>
      <c r="AQ50" s="228">
        <v>248.73</v>
      </c>
      <c r="AR50" s="228">
        <v>0</v>
      </c>
      <c r="AS50" s="228">
        <v>104</v>
      </c>
      <c r="AT50" s="228">
        <v>131</v>
      </c>
      <c r="AU50" s="228">
        <v>-26</v>
      </c>
      <c r="AV50" s="229">
        <v>-0.2024</v>
      </c>
      <c r="AW50" s="228">
        <v>99</v>
      </c>
      <c r="AX50" s="228">
        <v>121</v>
      </c>
      <c r="AY50" s="228">
        <v>-22</v>
      </c>
      <c r="AZ50" s="229">
        <v>-0.1845</v>
      </c>
      <c r="BA50" s="228">
        <v>5</v>
      </c>
      <c r="BB50" s="228">
        <v>7</v>
      </c>
      <c r="BC50" s="228">
        <v>-2</v>
      </c>
      <c r="BD50" s="229">
        <v>-0.32100000000000001</v>
      </c>
      <c r="BE50" s="228">
        <v>0</v>
      </c>
      <c r="BF50" s="228">
        <v>2</v>
      </c>
      <c r="BG50" s="228">
        <v>-2</v>
      </c>
      <c r="BH50" s="229">
        <v>-0.79590000000000005</v>
      </c>
      <c r="BI50" s="228">
        <v>203</v>
      </c>
      <c r="BJ50" s="228">
        <v>152</v>
      </c>
      <c r="BK50" s="228">
        <v>51</v>
      </c>
      <c r="BL50" s="229">
        <v>0.33400000000000002</v>
      </c>
      <c r="BM50" s="228">
        <v>74</v>
      </c>
      <c r="BN50" s="228">
        <v>71</v>
      </c>
      <c r="BO50" s="228">
        <v>3</v>
      </c>
      <c r="BP50" s="229">
        <v>4.2200000000000001E-2</v>
      </c>
      <c r="BQ50" s="228">
        <v>381</v>
      </c>
      <c r="BR50" s="228">
        <v>354</v>
      </c>
      <c r="BS50" s="228">
        <v>27</v>
      </c>
      <c r="BT50" s="229">
        <v>7.7100000000000002E-2</v>
      </c>
      <c r="BU50" s="230">
        <v>1476914</v>
      </c>
      <c r="BV50" s="230">
        <v>3386336</v>
      </c>
      <c r="BW50" s="230">
        <v>-1909422</v>
      </c>
      <c r="BX50" s="229">
        <v>-0.56389999999999996</v>
      </c>
      <c r="BY50" s="230">
        <v>1213</v>
      </c>
      <c r="BZ50" s="230">
        <v>1205</v>
      </c>
      <c r="CA50" s="228">
        <v>8</v>
      </c>
      <c r="CB50" s="229">
        <v>6.4999999999999997E-3</v>
      </c>
      <c r="CC50" s="230">
        <v>1190</v>
      </c>
      <c r="CD50" s="230">
        <v>1183</v>
      </c>
      <c r="CE50" s="228">
        <v>7</v>
      </c>
      <c r="CF50" s="229">
        <v>6.0000000000000001E-3</v>
      </c>
      <c r="CG50" s="228">
        <v>20</v>
      </c>
      <c r="CH50" s="228">
        <v>19</v>
      </c>
      <c r="CI50" s="228">
        <v>1</v>
      </c>
      <c r="CJ50" s="229">
        <v>3.78E-2</v>
      </c>
      <c r="CK50" s="228">
        <v>3</v>
      </c>
      <c r="CL50" s="228">
        <v>3</v>
      </c>
      <c r="CM50" s="228">
        <v>0</v>
      </c>
      <c r="CN50" s="229">
        <v>3.3300000000000003E-2</v>
      </c>
      <c r="CO50" s="228">
        <v>221</v>
      </c>
      <c r="CP50" s="228">
        <v>212</v>
      </c>
      <c r="CQ50" s="228">
        <v>9</v>
      </c>
      <c r="CR50" s="229">
        <v>4.3900000000000002E-2</v>
      </c>
      <c r="CS50" s="228">
        <v>112</v>
      </c>
      <c r="CT50" s="228">
        <v>107</v>
      </c>
      <c r="CU50" s="228">
        <v>5</v>
      </c>
      <c r="CV50" s="229">
        <v>5.0700000000000002E-2</v>
      </c>
      <c r="CW50" s="230">
        <v>1546</v>
      </c>
      <c r="CX50" s="230">
        <v>1524</v>
      </c>
      <c r="CY50" s="228">
        <v>23</v>
      </c>
      <c r="CZ50" s="229">
        <v>1.4800000000000001E-2</v>
      </c>
      <c r="DA50" s="228">
        <v>31.48</v>
      </c>
      <c r="DB50" s="228">
        <v>33.28</v>
      </c>
      <c r="DC50" s="228">
        <v>-1.8</v>
      </c>
      <c r="DD50" s="228">
        <v>-1.8</v>
      </c>
      <c r="DE50" s="228">
        <v>32.51</v>
      </c>
      <c r="DF50" s="228">
        <v>32.51</v>
      </c>
      <c r="DG50" s="228">
        <v>-1.03</v>
      </c>
      <c r="DH50" s="228">
        <v>0</v>
      </c>
      <c r="DI50" s="228">
        <v>30.79</v>
      </c>
      <c r="DJ50" s="228">
        <v>32.909999999999997</v>
      </c>
      <c r="DK50" s="228">
        <v>-2.12</v>
      </c>
      <c r="DL50" s="228">
        <v>-2.12</v>
      </c>
      <c r="DM50" s="228">
        <v>33.39</v>
      </c>
      <c r="DN50" s="228">
        <v>34.07</v>
      </c>
      <c r="DO50" s="228">
        <v>-0.68</v>
      </c>
      <c r="DP50" s="228">
        <v>-0.68</v>
      </c>
      <c r="DQ50" s="228">
        <v>0.51</v>
      </c>
      <c r="DR50" s="228">
        <v>0.5</v>
      </c>
      <c r="DS50" s="228">
        <v>0.01</v>
      </c>
      <c r="DT50" s="229">
        <v>0.02</v>
      </c>
      <c r="DU50" s="228">
        <v>270</v>
      </c>
      <c r="DV50" s="228">
        <v>250</v>
      </c>
      <c r="DW50" s="228">
        <v>0.36</v>
      </c>
      <c r="DX50" s="228">
        <v>0.46</v>
      </c>
      <c r="DY50" s="228">
        <v>-0.1</v>
      </c>
      <c r="DZ50" s="229">
        <v>-0.21740000000000001</v>
      </c>
      <c r="EA50" s="229">
        <v>1.8599999999999998E-2</v>
      </c>
      <c r="EB50" s="230">
        <v>869400</v>
      </c>
      <c r="EC50" s="229">
        <v>7.0000000000000001E-3</v>
      </c>
      <c r="ED50" s="229">
        <v>1.8599999999999998E-2</v>
      </c>
      <c r="EE50" s="228">
        <v>1.86</v>
      </c>
      <c r="EF50" s="229">
        <v>7.4999999999999997E-3</v>
      </c>
      <c r="EG50" s="230">
        <v>545572</v>
      </c>
      <c r="EH50" s="230">
        <v>1845929</v>
      </c>
      <c r="EI50" s="229">
        <v>-0.70440000000000003</v>
      </c>
      <c r="EJ50" s="229">
        <v>0.36940000000000001</v>
      </c>
      <c r="EK50" s="228">
        <v>213.62</v>
      </c>
      <c r="EL50" s="228">
        <v>73.2</v>
      </c>
      <c r="EM50" s="228">
        <v>102.82</v>
      </c>
      <c r="EN50" s="228">
        <v>23.73</v>
      </c>
      <c r="EO50" s="228">
        <v>389.64</v>
      </c>
      <c r="EP50" s="228">
        <v>361.3</v>
      </c>
      <c r="EQ50" s="228">
        <v>28.34</v>
      </c>
      <c r="ER50" s="229">
        <v>7.8399999999999997E-2</v>
      </c>
      <c r="ES50" s="228">
        <v>241.76</v>
      </c>
      <c r="ET50" s="228">
        <v>114.93</v>
      </c>
      <c r="EU50" s="231">
        <v>1213.04</v>
      </c>
      <c r="EV50" s="231">
        <v>96587231</v>
      </c>
      <c r="EW50" s="231">
        <v>1569.73</v>
      </c>
      <c r="EX50" s="231">
        <v>1527.89</v>
      </c>
      <c r="EY50" s="228">
        <v>41.84</v>
      </c>
      <c r="EZ50" s="229">
        <v>2.7400000000000001E-2</v>
      </c>
      <c r="FA50" s="229">
        <v>0.63839999999999997</v>
      </c>
      <c r="FB50" s="227" t="s">
        <v>555</v>
      </c>
      <c r="FC50">
        <f t="shared" si="0"/>
        <v>23</v>
      </c>
    </row>
    <row r="51" spans="1:159" ht="17.25" hidden="1" thickBot="1" x14ac:dyDescent="0.3">
      <c r="A51" s="226">
        <v>46086</v>
      </c>
      <c r="B51" s="227" t="s">
        <v>184</v>
      </c>
      <c r="C51" s="227" t="s">
        <v>203</v>
      </c>
      <c r="D51" s="228">
        <v>200</v>
      </c>
      <c r="E51" s="228">
        <v>25</v>
      </c>
      <c r="F51" s="231">
        <v>4800.3999999999996</v>
      </c>
      <c r="G51" s="231">
        <v>4607.7</v>
      </c>
      <c r="H51" s="228">
        <v>192.7</v>
      </c>
      <c r="I51" s="229">
        <v>4.1799999999999997E-2</v>
      </c>
      <c r="J51" s="231">
        <v>4791.3999999999996</v>
      </c>
      <c r="K51" s="231">
        <v>4584.8</v>
      </c>
      <c r="L51" s="228">
        <v>206.6</v>
      </c>
      <c r="M51" s="229">
        <v>4.5100000000000001E-2</v>
      </c>
      <c r="N51" s="231">
        <v>4800.3999999999996</v>
      </c>
      <c r="O51" s="231">
        <v>4607.7</v>
      </c>
      <c r="P51" s="228">
        <v>192.7</v>
      </c>
      <c r="Q51" s="229">
        <v>4.1799999999999997E-2</v>
      </c>
      <c r="R51" s="231">
        <v>4817.6000000000004</v>
      </c>
      <c r="S51" s="231">
        <v>4625.6000000000004</v>
      </c>
      <c r="T51" s="228">
        <v>192</v>
      </c>
      <c r="U51" s="229">
        <v>4.1500000000000002E-2</v>
      </c>
      <c r="V51" s="231">
        <v>4849.1000000000004</v>
      </c>
      <c r="W51" s="231">
        <v>4689.3</v>
      </c>
      <c r="X51" s="228">
        <v>159.80000000000001</v>
      </c>
      <c r="Y51" s="229">
        <v>3.4099999999999998E-2</v>
      </c>
      <c r="Z51" s="228">
        <v>9</v>
      </c>
      <c r="AA51" s="228">
        <v>22.9</v>
      </c>
      <c r="AB51" s="228">
        <v>-13.9</v>
      </c>
      <c r="AC51" s="229">
        <v>1.9E-3</v>
      </c>
      <c r="AD51" s="228">
        <v>9</v>
      </c>
      <c r="AE51" s="228">
        <v>22.9</v>
      </c>
      <c r="AF51" s="228">
        <v>-13.9</v>
      </c>
      <c r="AG51" s="229">
        <v>1.9E-3</v>
      </c>
      <c r="AH51" s="228">
        <v>26.2</v>
      </c>
      <c r="AI51" s="228">
        <v>40.799999999999997</v>
      </c>
      <c r="AJ51" s="228">
        <v>-14.6</v>
      </c>
      <c r="AK51" s="229">
        <v>5.4999999999999997E-3</v>
      </c>
      <c r="AL51" s="228">
        <v>57.7</v>
      </c>
      <c r="AM51" s="228">
        <v>104.5</v>
      </c>
      <c r="AN51" s="228">
        <v>-46.8</v>
      </c>
      <c r="AO51" s="229">
        <v>1.2E-2</v>
      </c>
      <c r="AP51" s="231">
        <v>4750.1499999999996</v>
      </c>
      <c r="AQ51" s="231">
        <v>4763.12</v>
      </c>
      <c r="AR51" s="228">
        <v>0</v>
      </c>
      <c r="AS51" s="228">
        <v>445</v>
      </c>
      <c r="AT51" s="228">
        <v>532</v>
      </c>
      <c r="AU51" s="228">
        <v>-87</v>
      </c>
      <c r="AV51" s="229">
        <v>-0.16400000000000001</v>
      </c>
      <c r="AW51" s="228">
        <v>427</v>
      </c>
      <c r="AX51" s="228">
        <v>518</v>
      </c>
      <c r="AY51" s="228">
        <v>-91</v>
      </c>
      <c r="AZ51" s="229">
        <v>-0.17580000000000001</v>
      </c>
      <c r="BA51" s="228">
        <v>16</v>
      </c>
      <c r="BB51" s="228">
        <v>13</v>
      </c>
      <c r="BC51" s="228">
        <v>2</v>
      </c>
      <c r="BD51" s="229">
        <v>0.17860000000000001</v>
      </c>
      <c r="BE51" s="228">
        <v>2</v>
      </c>
      <c r="BF51" s="228">
        <v>0</v>
      </c>
      <c r="BG51" s="228">
        <v>1</v>
      </c>
      <c r="BH51" s="229">
        <v>3</v>
      </c>
      <c r="BI51" s="228">
        <v>957</v>
      </c>
      <c r="BJ51" s="228">
        <v>667</v>
      </c>
      <c r="BK51" s="228">
        <v>289</v>
      </c>
      <c r="BL51" s="229">
        <v>0.43390000000000001</v>
      </c>
      <c r="BM51" s="228">
        <v>376</v>
      </c>
      <c r="BN51" s="228">
        <v>845</v>
      </c>
      <c r="BO51" s="228">
        <v>-469</v>
      </c>
      <c r="BP51" s="229">
        <v>-0.55500000000000005</v>
      </c>
      <c r="BQ51" s="230">
        <v>1777</v>
      </c>
      <c r="BR51" s="230">
        <v>2044</v>
      </c>
      <c r="BS51" s="228">
        <v>-267</v>
      </c>
      <c r="BT51" s="229">
        <v>-0.13039999999999999</v>
      </c>
      <c r="BU51" s="230">
        <v>980611</v>
      </c>
      <c r="BV51" s="230">
        <v>981730</v>
      </c>
      <c r="BW51" s="230">
        <v>-1119</v>
      </c>
      <c r="BX51" s="229">
        <v>-1.1000000000000001E-3</v>
      </c>
      <c r="BY51" s="230">
        <v>1566</v>
      </c>
      <c r="BZ51" s="230">
        <v>1589</v>
      </c>
      <c r="CA51" s="228">
        <v>-23</v>
      </c>
      <c r="CB51" s="229">
        <v>-1.43E-2</v>
      </c>
      <c r="CC51" s="230">
        <v>1550</v>
      </c>
      <c r="CD51" s="230">
        <v>1575</v>
      </c>
      <c r="CE51" s="228">
        <v>-25</v>
      </c>
      <c r="CF51" s="229">
        <v>-1.6E-2</v>
      </c>
      <c r="CG51" s="228">
        <v>15</v>
      </c>
      <c r="CH51" s="228">
        <v>13</v>
      </c>
      <c r="CI51" s="228">
        <v>2</v>
      </c>
      <c r="CJ51" s="229">
        <v>0.14710000000000001</v>
      </c>
      <c r="CK51" s="228">
        <v>1</v>
      </c>
      <c r="CL51" s="228">
        <v>1</v>
      </c>
      <c r="CM51" s="228">
        <v>0</v>
      </c>
      <c r="CN51" s="229">
        <v>0.83330000000000004</v>
      </c>
      <c r="CO51" s="228">
        <v>400</v>
      </c>
      <c r="CP51" s="228">
        <v>354</v>
      </c>
      <c r="CQ51" s="228">
        <v>46</v>
      </c>
      <c r="CR51" s="229">
        <v>0.13</v>
      </c>
      <c r="CS51" s="228">
        <v>283</v>
      </c>
      <c r="CT51" s="228">
        <v>287</v>
      </c>
      <c r="CU51" s="228">
        <v>-4</v>
      </c>
      <c r="CV51" s="229">
        <v>-1.34E-2</v>
      </c>
      <c r="CW51" s="230">
        <v>2249</v>
      </c>
      <c r="CX51" s="230">
        <v>2230</v>
      </c>
      <c r="CY51" s="228">
        <v>19</v>
      </c>
      <c r="CZ51" s="229">
        <v>8.6999999999999994E-3</v>
      </c>
      <c r="DA51" s="228">
        <v>30.29</v>
      </c>
      <c r="DB51" s="228">
        <v>33.17</v>
      </c>
      <c r="DC51" s="228">
        <v>-2.88</v>
      </c>
      <c r="DD51" s="228">
        <v>-2.88</v>
      </c>
      <c r="DE51" s="228">
        <v>34.83</v>
      </c>
      <c r="DF51" s="228">
        <v>34.4</v>
      </c>
      <c r="DG51" s="228">
        <v>-4.54</v>
      </c>
      <c r="DH51" s="228">
        <v>0.43</v>
      </c>
      <c r="DI51" s="228">
        <v>29.51</v>
      </c>
      <c r="DJ51" s="228">
        <v>32.06</v>
      </c>
      <c r="DK51" s="228">
        <v>-2.5499999999999998</v>
      </c>
      <c r="DL51" s="228">
        <v>-2.5499999999999998</v>
      </c>
      <c r="DM51" s="228">
        <v>32.270000000000003</v>
      </c>
      <c r="DN51" s="228">
        <v>34.04</v>
      </c>
      <c r="DO51" s="228">
        <v>-1.77</v>
      </c>
      <c r="DP51" s="228">
        <v>-1.77</v>
      </c>
      <c r="DQ51" s="228">
        <v>0.71</v>
      </c>
      <c r="DR51" s="228">
        <v>0.81</v>
      </c>
      <c r="DS51" s="228">
        <v>-0.1</v>
      </c>
      <c r="DT51" s="229">
        <v>-0.1235</v>
      </c>
      <c r="DU51" s="231">
        <v>5000</v>
      </c>
      <c r="DV51" s="231">
        <v>4500</v>
      </c>
      <c r="DW51" s="228">
        <v>0.39</v>
      </c>
      <c r="DX51" s="228">
        <v>1.27</v>
      </c>
      <c r="DY51" s="228">
        <v>-0.88</v>
      </c>
      <c r="DZ51" s="229">
        <v>-0.69289999999999996</v>
      </c>
      <c r="EA51" s="229">
        <v>1.0200000000000001E-2</v>
      </c>
      <c r="EB51" s="230">
        <v>28400</v>
      </c>
      <c r="EC51" s="229">
        <v>3.5999999999999999E-3</v>
      </c>
      <c r="ED51" s="229">
        <v>1.0200000000000001E-2</v>
      </c>
      <c r="EE51" s="228">
        <v>12.97</v>
      </c>
      <c r="EF51" s="229">
        <v>2.7000000000000001E-3</v>
      </c>
      <c r="EG51" s="230">
        <v>631071</v>
      </c>
      <c r="EH51" s="230">
        <v>612234</v>
      </c>
      <c r="EI51" s="229">
        <v>3.0800000000000001E-2</v>
      </c>
      <c r="EJ51" s="229">
        <v>0.64349999999999996</v>
      </c>
      <c r="EK51" s="228">
        <v>995.38</v>
      </c>
      <c r="EL51" s="228">
        <v>359.37</v>
      </c>
      <c r="EM51" s="228">
        <v>440.3</v>
      </c>
      <c r="EN51" s="228">
        <v>38.86</v>
      </c>
      <c r="EO51" s="231">
        <v>1795.04</v>
      </c>
      <c r="EP51" s="231">
        <v>2022.45</v>
      </c>
      <c r="EQ51" s="228">
        <v>-227.41</v>
      </c>
      <c r="ER51" s="229">
        <v>-0.1124</v>
      </c>
      <c r="ES51" s="228">
        <v>411.89</v>
      </c>
      <c r="ET51" s="228">
        <v>267.75</v>
      </c>
      <c r="EU51" s="231">
        <v>1566.05</v>
      </c>
      <c r="EV51" s="231">
        <v>19131188</v>
      </c>
      <c r="EW51" s="231">
        <v>2245.69</v>
      </c>
      <c r="EX51" s="231">
        <v>2160.2800000000002</v>
      </c>
      <c r="EY51" s="228">
        <v>85.41</v>
      </c>
      <c r="EZ51" s="229">
        <v>3.95E-2</v>
      </c>
      <c r="FA51" s="229">
        <v>0.24490000000000001</v>
      </c>
      <c r="FB51" s="227" t="s">
        <v>556</v>
      </c>
      <c r="FC51">
        <f t="shared" si="0"/>
        <v>16</v>
      </c>
    </row>
    <row r="52" spans="1:159" ht="17.25" hidden="1" thickBot="1" x14ac:dyDescent="0.3">
      <c r="A52" s="226">
        <v>46086</v>
      </c>
      <c r="B52" s="227" t="s">
        <v>168</v>
      </c>
      <c r="C52" s="227" t="s">
        <v>204</v>
      </c>
      <c r="D52" s="228">
        <v>1250</v>
      </c>
      <c r="E52" s="228">
        <v>25</v>
      </c>
      <c r="F52" s="228">
        <v>489.7</v>
      </c>
      <c r="G52" s="228">
        <v>489.7</v>
      </c>
      <c r="H52" s="228">
        <v>0</v>
      </c>
      <c r="I52" s="229">
        <v>0</v>
      </c>
      <c r="J52" s="228">
        <v>487.9</v>
      </c>
      <c r="K52" s="228">
        <v>487.4</v>
      </c>
      <c r="L52" s="228">
        <v>0.5</v>
      </c>
      <c r="M52" s="229">
        <v>1E-3</v>
      </c>
      <c r="N52" s="228">
        <v>489.7</v>
      </c>
      <c r="O52" s="228">
        <v>489.7</v>
      </c>
      <c r="P52" s="228">
        <v>0</v>
      </c>
      <c r="Q52" s="229">
        <v>0</v>
      </c>
      <c r="R52" s="228">
        <v>492.95</v>
      </c>
      <c r="S52" s="228">
        <v>492.65</v>
      </c>
      <c r="T52" s="228">
        <v>0.3</v>
      </c>
      <c r="U52" s="229">
        <v>5.9999999999999995E-4</v>
      </c>
      <c r="V52" s="228">
        <v>496</v>
      </c>
      <c r="W52" s="228">
        <v>495.95</v>
      </c>
      <c r="X52" s="228">
        <v>0.05</v>
      </c>
      <c r="Y52" s="229">
        <v>1E-4</v>
      </c>
      <c r="Z52" s="228">
        <v>1.8</v>
      </c>
      <c r="AA52" s="228">
        <v>2.2999999999999998</v>
      </c>
      <c r="AB52" s="228">
        <v>-0.5</v>
      </c>
      <c r="AC52" s="229">
        <v>3.7000000000000002E-3</v>
      </c>
      <c r="AD52" s="228">
        <v>1.8</v>
      </c>
      <c r="AE52" s="228">
        <v>2.2999999999999998</v>
      </c>
      <c r="AF52" s="228">
        <v>-0.5</v>
      </c>
      <c r="AG52" s="229">
        <v>3.7000000000000002E-3</v>
      </c>
      <c r="AH52" s="228">
        <v>5.05</v>
      </c>
      <c r="AI52" s="228">
        <v>5.25</v>
      </c>
      <c r="AJ52" s="228">
        <v>-0.2</v>
      </c>
      <c r="AK52" s="229">
        <v>1.04E-2</v>
      </c>
      <c r="AL52" s="228">
        <v>8.1</v>
      </c>
      <c r="AM52" s="228">
        <v>8.5500000000000007</v>
      </c>
      <c r="AN52" s="228">
        <v>-0.45</v>
      </c>
      <c r="AO52" s="229">
        <v>1.66E-2</v>
      </c>
      <c r="AP52" s="228">
        <v>488.34</v>
      </c>
      <c r="AQ52" s="228">
        <v>491.85</v>
      </c>
      <c r="AR52" s="228">
        <v>0</v>
      </c>
      <c r="AS52" s="228">
        <v>146</v>
      </c>
      <c r="AT52" s="228">
        <v>191</v>
      </c>
      <c r="AU52" s="228">
        <v>-45</v>
      </c>
      <c r="AV52" s="229">
        <v>-0.23730000000000001</v>
      </c>
      <c r="AW52" s="228">
        <v>135</v>
      </c>
      <c r="AX52" s="228">
        <v>179</v>
      </c>
      <c r="AY52" s="228">
        <v>-44</v>
      </c>
      <c r="AZ52" s="229">
        <v>-0.248</v>
      </c>
      <c r="BA52" s="228">
        <v>9</v>
      </c>
      <c r="BB52" s="228">
        <v>8</v>
      </c>
      <c r="BC52" s="228">
        <v>1</v>
      </c>
      <c r="BD52" s="229">
        <v>9.6299999999999997E-2</v>
      </c>
      <c r="BE52" s="228">
        <v>2</v>
      </c>
      <c r="BF52" s="228">
        <v>4</v>
      </c>
      <c r="BG52" s="228">
        <v>-2</v>
      </c>
      <c r="BH52" s="229">
        <v>-0.4667</v>
      </c>
      <c r="BI52" s="228">
        <v>386</v>
      </c>
      <c r="BJ52" s="228">
        <v>377</v>
      </c>
      <c r="BK52" s="228">
        <v>9</v>
      </c>
      <c r="BL52" s="229">
        <v>2.29E-2</v>
      </c>
      <c r="BM52" s="228">
        <v>222</v>
      </c>
      <c r="BN52" s="228">
        <v>250</v>
      </c>
      <c r="BO52" s="228">
        <v>-28</v>
      </c>
      <c r="BP52" s="229">
        <v>-0.11360000000000001</v>
      </c>
      <c r="BQ52" s="228">
        <v>753</v>
      </c>
      <c r="BR52" s="228">
        <v>818</v>
      </c>
      <c r="BS52" s="228">
        <v>-65</v>
      </c>
      <c r="BT52" s="229">
        <v>-7.9600000000000004E-2</v>
      </c>
      <c r="BU52" s="230">
        <v>1005878</v>
      </c>
      <c r="BV52" s="230">
        <v>1774096</v>
      </c>
      <c r="BW52" s="230">
        <v>-768218</v>
      </c>
      <c r="BX52" s="229">
        <v>-0.433</v>
      </c>
      <c r="BY52" s="230">
        <v>1235</v>
      </c>
      <c r="BZ52" s="230">
        <v>1217</v>
      </c>
      <c r="CA52" s="228">
        <v>18</v>
      </c>
      <c r="CB52" s="229">
        <v>1.4500000000000001E-2</v>
      </c>
      <c r="CC52" s="230">
        <v>1213</v>
      </c>
      <c r="CD52" s="230">
        <v>1200</v>
      </c>
      <c r="CE52" s="228">
        <v>13</v>
      </c>
      <c r="CF52" s="229">
        <v>1.06E-2</v>
      </c>
      <c r="CG52" s="228">
        <v>19</v>
      </c>
      <c r="CH52" s="228">
        <v>14</v>
      </c>
      <c r="CI52" s="228">
        <v>4</v>
      </c>
      <c r="CJ52" s="229">
        <v>0.30769999999999997</v>
      </c>
      <c r="CK52" s="228">
        <v>3</v>
      </c>
      <c r="CL52" s="228">
        <v>3</v>
      </c>
      <c r="CM52" s="228">
        <v>1</v>
      </c>
      <c r="CN52" s="229">
        <v>0.21429999999999999</v>
      </c>
      <c r="CO52" s="228">
        <v>434</v>
      </c>
      <c r="CP52" s="228">
        <v>385</v>
      </c>
      <c r="CQ52" s="228">
        <v>49</v>
      </c>
      <c r="CR52" s="229">
        <v>0.1273</v>
      </c>
      <c r="CS52" s="228">
        <v>214</v>
      </c>
      <c r="CT52" s="228">
        <v>207</v>
      </c>
      <c r="CU52" s="228">
        <v>7</v>
      </c>
      <c r="CV52" s="229">
        <v>3.3399999999999999E-2</v>
      </c>
      <c r="CW52" s="230">
        <v>1882</v>
      </c>
      <c r="CX52" s="230">
        <v>1809</v>
      </c>
      <c r="CY52" s="228">
        <v>74</v>
      </c>
      <c r="CZ52" s="229">
        <v>4.07E-2</v>
      </c>
      <c r="DA52" s="228">
        <v>23.21</v>
      </c>
      <c r="DB52" s="228">
        <v>25.52</v>
      </c>
      <c r="DC52" s="228">
        <v>-2.31</v>
      </c>
      <c r="DD52" s="228">
        <v>-2.31</v>
      </c>
      <c r="DE52" s="228">
        <v>24.51</v>
      </c>
      <c r="DF52" s="228">
        <v>24.57</v>
      </c>
      <c r="DG52" s="228">
        <v>-1.3</v>
      </c>
      <c r="DH52" s="228">
        <v>-0.06</v>
      </c>
      <c r="DI52" s="228">
        <v>23.04</v>
      </c>
      <c r="DJ52" s="228">
        <v>25.12</v>
      </c>
      <c r="DK52" s="228">
        <v>-2.08</v>
      </c>
      <c r="DL52" s="228">
        <v>-2.08</v>
      </c>
      <c r="DM52" s="228">
        <v>23.5</v>
      </c>
      <c r="DN52" s="228">
        <v>26.11</v>
      </c>
      <c r="DO52" s="228">
        <v>-2.61</v>
      </c>
      <c r="DP52" s="228">
        <v>-2.61</v>
      </c>
      <c r="DQ52" s="228">
        <v>0.49</v>
      </c>
      <c r="DR52" s="228">
        <v>0.54</v>
      </c>
      <c r="DS52" s="228">
        <v>-0.05</v>
      </c>
      <c r="DT52" s="229">
        <v>-9.2600000000000002E-2</v>
      </c>
      <c r="DU52" s="228">
        <v>520</v>
      </c>
      <c r="DV52" s="228">
        <v>480</v>
      </c>
      <c r="DW52" s="228">
        <v>0.56999999999999995</v>
      </c>
      <c r="DX52" s="228">
        <v>0.66</v>
      </c>
      <c r="DY52" s="228">
        <v>-0.09</v>
      </c>
      <c r="DZ52" s="229">
        <v>-0.13639999999999999</v>
      </c>
      <c r="EA52" s="229">
        <v>1.77E-2</v>
      </c>
      <c r="EB52" s="230">
        <v>345000</v>
      </c>
      <c r="EC52" s="229">
        <v>6.6E-3</v>
      </c>
      <c r="ED52" s="229">
        <v>1.77E-2</v>
      </c>
      <c r="EE52" s="228">
        <v>3.51</v>
      </c>
      <c r="EF52" s="229">
        <v>7.1999999999999998E-3</v>
      </c>
      <c r="EG52" s="230">
        <v>487617</v>
      </c>
      <c r="EH52" s="230">
        <v>1047860</v>
      </c>
      <c r="EI52" s="229">
        <v>-0.53469999999999995</v>
      </c>
      <c r="EJ52" s="229">
        <v>0.48480000000000001</v>
      </c>
      <c r="EK52" s="228">
        <v>410.7</v>
      </c>
      <c r="EL52" s="228">
        <v>220.5</v>
      </c>
      <c r="EM52" s="228">
        <v>145.43</v>
      </c>
      <c r="EN52" s="228">
        <v>22.78</v>
      </c>
      <c r="EO52" s="228">
        <v>776.64</v>
      </c>
      <c r="EP52" s="228">
        <v>847.64</v>
      </c>
      <c r="EQ52" s="228">
        <v>-71</v>
      </c>
      <c r="ER52" s="229">
        <v>-8.3799999999999999E-2</v>
      </c>
      <c r="ES52" s="228">
        <v>472.14</v>
      </c>
      <c r="ET52" s="228">
        <v>213.52</v>
      </c>
      <c r="EU52" s="231">
        <v>1234.8800000000001</v>
      </c>
      <c r="EV52" s="231">
        <v>89873278</v>
      </c>
      <c r="EW52" s="231">
        <v>1920.54</v>
      </c>
      <c r="EX52" s="231">
        <v>1846.54</v>
      </c>
      <c r="EY52" s="228">
        <v>74</v>
      </c>
      <c r="EZ52" s="229">
        <v>4.0099999999999997E-2</v>
      </c>
      <c r="FA52" s="229">
        <v>0.42770000000000002</v>
      </c>
      <c r="FB52" s="227" t="s">
        <v>237</v>
      </c>
      <c r="FC52">
        <f t="shared" si="0"/>
        <v>22</v>
      </c>
    </row>
    <row r="53" spans="1:159" ht="17.25" hidden="1" thickBot="1" x14ac:dyDescent="0.3">
      <c r="A53" s="226">
        <v>46086</v>
      </c>
      <c r="B53" s="227" t="s">
        <v>157</v>
      </c>
      <c r="C53" s="227" t="s">
        <v>524</v>
      </c>
      <c r="D53" s="228">
        <v>325</v>
      </c>
      <c r="E53" s="228">
        <v>25</v>
      </c>
      <c r="F53" s="231">
        <v>1932.6</v>
      </c>
      <c r="G53" s="231">
        <v>1901.3</v>
      </c>
      <c r="H53" s="228">
        <v>31.3</v>
      </c>
      <c r="I53" s="229">
        <v>1.6500000000000001E-2</v>
      </c>
      <c r="J53" s="231">
        <v>1928.7</v>
      </c>
      <c r="K53" s="231">
        <v>1895.7</v>
      </c>
      <c r="L53" s="228">
        <v>33</v>
      </c>
      <c r="M53" s="229">
        <v>1.7399999999999999E-2</v>
      </c>
      <c r="N53" s="231">
        <v>1932.6</v>
      </c>
      <c r="O53" s="231">
        <v>1901.3</v>
      </c>
      <c r="P53" s="228">
        <v>31.3</v>
      </c>
      <c r="Q53" s="229">
        <v>1.6500000000000001E-2</v>
      </c>
      <c r="R53" s="231">
        <v>1946</v>
      </c>
      <c r="S53" s="231">
        <v>1912</v>
      </c>
      <c r="T53" s="228">
        <v>34</v>
      </c>
      <c r="U53" s="229">
        <v>1.78E-2</v>
      </c>
      <c r="V53" s="231">
        <v>1907</v>
      </c>
      <c r="W53" s="231">
        <v>1922</v>
      </c>
      <c r="X53" s="228">
        <v>-15</v>
      </c>
      <c r="Y53" s="229">
        <v>-7.7999999999999996E-3</v>
      </c>
      <c r="Z53" s="228">
        <v>3.9</v>
      </c>
      <c r="AA53" s="228">
        <v>5.6</v>
      </c>
      <c r="AB53" s="228">
        <v>-1.7</v>
      </c>
      <c r="AC53" s="229">
        <v>2E-3</v>
      </c>
      <c r="AD53" s="228">
        <v>3.9</v>
      </c>
      <c r="AE53" s="228">
        <v>5.6</v>
      </c>
      <c r="AF53" s="228">
        <v>-1.7</v>
      </c>
      <c r="AG53" s="229">
        <v>2E-3</v>
      </c>
      <c r="AH53" s="228">
        <v>17.3</v>
      </c>
      <c r="AI53" s="228">
        <v>16.3</v>
      </c>
      <c r="AJ53" s="228">
        <v>1</v>
      </c>
      <c r="AK53" s="229">
        <v>8.9999999999999993E-3</v>
      </c>
      <c r="AL53" s="228">
        <v>-21.7</v>
      </c>
      <c r="AM53" s="228">
        <v>26.3</v>
      </c>
      <c r="AN53" s="228">
        <v>-48</v>
      </c>
      <c r="AO53" s="229">
        <v>-1.1299999999999999E-2</v>
      </c>
      <c r="AP53" s="231">
        <v>1905.39</v>
      </c>
      <c r="AQ53" s="231">
        <v>1913</v>
      </c>
      <c r="AR53" s="228">
        <v>0</v>
      </c>
      <c r="AS53" s="228">
        <v>63</v>
      </c>
      <c r="AT53" s="228">
        <v>92</v>
      </c>
      <c r="AU53" s="228">
        <v>-29</v>
      </c>
      <c r="AV53" s="229">
        <v>-0.31950000000000001</v>
      </c>
      <c r="AW53" s="228">
        <v>57</v>
      </c>
      <c r="AX53" s="228">
        <v>88</v>
      </c>
      <c r="AY53" s="228">
        <v>-31</v>
      </c>
      <c r="AZ53" s="229">
        <v>-0.34739999999999999</v>
      </c>
      <c r="BA53" s="228">
        <v>5</v>
      </c>
      <c r="BB53" s="228">
        <v>4</v>
      </c>
      <c r="BC53" s="228">
        <v>1</v>
      </c>
      <c r="BD53" s="229">
        <v>0.33329999999999999</v>
      </c>
      <c r="BE53" s="228">
        <v>0</v>
      </c>
      <c r="BF53" s="228">
        <v>0</v>
      </c>
      <c r="BG53" s="228">
        <v>0</v>
      </c>
      <c r="BH53" s="229">
        <v>0</v>
      </c>
      <c r="BI53" s="228">
        <v>76</v>
      </c>
      <c r="BJ53" s="228">
        <v>90</v>
      </c>
      <c r="BK53" s="228">
        <v>-14</v>
      </c>
      <c r="BL53" s="229">
        <v>-0.15579999999999999</v>
      </c>
      <c r="BM53" s="228">
        <v>107</v>
      </c>
      <c r="BN53" s="228">
        <v>150</v>
      </c>
      <c r="BO53" s="228">
        <v>-43</v>
      </c>
      <c r="BP53" s="229">
        <v>-0.28889999999999999</v>
      </c>
      <c r="BQ53" s="228">
        <v>245</v>
      </c>
      <c r="BR53" s="228">
        <v>332</v>
      </c>
      <c r="BS53" s="228">
        <v>-87</v>
      </c>
      <c r="BT53" s="229">
        <v>-0.26150000000000001</v>
      </c>
      <c r="BU53" s="230">
        <v>106076</v>
      </c>
      <c r="BV53" s="230">
        <v>349614</v>
      </c>
      <c r="BW53" s="230">
        <v>-243538</v>
      </c>
      <c r="BX53" s="229">
        <v>-0.6966</v>
      </c>
      <c r="BY53" s="228">
        <v>406</v>
      </c>
      <c r="BZ53" s="228">
        <v>408</v>
      </c>
      <c r="CA53" s="228">
        <v>-1</v>
      </c>
      <c r="CB53" s="229">
        <v>-3.2000000000000002E-3</v>
      </c>
      <c r="CC53" s="228">
        <v>400</v>
      </c>
      <c r="CD53" s="228">
        <v>402</v>
      </c>
      <c r="CE53" s="228">
        <v>-2</v>
      </c>
      <c r="CF53" s="229">
        <v>-5.1000000000000004E-3</v>
      </c>
      <c r="CG53" s="228">
        <v>5</v>
      </c>
      <c r="CH53" s="228">
        <v>5</v>
      </c>
      <c r="CI53" s="228">
        <v>0</v>
      </c>
      <c r="CJ53" s="229">
        <v>8.9700000000000002E-2</v>
      </c>
      <c r="CK53" s="228">
        <v>1</v>
      </c>
      <c r="CL53" s="228">
        <v>0</v>
      </c>
      <c r="CM53" s="228">
        <v>0</v>
      </c>
      <c r="CN53" s="229">
        <v>1</v>
      </c>
      <c r="CO53" s="228">
        <v>182</v>
      </c>
      <c r="CP53" s="228">
        <v>169</v>
      </c>
      <c r="CQ53" s="228">
        <v>14</v>
      </c>
      <c r="CR53" s="229">
        <v>8.2299999999999998E-2</v>
      </c>
      <c r="CS53" s="228">
        <v>181</v>
      </c>
      <c r="CT53" s="228">
        <v>184</v>
      </c>
      <c r="CU53" s="228">
        <v>-3</v>
      </c>
      <c r="CV53" s="229">
        <v>-1.4999999999999999E-2</v>
      </c>
      <c r="CW53" s="228">
        <v>770</v>
      </c>
      <c r="CX53" s="228">
        <v>760</v>
      </c>
      <c r="CY53" s="228">
        <v>10</v>
      </c>
      <c r="CZ53" s="229">
        <v>1.29E-2</v>
      </c>
      <c r="DA53" s="228">
        <v>32.42</v>
      </c>
      <c r="DB53" s="228">
        <v>37.049999999999997</v>
      </c>
      <c r="DC53" s="228">
        <v>-4.63</v>
      </c>
      <c r="DD53" s="228">
        <v>-4.63</v>
      </c>
      <c r="DE53" s="228">
        <v>30.68</v>
      </c>
      <c r="DF53" s="228">
        <v>30.68</v>
      </c>
      <c r="DG53" s="228">
        <v>1.74</v>
      </c>
      <c r="DH53" s="228">
        <v>0</v>
      </c>
      <c r="DI53" s="228">
        <v>30.47</v>
      </c>
      <c r="DJ53" s="228">
        <v>35.57</v>
      </c>
      <c r="DK53" s="228">
        <v>-5.0999999999999996</v>
      </c>
      <c r="DL53" s="228">
        <v>-5.0999999999999996</v>
      </c>
      <c r="DM53" s="228">
        <v>33.799999999999997</v>
      </c>
      <c r="DN53" s="228">
        <v>37.93</v>
      </c>
      <c r="DO53" s="228">
        <v>-4.13</v>
      </c>
      <c r="DP53" s="228">
        <v>-4.13</v>
      </c>
      <c r="DQ53" s="228">
        <v>0.99</v>
      </c>
      <c r="DR53" s="228">
        <v>1.0900000000000001</v>
      </c>
      <c r="DS53" s="228">
        <v>-0.1</v>
      </c>
      <c r="DT53" s="229">
        <v>-9.1700000000000004E-2</v>
      </c>
      <c r="DU53" s="231">
        <v>2200</v>
      </c>
      <c r="DV53" s="231">
        <v>1900</v>
      </c>
      <c r="DW53" s="228">
        <v>1.42</v>
      </c>
      <c r="DX53" s="228">
        <v>1.68</v>
      </c>
      <c r="DY53" s="228">
        <v>-0.26</v>
      </c>
      <c r="DZ53" s="229">
        <v>-0.15479999999999999</v>
      </c>
      <c r="EA53" s="229">
        <v>1.47E-2</v>
      </c>
      <c r="EB53" s="230">
        <v>26975</v>
      </c>
      <c r="EC53" s="229">
        <v>6.8999999999999999E-3</v>
      </c>
      <c r="ED53" s="229">
        <v>1.47E-2</v>
      </c>
      <c r="EE53" s="228">
        <v>7.61</v>
      </c>
      <c r="EF53" s="229">
        <v>4.0000000000000001E-3</v>
      </c>
      <c r="EG53" s="230">
        <v>44955</v>
      </c>
      <c r="EH53" s="230">
        <v>241897</v>
      </c>
      <c r="EI53" s="229">
        <v>-0.81420000000000003</v>
      </c>
      <c r="EJ53" s="229">
        <v>0.42380000000000001</v>
      </c>
      <c r="EK53" s="228">
        <v>79.89</v>
      </c>
      <c r="EL53" s="228">
        <v>106.57</v>
      </c>
      <c r="EM53" s="228">
        <v>61.76</v>
      </c>
      <c r="EN53" s="228">
        <v>20.64</v>
      </c>
      <c r="EO53" s="228">
        <v>248.22</v>
      </c>
      <c r="EP53" s="228">
        <v>338.62</v>
      </c>
      <c r="EQ53" s="228">
        <v>-90.4</v>
      </c>
      <c r="ER53" s="229">
        <v>-0.26700000000000002</v>
      </c>
      <c r="ES53" s="228">
        <v>199.08</v>
      </c>
      <c r="ET53" s="228">
        <v>178.53</v>
      </c>
      <c r="EU53" s="228">
        <v>406.41</v>
      </c>
      <c r="EV53" s="231">
        <v>12425041</v>
      </c>
      <c r="EW53" s="228">
        <v>784.01</v>
      </c>
      <c r="EX53" s="228">
        <v>767.54</v>
      </c>
      <c r="EY53" s="228">
        <v>16.47</v>
      </c>
      <c r="EZ53" s="229">
        <v>2.1499999999999998E-2</v>
      </c>
      <c r="FA53" s="229">
        <v>0.32069999999999999</v>
      </c>
      <c r="FB53" s="227" t="s">
        <v>556</v>
      </c>
      <c r="FC53">
        <f t="shared" si="0"/>
        <v>6</v>
      </c>
    </row>
    <row r="54" spans="1:159" ht="17.25" hidden="1" thickBot="1" x14ac:dyDescent="0.3">
      <c r="A54" s="226">
        <v>46086</v>
      </c>
      <c r="B54" s="227" t="s">
        <v>615</v>
      </c>
      <c r="C54" s="227" t="s">
        <v>600</v>
      </c>
      <c r="D54" s="228">
        <v>2075</v>
      </c>
      <c r="E54" s="228">
        <v>25</v>
      </c>
      <c r="F54" s="228">
        <v>428.95</v>
      </c>
      <c r="G54" s="228">
        <v>418.85</v>
      </c>
      <c r="H54" s="228">
        <v>10.1</v>
      </c>
      <c r="I54" s="229">
        <v>2.41E-2</v>
      </c>
      <c r="J54" s="228">
        <v>428.1</v>
      </c>
      <c r="K54" s="228">
        <v>416.7</v>
      </c>
      <c r="L54" s="228">
        <v>11.4</v>
      </c>
      <c r="M54" s="229">
        <v>2.7400000000000001E-2</v>
      </c>
      <c r="N54" s="228">
        <v>428.95</v>
      </c>
      <c r="O54" s="228">
        <v>418.85</v>
      </c>
      <c r="P54" s="228">
        <v>10.1</v>
      </c>
      <c r="Q54" s="229">
        <v>2.41E-2</v>
      </c>
      <c r="R54" s="228">
        <v>431.9</v>
      </c>
      <c r="S54" s="228">
        <v>421.15</v>
      </c>
      <c r="T54" s="228">
        <v>10.75</v>
      </c>
      <c r="U54" s="229">
        <v>2.5499999999999998E-2</v>
      </c>
      <c r="V54" s="228">
        <v>432.95</v>
      </c>
      <c r="W54" s="228">
        <v>425</v>
      </c>
      <c r="X54" s="228">
        <v>7.95</v>
      </c>
      <c r="Y54" s="229">
        <v>1.8700000000000001E-2</v>
      </c>
      <c r="Z54" s="228">
        <v>0.85</v>
      </c>
      <c r="AA54" s="228">
        <v>2.15</v>
      </c>
      <c r="AB54" s="228">
        <v>-1.3</v>
      </c>
      <c r="AC54" s="229">
        <v>2E-3</v>
      </c>
      <c r="AD54" s="228">
        <v>0.85</v>
      </c>
      <c r="AE54" s="228">
        <v>2.15</v>
      </c>
      <c r="AF54" s="228">
        <v>-1.3</v>
      </c>
      <c r="AG54" s="229">
        <v>2E-3</v>
      </c>
      <c r="AH54" s="228">
        <v>3.8</v>
      </c>
      <c r="AI54" s="228">
        <v>4.45</v>
      </c>
      <c r="AJ54" s="228">
        <v>-0.65</v>
      </c>
      <c r="AK54" s="229">
        <v>8.8999999999999999E-3</v>
      </c>
      <c r="AL54" s="228">
        <v>4.8499999999999996</v>
      </c>
      <c r="AM54" s="228">
        <v>8.3000000000000007</v>
      </c>
      <c r="AN54" s="228">
        <v>-3.45</v>
      </c>
      <c r="AO54" s="229">
        <v>1.1299999999999999E-2</v>
      </c>
      <c r="AP54" s="228">
        <v>423.33</v>
      </c>
      <c r="AQ54" s="228">
        <v>425.05</v>
      </c>
      <c r="AR54" s="228">
        <v>0</v>
      </c>
      <c r="AS54" s="228">
        <v>152</v>
      </c>
      <c r="AT54" s="228">
        <v>192</v>
      </c>
      <c r="AU54" s="228">
        <v>-40</v>
      </c>
      <c r="AV54" s="229">
        <v>-0.20630000000000001</v>
      </c>
      <c r="AW54" s="228">
        <v>143</v>
      </c>
      <c r="AX54" s="228">
        <v>183</v>
      </c>
      <c r="AY54" s="228">
        <v>-40</v>
      </c>
      <c r="AZ54" s="229">
        <v>-0.21970000000000001</v>
      </c>
      <c r="BA54" s="228">
        <v>9</v>
      </c>
      <c r="BB54" s="228">
        <v>8</v>
      </c>
      <c r="BC54" s="228">
        <v>0</v>
      </c>
      <c r="BD54" s="229">
        <v>5.2600000000000001E-2</v>
      </c>
      <c r="BE54" s="228">
        <v>1</v>
      </c>
      <c r="BF54" s="228">
        <v>0</v>
      </c>
      <c r="BG54" s="228">
        <v>0</v>
      </c>
      <c r="BH54" s="229">
        <v>0.4</v>
      </c>
      <c r="BI54" s="228">
        <v>349</v>
      </c>
      <c r="BJ54" s="228">
        <v>194</v>
      </c>
      <c r="BK54" s="228">
        <v>155</v>
      </c>
      <c r="BL54" s="229">
        <v>0.79730000000000001</v>
      </c>
      <c r="BM54" s="228">
        <v>83</v>
      </c>
      <c r="BN54" s="228">
        <v>120</v>
      </c>
      <c r="BO54" s="228">
        <v>-37</v>
      </c>
      <c r="BP54" s="229">
        <v>-0.31009999999999999</v>
      </c>
      <c r="BQ54" s="228">
        <v>584</v>
      </c>
      <c r="BR54" s="228">
        <v>506</v>
      </c>
      <c r="BS54" s="228">
        <v>78</v>
      </c>
      <c r="BT54" s="229">
        <v>0.15379999999999999</v>
      </c>
      <c r="BU54" s="230">
        <v>1654109</v>
      </c>
      <c r="BV54" s="230">
        <v>1208629</v>
      </c>
      <c r="BW54" s="230">
        <v>445480</v>
      </c>
      <c r="BX54" s="229">
        <v>0.36859999999999998</v>
      </c>
      <c r="BY54" s="230">
        <v>1009</v>
      </c>
      <c r="BZ54" s="230">
        <v>1004</v>
      </c>
      <c r="CA54" s="228">
        <v>5</v>
      </c>
      <c r="CB54" s="229">
        <v>4.7999999999999996E-3</v>
      </c>
      <c r="CC54" s="228">
        <v>996</v>
      </c>
      <c r="CD54" s="228">
        <v>992</v>
      </c>
      <c r="CE54" s="228">
        <v>4</v>
      </c>
      <c r="CF54" s="229">
        <v>4.4000000000000003E-3</v>
      </c>
      <c r="CG54" s="228">
        <v>12</v>
      </c>
      <c r="CH54" s="228">
        <v>11</v>
      </c>
      <c r="CI54" s="228">
        <v>0</v>
      </c>
      <c r="CJ54" s="229">
        <v>2.3400000000000001E-2</v>
      </c>
      <c r="CK54" s="228">
        <v>1</v>
      </c>
      <c r="CL54" s="228">
        <v>1</v>
      </c>
      <c r="CM54" s="228">
        <v>0</v>
      </c>
      <c r="CN54" s="229">
        <v>0.25</v>
      </c>
      <c r="CO54" s="228">
        <v>269</v>
      </c>
      <c r="CP54" s="228">
        <v>221</v>
      </c>
      <c r="CQ54" s="228">
        <v>48</v>
      </c>
      <c r="CR54" s="229">
        <v>0.2155</v>
      </c>
      <c r="CS54" s="228">
        <v>118</v>
      </c>
      <c r="CT54" s="228">
        <v>103</v>
      </c>
      <c r="CU54" s="228">
        <v>15</v>
      </c>
      <c r="CV54" s="229">
        <v>0.14560000000000001</v>
      </c>
      <c r="CW54" s="230">
        <v>1396</v>
      </c>
      <c r="CX54" s="230">
        <v>1328</v>
      </c>
      <c r="CY54" s="228">
        <v>67</v>
      </c>
      <c r="CZ54" s="229">
        <v>5.0799999999999998E-2</v>
      </c>
      <c r="DA54" s="228">
        <v>29.81</v>
      </c>
      <c r="DB54" s="228">
        <v>33.770000000000003</v>
      </c>
      <c r="DC54" s="228">
        <v>-3.96</v>
      </c>
      <c r="DD54" s="228">
        <v>-3.96</v>
      </c>
      <c r="DE54" s="228">
        <v>39.049999999999997</v>
      </c>
      <c r="DF54" s="228">
        <v>39.020000000000003</v>
      </c>
      <c r="DG54" s="228">
        <v>-9.24</v>
      </c>
      <c r="DH54" s="228">
        <v>0.03</v>
      </c>
      <c r="DI54" s="228">
        <v>29.03</v>
      </c>
      <c r="DJ54" s="228">
        <v>32.520000000000003</v>
      </c>
      <c r="DK54" s="228">
        <v>-3.49</v>
      </c>
      <c r="DL54" s="228">
        <v>-3.49</v>
      </c>
      <c r="DM54" s="228">
        <v>33.1</v>
      </c>
      <c r="DN54" s="228">
        <v>35.79</v>
      </c>
      <c r="DO54" s="228">
        <v>-2.69</v>
      </c>
      <c r="DP54" s="228">
        <v>-2.69</v>
      </c>
      <c r="DQ54" s="228">
        <v>0.44</v>
      </c>
      <c r="DR54" s="228">
        <v>0.47</v>
      </c>
      <c r="DS54" s="228">
        <v>-0.03</v>
      </c>
      <c r="DT54" s="229">
        <v>-6.3799999999999996E-2</v>
      </c>
      <c r="DU54" s="228">
        <v>450</v>
      </c>
      <c r="DV54" s="228">
        <v>400</v>
      </c>
      <c r="DW54" s="228">
        <v>0.24</v>
      </c>
      <c r="DX54" s="228">
        <v>0.62</v>
      </c>
      <c r="DY54" s="228">
        <v>-0.38</v>
      </c>
      <c r="DZ54" s="229">
        <v>-0.6129</v>
      </c>
      <c r="EA54" s="229">
        <v>1.24E-2</v>
      </c>
      <c r="EB54" s="230">
        <v>282200</v>
      </c>
      <c r="EC54" s="229">
        <v>6.8999999999999999E-3</v>
      </c>
      <c r="ED54" s="229">
        <v>1.24E-2</v>
      </c>
      <c r="EE54" s="228">
        <v>1.72</v>
      </c>
      <c r="EF54" s="229">
        <v>4.1000000000000003E-3</v>
      </c>
      <c r="EG54" s="230">
        <v>819666</v>
      </c>
      <c r="EH54" s="230">
        <v>528024</v>
      </c>
      <c r="EI54" s="229">
        <v>0.55230000000000001</v>
      </c>
      <c r="EJ54" s="229">
        <v>0.4955</v>
      </c>
      <c r="EK54" s="228">
        <v>367.67</v>
      </c>
      <c r="EL54" s="228">
        <v>79.36</v>
      </c>
      <c r="EM54" s="228">
        <v>150.41999999999999</v>
      </c>
      <c r="EN54" s="228">
        <v>15.93</v>
      </c>
      <c r="EO54" s="228">
        <v>597.46</v>
      </c>
      <c r="EP54" s="228">
        <v>509.9</v>
      </c>
      <c r="EQ54" s="228">
        <v>87.56</v>
      </c>
      <c r="ER54" s="229">
        <v>0.17169999999999999</v>
      </c>
      <c r="ES54" s="228">
        <v>285.75</v>
      </c>
      <c r="ET54" s="228">
        <v>113.75</v>
      </c>
      <c r="EU54" s="231">
        <v>1008.72</v>
      </c>
      <c r="EV54" s="231">
        <v>112112283</v>
      </c>
      <c r="EW54" s="231">
        <v>1408.21</v>
      </c>
      <c r="EX54" s="231">
        <v>1316.64</v>
      </c>
      <c r="EY54" s="228">
        <v>91.57</v>
      </c>
      <c r="EZ54" s="229">
        <v>6.9500000000000006E-2</v>
      </c>
      <c r="FA54" s="229">
        <v>0.29020000000000001</v>
      </c>
      <c r="FB54" s="227" t="s">
        <v>555</v>
      </c>
      <c r="FC54">
        <f t="shared" si="0"/>
        <v>13</v>
      </c>
    </row>
    <row r="55" spans="1:159" ht="17.25" hidden="1" thickBot="1" x14ac:dyDescent="0.3">
      <c r="A55" s="226">
        <v>46086</v>
      </c>
      <c r="B55" s="227" t="s">
        <v>170</v>
      </c>
      <c r="C55" s="227" t="s">
        <v>205</v>
      </c>
      <c r="D55" s="228">
        <v>100</v>
      </c>
      <c r="E55" s="228">
        <v>25</v>
      </c>
      <c r="F55" s="231">
        <v>6392.5</v>
      </c>
      <c r="G55" s="231">
        <v>6329</v>
      </c>
      <c r="H55" s="228">
        <v>63.5</v>
      </c>
      <c r="I55" s="229">
        <v>0.01</v>
      </c>
      <c r="J55" s="231">
        <v>6364.5</v>
      </c>
      <c r="K55" s="231">
        <v>6316</v>
      </c>
      <c r="L55" s="228">
        <v>48.5</v>
      </c>
      <c r="M55" s="229">
        <v>7.7000000000000002E-3</v>
      </c>
      <c r="N55" s="231">
        <v>6392.5</v>
      </c>
      <c r="O55" s="231">
        <v>6329</v>
      </c>
      <c r="P55" s="228">
        <v>63.5</v>
      </c>
      <c r="Q55" s="229">
        <v>0.01</v>
      </c>
      <c r="R55" s="231">
        <v>6429.5</v>
      </c>
      <c r="S55" s="231">
        <v>6366</v>
      </c>
      <c r="T55" s="228">
        <v>63.5</v>
      </c>
      <c r="U55" s="229">
        <v>0.01</v>
      </c>
      <c r="V55" s="231">
        <v>6444.5</v>
      </c>
      <c r="W55" s="231">
        <v>6450</v>
      </c>
      <c r="X55" s="228">
        <v>-5.5</v>
      </c>
      <c r="Y55" s="229">
        <v>-8.9999999999999998E-4</v>
      </c>
      <c r="Z55" s="228">
        <v>28</v>
      </c>
      <c r="AA55" s="228">
        <v>13</v>
      </c>
      <c r="AB55" s="228">
        <v>15</v>
      </c>
      <c r="AC55" s="229">
        <v>4.4000000000000003E-3</v>
      </c>
      <c r="AD55" s="228">
        <v>28</v>
      </c>
      <c r="AE55" s="228">
        <v>13</v>
      </c>
      <c r="AF55" s="228">
        <v>15</v>
      </c>
      <c r="AG55" s="229">
        <v>4.4000000000000003E-3</v>
      </c>
      <c r="AH55" s="228">
        <v>65</v>
      </c>
      <c r="AI55" s="228">
        <v>50</v>
      </c>
      <c r="AJ55" s="228">
        <v>15</v>
      </c>
      <c r="AK55" s="229">
        <v>1.0200000000000001E-2</v>
      </c>
      <c r="AL55" s="228">
        <v>80</v>
      </c>
      <c r="AM55" s="228">
        <v>134</v>
      </c>
      <c r="AN55" s="228">
        <v>-54</v>
      </c>
      <c r="AO55" s="229">
        <v>1.26E-2</v>
      </c>
      <c r="AP55" s="231">
        <v>6375.36</v>
      </c>
      <c r="AQ55" s="231">
        <v>6417.28</v>
      </c>
      <c r="AR55" s="228">
        <v>0</v>
      </c>
      <c r="AS55" s="228">
        <v>175</v>
      </c>
      <c r="AT55" s="228">
        <v>127</v>
      </c>
      <c r="AU55" s="228">
        <v>48</v>
      </c>
      <c r="AV55" s="229">
        <v>0.37469999999999998</v>
      </c>
      <c r="AW55" s="228">
        <v>168</v>
      </c>
      <c r="AX55" s="228">
        <v>121</v>
      </c>
      <c r="AY55" s="228">
        <v>47</v>
      </c>
      <c r="AZ55" s="229">
        <v>0.38840000000000002</v>
      </c>
      <c r="BA55" s="228">
        <v>7</v>
      </c>
      <c r="BB55" s="228">
        <v>5</v>
      </c>
      <c r="BC55" s="228">
        <v>1</v>
      </c>
      <c r="BD55" s="229">
        <v>0.27160000000000001</v>
      </c>
      <c r="BE55" s="228">
        <v>0</v>
      </c>
      <c r="BF55" s="228">
        <v>1</v>
      </c>
      <c r="BG55" s="228">
        <v>-1</v>
      </c>
      <c r="BH55" s="229">
        <v>-0.8</v>
      </c>
      <c r="BI55" s="228">
        <v>442</v>
      </c>
      <c r="BJ55" s="228">
        <v>507</v>
      </c>
      <c r="BK55" s="228">
        <v>-65</v>
      </c>
      <c r="BL55" s="229">
        <v>-0.128</v>
      </c>
      <c r="BM55" s="228">
        <v>121</v>
      </c>
      <c r="BN55" s="228">
        <v>357</v>
      </c>
      <c r="BO55" s="228">
        <v>-236</v>
      </c>
      <c r="BP55" s="229">
        <v>-0.66049999999999998</v>
      </c>
      <c r="BQ55" s="228">
        <v>738</v>
      </c>
      <c r="BR55" s="228">
        <v>991</v>
      </c>
      <c r="BS55" s="228">
        <v>-253</v>
      </c>
      <c r="BT55" s="229">
        <v>-0.25540000000000002</v>
      </c>
      <c r="BU55" s="230">
        <v>297729</v>
      </c>
      <c r="BV55" s="230">
        <v>511838</v>
      </c>
      <c r="BW55" s="230">
        <v>-214109</v>
      </c>
      <c r="BX55" s="229">
        <v>-0.41830000000000001</v>
      </c>
      <c r="BY55" s="230">
        <v>1746</v>
      </c>
      <c r="BZ55" s="230">
        <v>1757</v>
      </c>
      <c r="CA55" s="228">
        <v>-11</v>
      </c>
      <c r="CB55" s="229">
        <v>-6.0000000000000001E-3</v>
      </c>
      <c r="CC55" s="230">
        <v>1734</v>
      </c>
      <c r="CD55" s="230">
        <v>1745</v>
      </c>
      <c r="CE55" s="228">
        <v>-11</v>
      </c>
      <c r="CF55" s="229">
        <v>-6.3E-3</v>
      </c>
      <c r="CG55" s="228">
        <v>10</v>
      </c>
      <c r="CH55" s="228">
        <v>10</v>
      </c>
      <c r="CI55" s="228">
        <v>0</v>
      </c>
      <c r="CJ55" s="229">
        <v>3.1399999999999997E-2</v>
      </c>
      <c r="CK55" s="228">
        <v>1</v>
      </c>
      <c r="CL55" s="228">
        <v>1</v>
      </c>
      <c r="CM55" s="228">
        <v>0</v>
      </c>
      <c r="CN55" s="229">
        <v>0</v>
      </c>
      <c r="CO55" s="228">
        <v>447</v>
      </c>
      <c r="CP55" s="228">
        <v>422</v>
      </c>
      <c r="CQ55" s="228">
        <v>25</v>
      </c>
      <c r="CR55" s="229">
        <v>6.0299999999999999E-2</v>
      </c>
      <c r="CS55" s="228">
        <v>255</v>
      </c>
      <c r="CT55" s="228">
        <v>245</v>
      </c>
      <c r="CU55" s="228">
        <v>10</v>
      </c>
      <c r="CV55" s="229">
        <v>4.2000000000000003E-2</v>
      </c>
      <c r="CW55" s="230">
        <v>2449</v>
      </c>
      <c r="CX55" s="230">
        <v>2424</v>
      </c>
      <c r="CY55" s="228">
        <v>25</v>
      </c>
      <c r="CZ55" s="229">
        <v>1.04E-2</v>
      </c>
      <c r="DA55" s="228">
        <v>24.73</v>
      </c>
      <c r="DB55" s="228">
        <v>27.29</v>
      </c>
      <c r="DC55" s="228">
        <v>-2.56</v>
      </c>
      <c r="DD55" s="228">
        <v>-2.56</v>
      </c>
      <c r="DE55" s="228">
        <v>30.28</v>
      </c>
      <c r="DF55" s="228">
        <v>30.34</v>
      </c>
      <c r="DG55" s="228">
        <v>-5.55</v>
      </c>
      <c r="DH55" s="228">
        <v>-0.06</v>
      </c>
      <c r="DI55" s="228">
        <v>24.3</v>
      </c>
      <c r="DJ55" s="228">
        <v>25.93</v>
      </c>
      <c r="DK55" s="228">
        <v>-1.63</v>
      </c>
      <c r="DL55" s="228">
        <v>-1.63</v>
      </c>
      <c r="DM55" s="228">
        <v>26.27</v>
      </c>
      <c r="DN55" s="228">
        <v>29.22</v>
      </c>
      <c r="DO55" s="228">
        <v>-2.95</v>
      </c>
      <c r="DP55" s="228">
        <v>-2.95</v>
      </c>
      <c r="DQ55" s="228">
        <v>0.56999999999999995</v>
      </c>
      <c r="DR55" s="228">
        <v>0.57999999999999996</v>
      </c>
      <c r="DS55" s="228">
        <v>-0.01</v>
      </c>
      <c r="DT55" s="229">
        <v>-1.72E-2</v>
      </c>
      <c r="DU55" s="231">
        <v>6500</v>
      </c>
      <c r="DV55" s="231">
        <v>5600</v>
      </c>
      <c r="DW55" s="228">
        <v>0.27</v>
      </c>
      <c r="DX55" s="228">
        <v>0.71</v>
      </c>
      <c r="DY55" s="228">
        <v>-0.44</v>
      </c>
      <c r="DZ55" s="229">
        <v>-0.61970000000000003</v>
      </c>
      <c r="EA55" s="229">
        <v>6.7999999999999996E-3</v>
      </c>
      <c r="EB55" s="230">
        <v>18200</v>
      </c>
      <c r="EC55" s="229">
        <v>5.7999999999999996E-3</v>
      </c>
      <c r="ED55" s="229">
        <v>6.7999999999999996E-3</v>
      </c>
      <c r="EE55" s="228">
        <v>41.92</v>
      </c>
      <c r="EF55" s="229">
        <v>6.6E-3</v>
      </c>
      <c r="EG55" s="230">
        <v>178784</v>
      </c>
      <c r="EH55" s="230">
        <v>375730</v>
      </c>
      <c r="EI55" s="229">
        <v>-0.5242</v>
      </c>
      <c r="EJ55" s="229">
        <v>0.60050000000000003</v>
      </c>
      <c r="EK55" s="228">
        <v>463.69</v>
      </c>
      <c r="EL55" s="228">
        <v>119.44</v>
      </c>
      <c r="EM55" s="228">
        <v>174.54</v>
      </c>
      <c r="EN55" s="228">
        <v>31.31</v>
      </c>
      <c r="EO55" s="228">
        <v>757.67</v>
      </c>
      <c r="EP55" s="231">
        <v>1006.84</v>
      </c>
      <c r="EQ55" s="228">
        <v>-249.17</v>
      </c>
      <c r="ER55" s="229">
        <v>-0.2475</v>
      </c>
      <c r="ES55" s="228">
        <v>470.25</v>
      </c>
      <c r="ET55" s="228">
        <v>243.12</v>
      </c>
      <c r="EU55" s="231">
        <v>1746.5</v>
      </c>
      <c r="EV55" s="231">
        <v>14898112</v>
      </c>
      <c r="EW55" s="231">
        <v>2459.87</v>
      </c>
      <c r="EX55" s="231">
        <v>2414.9699999999998</v>
      </c>
      <c r="EY55" s="228">
        <v>44.9</v>
      </c>
      <c r="EZ55" s="229">
        <v>1.8599999999999998E-2</v>
      </c>
      <c r="FA55" s="229">
        <v>0.25719999999999998</v>
      </c>
      <c r="FB55" s="227" t="s">
        <v>556</v>
      </c>
      <c r="FC55">
        <f t="shared" si="0"/>
        <v>12</v>
      </c>
    </row>
    <row r="56" spans="1:159" ht="17.25" hidden="1" thickBot="1" x14ac:dyDescent="0.3">
      <c r="A56" s="226">
        <v>46086</v>
      </c>
      <c r="B56" s="227" t="s">
        <v>184</v>
      </c>
      <c r="C56" s="227" t="s">
        <v>512</v>
      </c>
      <c r="D56" s="228">
        <v>50</v>
      </c>
      <c r="E56" s="228">
        <v>25</v>
      </c>
      <c r="F56" s="231">
        <v>10236</v>
      </c>
      <c r="G56" s="231">
        <v>10175</v>
      </c>
      <c r="H56" s="228">
        <v>61</v>
      </c>
      <c r="I56" s="229">
        <v>6.0000000000000001E-3</v>
      </c>
      <c r="J56" s="231">
        <v>10224</v>
      </c>
      <c r="K56" s="231">
        <v>10136</v>
      </c>
      <c r="L56" s="228">
        <v>88</v>
      </c>
      <c r="M56" s="229">
        <v>8.6999999999999994E-3</v>
      </c>
      <c r="N56" s="231">
        <v>10236</v>
      </c>
      <c r="O56" s="231">
        <v>10175</v>
      </c>
      <c r="P56" s="228">
        <v>61</v>
      </c>
      <c r="Q56" s="229">
        <v>6.0000000000000001E-3</v>
      </c>
      <c r="R56" s="231">
        <v>10313</v>
      </c>
      <c r="S56" s="231">
        <v>10234</v>
      </c>
      <c r="T56" s="228">
        <v>79</v>
      </c>
      <c r="U56" s="229">
        <v>7.7000000000000002E-3</v>
      </c>
      <c r="V56" s="231">
        <v>10361</v>
      </c>
      <c r="W56" s="231">
        <v>10290</v>
      </c>
      <c r="X56" s="228">
        <v>71</v>
      </c>
      <c r="Y56" s="229">
        <v>6.8999999999999999E-3</v>
      </c>
      <c r="Z56" s="228">
        <v>12</v>
      </c>
      <c r="AA56" s="228">
        <v>39</v>
      </c>
      <c r="AB56" s="228">
        <v>-27</v>
      </c>
      <c r="AC56" s="229">
        <v>1.1999999999999999E-3</v>
      </c>
      <c r="AD56" s="228">
        <v>12</v>
      </c>
      <c r="AE56" s="228">
        <v>39</v>
      </c>
      <c r="AF56" s="228">
        <v>-27</v>
      </c>
      <c r="AG56" s="229">
        <v>1.1999999999999999E-3</v>
      </c>
      <c r="AH56" s="228">
        <v>89</v>
      </c>
      <c r="AI56" s="228">
        <v>98</v>
      </c>
      <c r="AJ56" s="228">
        <v>-9</v>
      </c>
      <c r="AK56" s="229">
        <v>8.6999999999999994E-3</v>
      </c>
      <c r="AL56" s="228">
        <v>137</v>
      </c>
      <c r="AM56" s="228">
        <v>154</v>
      </c>
      <c r="AN56" s="228">
        <v>-17</v>
      </c>
      <c r="AO56" s="229">
        <v>1.34E-2</v>
      </c>
      <c r="AP56" s="231">
        <v>10160.120000000001</v>
      </c>
      <c r="AQ56" s="231">
        <v>10216.290000000001</v>
      </c>
      <c r="AR56" s="228">
        <v>0</v>
      </c>
      <c r="AS56" s="228">
        <v>630</v>
      </c>
      <c r="AT56" s="228">
        <v>803</v>
      </c>
      <c r="AU56" s="228">
        <v>-174</v>
      </c>
      <c r="AV56" s="229">
        <v>-0.21609999999999999</v>
      </c>
      <c r="AW56" s="228">
        <v>579</v>
      </c>
      <c r="AX56" s="228">
        <v>749</v>
      </c>
      <c r="AY56" s="228">
        <v>-170</v>
      </c>
      <c r="AZ56" s="229">
        <v>-0.22670000000000001</v>
      </c>
      <c r="BA56" s="228">
        <v>43</v>
      </c>
      <c r="BB56" s="228">
        <v>42</v>
      </c>
      <c r="BC56" s="228">
        <v>1</v>
      </c>
      <c r="BD56" s="229">
        <v>2.3E-2</v>
      </c>
      <c r="BE56" s="228">
        <v>8</v>
      </c>
      <c r="BF56" s="228">
        <v>12</v>
      </c>
      <c r="BG56" s="228">
        <v>-5</v>
      </c>
      <c r="BH56" s="229">
        <v>-0.39510000000000001</v>
      </c>
      <c r="BI56" s="230">
        <v>2322</v>
      </c>
      <c r="BJ56" s="230">
        <v>2911</v>
      </c>
      <c r="BK56" s="228">
        <v>-588</v>
      </c>
      <c r="BL56" s="229">
        <v>-0.2021</v>
      </c>
      <c r="BM56" s="230">
        <v>1104</v>
      </c>
      <c r="BN56" s="230">
        <v>1710</v>
      </c>
      <c r="BO56" s="228">
        <v>-606</v>
      </c>
      <c r="BP56" s="229">
        <v>-0.35439999999999999</v>
      </c>
      <c r="BQ56" s="230">
        <v>4056</v>
      </c>
      <c r="BR56" s="230">
        <v>5424</v>
      </c>
      <c r="BS56" s="230">
        <v>-1368</v>
      </c>
      <c r="BT56" s="229">
        <v>-0.25219999999999998</v>
      </c>
      <c r="BU56" s="230">
        <v>633790</v>
      </c>
      <c r="BV56" s="230">
        <v>1027376</v>
      </c>
      <c r="BW56" s="230">
        <v>-393586</v>
      </c>
      <c r="BX56" s="229">
        <v>-0.3831</v>
      </c>
      <c r="BY56" s="230">
        <v>2672</v>
      </c>
      <c r="BZ56" s="230">
        <v>2712</v>
      </c>
      <c r="CA56" s="228">
        <v>-41</v>
      </c>
      <c r="CB56" s="229">
        <v>-1.4999999999999999E-2</v>
      </c>
      <c r="CC56" s="230">
        <v>2531</v>
      </c>
      <c r="CD56" s="230">
        <v>2572</v>
      </c>
      <c r="CE56" s="228">
        <v>-41</v>
      </c>
      <c r="CF56" s="229">
        <v>-1.5800000000000002E-2</v>
      </c>
      <c r="CG56" s="228">
        <v>126</v>
      </c>
      <c r="CH56" s="228">
        <v>127</v>
      </c>
      <c r="CI56" s="228">
        <v>0</v>
      </c>
      <c r="CJ56" s="229">
        <v>-3.5999999999999999E-3</v>
      </c>
      <c r="CK56" s="228">
        <v>15</v>
      </c>
      <c r="CL56" s="228">
        <v>14</v>
      </c>
      <c r="CM56" s="228">
        <v>1</v>
      </c>
      <c r="CN56" s="229">
        <v>3.61E-2</v>
      </c>
      <c r="CO56" s="230">
        <v>1912</v>
      </c>
      <c r="CP56" s="230">
        <v>1910</v>
      </c>
      <c r="CQ56" s="228">
        <v>1</v>
      </c>
      <c r="CR56" s="229">
        <v>5.9999999999999995E-4</v>
      </c>
      <c r="CS56" s="230">
        <v>1157</v>
      </c>
      <c r="CT56" s="230">
        <v>1158</v>
      </c>
      <c r="CU56" s="228">
        <v>-1</v>
      </c>
      <c r="CV56" s="229">
        <v>-6.9999999999999999E-4</v>
      </c>
      <c r="CW56" s="230">
        <v>5740</v>
      </c>
      <c r="CX56" s="230">
        <v>5781</v>
      </c>
      <c r="CY56" s="228">
        <v>-40</v>
      </c>
      <c r="CZ56" s="229">
        <v>-7.0000000000000001E-3</v>
      </c>
      <c r="DA56" s="228">
        <v>41.79</v>
      </c>
      <c r="DB56" s="228">
        <v>45.73</v>
      </c>
      <c r="DC56" s="228">
        <v>-3.94</v>
      </c>
      <c r="DD56" s="228">
        <v>-3.94</v>
      </c>
      <c r="DE56" s="228">
        <v>45.17</v>
      </c>
      <c r="DF56" s="228">
        <v>45.27</v>
      </c>
      <c r="DG56" s="228">
        <v>-3.38</v>
      </c>
      <c r="DH56" s="228">
        <v>-0.1</v>
      </c>
      <c r="DI56" s="228">
        <v>41.63</v>
      </c>
      <c r="DJ56" s="228">
        <v>45.04</v>
      </c>
      <c r="DK56" s="228">
        <v>-3.41</v>
      </c>
      <c r="DL56" s="228">
        <v>-3.41</v>
      </c>
      <c r="DM56" s="228">
        <v>42.14</v>
      </c>
      <c r="DN56" s="228">
        <v>46.9</v>
      </c>
      <c r="DO56" s="228">
        <v>-4.76</v>
      </c>
      <c r="DP56" s="228">
        <v>-4.76</v>
      </c>
      <c r="DQ56" s="228">
        <v>0.61</v>
      </c>
      <c r="DR56" s="228">
        <v>0.61</v>
      </c>
      <c r="DS56" s="228">
        <v>0</v>
      </c>
      <c r="DT56" s="229">
        <v>0</v>
      </c>
      <c r="DU56" s="231">
        <v>12000</v>
      </c>
      <c r="DV56" s="231">
        <v>10000</v>
      </c>
      <c r="DW56" s="228">
        <v>0.48</v>
      </c>
      <c r="DX56" s="228">
        <v>0.59</v>
      </c>
      <c r="DY56" s="228">
        <v>-0.11</v>
      </c>
      <c r="DZ56" s="229">
        <v>-0.18640000000000001</v>
      </c>
      <c r="EA56" s="229">
        <v>5.2699999999999997E-2</v>
      </c>
      <c r="EB56" s="230">
        <v>137450</v>
      </c>
      <c r="EC56" s="229">
        <v>7.4999999999999997E-3</v>
      </c>
      <c r="ED56" s="229">
        <v>5.2699999999999997E-2</v>
      </c>
      <c r="EE56" s="228">
        <v>56.17</v>
      </c>
      <c r="EF56" s="229">
        <v>5.4999999999999997E-3</v>
      </c>
      <c r="EG56" s="230">
        <v>173794</v>
      </c>
      <c r="EH56" s="230">
        <v>355856</v>
      </c>
      <c r="EI56" s="229">
        <v>-0.51160000000000005</v>
      </c>
      <c r="EJ56" s="229">
        <v>0.2742</v>
      </c>
      <c r="EK56" s="231">
        <v>2540.15</v>
      </c>
      <c r="EL56" s="231">
        <v>1078.43</v>
      </c>
      <c r="EM56" s="228">
        <v>625.37</v>
      </c>
      <c r="EN56" s="228">
        <v>195</v>
      </c>
      <c r="EO56" s="231">
        <v>4243.9399999999996</v>
      </c>
      <c r="EP56" s="231">
        <v>5618.73</v>
      </c>
      <c r="EQ56" s="231">
        <v>-1374.79</v>
      </c>
      <c r="ER56" s="229">
        <v>-0.2447</v>
      </c>
      <c r="ES56" s="231">
        <v>2151.62</v>
      </c>
      <c r="ET56" s="231">
        <v>1152.27</v>
      </c>
      <c r="EU56" s="231">
        <v>2672.83</v>
      </c>
      <c r="EV56" s="231">
        <v>6452220</v>
      </c>
      <c r="EW56" s="231">
        <v>5976.71</v>
      </c>
      <c r="EX56" s="231">
        <v>6009.05</v>
      </c>
      <c r="EY56" s="228">
        <v>-32.340000000000003</v>
      </c>
      <c r="EZ56" s="229">
        <v>-5.4000000000000003E-3</v>
      </c>
      <c r="FA56" s="229">
        <v>0.86919999999999997</v>
      </c>
      <c r="FB56" s="227" t="s">
        <v>556</v>
      </c>
      <c r="FC56">
        <f t="shared" si="0"/>
        <v>141</v>
      </c>
    </row>
    <row r="57" spans="1:159" ht="17.25" hidden="1" thickBot="1" x14ac:dyDescent="0.3">
      <c r="A57" s="226">
        <v>46086</v>
      </c>
      <c r="B57" s="227" t="s">
        <v>206</v>
      </c>
      <c r="C57" s="227" t="s">
        <v>207</v>
      </c>
      <c r="D57" s="228">
        <v>825</v>
      </c>
      <c r="E57" s="228">
        <v>25</v>
      </c>
      <c r="F57" s="228">
        <v>587.29999999999995</v>
      </c>
      <c r="G57" s="228">
        <v>571.54999999999995</v>
      </c>
      <c r="H57" s="228">
        <v>15.75</v>
      </c>
      <c r="I57" s="229">
        <v>2.76E-2</v>
      </c>
      <c r="J57" s="228">
        <v>585.15</v>
      </c>
      <c r="K57" s="228">
        <v>569.04999999999995</v>
      </c>
      <c r="L57" s="228">
        <v>16.100000000000001</v>
      </c>
      <c r="M57" s="229">
        <v>2.8299999999999999E-2</v>
      </c>
      <c r="N57" s="228">
        <v>587.29999999999995</v>
      </c>
      <c r="O57" s="228">
        <v>571.54999999999995</v>
      </c>
      <c r="P57" s="228">
        <v>15.75</v>
      </c>
      <c r="Q57" s="229">
        <v>2.76E-2</v>
      </c>
      <c r="R57" s="228">
        <v>591.5</v>
      </c>
      <c r="S57" s="228">
        <v>574.79999999999995</v>
      </c>
      <c r="T57" s="228">
        <v>16.7</v>
      </c>
      <c r="U57" s="229">
        <v>2.9100000000000001E-2</v>
      </c>
      <c r="V57" s="228">
        <v>593.6</v>
      </c>
      <c r="W57" s="228">
        <v>577.5</v>
      </c>
      <c r="X57" s="228">
        <v>16.100000000000001</v>
      </c>
      <c r="Y57" s="229">
        <v>2.7900000000000001E-2</v>
      </c>
      <c r="Z57" s="228">
        <v>2.15</v>
      </c>
      <c r="AA57" s="228">
        <v>2.5</v>
      </c>
      <c r="AB57" s="228">
        <v>-0.35</v>
      </c>
      <c r="AC57" s="229">
        <v>3.7000000000000002E-3</v>
      </c>
      <c r="AD57" s="228">
        <v>2.15</v>
      </c>
      <c r="AE57" s="228">
        <v>2.5</v>
      </c>
      <c r="AF57" s="228">
        <v>-0.35</v>
      </c>
      <c r="AG57" s="229">
        <v>3.7000000000000002E-3</v>
      </c>
      <c r="AH57" s="228">
        <v>6.35</v>
      </c>
      <c r="AI57" s="228">
        <v>5.75</v>
      </c>
      <c r="AJ57" s="228">
        <v>0.6</v>
      </c>
      <c r="AK57" s="229">
        <v>1.09E-2</v>
      </c>
      <c r="AL57" s="228">
        <v>8.4499999999999993</v>
      </c>
      <c r="AM57" s="228">
        <v>8.4499999999999993</v>
      </c>
      <c r="AN57" s="228">
        <v>0</v>
      </c>
      <c r="AO57" s="229">
        <v>1.44E-2</v>
      </c>
      <c r="AP57" s="228">
        <v>583.4</v>
      </c>
      <c r="AQ57" s="228">
        <v>586.95000000000005</v>
      </c>
      <c r="AR57" s="228">
        <v>0</v>
      </c>
      <c r="AS57" s="228">
        <v>371</v>
      </c>
      <c r="AT57" s="228">
        <v>728</v>
      </c>
      <c r="AU57" s="228">
        <v>-357</v>
      </c>
      <c r="AV57" s="229">
        <v>-0.49049999999999999</v>
      </c>
      <c r="AW57" s="228">
        <v>341</v>
      </c>
      <c r="AX57" s="228">
        <v>594</v>
      </c>
      <c r="AY57" s="228">
        <v>-252</v>
      </c>
      <c r="AZ57" s="229">
        <v>-0.42470000000000002</v>
      </c>
      <c r="BA57" s="228">
        <v>26</v>
      </c>
      <c r="BB57" s="228">
        <v>125</v>
      </c>
      <c r="BC57" s="228">
        <v>-99</v>
      </c>
      <c r="BD57" s="229">
        <v>-0.79020000000000001</v>
      </c>
      <c r="BE57" s="228">
        <v>3</v>
      </c>
      <c r="BF57" s="228">
        <v>9</v>
      </c>
      <c r="BG57" s="228">
        <v>-6</v>
      </c>
      <c r="BH57" s="229">
        <v>-0.65749999999999997</v>
      </c>
      <c r="BI57" s="228">
        <v>777</v>
      </c>
      <c r="BJ57" s="230">
        <v>1082</v>
      </c>
      <c r="BK57" s="228">
        <v>-305</v>
      </c>
      <c r="BL57" s="229">
        <v>-0.28210000000000002</v>
      </c>
      <c r="BM57" s="228">
        <v>404</v>
      </c>
      <c r="BN57" s="228">
        <v>911</v>
      </c>
      <c r="BO57" s="228">
        <v>-507</v>
      </c>
      <c r="BP57" s="229">
        <v>-0.55630000000000002</v>
      </c>
      <c r="BQ57" s="230">
        <v>1552</v>
      </c>
      <c r="BR57" s="230">
        <v>2721</v>
      </c>
      <c r="BS57" s="230">
        <v>-1169</v>
      </c>
      <c r="BT57" s="229">
        <v>-0.42970000000000003</v>
      </c>
      <c r="BU57" s="230">
        <v>8058532</v>
      </c>
      <c r="BV57" s="230">
        <v>15601519</v>
      </c>
      <c r="BW57" s="230">
        <v>-7542987</v>
      </c>
      <c r="BX57" s="229">
        <v>-0.48349999999999999</v>
      </c>
      <c r="BY57" s="230">
        <v>3245</v>
      </c>
      <c r="BZ57" s="230">
        <v>3280</v>
      </c>
      <c r="CA57" s="228">
        <v>-34</v>
      </c>
      <c r="CB57" s="229">
        <v>-1.0500000000000001E-2</v>
      </c>
      <c r="CC57" s="230">
        <v>3079</v>
      </c>
      <c r="CD57" s="230">
        <v>3117</v>
      </c>
      <c r="CE57" s="228">
        <v>-38</v>
      </c>
      <c r="CF57" s="229">
        <v>-1.23E-2</v>
      </c>
      <c r="CG57" s="228">
        <v>155</v>
      </c>
      <c r="CH57" s="228">
        <v>152</v>
      </c>
      <c r="CI57" s="228">
        <v>4</v>
      </c>
      <c r="CJ57" s="229">
        <v>2.3699999999999999E-2</v>
      </c>
      <c r="CK57" s="228">
        <v>11</v>
      </c>
      <c r="CL57" s="228">
        <v>11</v>
      </c>
      <c r="CM57" s="228">
        <v>0</v>
      </c>
      <c r="CN57" s="229">
        <v>3.15E-2</v>
      </c>
      <c r="CO57" s="228">
        <v>663</v>
      </c>
      <c r="CP57" s="228">
        <v>674</v>
      </c>
      <c r="CQ57" s="228">
        <v>-10</v>
      </c>
      <c r="CR57" s="229">
        <v>-1.4999999999999999E-2</v>
      </c>
      <c r="CS57" s="228">
        <v>557</v>
      </c>
      <c r="CT57" s="228">
        <v>553</v>
      </c>
      <c r="CU57" s="228">
        <v>4</v>
      </c>
      <c r="CV57" s="229">
        <v>7.3000000000000001E-3</v>
      </c>
      <c r="CW57" s="230">
        <v>4466</v>
      </c>
      <c r="CX57" s="230">
        <v>4506</v>
      </c>
      <c r="CY57" s="228">
        <v>-40</v>
      </c>
      <c r="CZ57" s="229">
        <v>-8.9999999999999993E-3</v>
      </c>
      <c r="DA57" s="228">
        <v>34.06</v>
      </c>
      <c r="DB57" s="228">
        <v>38.96</v>
      </c>
      <c r="DC57" s="228">
        <v>-4.9000000000000004</v>
      </c>
      <c r="DD57" s="228">
        <v>-4.9000000000000004</v>
      </c>
      <c r="DE57" s="228">
        <v>35.89</v>
      </c>
      <c r="DF57" s="228">
        <v>35.79</v>
      </c>
      <c r="DG57" s="228">
        <v>-1.83</v>
      </c>
      <c r="DH57" s="228">
        <v>0.1</v>
      </c>
      <c r="DI57" s="228">
        <v>32.94</v>
      </c>
      <c r="DJ57" s="228">
        <v>37.409999999999997</v>
      </c>
      <c r="DK57" s="228">
        <v>-4.47</v>
      </c>
      <c r="DL57" s="228">
        <v>-4.47</v>
      </c>
      <c r="DM57" s="228">
        <v>36.22</v>
      </c>
      <c r="DN57" s="228">
        <v>40.79</v>
      </c>
      <c r="DO57" s="228">
        <v>-4.57</v>
      </c>
      <c r="DP57" s="228">
        <v>-4.57</v>
      </c>
      <c r="DQ57" s="228">
        <v>0.84</v>
      </c>
      <c r="DR57" s="228">
        <v>0.82</v>
      </c>
      <c r="DS57" s="228">
        <v>0.02</v>
      </c>
      <c r="DT57" s="229">
        <v>2.4400000000000002E-2</v>
      </c>
      <c r="DU57" s="228">
        <v>640</v>
      </c>
      <c r="DV57" s="228">
        <v>580</v>
      </c>
      <c r="DW57" s="228">
        <v>0.52</v>
      </c>
      <c r="DX57" s="228">
        <v>0.84</v>
      </c>
      <c r="DY57" s="228">
        <v>-0.32</v>
      </c>
      <c r="DZ57" s="229">
        <v>-0.38100000000000001</v>
      </c>
      <c r="EA57" s="229">
        <v>5.1200000000000002E-2</v>
      </c>
      <c r="EB57" s="230">
        <v>2762925</v>
      </c>
      <c r="EC57" s="229">
        <v>7.1999999999999998E-3</v>
      </c>
      <c r="ED57" s="229">
        <v>5.1200000000000002E-2</v>
      </c>
      <c r="EE57" s="228">
        <v>3.55</v>
      </c>
      <c r="EF57" s="229">
        <v>6.1000000000000004E-3</v>
      </c>
      <c r="EG57" s="230">
        <v>5091431</v>
      </c>
      <c r="EH57" s="230">
        <v>10923856</v>
      </c>
      <c r="EI57" s="229">
        <v>-0.53390000000000004</v>
      </c>
      <c r="EJ57" s="229">
        <v>0.63180000000000003</v>
      </c>
      <c r="EK57" s="228">
        <v>827.51</v>
      </c>
      <c r="EL57" s="228">
        <v>396.48</v>
      </c>
      <c r="EM57" s="228">
        <v>368.53</v>
      </c>
      <c r="EN57" s="228">
        <v>89.14</v>
      </c>
      <c r="EO57" s="231">
        <v>1592.52</v>
      </c>
      <c r="EP57" s="231">
        <v>2748.41</v>
      </c>
      <c r="EQ57" s="231">
        <v>-1155.8900000000001</v>
      </c>
      <c r="ER57" s="229">
        <v>-0.42059999999999997</v>
      </c>
      <c r="ES57" s="228">
        <v>723.94</v>
      </c>
      <c r="ET57" s="228">
        <v>569.6</v>
      </c>
      <c r="EU57" s="231">
        <v>3246.61</v>
      </c>
      <c r="EV57" s="231">
        <v>96058266</v>
      </c>
      <c r="EW57" s="231">
        <v>4540.1400000000003</v>
      </c>
      <c r="EX57" s="231">
        <v>4492.3599999999997</v>
      </c>
      <c r="EY57" s="228">
        <v>47.78</v>
      </c>
      <c r="EZ57" s="229">
        <v>1.06E-2</v>
      </c>
      <c r="FA57" s="229">
        <v>0.79159999999999997</v>
      </c>
      <c r="FB57" s="227" t="s">
        <v>556</v>
      </c>
      <c r="FC57">
        <f t="shared" si="0"/>
        <v>166</v>
      </c>
    </row>
    <row r="58" spans="1:159" ht="17.25" hidden="1" thickBot="1" x14ac:dyDescent="0.3">
      <c r="A58" s="226">
        <v>46086</v>
      </c>
      <c r="B58" s="227" t="s">
        <v>615</v>
      </c>
      <c r="C58" s="227" t="s">
        <v>583</v>
      </c>
      <c r="D58" s="228">
        <v>150</v>
      </c>
      <c r="E58" s="228">
        <v>25</v>
      </c>
      <c r="F58" s="231">
        <v>3844.7</v>
      </c>
      <c r="G58" s="231">
        <v>3744.8</v>
      </c>
      <c r="H58" s="228">
        <v>99.9</v>
      </c>
      <c r="I58" s="229">
        <v>2.6700000000000002E-2</v>
      </c>
      <c r="J58" s="231">
        <v>3835.4</v>
      </c>
      <c r="K58" s="231">
        <v>3760.9</v>
      </c>
      <c r="L58" s="228">
        <v>74.5</v>
      </c>
      <c r="M58" s="229">
        <v>1.9800000000000002E-2</v>
      </c>
      <c r="N58" s="231">
        <v>3844.7</v>
      </c>
      <c r="O58" s="231">
        <v>3744.8</v>
      </c>
      <c r="P58" s="228">
        <v>99.9</v>
      </c>
      <c r="Q58" s="229">
        <v>2.6700000000000002E-2</v>
      </c>
      <c r="R58" s="231">
        <v>3842.4</v>
      </c>
      <c r="S58" s="231">
        <v>3736</v>
      </c>
      <c r="T58" s="228">
        <v>106.4</v>
      </c>
      <c r="U58" s="229">
        <v>2.8500000000000001E-2</v>
      </c>
      <c r="V58" s="231">
        <v>3840.6</v>
      </c>
      <c r="W58" s="231">
        <v>3740.2</v>
      </c>
      <c r="X58" s="228">
        <v>100.4</v>
      </c>
      <c r="Y58" s="229">
        <v>2.6800000000000001E-2</v>
      </c>
      <c r="Z58" s="228">
        <v>9.3000000000000007</v>
      </c>
      <c r="AA58" s="228">
        <v>-16.100000000000001</v>
      </c>
      <c r="AB58" s="228">
        <v>25.4</v>
      </c>
      <c r="AC58" s="229">
        <v>2.3999999999999998E-3</v>
      </c>
      <c r="AD58" s="228">
        <v>9.3000000000000007</v>
      </c>
      <c r="AE58" s="228">
        <v>-16.100000000000001</v>
      </c>
      <c r="AF58" s="228">
        <v>25.4</v>
      </c>
      <c r="AG58" s="229">
        <v>2.3999999999999998E-3</v>
      </c>
      <c r="AH58" s="228">
        <v>7</v>
      </c>
      <c r="AI58" s="228">
        <v>-24.9</v>
      </c>
      <c r="AJ58" s="228">
        <v>31.9</v>
      </c>
      <c r="AK58" s="229">
        <v>1.8E-3</v>
      </c>
      <c r="AL58" s="228">
        <v>5.2</v>
      </c>
      <c r="AM58" s="228">
        <v>-20.7</v>
      </c>
      <c r="AN58" s="228">
        <v>25.9</v>
      </c>
      <c r="AO58" s="229">
        <v>1.4E-3</v>
      </c>
      <c r="AP58" s="231">
        <v>3804.87</v>
      </c>
      <c r="AQ58" s="231">
        <v>3785.43</v>
      </c>
      <c r="AR58" s="228">
        <v>0</v>
      </c>
      <c r="AS58" s="228">
        <v>296</v>
      </c>
      <c r="AT58" s="228">
        <v>185</v>
      </c>
      <c r="AU58" s="228">
        <v>111</v>
      </c>
      <c r="AV58" s="229">
        <v>0.59689999999999999</v>
      </c>
      <c r="AW58" s="228">
        <v>257</v>
      </c>
      <c r="AX58" s="228">
        <v>156</v>
      </c>
      <c r="AY58" s="228">
        <v>101</v>
      </c>
      <c r="AZ58" s="229">
        <v>0.64370000000000005</v>
      </c>
      <c r="BA58" s="228">
        <v>38</v>
      </c>
      <c r="BB58" s="228">
        <v>28</v>
      </c>
      <c r="BC58" s="228">
        <v>9</v>
      </c>
      <c r="BD58" s="229">
        <v>0.33</v>
      </c>
      <c r="BE58" s="228">
        <v>1</v>
      </c>
      <c r="BF58" s="228">
        <v>1</v>
      </c>
      <c r="BG58" s="228">
        <v>1</v>
      </c>
      <c r="BH58" s="229">
        <v>1.1000000000000001</v>
      </c>
      <c r="BI58" s="228">
        <v>515</v>
      </c>
      <c r="BJ58" s="228">
        <v>274</v>
      </c>
      <c r="BK58" s="228">
        <v>242</v>
      </c>
      <c r="BL58" s="229">
        <v>0.88300000000000001</v>
      </c>
      <c r="BM58" s="228">
        <v>205</v>
      </c>
      <c r="BN58" s="228">
        <v>253</v>
      </c>
      <c r="BO58" s="228">
        <v>-48</v>
      </c>
      <c r="BP58" s="229">
        <v>-0.18959999999999999</v>
      </c>
      <c r="BQ58" s="230">
        <v>1017</v>
      </c>
      <c r="BR58" s="228">
        <v>712</v>
      </c>
      <c r="BS58" s="228">
        <v>304</v>
      </c>
      <c r="BT58" s="229">
        <v>0.42699999999999999</v>
      </c>
      <c r="BU58" s="230">
        <v>553537</v>
      </c>
      <c r="BV58" s="230">
        <v>612052</v>
      </c>
      <c r="BW58" s="230">
        <v>-58515</v>
      </c>
      <c r="BX58" s="229">
        <v>-9.5600000000000004E-2</v>
      </c>
      <c r="BY58" s="230">
        <v>2134</v>
      </c>
      <c r="BZ58" s="230">
        <v>2158</v>
      </c>
      <c r="CA58" s="228">
        <v>-24</v>
      </c>
      <c r="CB58" s="229">
        <v>-1.1299999999999999E-2</v>
      </c>
      <c r="CC58" s="230">
        <v>2035</v>
      </c>
      <c r="CD58" s="230">
        <v>2081</v>
      </c>
      <c r="CE58" s="228">
        <v>-46</v>
      </c>
      <c r="CF58" s="229">
        <v>-2.2100000000000002E-2</v>
      </c>
      <c r="CG58" s="228">
        <v>95</v>
      </c>
      <c r="CH58" s="228">
        <v>74</v>
      </c>
      <c r="CI58" s="228">
        <v>21</v>
      </c>
      <c r="CJ58" s="229">
        <v>0.2888</v>
      </c>
      <c r="CK58" s="228">
        <v>3</v>
      </c>
      <c r="CL58" s="228">
        <v>3</v>
      </c>
      <c r="CM58" s="228">
        <v>0</v>
      </c>
      <c r="CN58" s="229">
        <v>0.12239999999999999</v>
      </c>
      <c r="CO58" s="228">
        <v>376</v>
      </c>
      <c r="CP58" s="228">
        <v>335</v>
      </c>
      <c r="CQ58" s="228">
        <v>41</v>
      </c>
      <c r="CR58" s="229">
        <v>0.1211</v>
      </c>
      <c r="CS58" s="228">
        <v>293</v>
      </c>
      <c r="CT58" s="228">
        <v>279</v>
      </c>
      <c r="CU58" s="228">
        <v>14</v>
      </c>
      <c r="CV58" s="229">
        <v>4.9200000000000001E-2</v>
      </c>
      <c r="CW58" s="230">
        <v>2802</v>
      </c>
      <c r="CX58" s="230">
        <v>2772</v>
      </c>
      <c r="CY58" s="228">
        <v>30</v>
      </c>
      <c r="CZ58" s="229">
        <v>1.0800000000000001E-2</v>
      </c>
      <c r="DA58" s="228">
        <v>24.92</v>
      </c>
      <c r="DB58" s="228">
        <v>28.03</v>
      </c>
      <c r="DC58" s="228">
        <v>-3.11</v>
      </c>
      <c r="DD58" s="228">
        <v>-3.11</v>
      </c>
      <c r="DE58" s="228">
        <v>30.03</v>
      </c>
      <c r="DF58" s="228">
        <v>29.98</v>
      </c>
      <c r="DG58" s="228">
        <v>-5.1100000000000003</v>
      </c>
      <c r="DH58" s="228">
        <v>0.05</v>
      </c>
      <c r="DI58" s="228">
        <v>24.23</v>
      </c>
      <c r="DJ58" s="228">
        <v>26.56</v>
      </c>
      <c r="DK58" s="228">
        <v>-2.33</v>
      </c>
      <c r="DL58" s="228">
        <v>-2.33</v>
      </c>
      <c r="DM58" s="228">
        <v>26.65</v>
      </c>
      <c r="DN58" s="228">
        <v>29.61</v>
      </c>
      <c r="DO58" s="228">
        <v>-2.96</v>
      </c>
      <c r="DP58" s="228">
        <v>-2.96</v>
      </c>
      <c r="DQ58" s="228">
        <v>0.78</v>
      </c>
      <c r="DR58" s="228">
        <v>0.83</v>
      </c>
      <c r="DS58" s="228">
        <v>-0.05</v>
      </c>
      <c r="DT58" s="229">
        <v>-6.0199999999999997E-2</v>
      </c>
      <c r="DU58" s="231">
        <v>4000</v>
      </c>
      <c r="DV58" s="231">
        <v>3600</v>
      </c>
      <c r="DW58" s="228">
        <v>0.4</v>
      </c>
      <c r="DX58" s="228">
        <v>0.93</v>
      </c>
      <c r="DY58" s="228">
        <v>-0.53</v>
      </c>
      <c r="DZ58" s="229">
        <v>-0.56989999999999996</v>
      </c>
      <c r="EA58" s="229">
        <v>4.6100000000000002E-2</v>
      </c>
      <c r="EB58" s="230">
        <v>199500</v>
      </c>
      <c r="EC58" s="229">
        <v>-5.9999999999999995E-4</v>
      </c>
      <c r="ED58" s="229">
        <v>4.6100000000000002E-2</v>
      </c>
      <c r="EE58" s="228">
        <v>-19.440000000000001</v>
      </c>
      <c r="EF58" s="229">
        <v>-5.1000000000000004E-3</v>
      </c>
      <c r="EG58" s="230">
        <v>316188</v>
      </c>
      <c r="EH58" s="230">
        <v>398869</v>
      </c>
      <c r="EI58" s="229">
        <v>-0.20730000000000001</v>
      </c>
      <c r="EJ58" s="229">
        <v>0.57120000000000004</v>
      </c>
      <c r="EK58" s="228">
        <v>544.51</v>
      </c>
      <c r="EL58" s="228">
        <v>201.42</v>
      </c>
      <c r="EM58" s="228">
        <v>292.82</v>
      </c>
      <c r="EN58" s="228">
        <v>38.19</v>
      </c>
      <c r="EO58" s="231">
        <v>1038.75</v>
      </c>
      <c r="EP58" s="228">
        <v>711.38</v>
      </c>
      <c r="EQ58" s="228">
        <v>327.37</v>
      </c>
      <c r="ER58" s="229">
        <v>0.4602</v>
      </c>
      <c r="ES58" s="228">
        <v>396.26</v>
      </c>
      <c r="ET58" s="228">
        <v>281.69</v>
      </c>
      <c r="EU58" s="231">
        <v>2133.58</v>
      </c>
      <c r="EV58" s="231">
        <v>18750186</v>
      </c>
      <c r="EW58" s="231">
        <v>2811.53</v>
      </c>
      <c r="EX58" s="231">
        <v>2721.99</v>
      </c>
      <c r="EY58" s="228">
        <v>89.54</v>
      </c>
      <c r="EZ58" s="229">
        <v>3.2899999999999999E-2</v>
      </c>
      <c r="FA58" s="229">
        <v>0.38869999999999999</v>
      </c>
      <c r="FB58" s="227" t="s">
        <v>556</v>
      </c>
      <c r="FC58">
        <f t="shared" si="0"/>
        <v>99</v>
      </c>
    </row>
    <row r="59" spans="1:159" ht="17.25" hidden="1" thickBot="1" x14ac:dyDescent="0.3">
      <c r="A59" s="226">
        <v>46086</v>
      </c>
      <c r="B59" s="227" t="s">
        <v>170</v>
      </c>
      <c r="C59" s="227" t="s">
        <v>208</v>
      </c>
      <c r="D59" s="228">
        <v>625</v>
      </c>
      <c r="E59" s="228">
        <v>25</v>
      </c>
      <c r="F59" s="231">
        <v>1318</v>
      </c>
      <c r="G59" s="231">
        <v>1293.8</v>
      </c>
      <c r="H59" s="228">
        <v>24.2</v>
      </c>
      <c r="I59" s="229">
        <v>1.8700000000000001E-2</v>
      </c>
      <c r="J59" s="231">
        <v>1313.5</v>
      </c>
      <c r="K59" s="231">
        <v>1291.2</v>
      </c>
      <c r="L59" s="228">
        <v>22.3</v>
      </c>
      <c r="M59" s="229">
        <v>1.7299999999999999E-2</v>
      </c>
      <c r="N59" s="231">
        <v>1318</v>
      </c>
      <c r="O59" s="231">
        <v>1293.8</v>
      </c>
      <c r="P59" s="228">
        <v>24.2</v>
      </c>
      <c r="Q59" s="229">
        <v>1.8700000000000001E-2</v>
      </c>
      <c r="R59" s="231">
        <v>1325.8</v>
      </c>
      <c r="S59" s="231">
        <v>1301.9000000000001</v>
      </c>
      <c r="T59" s="228">
        <v>23.9</v>
      </c>
      <c r="U59" s="229">
        <v>1.84E-2</v>
      </c>
      <c r="V59" s="231">
        <v>1331.2</v>
      </c>
      <c r="W59" s="231">
        <v>1314</v>
      </c>
      <c r="X59" s="228">
        <v>17.2</v>
      </c>
      <c r="Y59" s="229">
        <v>1.3100000000000001E-2</v>
      </c>
      <c r="Z59" s="228">
        <v>4.5</v>
      </c>
      <c r="AA59" s="228">
        <v>2.6</v>
      </c>
      <c r="AB59" s="228">
        <v>1.9</v>
      </c>
      <c r="AC59" s="229">
        <v>3.3999999999999998E-3</v>
      </c>
      <c r="AD59" s="228">
        <v>4.5</v>
      </c>
      <c r="AE59" s="228">
        <v>2.6</v>
      </c>
      <c r="AF59" s="228">
        <v>1.9</v>
      </c>
      <c r="AG59" s="229">
        <v>3.3999999999999998E-3</v>
      </c>
      <c r="AH59" s="228">
        <v>12.3</v>
      </c>
      <c r="AI59" s="228">
        <v>10.7</v>
      </c>
      <c r="AJ59" s="228">
        <v>1.6</v>
      </c>
      <c r="AK59" s="229">
        <v>9.4000000000000004E-3</v>
      </c>
      <c r="AL59" s="228">
        <v>17.7</v>
      </c>
      <c r="AM59" s="228">
        <v>22.8</v>
      </c>
      <c r="AN59" s="228">
        <v>-5.0999999999999996</v>
      </c>
      <c r="AO59" s="229">
        <v>1.35E-2</v>
      </c>
      <c r="AP59" s="231">
        <v>1314.08</v>
      </c>
      <c r="AQ59" s="231">
        <v>1319.59</v>
      </c>
      <c r="AR59" s="228">
        <v>0</v>
      </c>
      <c r="AS59" s="228">
        <v>268</v>
      </c>
      <c r="AT59" s="228">
        <v>261</v>
      </c>
      <c r="AU59" s="228">
        <v>7</v>
      </c>
      <c r="AV59" s="229">
        <v>2.5899999999999999E-2</v>
      </c>
      <c r="AW59" s="228">
        <v>255</v>
      </c>
      <c r="AX59" s="228">
        <v>254</v>
      </c>
      <c r="AY59" s="228">
        <v>1</v>
      </c>
      <c r="AZ59" s="229">
        <v>2.8999999999999998E-3</v>
      </c>
      <c r="BA59" s="228">
        <v>13</v>
      </c>
      <c r="BB59" s="228">
        <v>6</v>
      </c>
      <c r="BC59" s="228">
        <v>7</v>
      </c>
      <c r="BD59" s="229">
        <v>1.1081000000000001</v>
      </c>
      <c r="BE59" s="228">
        <v>1</v>
      </c>
      <c r="BF59" s="228">
        <v>1</v>
      </c>
      <c r="BG59" s="228">
        <v>-1</v>
      </c>
      <c r="BH59" s="229">
        <v>-0.5625</v>
      </c>
      <c r="BI59" s="228">
        <v>999</v>
      </c>
      <c r="BJ59" s="228">
        <v>849</v>
      </c>
      <c r="BK59" s="228">
        <v>150</v>
      </c>
      <c r="BL59" s="229">
        <v>0.17599999999999999</v>
      </c>
      <c r="BM59" s="228">
        <v>358</v>
      </c>
      <c r="BN59" s="228">
        <v>469</v>
      </c>
      <c r="BO59" s="228">
        <v>-111</v>
      </c>
      <c r="BP59" s="229">
        <v>-0.2369</v>
      </c>
      <c r="BQ59" s="230">
        <v>1625</v>
      </c>
      <c r="BR59" s="230">
        <v>1580</v>
      </c>
      <c r="BS59" s="228">
        <v>45</v>
      </c>
      <c r="BT59" s="229">
        <v>2.86E-2</v>
      </c>
      <c r="BU59" s="230">
        <v>1109930</v>
      </c>
      <c r="BV59" s="230">
        <v>1945580</v>
      </c>
      <c r="BW59" s="230">
        <v>-835650</v>
      </c>
      <c r="BX59" s="229">
        <v>-0.42949999999999999</v>
      </c>
      <c r="BY59" s="230">
        <v>2074</v>
      </c>
      <c r="BZ59" s="230">
        <v>2096</v>
      </c>
      <c r="CA59" s="228">
        <v>-22</v>
      </c>
      <c r="CB59" s="229">
        <v>-1.0500000000000001E-2</v>
      </c>
      <c r="CC59" s="230">
        <v>2048</v>
      </c>
      <c r="CD59" s="230">
        <v>2068</v>
      </c>
      <c r="CE59" s="228">
        <v>-20</v>
      </c>
      <c r="CF59" s="229">
        <v>-9.5999999999999992E-3</v>
      </c>
      <c r="CG59" s="228">
        <v>23</v>
      </c>
      <c r="CH59" s="228">
        <v>26</v>
      </c>
      <c r="CI59" s="228">
        <v>-2</v>
      </c>
      <c r="CJ59" s="229">
        <v>-0.09</v>
      </c>
      <c r="CK59" s="228">
        <v>2</v>
      </c>
      <c r="CL59" s="228">
        <v>2</v>
      </c>
      <c r="CM59" s="228">
        <v>0</v>
      </c>
      <c r="CN59" s="229">
        <v>3.5700000000000003E-2</v>
      </c>
      <c r="CO59" s="228">
        <v>610</v>
      </c>
      <c r="CP59" s="228">
        <v>579</v>
      </c>
      <c r="CQ59" s="228">
        <v>31</v>
      </c>
      <c r="CR59" s="229">
        <v>5.3699999999999998E-2</v>
      </c>
      <c r="CS59" s="228">
        <v>405</v>
      </c>
      <c r="CT59" s="228">
        <v>386</v>
      </c>
      <c r="CU59" s="228">
        <v>20</v>
      </c>
      <c r="CV59" s="229">
        <v>5.1299999999999998E-2</v>
      </c>
      <c r="CW59" s="230">
        <v>3089</v>
      </c>
      <c r="CX59" s="230">
        <v>3060</v>
      </c>
      <c r="CY59" s="228">
        <v>29</v>
      </c>
      <c r="CZ59" s="229">
        <v>9.4000000000000004E-3</v>
      </c>
      <c r="DA59" s="228">
        <v>22.06</v>
      </c>
      <c r="DB59" s="228">
        <v>24.65</v>
      </c>
      <c r="DC59" s="228">
        <v>-2.59</v>
      </c>
      <c r="DD59" s="228">
        <v>-2.59</v>
      </c>
      <c r="DE59" s="228">
        <v>25.01</v>
      </c>
      <c r="DF59" s="228">
        <v>24.97</v>
      </c>
      <c r="DG59" s="228">
        <v>-2.95</v>
      </c>
      <c r="DH59" s="228">
        <v>0.04</v>
      </c>
      <c r="DI59" s="228">
        <v>21.35</v>
      </c>
      <c r="DJ59" s="228">
        <v>23.6</v>
      </c>
      <c r="DK59" s="228">
        <v>-2.25</v>
      </c>
      <c r="DL59" s="228">
        <v>-2.25</v>
      </c>
      <c r="DM59" s="228">
        <v>24.06</v>
      </c>
      <c r="DN59" s="228">
        <v>26.54</v>
      </c>
      <c r="DO59" s="228">
        <v>-2.48</v>
      </c>
      <c r="DP59" s="228">
        <v>-2.48</v>
      </c>
      <c r="DQ59" s="228">
        <v>0.66</v>
      </c>
      <c r="DR59" s="228">
        <v>0.67</v>
      </c>
      <c r="DS59" s="228">
        <v>-0.01</v>
      </c>
      <c r="DT59" s="229">
        <v>-1.49E-2</v>
      </c>
      <c r="DU59" s="231">
        <v>1360</v>
      </c>
      <c r="DV59" s="231">
        <v>1300</v>
      </c>
      <c r="DW59" s="228">
        <v>0.36</v>
      </c>
      <c r="DX59" s="228">
        <v>0.55000000000000004</v>
      </c>
      <c r="DY59" s="228">
        <v>-0.19</v>
      </c>
      <c r="DZ59" s="229">
        <v>-0.34549999999999997</v>
      </c>
      <c r="EA59" s="229">
        <v>1.24E-2</v>
      </c>
      <c r="EB59" s="230">
        <v>211875</v>
      </c>
      <c r="EC59" s="229">
        <v>5.8999999999999999E-3</v>
      </c>
      <c r="ED59" s="229">
        <v>1.24E-2</v>
      </c>
      <c r="EE59" s="228">
        <v>5.51</v>
      </c>
      <c r="EF59" s="229">
        <v>4.1999999999999997E-3</v>
      </c>
      <c r="EG59" s="230">
        <v>529623</v>
      </c>
      <c r="EH59" s="230">
        <v>1253017</v>
      </c>
      <c r="EI59" s="229">
        <v>-0.57730000000000004</v>
      </c>
      <c r="EJ59" s="229">
        <v>0.47720000000000001</v>
      </c>
      <c r="EK59" s="231">
        <v>1030.53</v>
      </c>
      <c r="EL59" s="228">
        <v>350.48</v>
      </c>
      <c r="EM59" s="228">
        <v>267.23</v>
      </c>
      <c r="EN59" s="228">
        <v>33.380000000000003</v>
      </c>
      <c r="EO59" s="231">
        <v>1648.23</v>
      </c>
      <c r="EP59" s="231">
        <v>1575.27</v>
      </c>
      <c r="EQ59" s="228">
        <v>72.97</v>
      </c>
      <c r="ER59" s="229">
        <v>4.6300000000000001E-2</v>
      </c>
      <c r="ES59" s="228">
        <v>625.91999999999996</v>
      </c>
      <c r="ET59" s="228">
        <v>378.09</v>
      </c>
      <c r="EU59" s="231">
        <v>2073.87</v>
      </c>
      <c r="EV59" s="231">
        <v>91531454</v>
      </c>
      <c r="EW59" s="231">
        <v>3077.88</v>
      </c>
      <c r="EX59" s="231">
        <v>3007.58</v>
      </c>
      <c r="EY59" s="228">
        <v>70.3</v>
      </c>
      <c r="EZ59" s="229">
        <v>2.3400000000000001E-2</v>
      </c>
      <c r="FA59" s="229">
        <v>0.25600000000000001</v>
      </c>
      <c r="FB59" s="227" t="s">
        <v>556</v>
      </c>
      <c r="FC59">
        <f t="shared" si="0"/>
        <v>26</v>
      </c>
    </row>
    <row r="60" spans="1:159" ht="17.25" hidden="1" thickBot="1" x14ac:dyDescent="0.3">
      <c r="A60" s="226">
        <v>46086</v>
      </c>
      <c r="B60" s="227" t="s">
        <v>162</v>
      </c>
      <c r="C60" s="227" t="s">
        <v>209</v>
      </c>
      <c r="D60" s="228">
        <v>100</v>
      </c>
      <c r="E60" s="228">
        <v>25</v>
      </c>
      <c r="F60" s="231">
        <v>7768</v>
      </c>
      <c r="G60" s="231">
        <v>7654</v>
      </c>
      <c r="H60" s="228">
        <v>114</v>
      </c>
      <c r="I60" s="229">
        <v>1.49E-2</v>
      </c>
      <c r="J60" s="231">
        <v>7755</v>
      </c>
      <c r="K60" s="231">
        <v>7626.5</v>
      </c>
      <c r="L60" s="228">
        <v>128.5</v>
      </c>
      <c r="M60" s="229">
        <v>1.6799999999999999E-2</v>
      </c>
      <c r="N60" s="231">
        <v>7768</v>
      </c>
      <c r="O60" s="231">
        <v>7654</v>
      </c>
      <c r="P60" s="228">
        <v>114</v>
      </c>
      <c r="Q60" s="229">
        <v>1.49E-2</v>
      </c>
      <c r="R60" s="231">
        <v>7814.5</v>
      </c>
      <c r="S60" s="231">
        <v>7703.5</v>
      </c>
      <c r="T60" s="228">
        <v>111</v>
      </c>
      <c r="U60" s="229">
        <v>1.44E-2</v>
      </c>
      <c r="V60" s="231">
        <v>7850</v>
      </c>
      <c r="W60" s="231">
        <v>7739</v>
      </c>
      <c r="X60" s="228">
        <v>111</v>
      </c>
      <c r="Y60" s="229">
        <v>1.43E-2</v>
      </c>
      <c r="Z60" s="228">
        <v>13</v>
      </c>
      <c r="AA60" s="228">
        <v>27.5</v>
      </c>
      <c r="AB60" s="228">
        <v>-14.5</v>
      </c>
      <c r="AC60" s="229">
        <v>1.6999999999999999E-3</v>
      </c>
      <c r="AD60" s="228">
        <v>13</v>
      </c>
      <c r="AE60" s="228">
        <v>27.5</v>
      </c>
      <c r="AF60" s="228">
        <v>-14.5</v>
      </c>
      <c r="AG60" s="229">
        <v>1.6999999999999999E-3</v>
      </c>
      <c r="AH60" s="228">
        <v>59.5</v>
      </c>
      <c r="AI60" s="228">
        <v>77</v>
      </c>
      <c r="AJ60" s="228">
        <v>-17.5</v>
      </c>
      <c r="AK60" s="229">
        <v>7.7000000000000002E-3</v>
      </c>
      <c r="AL60" s="228">
        <v>95</v>
      </c>
      <c r="AM60" s="228">
        <v>112.5</v>
      </c>
      <c r="AN60" s="228">
        <v>-17.5</v>
      </c>
      <c r="AO60" s="229">
        <v>1.23E-2</v>
      </c>
      <c r="AP60" s="231">
        <v>7722.72</v>
      </c>
      <c r="AQ60" s="231">
        <v>7775.54</v>
      </c>
      <c r="AR60" s="228">
        <v>0</v>
      </c>
      <c r="AS60" s="228">
        <v>370</v>
      </c>
      <c r="AT60" s="228">
        <v>423</v>
      </c>
      <c r="AU60" s="228">
        <v>-53</v>
      </c>
      <c r="AV60" s="229">
        <v>-0.126</v>
      </c>
      <c r="AW60" s="228">
        <v>352</v>
      </c>
      <c r="AX60" s="228">
        <v>382</v>
      </c>
      <c r="AY60" s="228">
        <v>-30</v>
      </c>
      <c r="AZ60" s="229">
        <v>-7.8799999999999995E-2</v>
      </c>
      <c r="BA60" s="228">
        <v>13</v>
      </c>
      <c r="BB60" s="228">
        <v>33</v>
      </c>
      <c r="BC60" s="228">
        <v>-20</v>
      </c>
      <c r="BD60" s="229">
        <v>-0.6</v>
      </c>
      <c r="BE60" s="228">
        <v>4</v>
      </c>
      <c r="BF60" s="228">
        <v>8</v>
      </c>
      <c r="BG60" s="228">
        <v>-4</v>
      </c>
      <c r="BH60" s="229">
        <v>-0.45100000000000001</v>
      </c>
      <c r="BI60" s="230">
        <v>1341</v>
      </c>
      <c r="BJ60" s="230">
        <v>1186</v>
      </c>
      <c r="BK60" s="228">
        <v>155</v>
      </c>
      <c r="BL60" s="229">
        <v>0.13039999999999999</v>
      </c>
      <c r="BM60" s="228">
        <v>627</v>
      </c>
      <c r="BN60" s="230">
        <v>1134</v>
      </c>
      <c r="BO60" s="228">
        <v>-507</v>
      </c>
      <c r="BP60" s="229">
        <v>-0.4471</v>
      </c>
      <c r="BQ60" s="230">
        <v>2338</v>
      </c>
      <c r="BR60" s="230">
        <v>2743</v>
      </c>
      <c r="BS60" s="228">
        <v>-405</v>
      </c>
      <c r="BT60" s="229">
        <v>-0.14779999999999999</v>
      </c>
      <c r="BU60" s="230">
        <v>581924</v>
      </c>
      <c r="BV60" s="230">
        <v>609822</v>
      </c>
      <c r="BW60" s="230">
        <v>-27898</v>
      </c>
      <c r="BX60" s="229">
        <v>-4.5699999999999998E-2</v>
      </c>
      <c r="BY60" s="230">
        <v>2354</v>
      </c>
      <c r="BZ60" s="230">
        <v>2358</v>
      </c>
      <c r="CA60" s="228">
        <v>-4</v>
      </c>
      <c r="CB60" s="229">
        <v>-1.6000000000000001E-3</v>
      </c>
      <c r="CC60" s="230">
        <v>2303</v>
      </c>
      <c r="CD60" s="230">
        <v>2309</v>
      </c>
      <c r="CE60" s="228">
        <v>-6</v>
      </c>
      <c r="CF60" s="229">
        <v>-2.5999999999999999E-3</v>
      </c>
      <c r="CG60" s="228">
        <v>42</v>
      </c>
      <c r="CH60" s="228">
        <v>41</v>
      </c>
      <c r="CI60" s="228">
        <v>2</v>
      </c>
      <c r="CJ60" s="229">
        <v>4.02E-2</v>
      </c>
      <c r="CK60" s="228">
        <v>9</v>
      </c>
      <c r="CL60" s="228">
        <v>8</v>
      </c>
      <c r="CM60" s="228">
        <v>0</v>
      </c>
      <c r="CN60" s="229">
        <v>5.7700000000000001E-2</v>
      </c>
      <c r="CO60" s="230">
        <v>1388</v>
      </c>
      <c r="CP60" s="230">
        <v>1349</v>
      </c>
      <c r="CQ60" s="228">
        <v>40</v>
      </c>
      <c r="CR60" s="229">
        <v>2.93E-2</v>
      </c>
      <c r="CS60" s="228">
        <v>852</v>
      </c>
      <c r="CT60" s="228">
        <v>847</v>
      </c>
      <c r="CU60" s="228">
        <v>4</v>
      </c>
      <c r="CV60" s="229">
        <v>4.7999999999999996E-3</v>
      </c>
      <c r="CW60" s="230">
        <v>4593</v>
      </c>
      <c r="CX60" s="230">
        <v>4554</v>
      </c>
      <c r="CY60" s="228">
        <v>40</v>
      </c>
      <c r="CZ60" s="229">
        <v>8.6999999999999994E-3</v>
      </c>
      <c r="DA60" s="228">
        <v>25.9</v>
      </c>
      <c r="DB60" s="228">
        <v>30.3</v>
      </c>
      <c r="DC60" s="228">
        <v>-4.4000000000000004</v>
      </c>
      <c r="DD60" s="228">
        <v>-4.4000000000000004</v>
      </c>
      <c r="DE60" s="228">
        <v>28.24</v>
      </c>
      <c r="DF60" s="228">
        <v>28.22</v>
      </c>
      <c r="DG60" s="228">
        <v>-2.34</v>
      </c>
      <c r="DH60" s="228">
        <v>0.02</v>
      </c>
      <c r="DI60" s="228">
        <v>24.86</v>
      </c>
      <c r="DJ60" s="228">
        <v>27.87</v>
      </c>
      <c r="DK60" s="228">
        <v>-3.01</v>
      </c>
      <c r="DL60" s="228">
        <v>-3.01</v>
      </c>
      <c r="DM60" s="228">
        <v>28.12</v>
      </c>
      <c r="DN60" s="228">
        <v>32.840000000000003</v>
      </c>
      <c r="DO60" s="228">
        <v>-4.72</v>
      </c>
      <c r="DP60" s="228">
        <v>-4.72</v>
      </c>
      <c r="DQ60" s="228">
        <v>0.61</v>
      </c>
      <c r="DR60" s="228">
        <v>0.63</v>
      </c>
      <c r="DS60" s="228">
        <v>-0.02</v>
      </c>
      <c r="DT60" s="229">
        <v>-3.1699999999999999E-2</v>
      </c>
      <c r="DU60" s="231">
        <v>9000</v>
      </c>
      <c r="DV60" s="231">
        <v>7500</v>
      </c>
      <c r="DW60" s="228">
        <v>0.47</v>
      </c>
      <c r="DX60" s="228">
        <v>0.96</v>
      </c>
      <c r="DY60" s="228">
        <v>-0.49</v>
      </c>
      <c r="DZ60" s="229">
        <v>-0.51039999999999996</v>
      </c>
      <c r="EA60" s="229">
        <v>2.1600000000000001E-2</v>
      </c>
      <c r="EB60" s="230">
        <v>62600</v>
      </c>
      <c r="EC60" s="229">
        <v>6.0000000000000001E-3</v>
      </c>
      <c r="ED60" s="229">
        <v>2.1600000000000001E-2</v>
      </c>
      <c r="EE60" s="228">
        <v>52.82</v>
      </c>
      <c r="EF60" s="229">
        <v>6.7999999999999996E-3</v>
      </c>
      <c r="EG60" s="230">
        <v>349047</v>
      </c>
      <c r="EH60" s="230">
        <v>366946</v>
      </c>
      <c r="EI60" s="229">
        <v>-4.8800000000000003E-2</v>
      </c>
      <c r="EJ60" s="229">
        <v>0.5998</v>
      </c>
      <c r="EK60" s="231">
        <v>1435.92</v>
      </c>
      <c r="EL60" s="228">
        <v>597.45000000000005</v>
      </c>
      <c r="EM60" s="228">
        <v>367.75</v>
      </c>
      <c r="EN60" s="228">
        <v>64.8</v>
      </c>
      <c r="EO60" s="231">
        <v>2401.11</v>
      </c>
      <c r="EP60" s="231">
        <v>2737.18</v>
      </c>
      <c r="EQ60" s="228">
        <v>-336.07</v>
      </c>
      <c r="ER60" s="229">
        <v>-0.12280000000000001</v>
      </c>
      <c r="ES60" s="231">
        <v>1485.59</v>
      </c>
      <c r="ET60" s="228">
        <v>836.82</v>
      </c>
      <c r="EU60" s="231">
        <v>2353.9699999999998</v>
      </c>
      <c r="EV60" s="231">
        <v>19199175</v>
      </c>
      <c r="EW60" s="231">
        <v>4676.37</v>
      </c>
      <c r="EX60" s="231">
        <v>4598.51</v>
      </c>
      <c r="EY60" s="228">
        <v>77.86</v>
      </c>
      <c r="EZ60" s="229">
        <v>1.6899999999999998E-2</v>
      </c>
      <c r="FA60" s="229">
        <v>0.308</v>
      </c>
      <c r="FB60" s="227" t="s">
        <v>556</v>
      </c>
      <c r="FC60">
        <f t="shared" si="0"/>
        <v>51</v>
      </c>
    </row>
    <row r="61" spans="1:159" ht="17.25" hidden="1" thickBot="1" x14ac:dyDescent="0.3">
      <c r="A61" s="226">
        <v>46086</v>
      </c>
      <c r="B61" s="227" t="s">
        <v>615</v>
      </c>
      <c r="C61" s="227" t="s">
        <v>666</v>
      </c>
      <c r="D61" s="228">
        <v>2425</v>
      </c>
      <c r="E61" s="228">
        <v>25</v>
      </c>
      <c r="F61" s="228">
        <v>240.67</v>
      </c>
      <c r="G61" s="228">
        <v>241.18</v>
      </c>
      <c r="H61" s="228">
        <v>-0.51</v>
      </c>
      <c r="I61" s="229">
        <v>-2.0999999999999999E-3</v>
      </c>
      <c r="J61" s="228">
        <v>240.14</v>
      </c>
      <c r="K61" s="228">
        <v>240.73</v>
      </c>
      <c r="L61" s="228">
        <v>-0.59</v>
      </c>
      <c r="M61" s="229">
        <v>-2.5000000000000001E-3</v>
      </c>
      <c r="N61" s="228">
        <v>240.67</v>
      </c>
      <c r="O61" s="228">
        <v>241.18</v>
      </c>
      <c r="P61" s="228">
        <v>-0.51</v>
      </c>
      <c r="Q61" s="229">
        <v>-2.0999999999999999E-3</v>
      </c>
      <c r="R61" s="228">
        <v>242.21</v>
      </c>
      <c r="S61" s="228">
        <v>242.8</v>
      </c>
      <c r="T61" s="228">
        <v>-0.59</v>
      </c>
      <c r="U61" s="229">
        <v>-2.3999999999999998E-3</v>
      </c>
      <c r="V61" s="228">
        <v>243.43</v>
      </c>
      <c r="W61" s="228">
        <v>244.11</v>
      </c>
      <c r="X61" s="228">
        <v>-0.68</v>
      </c>
      <c r="Y61" s="229">
        <v>-2.8E-3</v>
      </c>
      <c r="Z61" s="228">
        <v>0.53</v>
      </c>
      <c r="AA61" s="228">
        <v>0.45</v>
      </c>
      <c r="AB61" s="228">
        <v>0.08</v>
      </c>
      <c r="AC61" s="229">
        <v>2.2000000000000001E-3</v>
      </c>
      <c r="AD61" s="228">
        <v>0.53</v>
      </c>
      <c r="AE61" s="228">
        <v>0.45</v>
      </c>
      <c r="AF61" s="228">
        <v>0.08</v>
      </c>
      <c r="AG61" s="229">
        <v>2.2000000000000001E-3</v>
      </c>
      <c r="AH61" s="228">
        <v>2.0699999999999998</v>
      </c>
      <c r="AI61" s="228">
        <v>2.0699999999999998</v>
      </c>
      <c r="AJ61" s="228">
        <v>0</v>
      </c>
      <c r="AK61" s="229">
        <v>8.6E-3</v>
      </c>
      <c r="AL61" s="228">
        <v>3.29</v>
      </c>
      <c r="AM61" s="228">
        <v>3.38</v>
      </c>
      <c r="AN61" s="228">
        <v>-0.09</v>
      </c>
      <c r="AO61" s="229">
        <v>1.37E-2</v>
      </c>
      <c r="AP61" s="228">
        <v>238.41</v>
      </c>
      <c r="AQ61" s="228">
        <v>240.31</v>
      </c>
      <c r="AR61" s="228">
        <v>0</v>
      </c>
      <c r="AS61" s="230">
        <v>1077</v>
      </c>
      <c r="AT61" s="228">
        <v>982</v>
      </c>
      <c r="AU61" s="228">
        <v>95</v>
      </c>
      <c r="AV61" s="229">
        <v>9.6600000000000005E-2</v>
      </c>
      <c r="AW61" s="228">
        <v>965</v>
      </c>
      <c r="AX61" s="228">
        <v>915</v>
      </c>
      <c r="AY61" s="228">
        <v>50</v>
      </c>
      <c r="AZ61" s="229">
        <v>5.4699999999999999E-2</v>
      </c>
      <c r="BA61" s="228">
        <v>92</v>
      </c>
      <c r="BB61" s="228">
        <v>51</v>
      </c>
      <c r="BC61" s="228">
        <v>41</v>
      </c>
      <c r="BD61" s="229">
        <v>0.80069999999999997</v>
      </c>
      <c r="BE61" s="228">
        <v>20</v>
      </c>
      <c r="BF61" s="228">
        <v>16</v>
      </c>
      <c r="BG61" s="228">
        <v>4</v>
      </c>
      <c r="BH61" s="229">
        <v>0.25190000000000001</v>
      </c>
      <c r="BI61" s="230">
        <v>2494</v>
      </c>
      <c r="BJ61" s="230">
        <v>1817</v>
      </c>
      <c r="BK61" s="228">
        <v>678</v>
      </c>
      <c r="BL61" s="229">
        <v>0.37309999999999999</v>
      </c>
      <c r="BM61" s="230">
        <v>1172</v>
      </c>
      <c r="BN61" s="228">
        <v>877</v>
      </c>
      <c r="BO61" s="228">
        <v>295</v>
      </c>
      <c r="BP61" s="229">
        <v>0.33639999999999998</v>
      </c>
      <c r="BQ61" s="230">
        <v>4743</v>
      </c>
      <c r="BR61" s="230">
        <v>3675</v>
      </c>
      <c r="BS61" s="230">
        <v>1068</v>
      </c>
      <c r="BT61" s="229">
        <v>0.29049999999999998</v>
      </c>
      <c r="BU61" s="230">
        <v>48507681</v>
      </c>
      <c r="BV61" s="230">
        <v>51514721</v>
      </c>
      <c r="BW61" s="230">
        <v>-3007040</v>
      </c>
      <c r="BX61" s="229">
        <v>-5.8400000000000001E-2</v>
      </c>
      <c r="BY61" s="230">
        <v>7025</v>
      </c>
      <c r="BZ61" s="230">
        <v>7067</v>
      </c>
      <c r="CA61" s="228">
        <v>-42</v>
      </c>
      <c r="CB61" s="229">
        <v>-5.8999999999999999E-3</v>
      </c>
      <c r="CC61" s="230">
        <v>6317</v>
      </c>
      <c r="CD61" s="230">
        <v>6400</v>
      </c>
      <c r="CE61" s="228">
        <v>-84</v>
      </c>
      <c r="CF61" s="229">
        <v>-1.2999999999999999E-2</v>
      </c>
      <c r="CG61" s="228">
        <v>432</v>
      </c>
      <c r="CH61" s="228">
        <v>397</v>
      </c>
      <c r="CI61" s="228">
        <v>35</v>
      </c>
      <c r="CJ61" s="229">
        <v>8.9200000000000002E-2</v>
      </c>
      <c r="CK61" s="228">
        <v>276</v>
      </c>
      <c r="CL61" s="228">
        <v>270</v>
      </c>
      <c r="CM61" s="228">
        <v>6</v>
      </c>
      <c r="CN61" s="229">
        <v>2.3800000000000002E-2</v>
      </c>
      <c r="CO61" s="230">
        <v>2677</v>
      </c>
      <c r="CP61" s="230">
        <v>2472</v>
      </c>
      <c r="CQ61" s="228">
        <v>204</v>
      </c>
      <c r="CR61" s="229">
        <v>8.2699999999999996E-2</v>
      </c>
      <c r="CS61" s="230">
        <v>1315</v>
      </c>
      <c r="CT61" s="230">
        <v>1214</v>
      </c>
      <c r="CU61" s="228">
        <v>101</v>
      </c>
      <c r="CV61" s="229">
        <v>8.3299999999999999E-2</v>
      </c>
      <c r="CW61" s="230">
        <v>11016</v>
      </c>
      <c r="CX61" s="230">
        <v>10752</v>
      </c>
      <c r="CY61" s="228">
        <v>264</v>
      </c>
      <c r="CZ61" s="229">
        <v>2.4500000000000001E-2</v>
      </c>
      <c r="DA61" s="228">
        <v>38.75</v>
      </c>
      <c r="DB61" s="228">
        <v>41.56</v>
      </c>
      <c r="DC61" s="228">
        <v>-2.81</v>
      </c>
      <c r="DD61" s="228">
        <v>-2.81</v>
      </c>
      <c r="DE61" s="228">
        <v>44.69</v>
      </c>
      <c r="DF61" s="228">
        <v>44.8</v>
      </c>
      <c r="DG61" s="228">
        <v>-5.94</v>
      </c>
      <c r="DH61" s="228">
        <v>-0.11</v>
      </c>
      <c r="DI61" s="228">
        <v>38.659999999999997</v>
      </c>
      <c r="DJ61" s="228">
        <v>40.98</v>
      </c>
      <c r="DK61" s="228">
        <v>-2.3199999999999998</v>
      </c>
      <c r="DL61" s="228">
        <v>-2.3199999999999998</v>
      </c>
      <c r="DM61" s="228">
        <v>38.950000000000003</v>
      </c>
      <c r="DN61" s="228">
        <v>42.75</v>
      </c>
      <c r="DO61" s="228">
        <v>-3.8</v>
      </c>
      <c r="DP61" s="228">
        <v>-3.8</v>
      </c>
      <c r="DQ61" s="228">
        <v>0.49</v>
      </c>
      <c r="DR61" s="228">
        <v>0.49</v>
      </c>
      <c r="DS61" s="228">
        <v>0</v>
      </c>
      <c r="DT61" s="229">
        <v>0</v>
      </c>
      <c r="DU61" s="228">
        <v>300</v>
      </c>
      <c r="DV61" s="228">
        <v>250</v>
      </c>
      <c r="DW61" s="228">
        <v>0.47</v>
      </c>
      <c r="DX61" s="228">
        <v>0.48</v>
      </c>
      <c r="DY61" s="228">
        <v>-0.01</v>
      </c>
      <c r="DZ61" s="229">
        <v>-2.0799999999999999E-2</v>
      </c>
      <c r="EA61" s="229">
        <v>0.1008</v>
      </c>
      <c r="EB61" s="230">
        <v>27683800</v>
      </c>
      <c r="EC61" s="229">
        <v>6.4000000000000003E-3</v>
      </c>
      <c r="ED61" s="229">
        <v>0.1008</v>
      </c>
      <c r="EE61" s="228">
        <v>1.9</v>
      </c>
      <c r="EF61" s="229">
        <v>8.0000000000000002E-3</v>
      </c>
      <c r="EG61" s="230">
        <v>21073464</v>
      </c>
      <c r="EH61" s="230">
        <v>28216982</v>
      </c>
      <c r="EI61" s="229">
        <v>-0.25319999999999998</v>
      </c>
      <c r="EJ61" s="229">
        <v>0.43440000000000001</v>
      </c>
      <c r="EK61" s="231">
        <v>2725.81</v>
      </c>
      <c r="EL61" s="231">
        <v>1172.96</v>
      </c>
      <c r="EM61" s="231">
        <v>1067.6199999999999</v>
      </c>
      <c r="EN61" s="228">
        <v>256.5</v>
      </c>
      <c r="EO61" s="231">
        <v>4966.38</v>
      </c>
      <c r="EP61" s="231">
        <v>3856.32</v>
      </c>
      <c r="EQ61" s="231">
        <v>1110.06</v>
      </c>
      <c r="ER61" s="229">
        <v>0.28789999999999999</v>
      </c>
      <c r="ES61" s="231">
        <v>3044.86</v>
      </c>
      <c r="ET61" s="231">
        <v>1380.72</v>
      </c>
      <c r="EU61" s="231">
        <v>7030.73</v>
      </c>
      <c r="EV61" s="231">
        <v>1251309857</v>
      </c>
      <c r="EW61" s="231">
        <v>11456.31</v>
      </c>
      <c r="EX61" s="231">
        <v>11196.34</v>
      </c>
      <c r="EY61" s="228">
        <v>259.97000000000003</v>
      </c>
      <c r="EZ61" s="229">
        <v>2.3199999999999998E-2</v>
      </c>
      <c r="FA61" s="229">
        <v>0.36580000000000001</v>
      </c>
      <c r="FB61" s="227" t="s">
        <v>568</v>
      </c>
      <c r="FC61">
        <f t="shared" si="0"/>
        <v>708</v>
      </c>
    </row>
    <row r="62" spans="1:159" ht="17.25" hidden="1" thickBot="1" x14ac:dyDescent="0.3">
      <c r="A62" s="226">
        <v>46086</v>
      </c>
      <c r="B62" s="227" t="s">
        <v>162</v>
      </c>
      <c r="C62" s="227" t="s">
        <v>211</v>
      </c>
      <c r="D62" s="228">
        <v>1800</v>
      </c>
      <c r="E62" s="228">
        <v>25</v>
      </c>
      <c r="F62" s="228">
        <v>320.95</v>
      </c>
      <c r="G62" s="228">
        <v>315.14999999999998</v>
      </c>
      <c r="H62" s="228">
        <v>5.8</v>
      </c>
      <c r="I62" s="229">
        <v>1.84E-2</v>
      </c>
      <c r="J62" s="228">
        <v>319.64999999999998</v>
      </c>
      <c r="K62" s="228">
        <v>313.95</v>
      </c>
      <c r="L62" s="228">
        <v>5.7</v>
      </c>
      <c r="M62" s="229">
        <v>1.8200000000000001E-2</v>
      </c>
      <c r="N62" s="228">
        <v>320.95</v>
      </c>
      <c r="O62" s="228">
        <v>315.14999999999998</v>
      </c>
      <c r="P62" s="228">
        <v>5.8</v>
      </c>
      <c r="Q62" s="229">
        <v>1.84E-2</v>
      </c>
      <c r="R62" s="228">
        <v>323</v>
      </c>
      <c r="S62" s="228">
        <v>317.25</v>
      </c>
      <c r="T62" s="228">
        <v>5.75</v>
      </c>
      <c r="U62" s="229">
        <v>1.8100000000000002E-2</v>
      </c>
      <c r="V62" s="228">
        <v>324.25</v>
      </c>
      <c r="W62" s="228">
        <v>319.05</v>
      </c>
      <c r="X62" s="228">
        <v>5.2</v>
      </c>
      <c r="Y62" s="229">
        <v>1.6299999999999999E-2</v>
      </c>
      <c r="Z62" s="228">
        <v>1.3</v>
      </c>
      <c r="AA62" s="228">
        <v>1.2</v>
      </c>
      <c r="AB62" s="228">
        <v>0.1</v>
      </c>
      <c r="AC62" s="229">
        <v>4.1000000000000003E-3</v>
      </c>
      <c r="AD62" s="228">
        <v>1.3</v>
      </c>
      <c r="AE62" s="228">
        <v>1.2</v>
      </c>
      <c r="AF62" s="228">
        <v>0.1</v>
      </c>
      <c r="AG62" s="229">
        <v>4.1000000000000003E-3</v>
      </c>
      <c r="AH62" s="228">
        <v>3.35</v>
      </c>
      <c r="AI62" s="228">
        <v>3.3</v>
      </c>
      <c r="AJ62" s="228">
        <v>0.05</v>
      </c>
      <c r="AK62" s="229">
        <v>1.0500000000000001E-2</v>
      </c>
      <c r="AL62" s="228">
        <v>4.5999999999999996</v>
      </c>
      <c r="AM62" s="228">
        <v>5.0999999999999996</v>
      </c>
      <c r="AN62" s="228">
        <v>-0.5</v>
      </c>
      <c r="AO62" s="229">
        <v>1.44E-2</v>
      </c>
      <c r="AP62" s="228">
        <v>317.24</v>
      </c>
      <c r="AQ62" s="228">
        <v>319.45999999999998</v>
      </c>
      <c r="AR62" s="228">
        <v>0</v>
      </c>
      <c r="AS62" s="228">
        <v>101</v>
      </c>
      <c r="AT62" s="228">
        <v>106</v>
      </c>
      <c r="AU62" s="228">
        <v>-5</v>
      </c>
      <c r="AV62" s="229">
        <v>-4.7300000000000002E-2</v>
      </c>
      <c r="AW62" s="228">
        <v>89</v>
      </c>
      <c r="AX62" s="228">
        <v>94</v>
      </c>
      <c r="AY62" s="228">
        <v>-5</v>
      </c>
      <c r="AZ62" s="229">
        <v>-4.8599999999999997E-2</v>
      </c>
      <c r="BA62" s="228">
        <v>11</v>
      </c>
      <c r="BB62" s="228">
        <v>10</v>
      </c>
      <c r="BC62" s="228">
        <v>1</v>
      </c>
      <c r="BD62" s="229">
        <v>0.1205</v>
      </c>
      <c r="BE62" s="228">
        <v>1</v>
      </c>
      <c r="BF62" s="228">
        <v>3</v>
      </c>
      <c r="BG62" s="228">
        <v>-2</v>
      </c>
      <c r="BH62" s="229">
        <v>-0.54900000000000004</v>
      </c>
      <c r="BI62" s="228">
        <v>199</v>
      </c>
      <c r="BJ62" s="228">
        <v>204</v>
      </c>
      <c r="BK62" s="228">
        <v>-5</v>
      </c>
      <c r="BL62" s="229">
        <v>-2.5999999999999999E-2</v>
      </c>
      <c r="BM62" s="228">
        <v>110</v>
      </c>
      <c r="BN62" s="228">
        <v>80</v>
      </c>
      <c r="BO62" s="228">
        <v>30</v>
      </c>
      <c r="BP62" s="229">
        <v>0.36840000000000001</v>
      </c>
      <c r="BQ62" s="228">
        <v>410</v>
      </c>
      <c r="BR62" s="228">
        <v>391</v>
      </c>
      <c r="BS62" s="228">
        <v>19</v>
      </c>
      <c r="BT62" s="229">
        <v>4.9099999999999998E-2</v>
      </c>
      <c r="BU62" s="230">
        <v>1409015</v>
      </c>
      <c r="BV62" s="230">
        <v>1469545</v>
      </c>
      <c r="BW62" s="230">
        <v>-60530</v>
      </c>
      <c r="BX62" s="229">
        <v>-4.1200000000000001E-2</v>
      </c>
      <c r="BY62" s="228">
        <v>952</v>
      </c>
      <c r="BZ62" s="228">
        <v>968</v>
      </c>
      <c r="CA62" s="228">
        <v>-16</v>
      </c>
      <c r="CB62" s="229">
        <v>-1.66E-2</v>
      </c>
      <c r="CC62" s="228">
        <v>909</v>
      </c>
      <c r="CD62" s="228">
        <v>926</v>
      </c>
      <c r="CE62" s="228">
        <v>-17</v>
      </c>
      <c r="CF62" s="229">
        <v>-1.8499999999999999E-2</v>
      </c>
      <c r="CG62" s="228">
        <v>39</v>
      </c>
      <c r="CH62" s="228">
        <v>38</v>
      </c>
      <c r="CI62" s="228">
        <v>1</v>
      </c>
      <c r="CJ62" s="229">
        <v>2.7099999999999999E-2</v>
      </c>
      <c r="CK62" s="228">
        <v>4</v>
      </c>
      <c r="CL62" s="228">
        <v>4</v>
      </c>
      <c r="CM62" s="228">
        <v>0</v>
      </c>
      <c r="CN62" s="229">
        <v>0</v>
      </c>
      <c r="CO62" s="228">
        <v>311</v>
      </c>
      <c r="CP62" s="228">
        <v>300</v>
      </c>
      <c r="CQ62" s="228">
        <v>11</v>
      </c>
      <c r="CR62" s="229">
        <v>3.6799999999999999E-2</v>
      </c>
      <c r="CS62" s="228">
        <v>291</v>
      </c>
      <c r="CT62" s="228">
        <v>272</v>
      </c>
      <c r="CU62" s="228">
        <v>19</v>
      </c>
      <c r="CV62" s="229">
        <v>7.0300000000000001E-2</v>
      </c>
      <c r="CW62" s="230">
        <v>1554</v>
      </c>
      <c r="CX62" s="230">
        <v>1540</v>
      </c>
      <c r="CY62" s="228">
        <v>14</v>
      </c>
      <c r="CZ62" s="229">
        <v>9.1999999999999998E-3</v>
      </c>
      <c r="DA62" s="228">
        <v>28.82</v>
      </c>
      <c r="DB62" s="228">
        <v>33.880000000000003</v>
      </c>
      <c r="DC62" s="228">
        <v>-5.0599999999999996</v>
      </c>
      <c r="DD62" s="228">
        <v>-5.0599999999999996</v>
      </c>
      <c r="DE62" s="228">
        <v>32.729999999999997</v>
      </c>
      <c r="DF62" s="228">
        <v>32.72</v>
      </c>
      <c r="DG62" s="228">
        <v>-3.91</v>
      </c>
      <c r="DH62" s="228">
        <v>0.01</v>
      </c>
      <c r="DI62" s="228">
        <v>28.47</v>
      </c>
      <c r="DJ62" s="228">
        <v>33.61</v>
      </c>
      <c r="DK62" s="228">
        <v>-5.14</v>
      </c>
      <c r="DL62" s="228">
        <v>-5.14</v>
      </c>
      <c r="DM62" s="228">
        <v>29.47</v>
      </c>
      <c r="DN62" s="228">
        <v>34.57</v>
      </c>
      <c r="DO62" s="228">
        <v>-5.0999999999999996</v>
      </c>
      <c r="DP62" s="228">
        <v>-5.0999999999999996</v>
      </c>
      <c r="DQ62" s="228">
        <v>0.94</v>
      </c>
      <c r="DR62" s="228">
        <v>0.91</v>
      </c>
      <c r="DS62" s="228">
        <v>0.03</v>
      </c>
      <c r="DT62" s="229">
        <v>3.3000000000000002E-2</v>
      </c>
      <c r="DU62" s="228">
        <v>340</v>
      </c>
      <c r="DV62" s="228">
        <v>340</v>
      </c>
      <c r="DW62" s="228">
        <v>0.55000000000000004</v>
      </c>
      <c r="DX62" s="228">
        <v>0.39</v>
      </c>
      <c r="DY62" s="228">
        <v>0.16</v>
      </c>
      <c r="DZ62" s="229">
        <v>0.4103</v>
      </c>
      <c r="EA62" s="229">
        <v>4.5199999999999997E-2</v>
      </c>
      <c r="EB62" s="230">
        <v>1306800</v>
      </c>
      <c r="EC62" s="229">
        <v>6.4000000000000003E-3</v>
      </c>
      <c r="ED62" s="229">
        <v>4.5199999999999997E-2</v>
      </c>
      <c r="EE62" s="228">
        <v>2.2200000000000002</v>
      </c>
      <c r="EF62" s="229">
        <v>7.0000000000000001E-3</v>
      </c>
      <c r="EG62" s="230">
        <v>476197</v>
      </c>
      <c r="EH62" s="230">
        <v>613886</v>
      </c>
      <c r="EI62" s="229">
        <v>-0.2243</v>
      </c>
      <c r="EJ62" s="229">
        <v>0.33800000000000002</v>
      </c>
      <c r="EK62" s="228">
        <v>213.33</v>
      </c>
      <c r="EL62" s="228">
        <v>111.18</v>
      </c>
      <c r="EM62" s="228">
        <v>100.25</v>
      </c>
      <c r="EN62" s="228">
        <v>16.82</v>
      </c>
      <c r="EO62" s="228">
        <v>424.77</v>
      </c>
      <c r="EP62" s="228">
        <v>405.39</v>
      </c>
      <c r="EQ62" s="228">
        <v>19.38</v>
      </c>
      <c r="ER62" s="229">
        <v>4.7800000000000002E-2</v>
      </c>
      <c r="ES62" s="228">
        <v>340.8</v>
      </c>
      <c r="ET62" s="228">
        <v>311.47000000000003</v>
      </c>
      <c r="EU62" s="228">
        <v>952.07</v>
      </c>
      <c r="EV62" s="231">
        <v>68856800</v>
      </c>
      <c r="EW62" s="231">
        <v>1604.34</v>
      </c>
      <c r="EX62" s="231">
        <v>1573.71</v>
      </c>
      <c r="EY62" s="228">
        <v>30.63</v>
      </c>
      <c r="EZ62" s="229">
        <v>1.95E-2</v>
      </c>
      <c r="FA62" s="229">
        <v>0.70309999999999995</v>
      </c>
      <c r="FB62" s="227" t="s">
        <v>556</v>
      </c>
      <c r="FC62">
        <f t="shared" si="0"/>
        <v>43</v>
      </c>
    </row>
    <row r="63" spans="1:159" ht="17.25" hidden="1" thickBot="1" x14ac:dyDescent="0.3">
      <c r="A63" s="226">
        <v>46086</v>
      </c>
      <c r="B63" s="227" t="s">
        <v>172</v>
      </c>
      <c r="C63" s="227" t="s">
        <v>212</v>
      </c>
      <c r="D63" s="228">
        <v>5000</v>
      </c>
      <c r="E63" s="228">
        <v>25</v>
      </c>
      <c r="F63" s="228">
        <v>290.85000000000002</v>
      </c>
      <c r="G63" s="228">
        <v>287.8</v>
      </c>
      <c r="H63" s="228">
        <v>3.05</v>
      </c>
      <c r="I63" s="229">
        <v>1.06E-2</v>
      </c>
      <c r="J63" s="228">
        <v>289.7</v>
      </c>
      <c r="K63" s="228">
        <v>286.45</v>
      </c>
      <c r="L63" s="228">
        <v>3.25</v>
      </c>
      <c r="M63" s="229">
        <v>1.1299999999999999E-2</v>
      </c>
      <c r="N63" s="228">
        <v>290.85000000000002</v>
      </c>
      <c r="O63" s="228">
        <v>287.8</v>
      </c>
      <c r="P63" s="228">
        <v>3.05</v>
      </c>
      <c r="Q63" s="229">
        <v>1.06E-2</v>
      </c>
      <c r="R63" s="228">
        <v>292.60000000000002</v>
      </c>
      <c r="S63" s="228">
        <v>288.95</v>
      </c>
      <c r="T63" s="228">
        <v>3.65</v>
      </c>
      <c r="U63" s="229">
        <v>1.26E-2</v>
      </c>
      <c r="V63" s="228">
        <v>294</v>
      </c>
      <c r="W63" s="228">
        <v>290.05</v>
      </c>
      <c r="X63" s="228">
        <v>3.95</v>
      </c>
      <c r="Y63" s="229">
        <v>1.3599999999999999E-2</v>
      </c>
      <c r="Z63" s="228">
        <v>1.1499999999999999</v>
      </c>
      <c r="AA63" s="228">
        <v>1.35</v>
      </c>
      <c r="AB63" s="228">
        <v>-0.2</v>
      </c>
      <c r="AC63" s="229">
        <v>4.0000000000000001E-3</v>
      </c>
      <c r="AD63" s="228">
        <v>1.1499999999999999</v>
      </c>
      <c r="AE63" s="228">
        <v>1.35</v>
      </c>
      <c r="AF63" s="228">
        <v>-0.2</v>
      </c>
      <c r="AG63" s="229">
        <v>4.0000000000000001E-3</v>
      </c>
      <c r="AH63" s="228">
        <v>2.9</v>
      </c>
      <c r="AI63" s="228">
        <v>2.5</v>
      </c>
      <c r="AJ63" s="228">
        <v>0.4</v>
      </c>
      <c r="AK63" s="229">
        <v>0.01</v>
      </c>
      <c r="AL63" s="228">
        <v>4.3</v>
      </c>
      <c r="AM63" s="228">
        <v>3.6</v>
      </c>
      <c r="AN63" s="228">
        <v>0.7</v>
      </c>
      <c r="AO63" s="229">
        <v>1.4800000000000001E-2</v>
      </c>
      <c r="AP63" s="228">
        <v>289.94</v>
      </c>
      <c r="AQ63" s="228">
        <v>291.62</v>
      </c>
      <c r="AR63" s="228">
        <v>0</v>
      </c>
      <c r="AS63" s="228">
        <v>536</v>
      </c>
      <c r="AT63" s="228">
        <v>994</v>
      </c>
      <c r="AU63" s="228">
        <v>-458</v>
      </c>
      <c r="AV63" s="229">
        <v>-0.46100000000000002</v>
      </c>
      <c r="AW63" s="228">
        <v>503</v>
      </c>
      <c r="AX63" s="228">
        <v>954</v>
      </c>
      <c r="AY63" s="228">
        <v>-451</v>
      </c>
      <c r="AZ63" s="229">
        <v>-0.47239999999999999</v>
      </c>
      <c r="BA63" s="228">
        <v>28</v>
      </c>
      <c r="BB63" s="228">
        <v>33</v>
      </c>
      <c r="BC63" s="228">
        <v>-5</v>
      </c>
      <c r="BD63" s="229">
        <v>-0.15720000000000001</v>
      </c>
      <c r="BE63" s="228">
        <v>5</v>
      </c>
      <c r="BF63" s="228">
        <v>7</v>
      </c>
      <c r="BG63" s="228">
        <v>-2</v>
      </c>
      <c r="BH63" s="229">
        <v>-0.34689999999999999</v>
      </c>
      <c r="BI63" s="230">
        <v>1386</v>
      </c>
      <c r="BJ63" s="230">
        <v>1477</v>
      </c>
      <c r="BK63" s="228">
        <v>-90</v>
      </c>
      <c r="BL63" s="229">
        <v>-6.13E-2</v>
      </c>
      <c r="BM63" s="228">
        <v>971</v>
      </c>
      <c r="BN63" s="230">
        <v>1424</v>
      </c>
      <c r="BO63" s="228">
        <v>-453</v>
      </c>
      <c r="BP63" s="229">
        <v>-0.31840000000000002</v>
      </c>
      <c r="BQ63" s="230">
        <v>2893</v>
      </c>
      <c r="BR63" s="230">
        <v>3895</v>
      </c>
      <c r="BS63" s="230">
        <v>-1002</v>
      </c>
      <c r="BT63" s="229">
        <v>-0.25729999999999997</v>
      </c>
      <c r="BU63" s="230">
        <v>6509161</v>
      </c>
      <c r="BV63" s="230">
        <v>8940552</v>
      </c>
      <c r="BW63" s="230">
        <v>-2431391</v>
      </c>
      <c r="BX63" s="229">
        <v>-0.27200000000000002</v>
      </c>
      <c r="BY63" s="230">
        <v>1871</v>
      </c>
      <c r="BZ63" s="230">
        <v>1843</v>
      </c>
      <c r="CA63" s="228">
        <v>28</v>
      </c>
      <c r="CB63" s="229">
        <v>1.52E-2</v>
      </c>
      <c r="CC63" s="230">
        <v>1818</v>
      </c>
      <c r="CD63" s="230">
        <v>1798</v>
      </c>
      <c r="CE63" s="228">
        <v>20</v>
      </c>
      <c r="CF63" s="229">
        <v>1.0999999999999999E-2</v>
      </c>
      <c r="CG63" s="228">
        <v>45</v>
      </c>
      <c r="CH63" s="228">
        <v>38</v>
      </c>
      <c r="CI63" s="228">
        <v>8</v>
      </c>
      <c r="CJ63" s="229">
        <v>0.20080000000000001</v>
      </c>
      <c r="CK63" s="228">
        <v>8</v>
      </c>
      <c r="CL63" s="228">
        <v>7</v>
      </c>
      <c r="CM63" s="228">
        <v>1</v>
      </c>
      <c r="CN63" s="229">
        <v>8.1600000000000006E-2</v>
      </c>
      <c r="CO63" s="230">
        <v>1039</v>
      </c>
      <c r="CP63" s="228">
        <v>899</v>
      </c>
      <c r="CQ63" s="228">
        <v>140</v>
      </c>
      <c r="CR63" s="229">
        <v>0.15629999999999999</v>
      </c>
      <c r="CS63" s="228">
        <v>733</v>
      </c>
      <c r="CT63" s="228">
        <v>644</v>
      </c>
      <c r="CU63" s="228">
        <v>89</v>
      </c>
      <c r="CV63" s="229">
        <v>0.13750000000000001</v>
      </c>
      <c r="CW63" s="230">
        <v>3642</v>
      </c>
      <c r="CX63" s="230">
        <v>3385</v>
      </c>
      <c r="CY63" s="228">
        <v>257</v>
      </c>
      <c r="CZ63" s="229">
        <v>7.5899999999999995E-2</v>
      </c>
      <c r="DA63" s="228">
        <v>24.11</v>
      </c>
      <c r="DB63" s="228">
        <v>27.03</v>
      </c>
      <c r="DC63" s="228">
        <v>-2.92</v>
      </c>
      <c r="DD63" s="228">
        <v>-2.92</v>
      </c>
      <c r="DE63" s="228">
        <v>29.86</v>
      </c>
      <c r="DF63" s="228">
        <v>29.89</v>
      </c>
      <c r="DG63" s="228">
        <v>-5.75</v>
      </c>
      <c r="DH63" s="228">
        <v>-0.03</v>
      </c>
      <c r="DI63" s="228">
        <v>23.18</v>
      </c>
      <c r="DJ63" s="228">
        <v>26.08</v>
      </c>
      <c r="DK63" s="228">
        <v>-2.9</v>
      </c>
      <c r="DL63" s="228">
        <v>-2.9</v>
      </c>
      <c r="DM63" s="228">
        <v>25.43</v>
      </c>
      <c r="DN63" s="228">
        <v>28.02</v>
      </c>
      <c r="DO63" s="228">
        <v>-2.59</v>
      </c>
      <c r="DP63" s="228">
        <v>-2.59</v>
      </c>
      <c r="DQ63" s="228">
        <v>0.7</v>
      </c>
      <c r="DR63" s="228">
        <v>0.72</v>
      </c>
      <c r="DS63" s="228">
        <v>-0.02</v>
      </c>
      <c r="DT63" s="229">
        <v>-2.7799999999999998E-2</v>
      </c>
      <c r="DU63" s="228">
        <v>300</v>
      </c>
      <c r="DV63" s="228">
        <v>280</v>
      </c>
      <c r="DW63" s="228">
        <v>0.7</v>
      </c>
      <c r="DX63" s="228">
        <v>0.96</v>
      </c>
      <c r="DY63" s="228">
        <v>-0.26</v>
      </c>
      <c r="DZ63" s="229">
        <v>-0.27079999999999999</v>
      </c>
      <c r="EA63" s="229">
        <v>2.8299999999999999E-2</v>
      </c>
      <c r="EB63" s="230">
        <v>1540000</v>
      </c>
      <c r="EC63" s="229">
        <v>6.0000000000000001E-3</v>
      </c>
      <c r="ED63" s="229">
        <v>2.8299999999999999E-2</v>
      </c>
      <c r="EE63" s="228">
        <v>1.68</v>
      </c>
      <c r="EF63" s="229">
        <v>5.7999999999999996E-3</v>
      </c>
      <c r="EG63" s="230">
        <v>3134492</v>
      </c>
      <c r="EH63" s="230">
        <v>5007122</v>
      </c>
      <c r="EI63" s="229">
        <v>-0.374</v>
      </c>
      <c r="EJ63" s="229">
        <v>0.48159999999999997</v>
      </c>
      <c r="EK63" s="231">
        <v>1461.04</v>
      </c>
      <c r="EL63" s="228">
        <v>947.93</v>
      </c>
      <c r="EM63" s="228">
        <v>534.55999999999995</v>
      </c>
      <c r="EN63" s="228">
        <v>45.76</v>
      </c>
      <c r="EO63" s="231">
        <v>2943.53</v>
      </c>
      <c r="EP63" s="231">
        <v>3937.63</v>
      </c>
      <c r="EQ63" s="228">
        <v>-994.1</v>
      </c>
      <c r="ER63" s="229">
        <v>-0.2525</v>
      </c>
      <c r="ES63" s="231">
        <v>1093.6600000000001</v>
      </c>
      <c r="ET63" s="228">
        <v>712.54</v>
      </c>
      <c r="EU63" s="231">
        <v>1870.96</v>
      </c>
      <c r="EV63" s="231">
        <v>320636733</v>
      </c>
      <c r="EW63" s="231">
        <v>3677.16</v>
      </c>
      <c r="EX63" s="231">
        <v>3401.05</v>
      </c>
      <c r="EY63" s="228">
        <v>276.11</v>
      </c>
      <c r="EZ63" s="229">
        <v>8.1199999999999994E-2</v>
      </c>
      <c r="FA63" s="229">
        <v>0.3906</v>
      </c>
      <c r="FB63" s="227" t="s">
        <v>555</v>
      </c>
      <c r="FC63">
        <f t="shared" si="0"/>
        <v>53</v>
      </c>
    </row>
    <row r="64" spans="1:159" ht="17.25" hidden="1" thickBot="1" x14ac:dyDescent="0.3">
      <c r="A64" s="226">
        <v>46086</v>
      </c>
      <c r="B64" s="227" t="s">
        <v>181</v>
      </c>
      <c r="C64" s="227" t="s">
        <v>480</v>
      </c>
      <c r="D64" s="228">
        <v>60</v>
      </c>
      <c r="E64" s="228">
        <v>25</v>
      </c>
      <c r="F64" s="231">
        <v>27361.1</v>
      </c>
      <c r="G64" s="231">
        <v>27137.3</v>
      </c>
      <c r="H64" s="228">
        <v>223.8</v>
      </c>
      <c r="I64" s="229">
        <v>8.2000000000000007E-3</v>
      </c>
      <c r="J64" s="231">
        <v>27235.8</v>
      </c>
      <c r="K64" s="231">
        <v>27020.45</v>
      </c>
      <c r="L64" s="228">
        <v>215.35</v>
      </c>
      <c r="M64" s="229">
        <v>8.0000000000000002E-3</v>
      </c>
      <c r="N64" s="231">
        <v>27361.1</v>
      </c>
      <c r="O64" s="231">
        <v>27137.3</v>
      </c>
      <c r="P64" s="228">
        <v>223.8</v>
      </c>
      <c r="Q64" s="229">
        <v>8.2000000000000007E-3</v>
      </c>
      <c r="R64" s="231">
        <v>27521.4</v>
      </c>
      <c r="S64" s="231">
        <v>27051.200000000001</v>
      </c>
      <c r="T64" s="228">
        <v>470.2</v>
      </c>
      <c r="U64" s="229">
        <v>1.7399999999999999E-2</v>
      </c>
      <c r="V64" s="228">
        <v>0</v>
      </c>
      <c r="W64" s="228">
        <v>0</v>
      </c>
      <c r="X64" s="228">
        <v>0</v>
      </c>
      <c r="Y64" s="229">
        <v>0</v>
      </c>
      <c r="Z64" s="228">
        <v>125.3</v>
      </c>
      <c r="AA64" s="228">
        <v>116.85</v>
      </c>
      <c r="AB64" s="228">
        <v>8.4499999999999993</v>
      </c>
      <c r="AC64" s="229">
        <v>4.5999999999999999E-3</v>
      </c>
      <c r="AD64" s="228">
        <v>125.3</v>
      </c>
      <c r="AE64" s="228">
        <v>116.85</v>
      </c>
      <c r="AF64" s="228">
        <v>8.4499999999999993</v>
      </c>
      <c r="AG64" s="229">
        <v>4.5999999999999999E-3</v>
      </c>
      <c r="AH64" s="228">
        <v>285.60000000000002</v>
      </c>
      <c r="AI64" s="228">
        <v>30.75</v>
      </c>
      <c r="AJ64" s="228">
        <v>254.85</v>
      </c>
      <c r="AK64" s="229">
        <v>1.0500000000000001E-2</v>
      </c>
      <c r="AL64" s="228">
        <v>0</v>
      </c>
      <c r="AM64" s="228">
        <v>0</v>
      </c>
      <c r="AN64" s="228">
        <v>0</v>
      </c>
      <c r="AO64" s="229">
        <v>0</v>
      </c>
      <c r="AP64" s="231">
        <v>27239.59</v>
      </c>
      <c r="AQ64" s="231">
        <v>27364.44</v>
      </c>
      <c r="AR64" s="228">
        <v>0</v>
      </c>
      <c r="AS64" s="228">
        <v>97</v>
      </c>
      <c r="AT64" s="228">
        <v>133</v>
      </c>
      <c r="AU64" s="228">
        <v>-36</v>
      </c>
      <c r="AV64" s="229">
        <v>-0.27410000000000001</v>
      </c>
      <c r="AW64" s="228">
        <v>94</v>
      </c>
      <c r="AX64" s="228">
        <v>133</v>
      </c>
      <c r="AY64" s="228">
        <v>-39</v>
      </c>
      <c r="AZ64" s="229">
        <v>-0.29170000000000001</v>
      </c>
      <c r="BA64" s="228">
        <v>2</v>
      </c>
      <c r="BB64" s="228">
        <v>0</v>
      </c>
      <c r="BC64" s="228">
        <v>2</v>
      </c>
      <c r="BD64" s="229">
        <v>14</v>
      </c>
      <c r="BE64" s="228">
        <v>0</v>
      </c>
      <c r="BF64" s="228">
        <v>0</v>
      </c>
      <c r="BG64" s="228">
        <v>0</v>
      </c>
      <c r="BH64" s="229">
        <v>0</v>
      </c>
      <c r="BI64" s="230">
        <v>3399</v>
      </c>
      <c r="BJ64" s="230">
        <v>3052</v>
      </c>
      <c r="BK64" s="228">
        <v>347</v>
      </c>
      <c r="BL64" s="229">
        <v>0.1135</v>
      </c>
      <c r="BM64" s="230">
        <v>3662</v>
      </c>
      <c r="BN64" s="230">
        <v>3938</v>
      </c>
      <c r="BO64" s="228">
        <v>-276</v>
      </c>
      <c r="BP64" s="229">
        <v>-7.0199999999999999E-2</v>
      </c>
      <c r="BQ64" s="230">
        <v>7157</v>
      </c>
      <c r="BR64" s="230">
        <v>7123</v>
      </c>
      <c r="BS64" s="228">
        <v>34</v>
      </c>
      <c r="BT64" s="229">
        <v>4.7000000000000002E-3</v>
      </c>
      <c r="BU64" s="228">
        <v>0</v>
      </c>
      <c r="BV64" s="228">
        <v>0</v>
      </c>
      <c r="BW64" s="228">
        <v>0</v>
      </c>
      <c r="BX64" s="229">
        <v>0</v>
      </c>
      <c r="BY64" s="228">
        <v>156</v>
      </c>
      <c r="BZ64" s="228">
        <v>139</v>
      </c>
      <c r="CA64" s="228">
        <v>16</v>
      </c>
      <c r="CB64" s="229">
        <v>0.1179</v>
      </c>
      <c r="CC64" s="228">
        <v>153</v>
      </c>
      <c r="CD64" s="228">
        <v>139</v>
      </c>
      <c r="CE64" s="228">
        <v>14</v>
      </c>
      <c r="CF64" s="229">
        <v>0.1031</v>
      </c>
      <c r="CG64" s="228">
        <v>3</v>
      </c>
      <c r="CH64" s="228">
        <v>1</v>
      </c>
      <c r="CI64" s="228">
        <v>2</v>
      </c>
      <c r="CJ64" s="229">
        <v>3.25</v>
      </c>
      <c r="CK64" s="228">
        <v>0</v>
      </c>
      <c r="CL64" s="228">
        <v>0</v>
      </c>
      <c r="CM64" s="228">
        <v>0</v>
      </c>
      <c r="CN64" s="229">
        <v>0</v>
      </c>
      <c r="CO64" s="230">
        <v>1975</v>
      </c>
      <c r="CP64" s="230">
        <v>1923</v>
      </c>
      <c r="CQ64" s="228">
        <v>53</v>
      </c>
      <c r="CR64" s="229">
        <v>2.75E-2</v>
      </c>
      <c r="CS64" s="230">
        <v>1688</v>
      </c>
      <c r="CT64" s="230">
        <v>1619</v>
      </c>
      <c r="CU64" s="228">
        <v>69</v>
      </c>
      <c r="CV64" s="229">
        <v>4.2700000000000002E-2</v>
      </c>
      <c r="CW64" s="230">
        <v>3819</v>
      </c>
      <c r="CX64" s="230">
        <v>3680</v>
      </c>
      <c r="CY64" s="228">
        <v>138</v>
      </c>
      <c r="CZ64" s="229">
        <v>3.7600000000000001E-2</v>
      </c>
      <c r="DA64" s="228">
        <v>18.440000000000001</v>
      </c>
      <c r="DB64" s="228">
        <v>21.92</v>
      </c>
      <c r="DC64" s="228">
        <v>-3.48</v>
      </c>
      <c r="DD64" s="228">
        <v>-3.48</v>
      </c>
      <c r="DE64" s="228">
        <v>16.809999999999999</v>
      </c>
      <c r="DF64" s="228">
        <v>16.82</v>
      </c>
      <c r="DG64" s="228">
        <v>1.63</v>
      </c>
      <c r="DH64" s="228">
        <v>-0.01</v>
      </c>
      <c r="DI64" s="228">
        <v>16.62</v>
      </c>
      <c r="DJ64" s="228">
        <v>19.39</v>
      </c>
      <c r="DK64" s="228">
        <v>-2.77</v>
      </c>
      <c r="DL64" s="228">
        <v>-2.77</v>
      </c>
      <c r="DM64" s="228">
        <v>20.13</v>
      </c>
      <c r="DN64" s="228">
        <v>23.87</v>
      </c>
      <c r="DO64" s="228">
        <v>-3.74</v>
      </c>
      <c r="DP64" s="228">
        <v>-3.74</v>
      </c>
      <c r="DQ64" s="228">
        <v>0.85</v>
      </c>
      <c r="DR64" s="228">
        <v>0.84</v>
      </c>
      <c r="DS64" s="228">
        <v>0.01</v>
      </c>
      <c r="DT64" s="229">
        <v>1.1900000000000001E-2</v>
      </c>
      <c r="DU64" s="231">
        <v>28100</v>
      </c>
      <c r="DV64" s="231">
        <v>27500</v>
      </c>
      <c r="DW64" s="228">
        <v>1.08</v>
      </c>
      <c r="DX64" s="228">
        <v>1.29</v>
      </c>
      <c r="DY64" s="228">
        <v>-0.21</v>
      </c>
      <c r="DZ64" s="229">
        <v>-0.1628</v>
      </c>
      <c r="EA64" s="229">
        <v>1.7899999999999999E-2</v>
      </c>
      <c r="EB64" s="228">
        <v>240</v>
      </c>
      <c r="EC64" s="229">
        <v>5.8999999999999999E-3</v>
      </c>
      <c r="ED64" s="229">
        <v>1.7899999999999999E-2</v>
      </c>
      <c r="EE64" s="228">
        <v>124.85</v>
      </c>
      <c r="EF64" s="229">
        <v>4.5999999999999999E-3</v>
      </c>
      <c r="EG64" s="228">
        <v>0</v>
      </c>
      <c r="EH64" s="228">
        <v>0</v>
      </c>
      <c r="EI64" s="229">
        <v>0</v>
      </c>
      <c r="EJ64" s="229">
        <v>0</v>
      </c>
      <c r="EK64" s="231">
        <v>3509.17</v>
      </c>
      <c r="EL64" s="231">
        <v>3563.05</v>
      </c>
      <c r="EM64" s="228">
        <v>96.11</v>
      </c>
      <c r="EN64" s="228">
        <v>0</v>
      </c>
      <c r="EO64" s="231">
        <v>7168.33</v>
      </c>
      <c r="EP64" s="231">
        <v>7115.75</v>
      </c>
      <c r="EQ64" s="228">
        <v>52.58</v>
      </c>
      <c r="ER64" s="229">
        <v>7.4000000000000003E-3</v>
      </c>
      <c r="ES64" s="231">
        <v>2060.0300000000002</v>
      </c>
      <c r="ET64" s="231">
        <v>1660.77</v>
      </c>
      <c r="EU64" s="228">
        <v>155.65</v>
      </c>
      <c r="EV64" s="228">
        <v>0</v>
      </c>
      <c r="EW64" s="231">
        <v>3876.45</v>
      </c>
      <c r="EX64" s="231">
        <v>3746.4</v>
      </c>
      <c r="EY64" s="228">
        <v>130.05000000000001</v>
      </c>
      <c r="EZ64" s="229">
        <v>3.4700000000000002E-2</v>
      </c>
      <c r="FA64" s="229">
        <v>0</v>
      </c>
      <c r="FB64" s="227" t="s">
        <v>555</v>
      </c>
      <c r="FC64">
        <f t="shared" si="0"/>
        <v>3</v>
      </c>
    </row>
    <row r="65" spans="1:159" ht="17.25" hidden="1" thickBot="1" x14ac:dyDescent="0.3">
      <c r="A65" s="226">
        <v>46086</v>
      </c>
      <c r="B65" s="227" t="s">
        <v>170</v>
      </c>
      <c r="C65" s="227" t="s">
        <v>676</v>
      </c>
      <c r="D65" s="228">
        <v>775</v>
      </c>
      <c r="E65" s="228">
        <v>25</v>
      </c>
      <c r="F65" s="228">
        <v>922.7</v>
      </c>
      <c r="G65" s="228">
        <v>914.95</v>
      </c>
      <c r="H65" s="228">
        <v>7.75</v>
      </c>
      <c r="I65" s="229">
        <v>8.5000000000000006E-3</v>
      </c>
      <c r="J65" s="228">
        <v>920.95</v>
      </c>
      <c r="K65" s="228">
        <v>910.9</v>
      </c>
      <c r="L65" s="228">
        <v>10.050000000000001</v>
      </c>
      <c r="M65" s="229">
        <v>1.0999999999999999E-2</v>
      </c>
      <c r="N65" s="228">
        <v>922.7</v>
      </c>
      <c r="O65" s="228">
        <v>914.95</v>
      </c>
      <c r="P65" s="228">
        <v>7.75</v>
      </c>
      <c r="Q65" s="229">
        <v>8.5000000000000006E-3</v>
      </c>
      <c r="R65" s="228">
        <v>929.3</v>
      </c>
      <c r="S65" s="228">
        <v>920.75</v>
      </c>
      <c r="T65" s="228">
        <v>8.5500000000000007</v>
      </c>
      <c r="U65" s="229">
        <v>9.2999999999999992E-3</v>
      </c>
      <c r="V65" s="228">
        <v>920.1</v>
      </c>
      <c r="W65" s="228">
        <v>929.55</v>
      </c>
      <c r="X65" s="228">
        <v>-9.4499999999999993</v>
      </c>
      <c r="Y65" s="229">
        <v>-1.0200000000000001E-2</v>
      </c>
      <c r="Z65" s="228">
        <v>1.75</v>
      </c>
      <c r="AA65" s="228">
        <v>4.05</v>
      </c>
      <c r="AB65" s="228">
        <v>-2.2999999999999998</v>
      </c>
      <c r="AC65" s="229">
        <v>1.9E-3</v>
      </c>
      <c r="AD65" s="228">
        <v>1.75</v>
      </c>
      <c r="AE65" s="228">
        <v>4.05</v>
      </c>
      <c r="AF65" s="228">
        <v>-2.2999999999999998</v>
      </c>
      <c r="AG65" s="229">
        <v>1.9E-3</v>
      </c>
      <c r="AH65" s="228">
        <v>8.35</v>
      </c>
      <c r="AI65" s="228">
        <v>9.85</v>
      </c>
      <c r="AJ65" s="228">
        <v>-1.5</v>
      </c>
      <c r="AK65" s="229">
        <v>9.1000000000000004E-3</v>
      </c>
      <c r="AL65" s="228">
        <v>-0.85</v>
      </c>
      <c r="AM65" s="228">
        <v>18.649999999999999</v>
      </c>
      <c r="AN65" s="228">
        <v>-19.5</v>
      </c>
      <c r="AO65" s="229">
        <v>-8.9999999999999998E-4</v>
      </c>
      <c r="AP65" s="228">
        <v>918.44</v>
      </c>
      <c r="AQ65" s="228">
        <v>923.57</v>
      </c>
      <c r="AR65" s="228">
        <v>0</v>
      </c>
      <c r="AS65" s="228">
        <v>89</v>
      </c>
      <c r="AT65" s="228">
        <v>146</v>
      </c>
      <c r="AU65" s="228">
        <v>-57</v>
      </c>
      <c r="AV65" s="229">
        <v>-0.3881</v>
      </c>
      <c r="AW65" s="228">
        <v>82</v>
      </c>
      <c r="AX65" s="228">
        <v>138</v>
      </c>
      <c r="AY65" s="228">
        <v>-56</v>
      </c>
      <c r="AZ65" s="229">
        <v>-0.40539999999999998</v>
      </c>
      <c r="BA65" s="228">
        <v>6</v>
      </c>
      <c r="BB65" s="228">
        <v>7</v>
      </c>
      <c r="BC65" s="228">
        <v>-1</v>
      </c>
      <c r="BD65" s="229">
        <v>-8.1600000000000006E-2</v>
      </c>
      <c r="BE65" s="228">
        <v>1</v>
      </c>
      <c r="BF65" s="228">
        <v>0</v>
      </c>
      <c r="BG65" s="228">
        <v>0</v>
      </c>
      <c r="BH65" s="229">
        <v>0.16669999999999999</v>
      </c>
      <c r="BI65" s="228">
        <v>260</v>
      </c>
      <c r="BJ65" s="228">
        <v>345</v>
      </c>
      <c r="BK65" s="228">
        <v>-86</v>
      </c>
      <c r="BL65" s="229">
        <v>-0.2482</v>
      </c>
      <c r="BM65" s="228">
        <v>129</v>
      </c>
      <c r="BN65" s="228">
        <v>160</v>
      </c>
      <c r="BO65" s="228">
        <v>-31</v>
      </c>
      <c r="BP65" s="229">
        <v>-0.19409999999999999</v>
      </c>
      <c r="BQ65" s="228">
        <v>477</v>
      </c>
      <c r="BR65" s="228">
        <v>650</v>
      </c>
      <c r="BS65" s="228">
        <v>-173</v>
      </c>
      <c r="BT65" s="229">
        <v>-0.26629999999999998</v>
      </c>
      <c r="BU65" s="230">
        <v>989481</v>
      </c>
      <c r="BV65" s="230">
        <v>2160881</v>
      </c>
      <c r="BW65" s="230">
        <v>-1171400</v>
      </c>
      <c r="BX65" s="229">
        <v>-0.54210000000000003</v>
      </c>
      <c r="BY65" s="230">
        <v>1042</v>
      </c>
      <c r="BZ65" s="230">
        <v>1044</v>
      </c>
      <c r="CA65" s="228">
        <v>-2</v>
      </c>
      <c r="CB65" s="229">
        <v>-2E-3</v>
      </c>
      <c r="CC65" s="230">
        <v>1027</v>
      </c>
      <c r="CD65" s="230">
        <v>1032</v>
      </c>
      <c r="CE65" s="228">
        <v>-5</v>
      </c>
      <c r="CF65" s="229">
        <v>-4.8999999999999998E-3</v>
      </c>
      <c r="CG65" s="228">
        <v>14</v>
      </c>
      <c r="CH65" s="228">
        <v>11</v>
      </c>
      <c r="CI65" s="228">
        <v>3</v>
      </c>
      <c r="CJ65" s="229">
        <v>0.24199999999999999</v>
      </c>
      <c r="CK65" s="228">
        <v>1</v>
      </c>
      <c r="CL65" s="228">
        <v>1</v>
      </c>
      <c r="CM65" s="228">
        <v>0</v>
      </c>
      <c r="CN65" s="229">
        <v>0.30769999999999997</v>
      </c>
      <c r="CO65" s="228">
        <v>338</v>
      </c>
      <c r="CP65" s="228">
        <v>298</v>
      </c>
      <c r="CQ65" s="228">
        <v>40</v>
      </c>
      <c r="CR65" s="229">
        <v>0.13300000000000001</v>
      </c>
      <c r="CS65" s="228">
        <v>156</v>
      </c>
      <c r="CT65" s="228">
        <v>155</v>
      </c>
      <c r="CU65" s="228">
        <v>2</v>
      </c>
      <c r="CV65" s="229">
        <v>1.0200000000000001E-2</v>
      </c>
      <c r="CW65" s="230">
        <v>1536</v>
      </c>
      <c r="CX65" s="230">
        <v>1497</v>
      </c>
      <c r="CY65" s="228">
        <v>39</v>
      </c>
      <c r="CZ65" s="229">
        <v>2.6100000000000002E-2</v>
      </c>
      <c r="DA65" s="228">
        <v>27.93</v>
      </c>
      <c r="DB65" s="228">
        <v>30.8</v>
      </c>
      <c r="DC65" s="228">
        <v>-2.87</v>
      </c>
      <c r="DD65" s="228">
        <v>-2.87</v>
      </c>
      <c r="DE65" s="228">
        <v>34.56</v>
      </c>
      <c r="DF65" s="228">
        <v>34.619999999999997</v>
      </c>
      <c r="DG65" s="228">
        <v>-6.63</v>
      </c>
      <c r="DH65" s="228">
        <v>-0.06</v>
      </c>
      <c r="DI65" s="228">
        <v>27.61</v>
      </c>
      <c r="DJ65" s="228">
        <v>30.11</v>
      </c>
      <c r="DK65" s="228">
        <v>-2.5</v>
      </c>
      <c r="DL65" s="228">
        <v>-2.5</v>
      </c>
      <c r="DM65" s="228">
        <v>28.58</v>
      </c>
      <c r="DN65" s="228">
        <v>32.299999999999997</v>
      </c>
      <c r="DO65" s="228">
        <v>-3.72</v>
      </c>
      <c r="DP65" s="228">
        <v>-3.72</v>
      </c>
      <c r="DQ65" s="228">
        <v>0.46</v>
      </c>
      <c r="DR65" s="228">
        <v>0.52</v>
      </c>
      <c r="DS65" s="228">
        <v>-0.06</v>
      </c>
      <c r="DT65" s="229">
        <v>-0.1154</v>
      </c>
      <c r="DU65" s="231">
        <v>1000</v>
      </c>
      <c r="DV65" s="228">
        <v>900</v>
      </c>
      <c r="DW65" s="228">
        <v>0.5</v>
      </c>
      <c r="DX65" s="228">
        <v>0.46</v>
      </c>
      <c r="DY65" s="228">
        <v>0.04</v>
      </c>
      <c r="DZ65" s="229">
        <v>8.6999999999999994E-2</v>
      </c>
      <c r="EA65" s="229">
        <v>1.4500000000000001E-2</v>
      </c>
      <c r="EB65" s="230">
        <v>131750</v>
      </c>
      <c r="EC65" s="229">
        <v>7.1999999999999998E-3</v>
      </c>
      <c r="ED65" s="229">
        <v>1.4500000000000001E-2</v>
      </c>
      <c r="EE65" s="228">
        <v>5.13</v>
      </c>
      <c r="EF65" s="229">
        <v>5.5999999999999999E-3</v>
      </c>
      <c r="EG65" s="230">
        <v>545751</v>
      </c>
      <c r="EH65" s="230">
        <v>1321697</v>
      </c>
      <c r="EI65" s="229">
        <v>-0.58709999999999996</v>
      </c>
      <c r="EJ65" s="229">
        <v>0.55159999999999998</v>
      </c>
      <c r="EK65" s="228">
        <v>271.5</v>
      </c>
      <c r="EL65" s="228">
        <v>128.21</v>
      </c>
      <c r="EM65" s="228">
        <v>88.8</v>
      </c>
      <c r="EN65" s="228">
        <v>33.409999999999997</v>
      </c>
      <c r="EO65" s="228">
        <v>488.51</v>
      </c>
      <c r="EP65" s="228">
        <v>666.64</v>
      </c>
      <c r="EQ65" s="228">
        <v>-178.13</v>
      </c>
      <c r="ER65" s="229">
        <v>-0.26719999999999999</v>
      </c>
      <c r="ES65" s="228">
        <v>355.32</v>
      </c>
      <c r="ET65" s="228">
        <v>154.69</v>
      </c>
      <c r="EU65" s="231">
        <v>1042.1300000000001</v>
      </c>
      <c r="EV65" s="231">
        <v>77949604</v>
      </c>
      <c r="EW65" s="231">
        <v>1552.14</v>
      </c>
      <c r="EX65" s="231">
        <v>1503.88</v>
      </c>
      <c r="EY65" s="228">
        <v>48.26</v>
      </c>
      <c r="EZ65" s="229">
        <v>3.2099999999999997E-2</v>
      </c>
      <c r="FA65" s="229">
        <v>0.2135</v>
      </c>
      <c r="FB65" s="227" t="s">
        <v>556</v>
      </c>
      <c r="FC65">
        <f t="shared" si="0"/>
        <v>15</v>
      </c>
    </row>
    <row r="66" spans="1:159" ht="17.25" hidden="1" thickBot="1" x14ac:dyDescent="0.3">
      <c r="A66" s="226">
        <v>46086</v>
      </c>
      <c r="B66" s="227" t="s">
        <v>193</v>
      </c>
      <c r="C66" s="227" t="s">
        <v>213</v>
      </c>
      <c r="D66" s="228">
        <v>3150</v>
      </c>
      <c r="E66" s="228">
        <v>25</v>
      </c>
      <c r="F66" s="228">
        <v>156.94</v>
      </c>
      <c r="G66" s="228">
        <v>154.97999999999999</v>
      </c>
      <c r="H66" s="228">
        <v>1.96</v>
      </c>
      <c r="I66" s="229">
        <v>1.26E-2</v>
      </c>
      <c r="J66" s="228">
        <v>156.72999999999999</v>
      </c>
      <c r="K66" s="228">
        <v>154.61000000000001</v>
      </c>
      <c r="L66" s="228">
        <v>2.12</v>
      </c>
      <c r="M66" s="229">
        <v>1.37E-2</v>
      </c>
      <c r="N66" s="228">
        <v>156.94</v>
      </c>
      <c r="O66" s="228">
        <v>154.97999999999999</v>
      </c>
      <c r="P66" s="228">
        <v>1.96</v>
      </c>
      <c r="Q66" s="229">
        <v>1.26E-2</v>
      </c>
      <c r="R66" s="228">
        <v>157.87</v>
      </c>
      <c r="S66" s="228">
        <v>156.04</v>
      </c>
      <c r="T66" s="228">
        <v>1.83</v>
      </c>
      <c r="U66" s="229">
        <v>1.17E-2</v>
      </c>
      <c r="V66" s="228">
        <v>159.05000000000001</v>
      </c>
      <c r="W66" s="228">
        <v>157.06</v>
      </c>
      <c r="X66" s="228">
        <v>1.99</v>
      </c>
      <c r="Y66" s="229">
        <v>1.2699999999999999E-2</v>
      </c>
      <c r="Z66" s="228">
        <v>0.21</v>
      </c>
      <c r="AA66" s="228">
        <v>0.37</v>
      </c>
      <c r="AB66" s="228">
        <v>-0.16</v>
      </c>
      <c r="AC66" s="229">
        <v>1.2999999999999999E-3</v>
      </c>
      <c r="AD66" s="228">
        <v>0.21</v>
      </c>
      <c r="AE66" s="228">
        <v>0.37</v>
      </c>
      <c r="AF66" s="228">
        <v>-0.16</v>
      </c>
      <c r="AG66" s="229">
        <v>1.2999999999999999E-3</v>
      </c>
      <c r="AH66" s="228">
        <v>1.1399999999999999</v>
      </c>
      <c r="AI66" s="228">
        <v>1.43</v>
      </c>
      <c r="AJ66" s="228">
        <v>-0.28999999999999998</v>
      </c>
      <c r="AK66" s="229">
        <v>7.3000000000000001E-3</v>
      </c>
      <c r="AL66" s="228">
        <v>2.3199999999999998</v>
      </c>
      <c r="AM66" s="228">
        <v>2.4500000000000002</v>
      </c>
      <c r="AN66" s="228">
        <v>-0.13</v>
      </c>
      <c r="AO66" s="229">
        <v>1.4800000000000001E-2</v>
      </c>
      <c r="AP66" s="228">
        <v>156.54</v>
      </c>
      <c r="AQ66" s="228">
        <v>157.49</v>
      </c>
      <c r="AR66" s="228">
        <v>0</v>
      </c>
      <c r="AS66" s="228">
        <v>532</v>
      </c>
      <c r="AT66" s="228">
        <v>689</v>
      </c>
      <c r="AU66" s="228">
        <v>-157</v>
      </c>
      <c r="AV66" s="229">
        <v>-0.22789999999999999</v>
      </c>
      <c r="AW66" s="228">
        <v>500</v>
      </c>
      <c r="AX66" s="228">
        <v>628</v>
      </c>
      <c r="AY66" s="228">
        <v>-128</v>
      </c>
      <c r="AZ66" s="229">
        <v>-0.20419999999999999</v>
      </c>
      <c r="BA66" s="228">
        <v>29</v>
      </c>
      <c r="BB66" s="228">
        <v>56</v>
      </c>
      <c r="BC66" s="228">
        <v>-27</v>
      </c>
      <c r="BD66" s="229">
        <v>-0.48359999999999997</v>
      </c>
      <c r="BE66" s="228">
        <v>4</v>
      </c>
      <c r="BF66" s="228">
        <v>6</v>
      </c>
      <c r="BG66" s="228">
        <v>-2</v>
      </c>
      <c r="BH66" s="229">
        <v>-0.34820000000000001</v>
      </c>
      <c r="BI66" s="228">
        <v>630</v>
      </c>
      <c r="BJ66" s="230">
        <v>1150</v>
      </c>
      <c r="BK66" s="228">
        <v>-519</v>
      </c>
      <c r="BL66" s="229">
        <v>-0.4516</v>
      </c>
      <c r="BM66" s="228">
        <v>586</v>
      </c>
      <c r="BN66" s="230">
        <v>1678</v>
      </c>
      <c r="BO66" s="230">
        <v>-1092</v>
      </c>
      <c r="BP66" s="229">
        <v>-0.65100000000000002</v>
      </c>
      <c r="BQ66" s="230">
        <v>1748</v>
      </c>
      <c r="BR66" s="230">
        <v>3517</v>
      </c>
      <c r="BS66" s="230">
        <v>-1769</v>
      </c>
      <c r="BT66" s="229">
        <v>-0.50290000000000001</v>
      </c>
      <c r="BU66" s="230">
        <v>20540578</v>
      </c>
      <c r="BV66" s="230">
        <v>32709086</v>
      </c>
      <c r="BW66" s="230">
        <v>-12168508</v>
      </c>
      <c r="BX66" s="229">
        <v>-0.372</v>
      </c>
      <c r="BY66" s="230">
        <v>1506</v>
      </c>
      <c r="BZ66" s="230">
        <v>1494</v>
      </c>
      <c r="CA66" s="228">
        <v>12</v>
      </c>
      <c r="CB66" s="229">
        <v>8.3000000000000001E-3</v>
      </c>
      <c r="CC66" s="230">
        <v>1420</v>
      </c>
      <c r="CD66" s="230">
        <v>1414</v>
      </c>
      <c r="CE66" s="228">
        <v>6</v>
      </c>
      <c r="CF66" s="229">
        <v>4.1999999999999997E-3</v>
      </c>
      <c r="CG66" s="228">
        <v>81</v>
      </c>
      <c r="CH66" s="228">
        <v>75</v>
      </c>
      <c r="CI66" s="228">
        <v>6</v>
      </c>
      <c r="CJ66" s="229">
        <v>7.7299999999999994E-2</v>
      </c>
      <c r="CK66" s="228">
        <v>6</v>
      </c>
      <c r="CL66" s="228">
        <v>5</v>
      </c>
      <c r="CM66" s="228">
        <v>1</v>
      </c>
      <c r="CN66" s="229">
        <v>0.1386</v>
      </c>
      <c r="CO66" s="228">
        <v>521</v>
      </c>
      <c r="CP66" s="228">
        <v>476</v>
      </c>
      <c r="CQ66" s="228">
        <v>45</v>
      </c>
      <c r="CR66" s="229">
        <v>9.4E-2</v>
      </c>
      <c r="CS66" s="228">
        <v>635</v>
      </c>
      <c r="CT66" s="228">
        <v>636</v>
      </c>
      <c r="CU66" s="228">
        <v>0</v>
      </c>
      <c r="CV66" s="229">
        <v>-2.0000000000000001E-4</v>
      </c>
      <c r="CW66" s="230">
        <v>2663</v>
      </c>
      <c r="CX66" s="230">
        <v>2606</v>
      </c>
      <c r="CY66" s="228">
        <v>57</v>
      </c>
      <c r="CZ66" s="229">
        <v>2.1899999999999999E-2</v>
      </c>
      <c r="DA66" s="228">
        <v>35.020000000000003</v>
      </c>
      <c r="DB66" s="228">
        <v>40.31</v>
      </c>
      <c r="DC66" s="228">
        <v>-5.29</v>
      </c>
      <c r="DD66" s="228">
        <v>-5.29</v>
      </c>
      <c r="DE66" s="228">
        <v>34.03</v>
      </c>
      <c r="DF66" s="228">
        <v>34.07</v>
      </c>
      <c r="DG66" s="228">
        <v>0.99</v>
      </c>
      <c r="DH66" s="228">
        <v>-0.04</v>
      </c>
      <c r="DI66" s="228">
        <v>33.24</v>
      </c>
      <c r="DJ66" s="228">
        <v>36.11</v>
      </c>
      <c r="DK66" s="228">
        <v>-2.87</v>
      </c>
      <c r="DL66" s="228">
        <v>-2.87</v>
      </c>
      <c r="DM66" s="228">
        <v>36.94</v>
      </c>
      <c r="DN66" s="228">
        <v>43.19</v>
      </c>
      <c r="DO66" s="228">
        <v>-6.25</v>
      </c>
      <c r="DP66" s="228">
        <v>-6.25</v>
      </c>
      <c r="DQ66" s="228">
        <v>1.22</v>
      </c>
      <c r="DR66" s="228">
        <v>1.33</v>
      </c>
      <c r="DS66" s="228">
        <v>-0.11</v>
      </c>
      <c r="DT66" s="229">
        <v>-8.2699999999999996E-2</v>
      </c>
      <c r="DU66" s="228">
        <v>170</v>
      </c>
      <c r="DV66" s="228">
        <v>160</v>
      </c>
      <c r="DW66" s="228">
        <v>0.93</v>
      </c>
      <c r="DX66" s="228">
        <v>1.46</v>
      </c>
      <c r="DY66" s="228">
        <v>-0.53</v>
      </c>
      <c r="DZ66" s="229">
        <v>-0.36299999999999999</v>
      </c>
      <c r="EA66" s="229">
        <v>5.7299999999999997E-2</v>
      </c>
      <c r="EB66" s="230">
        <v>5084100</v>
      </c>
      <c r="EC66" s="229">
        <v>5.8999999999999999E-3</v>
      </c>
      <c r="ED66" s="229">
        <v>5.7299999999999997E-2</v>
      </c>
      <c r="EE66" s="228">
        <v>0.95</v>
      </c>
      <c r="EF66" s="229">
        <v>6.1000000000000004E-3</v>
      </c>
      <c r="EG66" s="230">
        <v>10936935</v>
      </c>
      <c r="EH66" s="230">
        <v>17894306</v>
      </c>
      <c r="EI66" s="229">
        <v>-0.38879999999999998</v>
      </c>
      <c r="EJ66" s="229">
        <v>0.53249999999999997</v>
      </c>
      <c r="EK66" s="228">
        <v>672.19</v>
      </c>
      <c r="EL66" s="228">
        <v>573.39</v>
      </c>
      <c r="EM66" s="228">
        <v>531.20000000000005</v>
      </c>
      <c r="EN66" s="228">
        <v>65.78</v>
      </c>
      <c r="EO66" s="231">
        <v>1776.78</v>
      </c>
      <c r="EP66" s="231">
        <v>3595.08</v>
      </c>
      <c r="EQ66" s="231">
        <v>-1818.3</v>
      </c>
      <c r="ER66" s="229">
        <v>-0.50580000000000003</v>
      </c>
      <c r="ES66" s="228">
        <v>562.21</v>
      </c>
      <c r="ET66" s="228">
        <v>647.66999999999996</v>
      </c>
      <c r="EU66" s="231">
        <v>1506.87</v>
      </c>
      <c r="EV66" s="231">
        <v>435694919</v>
      </c>
      <c r="EW66" s="231">
        <v>2716.76</v>
      </c>
      <c r="EX66" s="231">
        <v>2640.02</v>
      </c>
      <c r="EY66" s="228">
        <v>76.739999999999995</v>
      </c>
      <c r="EZ66" s="229">
        <v>2.9100000000000001E-2</v>
      </c>
      <c r="FA66" s="229">
        <v>0.38940000000000002</v>
      </c>
      <c r="FB66" s="227" t="s">
        <v>555</v>
      </c>
      <c r="FC66">
        <f t="shared" si="0"/>
        <v>86</v>
      </c>
    </row>
    <row r="67" spans="1:159" ht="17.25" hidden="1" thickBot="1" x14ac:dyDescent="0.3">
      <c r="A67" s="226">
        <v>46086</v>
      </c>
      <c r="B67" s="227" t="s">
        <v>170</v>
      </c>
      <c r="C67" s="227" t="s">
        <v>214</v>
      </c>
      <c r="D67" s="228">
        <v>375</v>
      </c>
      <c r="E67" s="228">
        <v>25</v>
      </c>
      <c r="F67" s="231">
        <v>2111.9</v>
      </c>
      <c r="G67" s="231">
        <v>2048.8000000000002</v>
      </c>
      <c r="H67" s="228">
        <v>63.1</v>
      </c>
      <c r="I67" s="229">
        <v>3.0800000000000001E-2</v>
      </c>
      <c r="J67" s="231">
        <v>2108.9</v>
      </c>
      <c r="K67" s="231">
        <v>2039.7</v>
      </c>
      <c r="L67" s="228">
        <v>69.2</v>
      </c>
      <c r="M67" s="229">
        <v>3.39E-2</v>
      </c>
      <c r="N67" s="231">
        <v>2111.9</v>
      </c>
      <c r="O67" s="231">
        <v>2048.8000000000002</v>
      </c>
      <c r="P67" s="228">
        <v>63.1</v>
      </c>
      <c r="Q67" s="229">
        <v>3.0800000000000001E-2</v>
      </c>
      <c r="R67" s="231">
        <v>2122.1999999999998</v>
      </c>
      <c r="S67" s="231">
        <v>2064</v>
      </c>
      <c r="T67" s="228">
        <v>58.2</v>
      </c>
      <c r="U67" s="229">
        <v>2.8199999999999999E-2</v>
      </c>
      <c r="V67" s="231">
        <v>2108</v>
      </c>
      <c r="W67" s="231">
        <v>2074.4</v>
      </c>
      <c r="X67" s="228">
        <v>33.6</v>
      </c>
      <c r="Y67" s="229">
        <v>1.6199999999999999E-2</v>
      </c>
      <c r="Z67" s="228">
        <v>3</v>
      </c>
      <c r="AA67" s="228">
        <v>9.1</v>
      </c>
      <c r="AB67" s="228">
        <v>-6.1</v>
      </c>
      <c r="AC67" s="229">
        <v>1.4E-3</v>
      </c>
      <c r="AD67" s="228">
        <v>3</v>
      </c>
      <c r="AE67" s="228">
        <v>9.1</v>
      </c>
      <c r="AF67" s="228">
        <v>-6.1</v>
      </c>
      <c r="AG67" s="229">
        <v>1.4E-3</v>
      </c>
      <c r="AH67" s="228">
        <v>13.3</v>
      </c>
      <c r="AI67" s="228">
        <v>24.3</v>
      </c>
      <c r="AJ67" s="228">
        <v>-11</v>
      </c>
      <c r="AK67" s="229">
        <v>6.3E-3</v>
      </c>
      <c r="AL67" s="228">
        <v>-0.9</v>
      </c>
      <c r="AM67" s="228">
        <v>34.700000000000003</v>
      </c>
      <c r="AN67" s="228">
        <v>-35.6</v>
      </c>
      <c r="AO67" s="229">
        <v>-4.0000000000000002E-4</v>
      </c>
      <c r="AP67" s="231">
        <v>2095.27</v>
      </c>
      <c r="AQ67" s="231">
        <v>2104.02</v>
      </c>
      <c r="AR67" s="228">
        <v>0</v>
      </c>
      <c r="AS67" s="228">
        <v>263</v>
      </c>
      <c r="AT67" s="228">
        <v>237</v>
      </c>
      <c r="AU67" s="228">
        <v>26</v>
      </c>
      <c r="AV67" s="229">
        <v>0.11070000000000001</v>
      </c>
      <c r="AW67" s="228">
        <v>254</v>
      </c>
      <c r="AX67" s="228">
        <v>228</v>
      </c>
      <c r="AY67" s="228">
        <v>26</v>
      </c>
      <c r="AZ67" s="229">
        <v>0.1159</v>
      </c>
      <c r="BA67" s="228">
        <v>9</v>
      </c>
      <c r="BB67" s="228">
        <v>9</v>
      </c>
      <c r="BC67" s="228">
        <v>0</v>
      </c>
      <c r="BD67" s="229">
        <v>8.9999999999999993E-3</v>
      </c>
      <c r="BE67" s="228">
        <v>0</v>
      </c>
      <c r="BF67" s="228">
        <v>0</v>
      </c>
      <c r="BG67" s="228">
        <v>0</v>
      </c>
      <c r="BH67" s="229">
        <v>-0.5</v>
      </c>
      <c r="BI67" s="228">
        <v>449</v>
      </c>
      <c r="BJ67" s="228">
        <v>498</v>
      </c>
      <c r="BK67" s="228">
        <v>-49</v>
      </c>
      <c r="BL67" s="229">
        <v>-9.8299999999999998E-2</v>
      </c>
      <c r="BM67" s="228">
        <v>144</v>
      </c>
      <c r="BN67" s="228">
        <v>250</v>
      </c>
      <c r="BO67" s="228">
        <v>-107</v>
      </c>
      <c r="BP67" s="229">
        <v>-0.42599999999999999</v>
      </c>
      <c r="BQ67" s="228">
        <v>855</v>
      </c>
      <c r="BR67" s="228">
        <v>985</v>
      </c>
      <c r="BS67" s="228">
        <v>-129</v>
      </c>
      <c r="BT67" s="229">
        <v>-0.1313</v>
      </c>
      <c r="BU67" s="230">
        <v>537775</v>
      </c>
      <c r="BV67" s="230">
        <v>438805</v>
      </c>
      <c r="BW67" s="230">
        <v>98970</v>
      </c>
      <c r="BX67" s="229">
        <v>0.22550000000000001</v>
      </c>
      <c r="BY67" s="230">
        <v>2428</v>
      </c>
      <c r="BZ67" s="230">
        <v>2453</v>
      </c>
      <c r="CA67" s="228">
        <v>-25</v>
      </c>
      <c r="CB67" s="229">
        <v>-1.03E-2</v>
      </c>
      <c r="CC67" s="230">
        <v>2417</v>
      </c>
      <c r="CD67" s="230">
        <v>2444</v>
      </c>
      <c r="CE67" s="228">
        <v>-27</v>
      </c>
      <c r="CF67" s="229">
        <v>-1.0999999999999999E-2</v>
      </c>
      <c r="CG67" s="228">
        <v>10</v>
      </c>
      <c r="CH67" s="228">
        <v>8</v>
      </c>
      <c r="CI67" s="228">
        <v>2</v>
      </c>
      <c r="CJ67" s="229">
        <v>0.19800000000000001</v>
      </c>
      <c r="CK67" s="228">
        <v>2</v>
      </c>
      <c r="CL67" s="228">
        <v>1</v>
      </c>
      <c r="CM67" s="228">
        <v>0</v>
      </c>
      <c r="CN67" s="229">
        <v>5.5599999999999997E-2</v>
      </c>
      <c r="CO67" s="228">
        <v>339</v>
      </c>
      <c r="CP67" s="228">
        <v>335</v>
      </c>
      <c r="CQ67" s="228">
        <v>4</v>
      </c>
      <c r="CR67" s="229">
        <v>1.18E-2</v>
      </c>
      <c r="CS67" s="228">
        <v>161</v>
      </c>
      <c r="CT67" s="228">
        <v>158</v>
      </c>
      <c r="CU67" s="228">
        <v>3</v>
      </c>
      <c r="CV67" s="229">
        <v>1.8599999999999998E-2</v>
      </c>
      <c r="CW67" s="230">
        <v>2928</v>
      </c>
      <c r="CX67" s="230">
        <v>2946</v>
      </c>
      <c r="CY67" s="228">
        <v>-18</v>
      </c>
      <c r="CZ67" s="229">
        <v>-6.1999999999999998E-3</v>
      </c>
      <c r="DA67" s="228">
        <v>28.71</v>
      </c>
      <c r="DB67" s="228">
        <v>31.55</v>
      </c>
      <c r="DC67" s="228">
        <v>-2.84</v>
      </c>
      <c r="DD67" s="228">
        <v>-2.84</v>
      </c>
      <c r="DE67" s="228">
        <v>34.97</v>
      </c>
      <c r="DF67" s="228">
        <v>34.76</v>
      </c>
      <c r="DG67" s="228">
        <v>-6.26</v>
      </c>
      <c r="DH67" s="228">
        <v>0.21</v>
      </c>
      <c r="DI67" s="228">
        <v>28.23</v>
      </c>
      <c r="DJ67" s="228">
        <v>31.2</v>
      </c>
      <c r="DK67" s="228">
        <v>-2.97</v>
      </c>
      <c r="DL67" s="228">
        <v>-2.97</v>
      </c>
      <c r="DM67" s="228">
        <v>30.19</v>
      </c>
      <c r="DN67" s="228">
        <v>32.26</v>
      </c>
      <c r="DO67" s="228">
        <v>-2.0699999999999998</v>
      </c>
      <c r="DP67" s="228">
        <v>-2.0699999999999998</v>
      </c>
      <c r="DQ67" s="228">
        <v>0.47</v>
      </c>
      <c r="DR67" s="228">
        <v>0.47</v>
      </c>
      <c r="DS67" s="228">
        <v>0</v>
      </c>
      <c r="DT67" s="229">
        <v>0</v>
      </c>
      <c r="DU67" s="231">
        <v>2100</v>
      </c>
      <c r="DV67" s="231">
        <v>2100</v>
      </c>
      <c r="DW67" s="228">
        <v>0.32</v>
      </c>
      <c r="DX67" s="228">
        <v>0.5</v>
      </c>
      <c r="DY67" s="228">
        <v>-0.18</v>
      </c>
      <c r="DZ67" s="229">
        <v>-0.36</v>
      </c>
      <c r="EA67" s="229">
        <v>4.5999999999999999E-3</v>
      </c>
      <c r="EB67" s="230">
        <v>44625</v>
      </c>
      <c r="EC67" s="229">
        <v>4.8999999999999998E-3</v>
      </c>
      <c r="ED67" s="229">
        <v>4.5999999999999999E-3</v>
      </c>
      <c r="EE67" s="228">
        <v>8.75</v>
      </c>
      <c r="EF67" s="229">
        <v>4.1999999999999997E-3</v>
      </c>
      <c r="EG67" s="230">
        <v>252266</v>
      </c>
      <c r="EH67" s="230">
        <v>187108</v>
      </c>
      <c r="EI67" s="229">
        <v>0.34820000000000001</v>
      </c>
      <c r="EJ67" s="229">
        <v>0.46910000000000002</v>
      </c>
      <c r="EK67" s="228">
        <v>466.63</v>
      </c>
      <c r="EL67" s="228">
        <v>141.13999999999999</v>
      </c>
      <c r="EM67" s="228">
        <v>260.98</v>
      </c>
      <c r="EN67" s="228">
        <v>40.67</v>
      </c>
      <c r="EO67" s="228">
        <v>868.75</v>
      </c>
      <c r="EP67" s="228">
        <v>995.75</v>
      </c>
      <c r="EQ67" s="228">
        <v>-127</v>
      </c>
      <c r="ER67" s="229">
        <v>-0.1275</v>
      </c>
      <c r="ES67" s="228">
        <v>348.44</v>
      </c>
      <c r="ET67" s="228">
        <v>155.37</v>
      </c>
      <c r="EU67" s="231">
        <v>2427.81</v>
      </c>
      <c r="EV67" s="231">
        <v>22585180</v>
      </c>
      <c r="EW67" s="231">
        <v>2931.62</v>
      </c>
      <c r="EX67" s="231">
        <v>2875.99</v>
      </c>
      <c r="EY67" s="228">
        <v>55.63</v>
      </c>
      <c r="EZ67" s="229">
        <v>1.9300000000000001E-2</v>
      </c>
      <c r="FA67" s="229">
        <v>0.61380000000000001</v>
      </c>
      <c r="FB67" s="227" t="s">
        <v>556</v>
      </c>
      <c r="FC67">
        <f t="shared" ref="FC67:FC130" si="1">BY67-CC67</f>
        <v>11</v>
      </c>
    </row>
    <row r="68" spans="1:159" ht="17.25" hidden="1" thickBot="1" x14ac:dyDescent="0.3">
      <c r="A68" s="226">
        <v>46086</v>
      </c>
      <c r="B68" s="227" t="s">
        <v>215</v>
      </c>
      <c r="C68" s="227" t="s">
        <v>631</v>
      </c>
      <c r="D68" s="228">
        <v>6975</v>
      </c>
      <c r="E68" s="228">
        <v>25</v>
      </c>
      <c r="F68" s="228">
        <v>98.33</v>
      </c>
      <c r="G68" s="228">
        <v>95.38</v>
      </c>
      <c r="H68" s="228">
        <v>2.95</v>
      </c>
      <c r="I68" s="229">
        <v>3.09E-2</v>
      </c>
      <c r="J68" s="228">
        <v>97.98</v>
      </c>
      <c r="K68" s="228">
        <v>95.2</v>
      </c>
      <c r="L68" s="228">
        <v>2.78</v>
      </c>
      <c r="M68" s="229">
        <v>2.92E-2</v>
      </c>
      <c r="N68" s="228">
        <v>98.33</v>
      </c>
      <c r="O68" s="228">
        <v>95.38</v>
      </c>
      <c r="P68" s="228">
        <v>2.95</v>
      </c>
      <c r="Q68" s="229">
        <v>3.09E-2</v>
      </c>
      <c r="R68" s="228">
        <v>99.01</v>
      </c>
      <c r="S68" s="228">
        <v>95.96</v>
      </c>
      <c r="T68" s="228">
        <v>3.05</v>
      </c>
      <c r="U68" s="229">
        <v>3.1800000000000002E-2</v>
      </c>
      <c r="V68" s="228">
        <v>99.09</v>
      </c>
      <c r="W68" s="228">
        <v>96.5</v>
      </c>
      <c r="X68" s="228">
        <v>2.59</v>
      </c>
      <c r="Y68" s="229">
        <v>2.6800000000000001E-2</v>
      </c>
      <c r="Z68" s="228">
        <v>0.35</v>
      </c>
      <c r="AA68" s="228">
        <v>0.18</v>
      </c>
      <c r="AB68" s="228">
        <v>0.17</v>
      </c>
      <c r="AC68" s="229">
        <v>3.5999999999999999E-3</v>
      </c>
      <c r="AD68" s="228">
        <v>0.35</v>
      </c>
      <c r="AE68" s="228">
        <v>0.18</v>
      </c>
      <c r="AF68" s="228">
        <v>0.17</v>
      </c>
      <c r="AG68" s="229">
        <v>3.5999999999999999E-3</v>
      </c>
      <c r="AH68" s="228">
        <v>1.03</v>
      </c>
      <c r="AI68" s="228">
        <v>0.76</v>
      </c>
      <c r="AJ68" s="228">
        <v>0.27</v>
      </c>
      <c r="AK68" s="229">
        <v>1.0500000000000001E-2</v>
      </c>
      <c r="AL68" s="228">
        <v>1.1100000000000001</v>
      </c>
      <c r="AM68" s="228">
        <v>1.3</v>
      </c>
      <c r="AN68" s="228">
        <v>-0.19</v>
      </c>
      <c r="AO68" s="229">
        <v>1.1299999999999999E-2</v>
      </c>
      <c r="AP68" s="228">
        <v>97.31</v>
      </c>
      <c r="AQ68" s="228">
        <v>98.02</v>
      </c>
      <c r="AR68" s="228">
        <v>0</v>
      </c>
      <c r="AS68" s="228">
        <v>227</v>
      </c>
      <c r="AT68" s="228">
        <v>268</v>
      </c>
      <c r="AU68" s="228">
        <v>-41</v>
      </c>
      <c r="AV68" s="229">
        <v>-0.1515</v>
      </c>
      <c r="AW68" s="228">
        <v>212</v>
      </c>
      <c r="AX68" s="228">
        <v>244</v>
      </c>
      <c r="AY68" s="228">
        <v>-32</v>
      </c>
      <c r="AZ68" s="229">
        <v>-0.13039999999999999</v>
      </c>
      <c r="BA68" s="228">
        <v>11</v>
      </c>
      <c r="BB68" s="228">
        <v>18</v>
      </c>
      <c r="BC68" s="228">
        <v>-7</v>
      </c>
      <c r="BD68" s="229">
        <v>-0.40300000000000002</v>
      </c>
      <c r="BE68" s="228">
        <v>4</v>
      </c>
      <c r="BF68" s="228">
        <v>6</v>
      </c>
      <c r="BG68" s="228">
        <v>-1</v>
      </c>
      <c r="BH68" s="229">
        <v>-0.24390000000000001</v>
      </c>
      <c r="BI68" s="228">
        <v>267</v>
      </c>
      <c r="BJ68" s="228">
        <v>350</v>
      </c>
      <c r="BK68" s="228">
        <v>-83</v>
      </c>
      <c r="BL68" s="229">
        <v>-0.2366</v>
      </c>
      <c r="BM68" s="228">
        <v>184</v>
      </c>
      <c r="BN68" s="228">
        <v>402</v>
      </c>
      <c r="BO68" s="228">
        <v>-218</v>
      </c>
      <c r="BP68" s="229">
        <v>-0.54330000000000001</v>
      </c>
      <c r="BQ68" s="228">
        <v>678</v>
      </c>
      <c r="BR68" s="230">
        <v>1019</v>
      </c>
      <c r="BS68" s="228">
        <v>-342</v>
      </c>
      <c r="BT68" s="229">
        <v>-0.3352</v>
      </c>
      <c r="BU68" s="230">
        <v>22736777</v>
      </c>
      <c r="BV68" s="230">
        <v>13937168</v>
      </c>
      <c r="BW68" s="230">
        <v>8799609</v>
      </c>
      <c r="BX68" s="229">
        <v>0.63139999999999996</v>
      </c>
      <c r="BY68" s="230">
        <v>1445</v>
      </c>
      <c r="BZ68" s="230">
        <v>1461</v>
      </c>
      <c r="CA68" s="228">
        <v>-16</v>
      </c>
      <c r="CB68" s="229">
        <v>-1.0800000000000001E-2</v>
      </c>
      <c r="CC68" s="230">
        <v>1414</v>
      </c>
      <c r="CD68" s="230">
        <v>1430</v>
      </c>
      <c r="CE68" s="228">
        <v>-17</v>
      </c>
      <c r="CF68" s="229">
        <v>-1.18E-2</v>
      </c>
      <c r="CG68" s="228">
        <v>25</v>
      </c>
      <c r="CH68" s="228">
        <v>23</v>
      </c>
      <c r="CI68" s="228">
        <v>2</v>
      </c>
      <c r="CJ68" s="229">
        <v>8.48E-2</v>
      </c>
      <c r="CK68" s="228">
        <v>6</v>
      </c>
      <c r="CL68" s="228">
        <v>7</v>
      </c>
      <c r="CM68" s="228">
        <v>-1</v>
      </c>
      <c r="CN68" s="229">
        <v>-0.12620000000000001</v>
      </c>
      <c r="CO68" s="228">
        <v>505</v>
      </c>
      <c r="CP68" s="228">
        <v>507</v>
      </c>
      <c r="CQ68" s="228">
        <v>-2</v>
      </c>
      <c r="CR68" s="229">
        <v>-3.0999999999999999E-3</v>
      </c>
      <c r="CS68" s="228">
        <v>359</v>
      </c>
      <c r="CT68" s="228">
        <v>349</v>
      </c>
      <c r="CU68" s="228">
        <v>10</v>
      </c>
      <c r="CV68" s="229">
        <v>2.9100000000000001E-2</v>
      </c>
      <c r="CW68" s="230">
        <v>2309</v>
      </c>
      <c r="CX68" s="230">
        <v>2317</v>
      </c>
      <c r="CY68" s="228">
        <v>-7</v>
      </c>
      <c r="CZ68" s="229">
        <v>-3.0999999999999999E-3</v>
      </c>
      <c r="DA68" s="228">
        <v>31.78</v>
      </c>
      <c r="DB68" s="228">
        <v>36.01</v>
      </c>
      <c r="DC68" s="228">
        <v>-4.2300000000000004</v>
      </c>
      <c r="DD68" s="228">
        <v>-4.2300000000000004</v>
      </c>
      <c r="DE68" s="228">
        <v>37.85</v>
      </c>
      <c r="DF68" s="228">
        <v>37.72</v>
      </c>
      <c r="DG68" s="228">
        <v>-6.07</v>
      </c>
      <c r="DH68" s="228">
        <v>0.13</v>
      </c>
      <c r="DI68" s="228">
        <v>30.96</v>
      </c>
      <c r="DJ68" s="228">
        <v>35</v>
      </c>
      <c r="DK68" s="228">
        <v>-4.04</v>
      </c>
      <c r="DL68" s="228">
        <v>-4.04</v>
      </c>
      <c r="DM68" s="228">
        <v>32.96</v>
      </c>
      <c r="DN68" s="228">
        <v>36.9</v>
      </c>
      <c r="DO68" s="228">
        <v>-3.94</v>
      </c>
      <c r="DP68" s="228">
        <v>-3.94</v>
      </c>
      <c r="DQ68" s="228">
        <v>0.71</v>
      </c>
      <c r="DR68" s="228">
        <v>0.69</v>
      </c>
      <c r="DS68" s="228">
        <v>0.02</v>
      </c>
      <c r="DT68" s="229">
        <v>2.9000000000000001E-2</v>
      </c>
      <c r="DU68" s="228">
        <v>105</v>
      </c>
      <c r="DV68" s="228">
        <v>95</v>
      </c>
      <c r="DW68" s="228">
        <v>0.69</v>
      </c>
      <c r="DX68" s="228">
        <v>1.1499999999999999</v>
      </c>
      <c r="DY68" s="228">
        <v>-0.46</v>
      </c>
      <c r="DZ68" s="229">
        <v>-0.4</v>
      </c>
      <c r="EA68" s="229">
        <v>2.1899999999999999E-2</v>
      </c>
      <c r="EB68" s="230">
        <v>3103875</v>
      </c>
      <c r="EC68" s="229">
        <v>6.8999999999999999E-3</v>
      </c>
      <c r="ED68" s="229">
        <v>2.1899999999999999E-2</v>
      </c>
      <c r="EE68" s="228">
        <v>0.71</v>
      </c>
      <c r="EF68" s="229">
        <v>7.3000000000000001E-3</v>
      </c>
      <c r="EG68" s="230">
        <v>14078084</v>
      </c>
      <c r="EH68" s="230">
        <v>7498173</v>
      </c>
      <c r="EI68" s="229">
        <v>0.87749999999999995</v>
      </c>
      <c r="EJ68" s="229">
        <v>0.61919999999999997</v>
      </c>
      <c r="EK68" s="228">
        <v>280.07</v>
      </c>
      <c r="EL68" s="228">
        <v>177.75</v>
      </c>
      <c r="EM68" s="228">
        <v>225.14</v>
      </c>
      <c r="EN68" s="228">
        <v>33.64</v>
      </c>
      <c r="EO68" s="228">
        <v>682.95</v>
      </c>
      <c r="EP68" s="231">
        <v>1004.36</v>
      </c>
      <c r="EQ68" s="228">
        <v>-321.39999999999998</v>
      </c>
      <c r="ER68" s="229">
        <v>-0.32</v>
      </c>
      <c r="ES68" s="228">
        <v>536.55999999999995</v>
      </c>
      <c r="ET68" s="228">
        <v>345.33</v>
      </c>
      <c r="EU68" s="231">
        <v>1445.45</v>
      </c>
      <c r="EV68" s="231">
        <v>534704421</v>
      </c>
      <c r="EW68" s="231">
        <v>2327.34</v>
      </c>
      <c r="EX68" s="231">
        <v>2290.64</v>
      </c>
      <c r="EY68" s="228">
        <v>36.700000000000003</v>
      </c>
      <c r="EZ68" s="229">
        <v>1.6E-2</v>
      </c>
      <c r="FA68" s="229">
        <v>0.43919999999999998</v>
      </c>
      <c r="FB68" s="227" t="s">
        <v>556</v>
      </c>
      <c r="FC68">
        <f t="shared" si="1"/>
        <v>31</v>
      </c>
    </row>
    <row r="69" spans="1:159" ht="17.25" hidden="1" thickBot="1" x14ac:dyDescent="0.3">
      <c r="A69" s="226">
        <v>46086</v>
      </c>
      <c r="B69" s="227" t="s">
        <v>168</v>
      </c>
      <c r="C69" s="227" t="s">
        <v>217</v>
      </c>
      <c r="D69" s="228">
        <v>500</v>
      </c>
      <c r="E69" s="228">
        <v>25</v>
      </c>
      <c r="F69" s="231">
        <v>1138.4000000000001</v>
      </c>
      <c r="G69" s="231">
        <v>1142.8</v>
      </c>
      <c r="H69" s="228">
        <v>-4.4000000000000004</v>
      </c>
      <c r="I69" s="229">
        <v>-3.8999999999999998E-3</v>
      </c>
      <c r="J69" s="231">
        <v>1132.4000000000001</v>
      </c>
      <c r="K69" s="231">
        <v>1137.5</v>
      </c>
      <c r="L69" s="228">
        <v>-5.0999999999999996</v>
      </c>
      <c r="M69" s="229">
        <v>-4.4999999999999997E-3</v>
      </c>
      <c r="N69" s="231">
        <v>1138.4000000000001</v>
      </c>
      <c r="O69" s="231">
        <v>1142.8</v>
      </c>
      <c r="P69" s="228">
        <v>-4.4000000000000004</v>
      </c>
      <c r="Q69" s="229">
        <v>-3.8999999999999998E-3</v>
      </c>
      <c r="R69" s="231">
        <v>1145.8</v>
      </c>
      <c r="S69" s="231">
        <v>1149.5999999999999</v>
      </c>
      <c r="T69" s="228">
        <v>-3.8</v>
      </c>
      <c r="U69" s="229">
        <v>-3.3E-3</v>
      </c>
      <c r="V69" s="231">
        <v>1257</v>
      </c>
      <c r="W69" s="231">
        <v>1257</v>
      </c>
      <c r="X69" s="228">
        <v>0</v>
      </c>
      <c r="Y69" s="229">
        <v>0</v>
      </c>
      <c r="Z69" s="228">
        <v>6</v>
      </c>
      <c r="AA69" s="228">
        <v>5.3</v>
      </c>
      <c r="AB69" s="228">
        <v>0.7</v>
      </c>
      <c r="AC69" s="229">
        <v>5.3E-3</v>
      </c>
      <c r="AD69" s="228">
        <v>6</v>
      </c>
      <c r="AE69" s="228">
        <v>5.3</v>
      </c>
      <c r="AF69" s="228">
        <v>0.7</v>
      </c>
      <c r="AG69" s="229">
        <v>5.3E-3</v>
      </c>
      <c r="AH69" s="228">
        <v>13.4</v>
      </c>
      <c r="AI69" s="228">
        <v>12.1</v>
      </c>
      <c r="AJ69" s="228">
        <v>1.3</v>
      </c>
      <c r="AK69" s="229">
        <v>1.18E-2</v>
      </c>
      <c r="AL69" s="228">
        <v>124.6</v>
      </c>
      <c r="AM69" s="228">
        <v>119.5</v>
      </c>
      <c r="AN69" s="228">
        <v>5.0999999999999996</v>
      </c>
      <c r="AO69" s="229">
        <v>0.11</v>
      </c>
      <c r="AP69" s="231">
        <v>1135.54</v>
      </c>
      <c r="AQ69" s="231">
        <v>1140.8800000000001</v>
      </c>
      <c r="AR69" s="228">
        <v>0</v>
      </c>
      <c r="AS69" s="228">
        <v>150</v>
      </c>
      <c r="AT69" s="228">
        <v>264</v>
      </c>
      <c r="AU69" s="228">
        <v>-114</v>
      </c>
      <c r="AV69" s="229">
        <v>-0.432</v>
      </c>
      <c r="AW69" s="228">
        <v>147</v>
      </c>
      <c r="AX69" s="228">
        <v>260</v>
      </c>
      <c r="AY69" s="228">
        <v>-113</v>
      </c>
      <c r="AZ69" s="229">
        <v>-0.43480000000000002</v>
      </c>
      <c r="BA69" s="228">
        <v>3</v>
      </c>
      <c r="BB69" s="228">
        <v>5</v>
      </c>
      <c r="BC69" s="228">
        <v>-1</v>
      </c>
      <c r="BD69" s="229">
        <v>-0.27160000000000001</v>
      </c>
      <c r="BE69" s="228">
        <v>0</v>
      </c>
      <c r="BF69" s="228">
        <v>0</v>
      </c>
      <c r="BG69" s="228">
        <v>0</v>
      </c>
      <c r="BH69" s="229">
        <v>0</v>
      </c>
      <c r="BI69" s="228">
        <v>103</v>
      </c>
      <c r="BJ69" s="228">
        <v>243</v>
      </c>
      <c r="BK69" s="228">
        <v>-140</v>
      </c>
      <c r="BL69" s="229">
        <v>-0.57769999999999999</v>
      </c>
      <c r="BM69" s="228">
        <v>74</v>
      </c>
      <c r="BN69" s="228">
        <v>189</v>
      </c>
      <c r="BO69" s="228">
        <v>-116</v>
      </c>
      <c r="BP69" s="229">
        <v>-0.61109999999999998</v>
      </c>
      <c r="BQ69" s="228">
        <v>326</v>
      </c>
      <c r="BR69" s="228">
        <v>697</v>
      </c>
      <c r="BS69" s="228">
        <v>-370</v>
      </c>
      <c r="BT69" s="229">
        <v>-0.53149999999999997</v>
      </c>
      <c r="BU69" s="230">
        <v>1933067</v>
      </c>
      <c r="BV69" s="230">
        <v>1807394</v>
      </c>
      <c r="BW69" s="230">
        <v>125673</v>
      </c>
      <c r="BX69" s="229">
        <v>6.9500000000000006E-2</v>
      </c>
      <c r="BY69" s="228">
        <v>960</v>
      </c>
      <c r="BZ69" s="228">
        <v>946</v>
      </c>
      <c r="CA69" s="228">
        <v>14</v>
      </c>
      <c r="CB69" s="229">
        <v>1.4999999999999999E-2</v>
      </c>
      <c r="CC69" s="228">
        <v>955</v>
      </c>
      <c r="CD69" s="228">
        <v>942</v>
      </c>
      <c r="CE69" s="228">
        <v>13</v>
      </c>
      <c r="CF69" s="229">
        <v>1.41E-2</v>
      </c>
      <c r="CG69" s="228">
        <v>5</v>
      </c>
      <c r="CH69" s="228">
        <v>4</v>
      </c>
      <c r="CI69" s="228">
        <v>1</v>
      </c>
      <c r="CJ69" s="229">
        <v>0.2286</v>
      </c>
      <c r="CK69" s="228">
        <v>0</v>
      </c>
      <c r="CL69" s="228">
        <v>0</v>
      </c>
      <c r="CM69" s="228">
        <v>0</v>
      </c>
      <c r="CN69" s="229">
        <v>0</v>
      </c>
      <c r="CO69" s="228">
        <v>144</v>
      </c>
      <c r="CP69" s="228">
        <v>133</v>
      </c>
      <c r="CQ69" s="228">
        <v>11</v>
      </c>
      <c r="CR69" s="229">
        <v>8.3199999999999996E-2</v>
      </c>
      <c r="CS69" s="228">
        <v>122</v>
      </c>
      <c r="CT69" s="228">
        <v>103</v>
      </c>
      <c r="CU69" s="228">
        <v>19</v>
      </c>
      <c r="CV69" s="229">
        <v>0.18190000000000001</v>
      </c>
      <c r="CW69" s="230">
        <v>1226</v>
      </c>
      <c r="CX69" s="230">
        <v>1182</v>
      </c>
      <c r="CY69" s="228">
        <v>44</v>
      </c>
      <c r="CZ69" s="229">
        <v>3.73E-2</v>
      </c>
      <c r="DA69" s="228">
        <v>24.05</v>
      </c>
      <c r="DB69" s="228">
        <v>26.98</v>
      </c>
      <c r="DC69" s="228">
        <v>-2.93</v>
      </c>
      <c r="DD69" s="228">
        <v>-2.93</v>
      </c>
      <c r="DE69" s="228">
        <v>28.35</v>
      </c>
      <c r="DF69" s="228">
        <v>28.41</v>
      </c>
      <c r="DG69" s="228">
        <v>-4.3</v>
      </c>
      <c r="DH69" s="228">
        <v>-0.06</v>
      </c>
      <c r="DI69" s="228">
        <v>24.28</v>
      </c>
      <c r="DJ69" s="228">
        <v>26.7</v>
      </c>
      <c r="DK69" s="228">
        <v>-2.42</v>
      </c>
      <c r="DL69" s="228">
        <v>-2.42</v>
      </c>
      <c r="DM69" s="228">
        <v>23.73</v>
      </c>
      <c r="DN69" s="228">
        <v>27.33</v>
      </c>
      <c r="DO69" s="228">
        <v>-3.6</v>
      </c>
      <c r="DP69" s="228">
        <v>-3.6</v>
      </c>
      <c r="DQ69" s="228">
        <v>0.85</v>
      </c>
      <c r="DR69" s="228">
        <v>0.78</v>
      </c>
      <c r="DS69" s="228">
        <v>7.0000000000000007E-2</v>
      </c>
      <c r="DT69" s="229">
        <v>8.9700000000000002E-2</v>
      </c>
      <c r="DU69" s="231">
        <v>1180</v>
      </c>
      <c r="DV69" s="231">
        <v>1180</v>
      </c>
      <c r="DW69" s="228">
        <v>0.72</v>
      </c>
      <c r="DX69" s="228">
        <v>0.78</v>
      </c>
      <c r="DY69" s="228">
        <v>-0.06</v>
      </c>
      <c r="DZ69" s="229">
        <v>-7.6899999999999996E-2</v>
      </c>
      <c r="EA69" s="229">
        <v>5.1999999999999998E-3</v>
      </c>
      <c r="EB69" s="230">
        <v>35500</v>
      </c>
      <c r="EC69" s="229">
        <v>6.4999999999999997E-3</v>
      </c>
      <c r="ED69" s="229">
        <v>5.1999999999999998E-3</v>
      </c>
      <c r="EE69" s="228">
        <v>5.34</v>
      </c>
      <c r="EF69" s="229">
        <v>4.7000000000000002E-3</v>
      </c>
      <c r="EG69" s="230">
        <v>1597958</v>
      </c>
      <c r="EH69" s="230">
        <v>1129160</v>
      </c>
      <c r="EI69" s="229">
        <v>0.41520000000000001</v>
      </c>
      <c r="EJ69" s="229">
        <v>0.8266</v>
      </c>
      <c r="EK69" s="228">
        <v>108.85</v>
      </c>
      <c r="EL69" s="228">
        <v>75.930000000000007</v>
      </c>
      <c r="EM69" s="228">
        <v>149.85</v>
      </c>
      <c r="EN69" s="228">
        <v>27.37</v>
      </c>
      <c r="EO69" s="228">
        <v>334.63</v>
      </c>
      <c r="EP69" s="228">
        <v>719.36</v>
      </c>
      <c r="EQ69" s="228">
        <v>-384.72</v>
      </c>
      <c r="ER69" s="229">
        <v>-0.53480000000000005</v>
      </c>
      <c r="ES69" s="228">
        <v>154.28</v>
      </c>
      <c r="ET69" s="228">
        <v>123.96</v>
      </c>
      <c r="EU69" s="228">
        <v>960.05</v>
      </c>
      <c r="EV69" s="231">
        <v>72031016</v>
      </c>
      <c r="EW69" s="231">
        <v>1238.29</v>
      </c>
      <c r="EX69" s="231">
        <v>1197.32</v>
      </c>
      <c r="EY69" s="228">
        <v>40.97</v>
      </c>
      <c r="EZ69" s="229">
        <v>3.4200000000000001E-2</v>
      </c>
      <c r="FA69" s="229">
        <v>0.14949999999999999</v>
      </c>
      <c r="FB69" s="227" t="s">
        <v>567</v>
      </c>
      <c r="FC69">
        <f t="shared" si="1"/>
        <v>5</v>
      </c>
    </row>
    <row r="70" spans="1:159" ht="17.25" hidden="1" thickBot="1" x14ac:dyDescent="0.3">
      <c r="A70" s="226">
        <v>46086</v>
      </c>
      <c r="B70" s="227" t="s">
        <v>206</v>
      </c>
      <c r="C70" s="227" t="s">
        <v>218</v>
      </c>
      <c r="D70" s="228">
        <v>275</v>
      </c>
      <c r="E70" s="228">
        <v>25</v>
      </c>
      <c r="F70" s="231">
        <v>1745.5</v>
      </c>
      <c r="G70" s="231">
        <v>1695.9</v>
      </c>
      <c r="H70" s="228">
        <v>49.6</v>
      </c>
      <c r="I70" s="229">
        <v>2.92E-2</v>
      </c>
      <c r="J70" s="231">
        <v>1743.8</v>
      </c>
      <c r="K70" s="231">
        <v>1693.7</v>
      </c>
      <c r="L70" s="228">
        <v>50.1</v>
      </c>
      <c r="M70" s="229">
        <v>2.9600000000000001E-2</v>
      </c>
      <c r="N70" s="231">
        <v>1745.5</v>
      </c>
      <c r="O70" s="231">
        <v>1695.9</v>
      </c>
      <c r="P70" s="228">
        <v>49.6</v>
      </c>
      <c r="Q70" s="229">
        <v>2.92E-2</v>
      </c>
      <c r="R70" s="231">
        <v>1755.2</v>
      </c>
      <c r="S70" s="231">
        <v>1706.6</v>
      </c>
      <c r="T70" s="228">
        <v>48.6</v>
      </c>
      <c r="U70" s="229">
        <v>2.8500000000000001E-2</v>
      </c>
      <c r="V70" s="231">
        <v>1758.1</v>
      </c>
      <c r="W70" s="231">
        <v>1713.8</v>
      </c>
      <c r="X70" s="228">
        <v>44.3</v>
      </c>
      <c r="Y70" s="229">
        <v>2.58E-2</v>
      </c>
      <c r="Z70" s="228">
        <v>1.7</v>
      </c>
      <c r="AA70" s="228">
        <v>2.2000000000000002</v>
      </c>
      <c r="AB70" s="228">
        <v>-0.5</v>
      </c>
      <c r="AC70" s="229">
        <v>1E-3</v>
      </c>
      <c r="AD70" s="228">
        <v>1.7</v>
      </c>
      <c r="AE70" s="228">
        <v>2.2000000000000002</v>
      </c>
      <c r="AF70" s="228">
        <v>-0.5</v>
      </c>
      <c r="AG70" s="229">
        <v>1E-3</v>
      </c>
      <c r="AH70" s="228">
        <v>11.4</v>
      </c>
      <c r="AI70" s="228">
        <v>12.9</v>
      </c>
      <c r="AJ70" s="228">
        <v>-1.5</v>
      </c>
      <c r="AK70" s="229">
        <v>6.4999999999999997E-3</v>
      </c>
      <c r="AL70" s="228">
        <v>14.3</v>
      </c>
      <c r="AM70" s="228">
        <v>20.100000000000001</v>
      </c>
      <c r="AN70" s="228">
        <v>-5.8</v>
      </c>
      <c r="AO70" s="229">
        <v>8.2000000000000007E-3</v>
      </c>
      <c r="AP70" s="231">
        <v>1726.67</v>
      </c>
      <c r="AQ70" s="231">
        <v>1738.83</v>
      </c>
      <c r="AR70" s="228">
        <v>0</v>
      </c>
      <c r="AS70" s="228">
        <v>343</v>
      </c>
      <c r="AT70" s="228">
        <v>349</v>
      </c>
      <c r="AU70" s="228">
        <v>-5</v>
      </c>
      <c r="AV70" s="229">
        <v>-1.4999999999999999E-2</v>
      </c>
      <c r="AW70" s="228">
        <v>330</v>
      </c>
      <c r="AX70" s="228">
        <v>325</v>
      </c>
      <c r="AY70" s="228">
        <v>5</v>
      </c>
      <c r="AZ70" s="229">
        <v>1.6400000000000001E-2</v>
      </c>
      <c r="BA70" s="228">
        <v>12</v>
      </c>
      <c r="BB70" s="228">
        <v>21</v>
      </c>
      <c r="BC70" s="228">
        <v>-8</v>
      </c>
      <c r="BD70" s="229">
        <v>-0.39489999999999997</v>
      </c>
      <c r="BE70" s="228">
        <v>1</v>
      </c>
      <c r="BF70" s="228">
        <v>3</v>
      </c>
      <c r="BG70" s="228">
        <v>-2</v>
      </c>
      <c r="BH70" s="229">
        <v>-0.72860000000000003</v>
      </c>
      <c r="BI70" s="228">
        <v>471</v>
      </c>
      <c r="BJ70" s="228">
        <v>582</v>
      </c>
      <c r="BK70" s="228">
        <v>-110</v>
      </c>
      <c r="BL70" s="229">
        <v>-0.18990000000000001</v>
      </c>
      <c r="BM70" s="228">
        <v>283</v>
      </c>
      <c r="BN70" s="228">
        <v>480</v>
      </c>
      <c r="BO70" s="228">
        <v>-197</v>
      </c>
      <c r="BP70" s="229">
        <v>-0.4098</v>
      </c>
      <c r="BQ70" s="230">
        <v>1098</v>
      </c>
      <c r="BR70" s="230">
        <v>1410</v>
      </c>
      <c r="BS70" s="228">
        <v>-312</v>
      </c>
      <c r="BT70" s="229">
        <v>-0.2215</v>
      </c>
      <c r="BU70" s="230">
        <v>1695213</v>
      </c>
      <c r="BV70" s="230">
        <v>2066653</v>
      </c>
      <c r="BW70" s="230">
        <v>-371440</v>
      </c>
      <c r="BX70" s="229">
        <v>-0.1797</v>
      </c>
      <c r="BY70" s="230">
        <v>1367</v>
      </c>
      <c r="BZ70" s="230">
        <v>1353</v>
      </c>
      <c r="CA70" s="228">
        <v>14</v>
      </c>
      <c r="CB70" s="229">
        <v>1.01E-2</v>
      </c>
      <c r="CC70" s="230">
        <v>1341</v>
      </c>
      <c r="CD70" s="230">
        <v>1328</v>
      </c>
      <c r="CE70" s="228">
        <v>13</v>
      </c>
      <c r="CF70" s="229">
        <v>1.01E-2</v>
      </c>
      <c r="CG70" s="228">
        <v>22</v>
      </c>
      <c r="CH70" s="228">
        <v>22</v>
      </c>
      <c r="CI70" s="228">
        <v>0</v>
      </c>
      <c r="CJ70" s="229">
        <v>2.2000000000000001E-3</v>
      </c>
      <c r="CK70" s="228">
        <v>3</v>
      </c>
      <c r="CL70" s="228">
        <v>3</v>
      </c>
      <c r="CM70" s="228">
        <v>0</v>
      </c>
      <c r="CN70" s="229">
        <v>6.1499999999999999E-2</v>
      </c>
      <c r="CO70" s="228">
        <v>398</v>
      </c>
      <c r="CP70" s="228">
        <v>404</v>
      </c>
      <c r="CQ70" s="228">
        <v>-6</v>
      </c>
      <c r="CR70" s="229">
        <v>-1.37E-2</v>
      </c>
      <c r="CS70" s="228">
        <v>343</v>
      </c>
      <c r="CT70" s="228">
        <v>323</v>
      </c>
      <c r="CU70" s="228">
        <v>20</v>
      </c>
      <c r="CV70" s="229">
        <v>6.2100000000000002E-2</v>
      </c>
      <c r="CW70" s="230">
        <v>2108</v>
      </c>
      <c r="CX70" s="230">
        <v>2080</v>
      </c>
      <c r="CY70" s="228">
        <v>28</v>
      </c>
      <c r="CZ70" s="229">
        <v>1.3599999999999999E-2</v>
      </c>
      <c r="DA70" s="228">
        <v>38.270000000000003</v>
      </c>
      <c r="DB70" s="228">
        <v>42.84</v>
      </c>
      <c r="DC70" s="228">
        <v>-4.57</v>
      </c>
      <c r="DD70" s="228">
        <v>-4.57</v>
      </c>
      <c r="DE70" s="228">
        <v>44.5</v>
      </c>
      <c r="DF70" s="228">
        <v>44.44</v>
      </c>
      <c r="DG70" s="228">
        <v>-6.23</v>
      </c>
      <c r="DH70" s="228">
        <v>0.06</v>
      </c>
      <c r="DI70" s="228">
        <v>36.97</v>
      </c>
      <c r="DJ70" s="228">
        <v>41.06</v>
      </c>
      <c r="DK70" s="228">
        <v>-4.09</v>
      </c>
      <c r="DL70" s="228">
        <v>-4.09</v>
      </c>
      <c r="DM70" s="228">
        <v>40.44</v>
      </c>
      <c r="DN70" s="228">
        <v>45</v>
      </c>
      <c r="DO70" s="228">
        <v>-4.5599999999999996</v>
      </c>
      <c r="DP70" s="228">
        <v>-4.5599999999999996</v>
      </c>
      <c r="DQ70" s="228">
        <v>0.86</v>
      </c>
      <c r="DR70" s="228">
        <v>0.8</v>
      </c>
      <c r="DS70" s="228">
        <v>0.06</v>
      </c>
      <c r="DT70" s="229">
        <v>7.4999999999999997E-2</v>
      </c>
      <c r="DU70" s="231">
        <v>1700</v>
      </c>
      <c r="DV70" s="231">
        <v>1700</v>
      </c>
      <c r="DW70" s="228">
        <v>0.6</v>
      </c>
      <c r="DX70" s="228">
        <v>0.83</v>
      </c>
      <c r="DY70" s="228">
        <v>-0.23</v>
      </c>
      <c r="DZ70" s="229">
        <v>-0.27710000000000001</v>
      </c>
      <c r="EA70" s="229">
        <v>1.8499999999999999E-2</v>
      </c>
      <c r="EB70" s="230">
        <v>143825</v>
      </c>
      <c r="EC70" s="229">
        <v>5.5999999999999999E-3</v>
      </c>
      <c r="ED70" s="229">
        <v>1.8499999999999999E-2</v>
      </c>
      <c r="EE70" s="228">
        <v>12.16</v>
      </c>
      <c r="EF70" s="229">
        <v>7.0000000000000001E-3</v>
      </c>
      <c r="EG70" s="230">
        <v>1029358</v>
      </c>
      <c r="EH70" s="230">
        <v>1162638</v>
      </c>
      <c r="EI70" s="229">
        <v>-0.11459999999999999</v>
      </c>
      <c r="EJ70" s="229">
        <v>0.60719999999999996</v>
      </c>
      <c r="EK70" s="228">
        <v>496.6</v>
      </c>
      <c r="EL70" s="228">
        <v>276.95</v>
      </c>
      <c r="EM70" s="228">
        <v>339.74</v>
      </c>
      <c r="EN70" s="228">
        <v>66.739999999999995</v>
      </c>
      <c r="EO70" s="231">
        <v>1113.29</v>
      </c>
      <c r="EP70" s="231">
        <v>1410.11</v>
      </c>
      <c r="EQ70" s="228">
        <v>-296.82</v>
      </c>
      <c r="ER70" s="229">
        <v>-0.21049999999999999</v>
      </c>
      <c r="ES70" s="228">
        <v>423.79</v>
      </c>
      <c r="ET70" s="228">
        <v>336.27</v>
      </c>
      <c r="EU70" s="231">
        <v>1366.79</v>
      </c>
      <c r="EV70" s="231">
        <v>17263909</v>
      </c>
      <c r="EW70" s="231">
        <v>2126.84</v>
      </c>
      <c r="EX70" s="231">
        <v>2060.66</v>
      </c>
      <c r="EY70" s="228">
        <v>66.180000000000007</v>
      </c>
      <c r="EZ70" s="229">
        <v>3.2099999999999997E-2</v>
      </c>
      <c r="FA70" s="229">
        <v>0.69950000000000001</v>
      </c>
      <c r="FB70" s="227" t="s">
        <v>555</v>
      </c>
      <c r="FC70">
        <f t="shared" si="1"/>
        <v>26</v>
      </c>
    </row>
    <row r="71" spans="1:159" ht="17.25" hidden="1" thickBot="1" x14ac:dyDescent="0.3">
      <c r="A71" s="226">
        <v>46086</v>
      </c>
      <c r="B71" s="227" t="s">
        <v>157</v>
      </c>
      <c r="C71" s="227" t="s">
        <v>219</v>
      </c>
      <c r="D71" s="228">
        <v>250</v>
      </c>
      <c r="E71" s="228">
        <v>25</v>
      </c>
      <c r="F71" s="231">
        <v>2730</v>
      </c>
      <c r="G71" s="231">
        <v>2688.3</v>
      </c>
      <c r="H71" s="228">
        <v>41.7</v>
      </c>
      <c r="I71" s="229">
        <v>1.55E-2</v>
      </c>
      <c r="J71" s="231">
        <v>2724.1</v>
      </c>
      <c r="K71" s="231">
        <v>2683.2</v>
      </c>
      <c r="L71" s="228">
        <v>40.9</v>
      </c>
      <c r="M71" s="229">
        <v>1.52E-2</v>
      </c>
      <c r="N71" s="231">
        <v>2730</v>
      </c>
      <c r="O71" s="231">
        <v>2688.3</v>
      </c>
      <c r="P71" s="228">
        <v>41.7</v>
      </c>
      <c r="Q71" s="229">
        <v>1.55E-2</v>
      </c>
      <c r="R71" s="231">
        <v>2742.9</v>
      </c>
      <c r="S71" s="231">
        <v>2707.3</v>
      </c>
      <c r="T71" s="228">
        <v>35.6</v>
      </c>
      <c r="U71" s="229">
        <v>1.3100000000000001E-2</v>
      </c>
      <c r="V71" s="231">
        <v>2720.4</v>
      </c>
      <c r="W71" s="231">
        <v>2729</v>
      </c>
      <c r="X71" s="228">
        <v>-8.6</v>
      </c>
      <c r="Y71" s="229">
        <v>-3.2000000000000002E-3</v>
      </c>
      <c r="Z71" s="228">
        <v>5.9</v>
      </c>
      <c r="AA71" s="228">
        <v>5.0999999999999996</v>
      </c>
      <c r="AB71" s="228">
        <v>0.8</v>
      </c>
      <c r="AC71" s="229">
        <v>2.2000000000000001E-3</v>
      </c>
      <c r="AD71" s="228">
        <v>5.9</v>
      </c>
      <c r="AE71" s="228">
        <v>5.0999999999999996</v>
      </c>
      <c r="AF71" s="228">
        <v>0.8</v>
      </c>
      <c r="AG71" s="229">
        <v>2.2000000000000001E-3</v>
      </c>
      <c r="AH71" s="228">
        <v>18.8</v>
      </c>
      <c r="AI71" s="228">
        <v>24.1</v>
      </c>
      <c r="AJ71" s="228">
        <v>-5.3</v>
      </c>
      <c r="AK71" s="229">
        <v>6.8999999999999999E-3</v>
      </c>
      <c r="AL71" s="228">
        <v>-3.7</v>
      </c>
      <c r="AM71" s="228">
        <v>45.8</v>
      </c>
      <c r="AN71" s="228">
        <v>-49.5</v>
      </c>
      <c r="AO71" s="229">
        <v>-1.4E-3</v>
      </c>
      <c r="AP71" s="231">
        <v>2700.34</v>
      </c>
      <c r="AQ71" s="231">
        <v>2714.06</v>
      </c>
      <c r="AR71" s="228">
        <v>0</v>
      </c>
      <c r="AS71" s="228">
        <v>501</v>
      </c>
      <c r="AT71" s="228">
        <v>413</v>
      </c>
      <c r="AU71" s="228">
        <v>89</v>
      </c>
      <c r="AV71" s="229">
        <v>0.21529999999999999</v>
      </c>
      <c r="AW71" s="228">
        <v>494</v>
      </c>
      <c r="AX71" s="228">
        <v>403</v>
      </c>
      <c r="AY71" s="228">
        <v>91</v>
      </c>
      <c r="AZ71" s="229">
        <v>0.22700000000000001</v>
      </c>
      <c r="BA71" s="228">
        <v>7</v>
      </c>
      <c r="BB71" s="228">
        <v>9</v>
      </c>
      <c r="BC71" s="228">
        <v>-2</v>
      </c>
      <c r="BD71" s="229">
        <v>-0.23019999999999999</v>
      </c>
      <c r="BE71" s="228">
        <v>0</v>
      </c>
      <c r="BF71" s="228">
        <v>1</v>
      </c>
      <c r="BG71" s="228">
        <v>-1</v>
      </c>
      <c r="BH71" s="229">
        <v>-0.66669999999999996</v>
      </c>
      <c r="BI71" s="228">
        <v>692</v>
      </c>
      <c r="BJ71" s="228">
        <v>858</v>
      </c>
      <c r="BK71" s="228">
        <v>-166</v>
      </c>
      <c r="BL71" s="229">
        <v>-0.1933</v>
      </c>
      <c r="BM71" s="228">
        <v>288</v>
      </c>
      <c r="BN71" s="228">
        <v>626</v>
      </c>
      <c r="BO71" s="228">
        <v>-337</v>
      </c>
      <c r="BP71" s="229">
        <v>-0.53900000000000003</v>
      </c>
      <c r="BQ71" s="230">
        <v>1481</v>
      </c>
      <c r="BR71" s="230">
        <v>1896</v>
      </c>
      <c r="BS71" s="228">
        <v>-414</v>
      </c>
      <c r="BT71" s="229">
        <v>-0.2185</v>
      </c>
      <c r="BU71" s="230">
        <v>1110899</v>
      </c>
      <c r="BV71" s="230">
        <v>937352</v>
      </c>
      <c r="BW71" s="230">
        <v>173547</v>
      </c>
      <c r="BX71" s="229">
        <v>0.18509999999999999</v>
      </c>
      <c r="BY71" s="230">
        <v>4452</v>
      </c>
      <c r="BZ71" s="230">
        <v>4478</v>
      </c>
      <c r="CA71" s="228">
        <v>-26</v>
      </c>
      <c r="CB71" s="229">
        <v>-5.7000000000000002E-3</v>
      </c>
      <c r="CC71" s="230">
        <v>4438</v>
      </c>
      <c r="CD71" s="230">
        <v>4465</v>
      </c>
      <c r="CE71" s="228">
        <v>-27</v>
      </c>
      <c r="CF71" s="229">
        <v>-6.1000000000000004E-3</v>
      </c>
      <c r="CG71" s="228">
        <v>13</v>
      </c>
      <c r="CH71" s="228">
        <v>11</v>
      </c>
      <c r="CI71" s="228">
        <v>1</v>
      </c>
      <c r="CJ71" s="229">
        <v>0.1265</v>
      </c>
      <c r="CK71" s="228">
        <v>2</v>
      </c>
      <c r="CL71" s="228">
        <v>2</v>
      </c>
      <c r="CM71" s="228">
        <v>0</v>
      </c>
      <c r="CN71" s="229">
        <v>0.125</v>
      </c>
      <c r="CO71" s="228">
        <v>515</v>
      </c>
      <c r="CP71" s="228">
        <v>489</v>
      </c>
      <c r="CQ71" s="228">
        <v>26</v>
      </c>
      <c r="CR71" s="229">
        <v>5.28E-2</v>
      </c>
      <c r="CS71" s="228">
        <v>277</v>
      </c>
      <c r="CT71" s="228">
        <v>254</v>
      </c>
      <c r="CU71" s="228">
        <v>24</v>
      </c>
      <c r="CV71" s="229">
        <v>9.3100000000000002E-2</v>
      </c>
      <c r="CW71" s="230">
        <v>5245</v>
      </c>
      <c r="CX71" s="230">
        <v>5221</v>
      </c>
      <c r="CY71" s="228">
        <v>24</v>
      </c>
      <c r="CZ71" s="229">
        <v>4.5999999999999999E-3</v>
      </c>
      <c r="DA71" s="228">
        <v>21.99</v>
      </c>
      <c r="DB71" s="228">
        <v>24.84</v>
      </c>
      <c r="DC71" s="228">
        <v>-2.85</v>
      </c>
      <c r="DD71" s="228">
        <v>-2.85</v>
      </c>
      <c r="DE71" s="228">
        <v>25.85</v>
      </c>
      <c r="DF71" s="228">
        <v>25.83</v>
      </c>
      <c r="DG71" s="228">
        <v>-3.86</v>
      </c>
      <c r="DH71" s="228">
        <v>0.02</v>
      </c>
      <c r="DI71" s="228">
        <v>21.53</v>
      </c>
      <c r="DJ71" s="228">
        <v>24.15</v>
      </c>
      <c r="DK71" s="228">
        <v>-2.62</v>
      </c>
      <c r="DL71" s="228">
        <v>-2.62</v>
      </c>
      <c r="DM71" s="228">
        <v>23.11</v>
      </c>
      <c r="DN71" s="228">
        <v>25.78</v>
      </c>
      <c r="DO71" s="228">
        <v>-2.67</v>
      </c>
      <c r="DP71" s="228">
        <v>-2.67</v>
      </c>
      <c r="DQ71" s="228">
        <v>0.54</v>
      </c>
      <c r="DR71" s="228">
        <v>0.52</v>
      </c>
      <c r="DS71" s="228">
        <v>0.02</v>
      </c>
      <c r="DT71" s="229">
        <v>3.85E-2</v>
      </c>
      <c r="DU71" s="231">
        <v>2860</v>
      </c>
      <c r="DV71" s="231">
        <v>2660</v>
      </c>
      <c r="DW71" s="228">
        <v>0.42</v>
      </c>
      <c r="DX71" s="228">
        <v>0.73</v>
      </c>
      <c r="DY71" s="228">
        <v>-0.31</v>
      </c>
      <c r="DZ71" s="229">
        <v>-0.42470000000000002</v>
      </c>
      <c r="EA71" s="229">
        <v>3.3E-3</v>
      </c>
      <c r="EB71" s="230">
        <v>47500</v>
      </c>
      <c r="EC71" s="229">
        <v>4.7000000000000002E-3</v>
      </c>
      <c r="ED71" s="229">
        <v>3.3E-3</v>
      </c>
      <c r="EE71" s="228">
        <v>13.72</v>
      </c>
      <c r="EF71" s="229">
        <v>5.1000000000000004E-3</v>
      </c>
      <c r="EG71" s="230">
        <v>690802</v>
      </c>
      <c r="EH71" s="230">
        <v>534977</v>
      </c>
      <c r="EI71" s="229">
        <v>0.2913</v>
      </c>
      <c r="EJ71" s="229">
        <v>0.62180000000000002</v>
      </c>
      <c r="EK71" s="228">
        <v>729.07</v>
      </c>
      <c r="EL71" s="228">
        <v>282.68</v>
      </c>
      <c r="EM71" s="228">
        <v>495.89</v>
      </c>
      <c r="EN71" s="228">
        <v>45.18</v>
      </c>
      <c r="EO71" s="231">
        <v>1507.63</v>
      </c>
      <c r="EP71" s="231">
        <v>1926.41</v>
      </c>
      <c r="EQ71" s="228">
        <v>-418.79</v>
      </c>
      <c r="ER71" s="229">
        <v>-0.21740000000000001</v>
      </c>
      <c r="ES71" s="228">
        <v>551.15</v>
      </c>
      <c r="ET71" s="228">
        <v>274.86</v>
      </c>
      <c r="EU71" s="231">
        <v>4452.34</v>
      </c>
      <c r="EV71" s="231">
        <v>38505832</v>
      </c>
      <c r="EW71" s="231">
        <v>5278.35</v>
      </c>
      <c r="EX71" s="231">
        <v>5187.6400000000003</v>
      </c>
      <c r="EY71" s="228">
        <v>90.71</v>
      </c>
      <c r="EZ71" s="229">
        <v>1.7500000000000002E-2</v>
      </c>
      <c r="FA71" s="229">
        <v>0.499</v>
      </c>
      <c r="FB71" s="227" t="s">
        <v>556</v>
      </c>
      <c r="FC71">
        <f t="shared" si="1"/>
        <v>14</v>
      </c>
    </row>
    <row r="72" spans="1:159" ht="17.25" hidden="1" thickBot="1" x14ac:dyDescent="0.3">
      <c r="A72" s="226">
        <v>46086</v>
      </c>
      <c r="B72" s="227" t="s">
        <v>184</v>
      </c>
      <c r="C72" s="227" t="s">
        <v>513</v>
      </c>
      <c r="D72" s="228">
        <v>150</v>
      </c>
      <c r="E72" s="228">
        <v>25</v>
      </c>
      <c r="F72" s="231">
        <v>3910.3</v>
      </c>
      <c r="G72" s="231">
        <v>3889.9</v>
      </c>
      <c r="H72" s="228">
        <v>20.399999999999999</v>
      </c>
      <c r="I72" s="229">
        <v>5.1999999999999998E-3</v>
      </c>
      <c r="J72" s="231">
        <v>3891.8</v>
      </c>
      <c r="K72" s="231">
        <v>3876.8</v>
      </c>
      <c r="L72" s="228">
        <v>15</v>
      </c>
      <c r="M72" s="229">
        <v>3.8999999999999998E-3</v>
      </c>
      <c r="N72" s="231">
        <v>3910.3</v>
      </c>
      <c r="O72" s="231">
        <v>3889.9</v>
      </c>
      <c r="P72" s="228">
        <v>20.399999999999999</v>
      </c>
      <c r="Q72" s="229">
        <v>5.1999999999999998E-3</v>
      </c>
      <c r="R72" s="231">
        <v>3935.5</v>
      </c>
      <c r="S72" s="231">
        <v>3915.6</v>
      </c>
      <c r="T72" s="228">
        <v>19.899999999999999</v>
      </c>
      <c r="U72" s="229">
        <v>5.1000000000000004E-3</v>
      </c>
      <c r="V72" s="231">
        <v>3956.2</v>
      </c>
      <c r="W72" s="231">
        <v>3935</v>
      </c>
      <c r="X72" s="228">
        <v>21.2</v>
      </c>
      <c r="Y72" s="229">
        <v>5.4000000000000003E-3</v>
      </c>
      <c r="Z72" s="228">
        <v>18.5</v>
      </c>
      <c r="AA72" s="228">
        <v>13.1</v>
      </c>
      <c r="AB72" s="228">
        <v>5.4</v>
      </c>
      <c r="AC72" s="229">
        <v>4.7999999999999996E-3</v>
      </c>
      <c r="AD72" s="228">
        <v>18.5</v>
      </c>
      <c r="AE72" s="228">
        <v>13.1</v>
      </c>
      <c r="AF72" s="228">
        <v>5.4</v>
      </c>
      <c r="AG72" s="229">
        <v>4.7999999999999996E-3</v>
      </c>
      <c r="AH72" s="228">
        <v>43.7</v>
      </c>
      <c r="AI72" s="228">
        <v>38.799999999999997</v>
      </c>
      <c r="AJ72" s="228">
        <v>4.9000000000000004</v>
      </c>
      <c r="AK72" s="229">
        <v>1.12E-2</v>
      </c>
      <c r="AL72" s="228">
        <v>64.400000000000006</v>
      </c>
      <c r="AM72" s="228">
        <v>58.2</v>
      </c>
      <c r="AN72" s="228">
        <v>6.2</v>
      </c>
      <c r="AO72" s="229">
        <v>1.6500000000000001E-2</v>
      </c>
      <c r="AP72" s="231">
        <v>3912.15</v>
      </c>
      <c r="AQ72" s="231">
        <v>3932.24</v>
      </c>
      <c r="AR72" s="228">
        <v>0</v>
      </c>
      <c r="AS72" s="230">
        <v>1028</v>
      </c>
      <c r="AT72" s="228">
        <v>694</v>
      </c>
      <c r="AU72" s="228">
        <v>334</v>
      </c>
      <c r="AV72" s="229">
        <v>0.4819</v>
      </c>
      <c r="AW72" s="228">
        <v>916</v>
      </c>
      <c r="AX72" s="228">
        <v>617</v>
      </c>
      <c r="AY72" s="228">
        <v>299</v>
      </c>
      <c r="AZ72" s="229">
        <v>0.48520000000000002</v>
      </c>
      <c r="BA72" s="228">
        <v>101</v>
      </c>
      <c r="BB72" s="228">
        <v>59</v>
      </c>
      <c r="BC72" s="228">
        <v>41</v>
      </c>
      <c r="BD72" s="229">
        <v>0.6986</v>
      </c>
      <c r="BE72" s="228">
        <v>11</v>
      </c>
      <c r="BF72" s="228">
        <v>18</v>
      </c>
      <c r="BG72" s="228">
        <v>-6</v>
      </c>
      <c r="BH72" s="229">
        <v>-0.36449999999999999</v>
      </c>
      <c r="BI72" s="230">
        <v>3864</v>
      </c>
      <c r="BJ72" s="230">
        <v>2851</v>
      </c>
      <c r="BK72" s="230">
        <v>1012</v>
      </c>
      <c r="BL72" s="229">
        <v>0.35510000000000003</v>
      </c>
      <c r="BM72" s="230">
        <v>1351</v>
      </c>
      <c r="BN72" s="230">
        <v>1139</v>
      </c>
      <c r="BO72" s="228">
        <v>212</v>
      </c>
      <c r="BP72" s="229">
        <v>0.18629999999999999</v>
      </c>
      <c r="BQ72" s="230">
        <v>6243</v>
      </c>
      <c r="BR72" s="230">
        <v>4684</v>
      </c>
      <c r="BS72" s="230">
        <v>1559</v>
      </c>
      <c r="BT72" s="229">
        <v>0.33279999999999998</v>
      </c>
      <c r="BU72" s="230">
        <v>2810543</v>
      </c>
      <c r="BV72" s="230">
        <v>2744820</v>
      </c>
      <c r="BW72" s="230">
        <v>65723</v>
      </c>
      <c r="BX72" s="229">
        <v>2.3900000000000001E-2</v>
      </c>
      <c r="BY72" s="230">
        <v>4121</v>
      </c>
      <c r="BZ72" s="230">
        <v>3971</v>
      </c>
      <c r="CA72" s="228">
        <v>150</v>
      </c>
      <c r="CB72" s="229">
        <v>3.7699999999999997E-2</v>
      </c>
      <c r="CC72" s="230">
        <v>3876</v>
      </c>
      <c r="CD72" s="230">
        <v>3731</v>
      </c>
      <c r="CE72" s="228">
        <v>144</v>
      </c>
      <c r="CF72" s="229">
        <v>3.8600000000000002E-2</v>
      </c>
      <c r="CG72" s="228">
        <v>222</v>
      </c>
      <c r="CH72" s="228">
        <v>218</v>
      </c>
      <c r="CI72" s="228">
        <v>5</v>
      </c>
      <c r="CJ72" s="229">
        <v>2.2599999999999999E-2</v>
      </c>
      <c r="CK72" s="228">
        <v>23</v>
      </c>
      <c r="CL72" s="228">
        <v>22</v>
      </c>
      <c r="CM72" s="228">
        <v>1</v>
      </c>
      <c r="CN72" s="229">
        <v>2.9100000000000001E-2</v>
      </c>
      <c r="CO72" s="230">
        <v>2267</v>
      </c>
      <c r="CP72" s="230">
        <v>2210</v>
      </c>
      <c r="CQ72" s="228">
        <v>57</v>
      </c>
      <c r="CR72" s="229">
        <v>2.5700000000000001E-2</v>
      </c>
      <c r="CS72" s="230">
        <v>1450</v>
      </c>
      <c r="CT72" s="230">
        <v>1453</v>
      </c>
      <c r="CU72" s="228">
        <v>-3</v>
      </c>
      <c r="CV72" s="229">
        <v>-2E-3</v>
      </c>
      <c r="CW72" s="230">
        <v>7838</v>
      </c>
      <c r="CX72" s="230">
        <v>7634</v>
      </c>
      <c r="CY72" s="228">
        <v>204</v>
      </c>
      <c r="CZ72" s="229">
        <v>2.6700000000000002E-2</v>
      </c>
      <c r="DA72" s="228">
        <v>34.85</v>
      </c>
      <c r="DB72" s="228">
        <v>39.19</v>
      </c>
      <c r="DC72" s="228">
        <v>-4.34</v>
      </c>
      <c r="DD72" s="228">
        <v>-4.34</v>
      </c>
      <c r="DE72" s="228">
        <v>38.32</v>
      </c>
      <c r="DF72" s="228">
        <v>38.409999999999997</v>
      </c>
      <c r="DG72" s="228">
        <v>-3.47</v>
      </c>
      <c r="DH72" s="228">
        <v>-0.09</v>
      </c>
      <c r="DI72" s="228">
        <v>34.880000000000003</v>
      </c>
      <c r="DJ72" s="228">
        <v>38.840000000000003</v>
      </c>
      <c r="DK72" s="228">
        <v>-3.96</v>
      </c>
      <c r="DL72" s="228">
        <v>-3.96</v>
      </c>
      <c r="DM72" s="228">
        <v>34.78</v>
      </c>
      <c r="DN72" s="228">
        <v>40.08</v>
      </c>
      <c r="DO72" s="228">
        <v>-5.3</v>
      </c>
      <c r="DP72" s="228">
        <v>-5.3</v>
      </c>
      <c r="DQ72" s="228">
        <v>0.64</v>
      </c>
      <c r="DR72" s="228">
        <v>0.66</v>
      </c>
      <c r="DS72" s="228">
        <v>-0.02</v>
      </c>
      <c r="DT72" s="229">
        <v>-3.0300000000000001E-2</v>
      </c>
      <c r="DU72" s="231">
        <v>4000</v>
      </c>
      <c r="DV72" s="231">
        <v>4000</v>
      </c>
      <c r="DW72" s="228">
        <v>0.35</v>
      </c>
      <c r="DX72" s="228">
        <v>0.4</v>
      </c>
      <c r="DY72" s="228">
        <v>-0.05</v>
      </c>
      <c r="DZ72" s="229">
        <v>-0.125</v>
      </c>
      <c r="EA72" s="229">
        <v>5.9499999999999997E-2</v>
      </c>
      <c r="EB72" s="230">
        <v>613050</v>
      </c>
      <c r="EC72" s="229">
        <v>6.4000000000000003E-3</v>
      </c>
      <c r="ED72" s="229">
        <v>5.9499999999999997E-2</v>
      </c>
      <c r="EE72" s="228">
        <v>20.09</v>
      </c>
      <c r="EF72" s="229">
        <v>5.1000000000000004E-3</v>
      </c>
      <c r="EG72" s="230">
        <v>1417509</v>
      </c>
      <c r="EH72" s="230">
        <v>1399008</v>
      </c>
      <c r="EI72" s="229">
        <v>1.32E-2</v>
      </c>
      <c r="EJ72" s="229">
        <v>0.50439999999999996</v>
      </c>
      <c r="EK72" s="231">
        <v>4169.05</v>
      </c>
      <c r="EL72" s="231">
        <v>1355.97</v>
      </c>
      <c r="EM72" s="231">
        <v>1029.1600000000001</v>
      </c>
      <c r="EN72" s="228">
        <v>108.67</v>
      </c>
      <c r="EO72" s="231">
        <v>6554.19</v>
      </c>
      <c r="EP72" s="231">
        <v>4923.21</v>
      </c>
      <c r="EQ72" s="231">
        <v>1630.97</v>
      </c>
      <c r="ER72" s="229">
        <v>0.33129999999999998</v>
      </c>
      <c r="ES72" s="231">
        <v>2497.1799999999998</v>
      </c>
      <c r="ET72" s="231">
        <v>1496.91</v>
      </c>
      <c r="EU72" s="231">
        <v>4122.59</v>
      </c>
      <c r="EV72" s="231">
        <v>28450886</v>
      </c>
      <c r="EW72" s="231">
        <v>8116.68</v>
      </c>
      <c r="EX72" s="231">
        <v>7888.22</v>
      </c>
      <c r="EY72" s="228">
        <v>228.46</v>
      </c>
      <c r="EZ72" s="229">
        <v>2.9000000000000001E-2</v>
      </c>
      <c r="FA72" s="229">
        <v>0.70450000000000002</v>
      </c>
      <c r="FB72" s="227" t="s">
        <v>555</v>
      </c>
      <c r="FC72">
        <f t="shared" si="1"/>
        <v>245</v>
      </c>
    </row>
    <row r="73" spans="1:159" ht="17.25" hidden="1" thickBot="1" x14ac:dyDescent="0.3">
      <c r="A73" s="226">
        <v>46086</v>
      </c>
      <c r="B73" s="227" t="s">
        <v>184</v>
      </c>
      <c r="C73" s="227" t="s">
        <v>220</v>
      </c>
      <c r="D73" s="228">
        <v>500</v>
      </c>
      <c r="E73" s="228">
        <v>25</v>
      </c>
      <c r="F73" s="231">
        <v>1355.4</v>
      </c>
      <c r="G73" s="231">
        <v>1324.2</v>
      </c>
      <c r="H73" s="228">
        <v>31.2</v>
      </c>
      <c r="I73" s="229">
        <v>2.3599999999999999E-2</v>
      </c>
      <c r="J73" s="231">
        <v>1352.5</v>
      </c>
      <c r="K73" s="231">
        <v>1318.7</v>
      </c>
      <c r="L73" s="228">
        <v>33.799999999999997</v>
      </c>
      <c r="M73" s="229">
        <v>2.5600000000000001E-2</v>
      </c>
      <c r="N73" s="231">
        <v>1355.4</v>
      </c>
      <c r="O73" s="231">
        <v>1324.2</v>
      </c>
      <c r="P73" s="228">
        <v>31.2</v>
      </c>
      <c r="Q73" s="229">
        <v>2.3599999999999999E-2</v>
      </c>
      <c r="R73" s="231">
        <v>1361.2</v>
      </c>
      <c r="S73" s="231">
        <v>1332.8</v>
      </c>
      <c r="T73" s="228">
        <v>28.4</v>
      </c>
      <c r="U73" s="229">
        <v>2.1299999999999999E-2</v>
      </c>
      <c r="V73" s="231">
        <v>1368</v>
      </c>
      <c r="W73" s="231">
        <v>1338</v>
      </c>
      <c r="X73" s="228">
        <v>30</v>
      </c>
      <c r="Y73" s="229">
        <v>2.24E-2</v>
      </c>
      <c r="Z73" s="228">
        <v>2.9</v>
      </c>
      <c r="AA73" s="228">
        <v>5.5</v>
      </c>
      <c r="AB73" s="228">
        <v>-2.6</v>
      </c>
      <c r="AC73" s="229">
        <v>2.0999999999999999E-3</v>
      </c>
      <c r="AD73" s="228">
        <v>2.9</v>
      </c>
      <c r="AE73" s="228">
        <v>5.5</v>
      </c>
      <c r="AF73" s="228">
        <v>-2.6</v>
      </c>
      <c r="AG73" s="229">
        <v>2.0999999999999999E-3</v>
      </c>
      <c r="AH73" s="228">
        <v>8.6999999999999993</v>
      </c>
      <c r="AI73" s="228">
        <v>14.1</v>
      </c>
      <c r="AJ73" s="228">
        <v>-5.4</v>
      </c>
      <c r="AK73" s="229">
        <v>6.4000000000000003E-3</v>
      </c>
      <c r="AL73" s="228">
        <v>15.5</v>
      </c>
      <c r="AM73" s="228">
        <v>19.3</v>
      </c>
      <c r="AN73" s="228">
        <v>-3.8</v>
      </c>
      <c r="AO73" s="229">
        <v>1.15E-2</v>
      </c>
      <c r="AP73" s="231">
        <v>1345.76</v>
      </c>
      <c r="AQ73" s="231">
        <v>1351.35</v>
      </c>
      <c r="AR73" s="228">
        <v>0</v>
      </c>
      <c r="AS73" s="228">
        <v>128</v>
      </c>
      <c r="AT73" s="228">
        <v>180</v>
      </c>
      <c r="AU73" s="228">
        <v>-52</v>
      </c>
      <c r="AV73" s="229">
        <v>-0.2888</v>
      </c>
      <c r="AW73" s="228">
        <v>122</v>
      </c>
      <c r="AX73" s="228">
        <v>172</v>
      </c>
      <c r="AY73" s="228">
        <v>-49</v>
      </c>
      <c r="AZ73" s="229">
        <v>-0.28799999999999998</v>
      </c>
      <c r="BA73" s="228">
        <v>5</v>
      </c>
      <c r="BB73" s="228">
        <v>7</v>
      </c>
      <c r="BC73" s="228">
        <v>-2</v>
      </c>
      <c r="BD73" s="229">
        <v>-0.30840000000000001</v>
      </c>
      <c r="BE73" s="228">
        <v>0</v>
      </c>
      <c r="BF73" s="228">
        <v>0</v>
      </c>
      <c r="BG73" s="228">
        <v>0</v>
      </c>
      <c r="BH73" s="229">
        <v>-0.28570000000000001</v>
      </c>
      <c r="BI73" s="228">
        <v>306</v>
      </c>
      <c r="BJ73" s="228">
        <v>312</v>
      </c>
      <c r="BK73" s="228">
        <v>-7</v>
      </c>
      <c r="BL73" s="229">
        <v>-2.0799999999999999E-2</v>
      </c>
      <c r="BM73" s="228">
        <v>97</v>
      </c>
      <c r="BN73" s="228">
        <v>284</v>
      </c>
      <c r="BO73" s="228">
        <v>-186</v>
      </c>
      <c r="BP73" s="229">
        <v>-0.65659999999999996</v>
      </c>
      <c r="BQ73" s="228">
        <v>531</v>
      </c>
      <c r="BR73" s="228">
        <v>776</v>
      </c>
      <c r="BS73" s="228">
        <v>-245</v>
      </c>
      <c r="BT73" s="229">
        <v>-0.31540000000000001</v>
      </c>
      <c r="BU73" s="230">
        <v>329125</v>
      </c>
      <c r="BV73" s="230">
        <v>959968</v>
      </c>
      <c r="BW73" s="230">
        <v>-630843</v>
      </c>
      <c r="BX73" s="229">
        <v>-0.65720000000000001</v>
      </c>
      <c r="BY73" s="230">
        <v>1388</v>
      </c>
      <c r="BZ73" s="230">
        <v>1401</v>
      </c>
      <c r="CA73" s="228">
        <v>-13</v>
      </c>
      <c r="CB73" s="229">
        <v>-9.2999999999999992E-3</v>
      </c>
      <c r="CC73" s="230">
        <v>1368</v>
      </c>
      <c r="CD73" s="230">
        <v>1382</v>
      </c>
      <c r="CE73" s="228">
        <v>-13</v>
      </c>
      <c r="CF73" s="229">
        <v>-9.7999999999999997E-3</v>
      </c>
      <c r="CG73" s="228">
        <v>18</v>
      </c>
      <c r="CH73" s="228">
        <v>18</v>
      </c>
      <c r="CI73" s="228">
        <v>0</v>
      </c>
      <c r="CJ73" s="229">
        <v>2.64E-2</v>
      </c>
      <c r="CK73" s="228">
        <v>1</v>
      </c>
      <c r="CL73" s="228">
        <v>1</v>
      </c>
      <c r="CM73" s="228">
        <v>0</v>
      </c>
      <c r="CN73" s="229">
        <v>0</v>
      </c>
      <c r="CO73" s="228">
        <v>336</v>
      </c>
      <c r="CP73" s="228">
        <v>312</v>
      </c>
      <c r="CQ73" s="228">
        <v>24</v>
      </c>
      <c r="CR73" s="229">
        <v>7.6399999999999996E-2</v>
      </c>
      <c r="CS73" s="228">
        <v>266</v>
      </c>
      <c r="CT73" s="228">
        <v>266</v>
      </c>
      <c r="CU73" s="228">
        <v>0</v>
      </c>
      <c r="CV73" s="229">
        <v>1E-3</v>
      </c>
      <c r="CW73" s="230">
        <v>1991</v>
      </c>
      <c r="CX73" s="230">
        <v>1979</v>
      </c>
      <c r="CY73" s="228">
        <v>11</v>
      </c>
      <c r="CZ73" s="229">
        <v>5.5999999999999999E-3</v>
      </c>
      <c r="DA73" s="228">
        <v>24.62</v>
      </c>
      <c r="DB73" s="228">
        <v>27.92</v>
      </c>
      <c r="DC73" s="228">
        <v>-3.3</v>
      </c>
      <c r="DD73" s="228">
        <v>-3.3</v>
      </c>
      <c r="DE73" s="228">
        <v>28.26</v>
      </c>
      <c r="DF73" s="228">
        <v>28.16</v>
      </c>
      <c r="DG73" s="228">
        <v>-3.64</v>
      </c>
      <c r="DH73" s="228">
        <v>0.1</v>
      </c>
      <c r="DI73" s="228">
        <v>24.46</v>
      </c>
      <c r="DJ73" s="228">
        <v>27.27</v>
      </c>
      <c r="DK73" s="228">
        <v>-2.81</v>
      </c>
      <c r="DL73" s="228">
        <v>-2.81</v>
      </c>
      <c r="DM73" s="228">
        <v>25.12</v>
      </c>
      <c r="DN73" s="228">
        <v>28.64</v>
      </c>
      <c r="DO73" s="228">
        <v>-3.52</v>
      </c>
      <c r="DP73" s="228">
        <v>-3.52</v>
      </c>
      <c r="DQ73" s="228">
        <v>0.79</v>
      </c>
      <c r="DR73" s="228">
        <v>0.85</v>
      </c>
      <c r="DS73" s="228">
        <v>-0.06</v>
      </c>
      <c r="DT73" s="229">
        <v>-7.0599999999999996E-2</v>
      </c>
      <c r="DU73" s="231">
        <v>1500</v>
      </c>
      <c r="DV73" s="231">
        <v>1400</v>
      </c>
      <c r="DW73" s="228">
        <v>0.32</v>
      </c>
      <c r="DX73" s="228">
        <v>0.91</v>
      </c>
      <c r="DY73" s="228">
        <v>-0.59</v>
      </c>
      <c r="DZ73" s="229">
        <v>-0.64839999999999998</v>
      </c>
      <c r="EA73" s="229">
        <v>1.43E-2</v>
      </c>
      <c r="EB73" s="230">
        <v>143000</v>
      </c>
      <c r="EC73" s="229">
        <v>4.3E-3</v>
      </c>
      <c r="ED73" s="229">
        <v>1.43E-2</v>
      </c>
      <c r="EE73" s="228">
        <v>5.59</v>
      </c>
      <c r="EF73" s="229">
        <v>4.1999999999999997E-3</v>
      </c>
      <c r="EG73" s="230">
        <v>181898</v>
      </c>
      <c r="EH73" s="230">
        <v>523758</v>
      </c>
      <c r="EI73" s="229">
        <v>-0.65269999999999995</v>
      </c>
      <c r="EJ73" s="229">
        <v>0.55269999999999997</v>
      </c>
      <c r="EK73" s="228">
        <v>325.85000000000002</v>
      </c>
      <c r="EL73" s="228">
        <v>96.55</v>
      </c>
      <c r="EM73" s="228">
        <v>126.79</v>
      </c>
      <c r="EN73" s="228">
        <v>27.02</v>
      </c>
      <c r="EO73" s="228">
        <v>549.19000000000005</v>
      </c>
      <c r="EP73" s="228">
        <v>779.77</v>
      </c>
      <c r="EQ73" s="228">
        <v>-230.58</v>
      </c>
      <c r="ER73" s="229">
        <v>-0.29570000000000002</v>
      </c>
      <c r="ES73" s="228">
        <v>359.15</v>
      </c>
      <c r="ET73" s="228">
        <v>264.5</v>
      </c>
      <c r="EU73" s="231">
        <v>1388.29</v>
      </c>
      <c r="EV73" s="231">
        <v>35667502</v>
      </c>
      <c r="EW73" s="231">
        <v>2011.94</v>
      </c>
      <c r="EX73" s="231">
        <v>1965.79</v>
      </c>
      <c r="EY73" s="228">
        <v>46.15</v>
      </c>
      <c r="EZ73" s="229">
        <v>2.35E-2</v>
      </c>
      <c r="FA73" s="229">
        <v>0.4118</v>
      </c>
      <c r="FB73" s="227" t="s">
        <v>556</v>
      </c>
      <c r="FC73">
        <f t="shared" si="1"/>
        <v>20</v>
      </c>
    </row>
    <row r="74" spans="1:159" ht="17.25" hidden="1" thickBot="1" x14ac:dyDescent="0.3">
      <c r="A74" s="226">
        <v>46086</v>
      </c>
      <c r="B74" s="227" t="s">
        <v>221</v>
      </c>
      <c r="C74" s="227" t="s">
        <v>222</v>
      </c>
      <c r="D74" s="228">
        <v>350</v>
      </c>
      <c r="E74" s="228">
        <v>25</v>
      </c>
      <c r="F74" s="231">
        <v>1355.9</v>
      </c>
      <c r="G74" s="231">
        <v>1366.8</v>
      </c>
      <c r="H74" s="228">
        <v>-10.9</v>
      </c>
      <c r="I74" s="229">
        <v>-8.0000000000000002E-3</v>
      </c>
      <c r="J74" s="231">
        <v>1354.1</v>
      </c>
      <c r="K74" s="231">
        <v>1364</v>
      </c>
      <c r="L74" s="228">
        <v>-9.9</v>
      </c>
      <c r="M74" s="229">
        <v>-7.3000000000000001E-3</v>
      </c>
      <c r="N74" s="231">
        <v>1355.9</v>
      </c>
      <c r="O74" s="231">
        <v>1366.8</v>
      </c>
      <c r="P74" s="228">
        <v>-10.9</v>
      </c>
      <c r="Q74" s="229">
        <v>-8.0000000000000002E-3</v>
      </c>
      <c r="R74" s="231">
        <v>1353.6</v>
      </c>
      <c r="S74" s="231">
        <v>1363.5</v>
      </c>
      <c r="T74" s="228">
        <v>-9.9</v>
      </c>
      <c r="U74" s="229">
        <v>-7.3000000000000001E-3</v>
      </c>
      <c r="V74" s="231">
        <v>1352.1</v>
      </c>
      <c r="W74" s="231">
        <v>1362.9</v>
      </c>
      <c r="X74" s="228">
        <v>-10.8</v>
      </c>
      <c r="Y74" s="229">
        <v>-7.9000000000000008E-3</v>
      </c>
      <c r="Z74" s="228">
        <v>1.8</v>
      </c>
      <c r="AA74" s="228">
        <v>2.8</v>
      </c>
      <c r="AB74" s="228">
        <v>-1</v>
      </c>
      <c r="AC74" s="229">
        <v>1.2999999999999999E-3</v>
      </c>
      <c r="AD74" s="228">
        <v>1.8</v>
      </c>
      <c r="AE74" s="228">
        <v>2.8</v>
      </c>
      <c r="AF74" s="228">
        <v>-1</v>
      </c>
      <c r="AG74" s="229">
        <v>1.2999999999999999E-3</v>
      </c>
      <c r="AH74" s="228">
        <v>-0.5</v>
      </c>
      <c r="AI74" s="228">
        <v>-0.5</v>
      </c>
      <c r="AJ74" s="228">
        <v>0</v>
      </c>
      <c r="AK74" s="229">
        <v>-4.0000000000000002E-4</v>
      </c>
      <c r="AL74" s="228">
        <v>-2</v>
      </c>
      <c r="AM74" s="228">
        <v>-1.1000000000000001</v>
      </c>
      <c r="AN74" s="228">
        <v>-0.9</v>
      </c>
      <c r="AO74" s="229">
        <v>-1.5E-3</v>
      </c>
      <c r="AP74" s="231">
        <v>1349.94</v>
      </c>
      <c r="AQ74" s="231">
        <v>1347.3</v>
      </c>
      <c r="AR74" s="228">
        <v>0</v>
      </c>
      <c r="AS74" s="228">
        <v>376</v>
      </c>
      <c r="AT74" s="228">
        <v>352</v>
      </c>
      <c r="AU74" s="228">
        <v>24</v>
      </c>
      <c r="AV74" s="229">
        <v>6.8900000000000003E-2</v>
      </c>
      <c r="AW74" s="228">
        <v>362</v>
      </c>
      <c r="AX74" s="228">
        <v>341</v>
      </c>
      <c r="AY74" s="228">
        <v>20</v>
      </c>
      <c r="AZ74" s="229">
        <v>5.9400000000000001E-2</v>
      </c>
      <c r="BA74" s="228">
        <v>12</v>
      </c>
      <c r="BB74" s="228">
        <v>9</v>
      </c>
      <c r="BC74" s="228">
        <v>4</v>
      </c>
      <c r="BD74" s="229">
        <v>0.4153</v>
      </c>
      <c r="BE74" s="228">
        <v>2</v>
      </c>
      <c r="BF74" s="228">
        <v>2</v>
      </c>
      <c r="BG74" s="228">
        <v>0</v>
      </c>
      <c r="BH74" s="229">
        <v>0.1951</v>
      </c>
      <c r="BI74" s="228">
        <v>844</v>
      </c>
      <c r="BJ74" s="228">
        <v>654</v>
      </c>
      <c r="BK74" s="228">
        <v>190</v>
      </c>
      <c r="BL74" s="229">
        <v>0.29089999999999999</v>
      </c>
      <c r="BM74" s="228">
        <v>650</v>
      </c>
      <c r="BN74" s="228">
        <v>376</v>
      </c>
      <c r="BO74" s="228">
        <v>274</v>
      </c>
      <c r="BP74" s="229">
        <v>0.72940000000000005</v>
      </c>
      <c r="BQ74" s="230">
        <v>1871</v>
      </c>
      <c r="BR74" s="230">
        <v>1382</v>
      </c>
      <c r="BS74" s="228">
        <v>489</v>
      </c>
      <c r="BT74" s="229">
        <v>0.35370000000000001</v>
      </c>
      <c r="BU74" s="230">
        <v>2315964</v>
      </c>
      <c r="BV74" s="230">
        <v>3220097</v>
      </c>
      <c r="BW74" s="230">
        <v>-904133</v>
      </c>
      <c r="BX74" s="229">
        <v>-0.28079999999999999</v>
      </c>
      <c r="BY74" s="230">
        <v>3701</v>
      </c>
      <c r="BZ74" s="230">
        <v>3703</v>
      </c>
      <c r="CA74" s="228">
        <v>-2</v>
      </c>
      <c r="CB74" s="229">
        <v>-5.9999999999999995E-4</v>
      </c>
      <c r="CC74" s="230">
        <v>3634</v>
      </c>
      <c r="CD74" s="230">
        <v>3640</v>
      </c>
      <c r="CE74" s="228">
        <v>-6</v>
      </c>
      <c r="CF74" s="229">
        <v>-1.6000000000000001E-3</v>
      </c>
      <c r="CG74" s="228">
        <v>61</v>
      </c>
      <c r="CH74" s="228">
        <v>58</v>
      </c>
      <c r="CI74" s="228">
        <v>3</v>
      </c>
      <c r="CJ74" s="229">
        <v>4.9299999999999997E-2</v>
      </c>
      <c r="CK74" s="228">
        <v>6</v>
      </c>
      <c r="CL74" s="228">
        <v>5</v>
      </c>
      <c r="CM74" s="228">
        <v>1</v>
      </c>
      <c r="CN74" s="229">
        <v>0.14949999999999999</v>
      </c>
      <c r="CO74" s="228">
        <v>770</v>
      </c>
      <c r="CP74" s="228">
        <v>707</v>
      </c>
      <c r="CQ74" s="228">
        <v>62</v>
      </c>
      <c r="CR74" s="229">
        <v>8.8200000000000001E-2</v>
      </c>
      <c r="CS74" s="228">
        <v>463</v>
      </c>
      <c r="CT74" s="228">
        <v>426</v>
      </c>
      <c r="CU74" s="228">
        <v>37</v>
      </c>
      <c r="CV74" s="229">
        <v>8.5900000000000004E-2</v>
      </c>
      <c r="CW74" s="230">
        <v>4933</v>
      </c>
      <c r="CX74" s="230">
        <v>4836</v>
      </c>
      <c r="CY74" s="228">
        <v>97</v>
      </c>
      <c r="CZ74" s="229">
        <v>0.02</v>
      </c>
      <c r="DA74" s="228">
        <v>31.48</v>
      </c>
      <c r="DB74" s="228">
        <v>33.01</v>
      </c>
      <c r="DC74" s="228">
        <v>-1.53</v>
      </c>
      <c r="DD74" s="228">
        <v>-1.53</v>
      </c>
      <c r="DE74" s="228">
        <v>29.25</v>
      </c>
      <c r="DF74" s="228">
        <v>29.31</v>
      </c>
      <c r="DG74" s="228">
        <v>2.23</v>
      </c>
      <c r="DH74" s="228">
        <v>-0.06</v>
      </c>
      <c r="DI74" s="228">
        <v>30.64</v>
      </c>
      <c r="DJ74" s="228">
        <v>32.159999999999997</v>
      </c>
      <c r="DK74" s="228">
        <v>-1.52</v>
      </c>
      <c r="DL74" s="228">
        <v>-1.52</v>
      </c>
      <c r="DM74" s="228">
        <v>32.57</v>
      </c>
      <c r="DN74" s="228">
        <v>34.479999999999997</v>
      </c>
      <c r="DO74" s="228">
        <v>-1.91</v>
      </c>
      <c r="DP74" s="228">
        <v>-1.91</v>
      </c>
      <c r="DQ74" s="228">
        <v>0.6</v>
      </c>
      <c r="DR74" s="228">
        <v>0.6</v>
      </c>
      <c r="DS74" s="228">
        <v>0</v>
      </c>
      <c r="DT74" s="229">
        <v>0</v>
      </c>
      <c r="DU74" s="231">
        <v>1500</v>
      </c>
      <c r="DV74" s="231">
        <v>1360</v>
      </c>
      <c r="DW74" s="228">
        <v>0.77</v>
      </c>
      <c r="DX74" s="228">
        <v>0.57999999999999996</v>
      </c>
      <c r="DY74" s="228">
        <v>0.19</v>
      </c>
      <c r="DZ74" s="229">
        <v>0.3276</v>
      </c>
      <c r="EA74" s="229">
        <v>1.7999999999999999E-2</v>
      </c>
      <c r="EB74" s="230">
        <v>463750</v>
      </c>
      <c r="EC74" s="229">
        <v>-1.6999999999999999E-3</v>
      </c>
      <c r="ED74" s="229">
        <v>1.7999999999999999E-2</v>
      </c>
      <c r="EE74" s="228">
        <v>-2.64</v>
      </c>
      <c r="EF74" s="229">
        <v>-2E-3</v>
      </c>
      <c r="EG74" s="230">
        <v>1115816</v>
      </c>
      <c r="EH74" s="230">
        <v>1899168</v>
      </c>
      <c r="EI74" s="229">
        <v>-0.41249999999999998</v>
      </c>
      <c r="EJ74" s="229">
        <v>0.48180000000000001</v>
      </c>
      <c r="EK74" s="228">
        <v>915.05</v>
      </c>
      <c r="EL74" s="228">
        <v>637.15</v>
      </c>
      <c r="EM74" s="228">
        <v>374.46</v>
      </c>
      <c r="EN74" s="228">
        <v>101.02</v>
      </c>
      <c r="EO74" s="231">
        <v>1926.65</v>
      </c>
      <c r="EP74" s="231">
        <v>1440.81</v>
      </c>
      <c r="EQ74" s="228">
        <v>485.84</v>
      </c>
      <c r="ER74" s="229">
        <v>0.3372</v>
      </c>
      <c r="ES74" s="228">
        <v>847.11</v>
      </c>
      <c r="ET74" s="228">
        <v>460.07</v>
      </c>
      <c r="EU74" s="231">
        <v>3700.44</v>
      </c>
      <c r="EV74" s="231">
        <v>106857976</v>
      </c>
      <c r="EW74" s="231">
        <v>5007.62</v>
      </c>
      <c r="EX74" s="231">
        <v>4938.12</v>
      </c>
      <c r="EY74" s="228">
        <v>69.5</v>
      </c>
      <c r="EZ74" s="229">
        <v>1.41E-2</v>
      </c>
      <c r="FA74" s="229">
        <v>0.34050000000000002</v>
      </c>
      <c r="FB74" s="227" t="s">
        <v>568</v>
      </c>
      <c r="FC74">
        <f t="shared" si="1"/>
        <v>67</v>
      </c>
    </row>
    <row r="75" spans="1:159" ht="17.25" hidden="1" thickBot="1" x14ac:dyDescent="0.3">
      <c r="A75" s="226">
        <v>46086</v>
      </c>
      <c r="B75" s="227" t="s">
        <v>175</v>
      </c>
      <c r="C75" s="227" t="s">
        <v>475</v>
      </c>
      <c r="D75" s="228">
        <v>300</v>
      </c>
      <c r="E75" s="228">
        <v>25</v>
      </c>
      <c r="F75" s="231">
        <v>2570.1</v>
      </c>
      <c r="G75" s="231">
        <v>2560.1</v>
      </c>
      <c r="H75" s="228">
        <v>10</v>
      </c>
      <c r="I75" s="229">
        <v>3.8999999999999998E-3</v>
      </c>
      <c r="J75" s="231">
        <v>2559</v>
      </c>
      <c r="K75" s="231">
        <v>2547.1999999999998</v>
      </c>
      <c r="L75" s="228">
        <v>11.8</v>
      </c>
      <c r="M75" s="229">
        <v>4.5999999999999999E-3</v>
      </c>
      <c r="N75" s="231">
        <v>2570.1</v>
      </c>
      <c r="O75" s="231">
        <v>2560.1</v>
      </c>
      <c r="P75" s="228">
        <v>10</v>
      </c>
      <c r="Q75" s="229">
        <v>3.8999999999999998E-3</v>
      </c>
      <c r="R75" s="231">
        <v>2585.1999999999998</v>
      </c>
      <c r="S75" s="231">
        <v>2574.1999999999998</v>
      </c>
      <c r="T75" s="228">
        <v>11</v>
      </c>
      <c r="U75" s="229">
        <v>4.3E-3</v>
      </c>
      <c r="V75" s="231">
        <v>2600</v>
      </c>
      <c r="W75" s="231">
        <v>2600</v>
      </c>
      <c r="X75" s="228">
        <v>0</v>
      </c>
      <c r="Y75" s="229">
        <v>0</v>
      </c>
      <c r="Z75" s="228">
        <v>11.1</v>
      </c>
      <c r="AA75" s="228">
        <v>12.9</v>
      </c>
      <c r="AB75" s="228">
        <v>-1.8</v>
      </c>
      <c r="AC75" s="229">
        <v>4.3E-3</v>
      </c>
      <c r="AD75" s="228">
        <v>11.1</v>
      </c>
      <c r="AE75" s="228">
        <v>12.9</v>
      </c>
      <c r="AF75" s="228">
        <v>-1.8</v>
      </c>
      <c r="AG75" s="229">
        <v>4.3E-3</v>
      </c>
      <c r="AH75" s="228">
        <v>26.2</v>
      </c>
      <c r="AI75" s="228">
        <v>27</v>
      </c>
      <c r="AJ75" s="228">
        <v>-0.8</v>
      </c>
      <c r="AK75" s="229">
        <v>1.0200000000000001E-2</v>
      </c>
      <c r="AL75" s="228">
        <v>41</v>
      </c>
      <c r="AM75" s="228">
        <v>52.8</v>
      </c>
      <c r="AN75" s="228">
        <v>-11.8</v>
      </c>
      <c r="AO75" s="229">
        <v>1.6E-2</v>
      </c>
      <c r="AP75" s="231">
        <v>2567.11</v>
      </c>
      <c r="AQ75" s="231">
        <v>2581.7199999999998</v>
      </c>
      <c r="AR75" s="228">
        <v>0</v>
      </c>
      <c r="AS75" s="228">
        <v>221</v>
      </c>
      <c r="AT75" s="228">
        <v>259</v>
      </c>
      <c r="AU75" s="228">
        <v>-38</v>
      </c>
      <c r="AV75" s="229">
        <v>-0.14829999999999999</v>
      </c>
      <c r="AW75" s="228">
        <v>209</v>
      </c>
      <c r="AX75" s="228">
        <v>250</v>
      </c>
      <c r="AY75" s="228">
        <v>-41</v>
      </c>
      <c r="AZ75" s="229">
        <v>-0.1651</v>
      </c>
      <c r="BA75" s="228">
        <v>11</v>
      </c>
      <c r="BB75" s="228">
        <v>8</v>
      </c>
      <c r="BC75" s="228">
        <v>3</v>
      </c>
      <c r="BD75" s="229">
        <v>0.31190000000000001</v>
      </c>
      <c r="BE75" s="228">
        <v>1</v>
      </c>
      <c r="BF75" s="228">
        <v>0</v>
      </c>
      <c r="BG75" s="228">
        <v>0</v>
      </c>
      <c r="BH75" s="229">
        <v>1</v>
      </c>
      <c r="BI75" s="228">
        <v>231</v>
      </c>
      <c r="BJ75" s="228">
        <v>307</v>
      </c>
      <c r="BK75" s="228">
        <v>-76</v>
      </c>
      <c r="BL75" s="229">
        <v>-0.2467</v>
      </c>
      <c r="BM75" s="228">
        <v>130</v>
      </c>
      <c r="BN75" s="228">
        <v>205</v>
      </c>
      <c r="BO75" s="228">
        <v>-76</v>
      </c>
      <c r="BP75" s="229">
        <v>-0.36899999999999999</v>
      </c>
      <c r="BQ75" s="228">
        <v>581</v>
      </c>
      <c r="BR75" s="228">
        <v>771</v>
      </c>
      <c r="BS75" s="228">
        <v>-190</v>
      </c>
      <c r="BT75" s="229">
        <v>-0.2462</v>
      </c>
      <c r="BU75" s="230">
        <v>697936</v>
      </c>
      <c r="BV75" s="230">
        <v>1029518</v>
      </c>
      <c r="BW75" s="230">
        <v>-331582</v>
      </c>
      <c r="BX75" s="229">
        <v>-0.3221</v>
      </c>
      <c r="BY75" s="230">
        <v>1315</v>
      </c>
      <c r="BZ75" s="230">
        <v>1286</v>
      </c>
      <c r="CA75" s="228">
        <v>29</v>
      </c>
      <c r="CB75" s="229">
        <v>2.2200000000000001E-2</v>
      </c>
      <c r="CC75" s="230">
        <v>1303</v>
      </c>
      <c r="CD75" s="230">
        <v>1277</v>
      </c>
      <c r="CE75" s="228">
        <v>26</v>
      </c>
      <c r="CF75" s="229">
        <v>2.07E-2</v>
      </c>
      <c r="CG75" s="228">
        <v>11</v>
      </c>
      <c r="CH75" s="228">
        <v>9</v>
      </c>
      <c r="CI75" s="228">
        <v>2</v>
      </c>
      <c r="CJ75" s="229">
        <v>0.18970000000000001</v>
      </c>
      <c r="CK75" s="228">
        <v>1</v>
      </c>
      <c r="CL75" s="228">
        <v>1</v>
      </c>
      <c r="CM75" s="228">
        <v>0</v>
      </c>
      <c r="CN75" s="229">
        <v>0.54549999999999998</v>
      </c>
      <c r="CO75" s="228">
        <v>281</v>
      </c>
      <c r="CP75" s="228">
        <v>272</v>
      </c>
      <c r="CQ75" s="228">
        <v>9</v>
      </c>
      <c r="CR75" s="229">
        <v>3.2300000000000002E-2</v>
      </c>
      <c r="CS75" s="228">
        <v>201</v>
      </c>
      <c r="CT75" s="228">
        <v>169</v>
      </c>
      <c r="CU75" s="228">
        <v>31</v>
      </c>
      <c r="CV75" s="229">
        <v>0.1847</v>
      </c>
      <c r="CW75" s="230">
        <v>1797</v>
      </c>
      <c r="CX75" s="230">
        <v>1728</v>
      </c>
      <c r="CY75" s="228">
        <v>69</v>
      </c>
      <c r="CZ75" s="229">
        <v>3.9699999999999999E-2</v>
      </c>
      <c r="DA75" s="228">
        <v>28.09</v>
      </c>
      <c r="DB75" s="228">
        <v>31.04</v>
      </c>
      <c r="DC75" s="228">
        <v>-2.95</v>
      </c>
      <c r="DD75" s="228">
        <v>-2.95</v>
      </c>
      <c r="DE75" s="228">
        <v>34.340000000000003</v>
      </c>
      <c r="DF75" s="228">
        <v>34.42</v>
      </c>
      <c r="DG75" s="228">
        <v>-6.25</v>
      </c>
      <c r="DH75" s="228">
        <v>-0.08</v>
      </c>
      <c r="DI75" s="228">
        <v>27.47</v>
      </c>
      <c r="DJ75" s="228">
        <v>30.14</v>
      </c>
      <c r="DK75" s="228">
        <v>-2.67</v>
      </c>
      <c r="DL75" s="228">
        <v>-2.67</v>
      </c>
      <c r="DM75" s="228">
        <v>29.19</v>
      </c>
      <c r="DN75" s="228">
        <v>32.380000000000003</v>
      </c>
      <c r="DO75" s="228">
        <v>-3.19</v>
      </c>
      <c r="DP75" s="228">
        <v>-3.19</v>
      </c>
      <c r="DQ75" s="228">
        <v>0.71</v>
      </c>
      <c r="DR75" s="228">
        <v>0.62</v>
      </c>
      <c r="DS75" s="228">
        <v>0.09</v>
      </c>
      <c r="DT75" s="229">
        <v>0.1452</v>
      </c>
      <c r="DU75" s="231">
        <v>2800</v>
      </c>
      <c r="DV75" s="231">
        <v>2360</v>
      </c>
      <c r="DW75" s="228">
        <v>0.56000000000000005</v>
      </c>
      <c r="DX75" s="228">
        <v>0.67</v>
      </c>
      <c r="DY75" s="228">
        <v>-0.11</v>
      </c>
      <c r="DZ75" s="229">
        <v>-0.16420000000000001</v>
      </c>
      <c r="EA75" s="229">
        <v>9.1000000000000004E-3</v>
      </c>
      <c r="EB75" s="230">
        <v>38100</v>
      </c>
      <c r="EC75" s="229">
        <v>5.8999999999999999E-3</v>
      </c>
      <c r="ED75" s="229">
        <v>9.1000000000000004E-3</v>
      </c>
      <c r="EE75" s="228">
        <v>14.61</v>
      </c>
      <c r="EF75" s="229">
        <v>5.7000000000000002E-3</v>
      </c>
      <c r="EG75" s="230">
        <v>454415</v>
      </c>
      <c r="EH75" s="230">
        <v>643138</v>
      </c>
      <c r="EI75" s="229">
        <v>-0.29339999999999999</v>
      </c>
      <c r="EJ75" s="229">
        <v>0.65110000000000001</v>
      </c>
      <c r="EK75" s="228">
        <v>249.22</v>
      </c>
      <c r="EL75" s="228">
        <v>127.52</v>
      </c>
      <c r="EM75" s="228">
        <v>220.4</v>
      </c>
      <c r="EN75" s="228">
        <v>38.020000000000003</v>
      </c>
      <c r="EO75" s="228">
        <v>597.15</v>
      </c>
      <c r="EP75" s="228">
        <v>795.42</v>
      </c>
      <c r="EQ75" s="228">
        <v>-198.27</v>
      </c>
      <c r="ER75" s="229">
        <v>-0.24929999999999999</v>
      </c>
      <c r="ES75" s="228">
        <v>305.64999999999998</v>
      </c>
      <c r="ET75" s="228">
        <v>200.59</v>
      </c>
      <c r="EU75" s="231">
        <v>1314.99</v>
      </c>
      <c r="EV75" s="231">
        <v>30592324</v>
      </c>
      <c r="EW75" s="231">
        <v>1821.23</v>
      </c>
      <c r="EX75" s="231">
        <v>1750.05</v>
      </c>
      <c r="EY75" s="228">
        <v>71.180000000000007</v>
      </c>
      <c r="EZ75" s="229">
        <v>4.07E-2</v>
      </c>
      <c r="FA75" s="229">
        <v>0.22850000000000001</v>
      </c>
      <c r="FB75" s="227" t="s">
        <v>555</v>
      </c>
      <c r="FC75">
        <f t="shared" si="1"/>
        <v>12</v>
      </c>
    </row>
    <row r="76" spans="1:159" ht="17.25" hidden="1" thickBot="1" x14ac:dyDescent="0.3">
      <c r="A76" s="226">
        <v>46086</v>
      </c>
      <c r="B76" s="227" t="s">
        <v>172</v>
      </c>
      <c r="C76" s="227" t="s">
        <v>224</v>
      </c>
      <c r="D76" s="228">
        <v>550</v>
      </c>
      <c r="E76" s="228">
        <v>25</v>
      </c>
      <c r="F76" s="228">
        <v>882.2</v>
      </c>
      <c r="G76" s="228">
        <v>874.05</v>
      </c>
      <c r="H76" s="228">
        <v>8.15</v>
      </c>
      <c r="I76" s="229">
        <v>9.2999999999999992E-3</v>
      </c>
      <c r="J76" s="228">
        <v>877.75</v>
      </c>
      <c r="K76" s="228">
        <v>868.65</v>
      </c>
      <c r="L76" s="228">
        <v>9.1</v>
      </c>
      <c r="M76" s="229">
        <v>1.0500000000000001E-2</v>
      </c>
      <c r="N76" s="228">
        <v>882.2</v>
      </c>
      <c r="O76" s="228">
        <v>874.05</v>
      </c>
      <c r="P76" s="228">
        <v>8.15</v>
      </c>
      <c r="Q76" s="229">
        <v>9.2999999999999992E-3</v>
      </c>
      <c r="R76" s="228">
        <v>888.5</v>
      </c>
      <c r="S76" s="228">
        <v>879.85</v>
      </c>
      <c r="T76" s="228">
        <v>8.65</v>
      </c>
      <c r="U76" s="229">
        <v>9.7999999999999997E-3</v>
      </c>
      <c r="V76" s="228">
        <v>886.8</v>
      </c>
      <c r="W76" s="228">
        <v>881</v>
      </c>
      <c r="X76" s="228">
        <v>5.8</v>
      </c>
      <c r="Y76" s="229">
        <v>6.6E-3</v>
      </c>
      <c r="Z76" s="228">
        <v>4.45</v>
      </c>
      <c r="AA76" s="228">
        <v>5.4</v>
      </c>
      <c r="AB76" s="228">
        <v>-0.95</v>
      </c>
      <c r="AC76" s="229">
        <v>5.1000000000000004E-3</v>
      </c>
      <c r="AD76" s="228">
        <v>4.45</v>
      </c>
      <c r="AE76" s="228">
        <v>5.4</v>
      </c>
      <c r="AF76" s="228">
        <v>-0.95</v>
      </c>
      <c r="AG76" s="229">
        <v>5.1000000000000004E-3</v>
      </c>
      <c r="AH76" s="228">
        <v>10.75</v>
      </c>
      <c r="AI76" s="228">
        <v>11.2</v>
      </c>
      <c r="AJ76" s="228">
        <v>-0.45</v>
      </c>
      <c r="AK76" s="229">
        <v>1.2200000000000001E-2</v>
      </c>
      <c r="AL76" s="228">
        <v>9.0500000000000007</v>
      </c>
      <c r="AM76" s="228">
        <v>12.35</v>
      </c>
      <c r="AN76" s="228">
        <v>-3.3</v>
      </c>
      <c r="AO76" s="229">
        <v>1.03E-2</v>
      </c>
      <c r="AP76" s="228">
        <v>877.46</v>
      </c>
      <c r="AQ76" s="228">
        <v>883.18</v>
      </c>
      <c r="AR76" s="228">
        <v>0</v>
      </c>
      <c r="AS76" s="230">
        <v>4175</v>
      </c>
      <c r="AT76" s="230">
        <v>3651</v>
      </c>
      <c r="AU76" s="228">
        <v>524</v>
      </c>
      <c r="AV76" s="229">
        <v>0.14360000000000001</v>
      </c>
      <c r="AW76" s="230">
        <v>3084</v>
      </c>
      <c r="AX76" s="230">
        <v>3391</v>
      </c>
      <c r="AY76" s="228">
        <v>-307</v>
      </c>
      <c r="AZ76" s="229">
        <v>-9.0499999999999997E-2</v>
      </c>
      <c r="BA76" s="230">
        <v>1073</v>
      </c>
      <c r="BB76" s="228">
        <v>234</v>
      </c>
      <c r="BC76" s="228">
        <v>838</v>
      </c>
      <c r="BD76" s="229">
        <v>3.5750999999999999</v>
      </c>
      <c r="BE76" s="228">
        <v>18</v>
      </c>
      <c r="BF76" s="228">
        <v>26</v>
      </c>
      <c r="BG76" s="228">
        <v>-7</v>
      </c>
      <c r="BH76" s="229">
        <v>-0.28139999999999998</v>
      </c>
      <c r="BI76" s="230">
        <v>5419</v>
      </c>
      <c r="BJ76" s="230">
        <v>7375</v>
      </c>
      <c r="BK76" s="230">
        <v>-1956</v>
      </c>
      <c r="BL76" s="229">
        <v>-0.26519999999999999</v>
      </c>
      <c r="BM76" s="230">
        <v>3501</v>
      </c>
      <c r="BN76" s="230">
        <v>6599</v>
      </c>
      <c r="BO76" s="230">
        <v>-3098</v>
      </c>
      <c r="BP76" s="229">
        <v>-0.46939999999999998</v>
      </c>
      <c r="BQ76" s="230">
        <v>13095</v>
      </c>
      <c r="BR76" s="230">
        <v>17624</v>
      </c>
      <c r="BS76" s="230">
        <v>-4529</v>
      </c>
      <c r="BT76" s="229">
        <v>-0.25700000000000001</v>
      </c>
      <c r="BU76" s="230">
        <v>33108139</v>
      </c>
      <c r="BV76" s="230">
        <v>41546658</v>
      </c>
      <c r="BW76" s="230">
        <v>-8438519</v>
      </c>
      <c r="BX76" s="229">
        <v>-0.2031</v>
      </c>
      <c r="BY76" s="230">
        <v>27986</v>
      </c>
      <c r="BZ76" s="230">
        <v>27840</v>
      </c>
      <c r="CA76" s="228">
        <v>146</v>
      </c>
      <c r="CB76" s="229">
        <v>5.1999999999999998E-3</v>
      </c>
      <c r="CC76" s="230">
        <v>26054</v>
      </c>
      <c r="CD76" s="230">
        <v>26868</v>
      </c>
      <c r="CE76" s="228">
        <v>-814</v>
      </c>
      <c r="CF76" s="229">
        <v>-3.0300000000000001E-2</v>
      </c>
      <c r="CG76" s="230">
        <v>1865</v>
      </c>
      <c r="CH76" s="228">
        <v>912</v>
      </c>
      <c r="CI76" s="228">
        <v>953</v>
      </c>
      <c r="CJ76" s="229">
        <v>1.0451999999999999</v>
      </c>
      <c r="CK76" s="228">
        <v>68</v>
      </c>
      <c r="CL76" s="228">
        <v>61</v>
      </c>
      <c r="CM76" s="228">
        <v>7</v>
      </c>
      <c r="CN76" s="229">
        <v>0.1154</v>
      </c>
      <c r="CO76" s="230">
        <v>5405</v>
      </c>
      <c r="CP76" s="230">
        <v>5193</v>
      </c>
      <c r="CQ76" s="228">
        <v>212</v>
      </c>
      <c r="CR76" s="229">
        <v>4.0899999999999999E-2</v>
      </c>
      <c r="CS76" s="230">
        <v>3208</v>
      </c>
      <c r="CT76" s="230">
        <v>3100</v>
      </c>
      <c r="CU76" s="228">
        <v>108</v>
      </c>
      <c r="CV76" s="229">
        <v>3.4799999999999998E-2</v>
      </c>
      <c r="CW76" s="230">
        <v>36598</v>
      </c>
      <c r="CX76" s="230">
        <v>36133</v>
      </c>
      <c r="CY76" s="228">
        <v>466</v>
      </c>
      <c r="CZ76" s="229">
        <v>1.29E-2</v>
      </c>
      <c r="DA76" s="228">
        <v>20.329999999999998</v>
      </c>
      <c r="DB76" s="228">
        <v>23.88</v>
      </c>
      <c r="DC76" s="228">
        <v>-3.55</v>
      </c>
      <c r="DD76" s="228">
        <v>-3.55</v>
      </c>
      <c r="DE76" s="228">
        <v>19.63</v>
      </c>
      <c r="DF76" s="228">
        <v>19.63</v>
      </c>
      <c r="DG76" s="228">
        <v>0.7</v>
      </c>
      <c r="DH76" s="228">
        <v>0</v>
      </c>
      <c r="DI76" s="228">
        <v>19.86</v>
      </c>
      <c r="DJ76" s="228">
        <v>22.83</v>
      </c>
      <c r="DK76" s="228">
        <v>-2.97</v>
      </c>
      <c r="DL76" s="228">
        <v>-2.97</v>
      </c>
      <c r="DM76" s="228">
        <v>21.07</v>
      </c>
      <c r="DN76" s="228">
        <v>25.05</v>
      </c>
      <c r="DO76" s="228">
        <v>-3.98</v>
      </c>
      <c r="DP76" s="228">
        <v>-3.98</v>
      </c>
      <c r="DQ76" s="228">
        <v>0.59</v>
      </c>
      <c r="DR76" s="228">
        <v>0.6</v>
      </c>
      <c r="DS76" s="228">
        <v>-0.01</v>
      </c>
      <c r="DT76" s="229">
        <v>-1.67E-2</v>
      </c>
      <c r="DU76" s="228">
        <v>900</v>
      </c>
      <c r="DV76" s="228">
        <v>870</v>
      </c>
      <c r="DW76" s="228">
        <v>0.65</v>
      </c>
      <c r="DX76" s="228">
        <v>0.89</v>
      </c>
      <c r="DY76" s="228">
        <v>-0.24</v>
      </c>
      <c r="DZ76" s="229">
        <v>-0.2697</v>
      </c>
      <c r="EA76" s="229">
        <v>6.9000000000000006E-2</v>
      </c>
      <c r="EB76" s="230">
        <v>11022000</v>
      </c>
      <c r="EC76" s="229">
        <v>7.1000000000000004E-3</v>
      </c>
      <c r="ED76" s="229">
        <v>6.9000000000000006E-2</v>
      </c>
      <c r="EE76" s="228">
        <v>5.72</v>
      </c>
      <c r="EF76" s="229">
        <v>6.4999999999999997E-3</v>
      </c>
      <c r="EG76" s="230">
        <v>13964015</v>
      </c>
      <c r="EH76" s="230">
        <v>23564811</v>
      </c>
      <c r="EI76" s="229">
        <v>-0.40739999999999998</v>
      </c>
      <c r="EJ76" s="229">
        <v>0.42180000000000001</v>
      </c>
      <c r="EK76" s="231">
        <v>5609.66</v>
      </c>
      <c r="EL76" s="231">
        <v>3437.72</v>
      </c>
      <c r="EM76" s="231">
        <v>4159.8900000000003</v>
      </c>
      <c r="EN76" s="228">
        <v>551.01</v>
      </c>
      <c r="EO76" s="231">
        <v>13207.26</v>
      </c>
      <c r="EP76" s="231">
        <v>17796.509999999998</v>
      </c>
      <c r="EQ76" s="231">
        <v>-4589.26</v>
      </c>
      <c r="ER76" s="229">
        <v>-0.25790000000000002</v>
      </c>
      <c r="ES76" s="231">
        <v>5695.86</v>
      </c>
      <c r="ET76" s="231">
        <v>3241.68</v>
      </c>
      <c r="EU76" s="231">
        <v>27999.759999999998</v>
      </c>
      <c r="EV76" s="231">
        <v>1330694977</v>
      </c>
      <c r="EW76" s="231">
        <v>36937.300000000003</v>
      </c>
      <c r="EX76" s="231">
        <v>36208.06</v>
      </c>
      <c r="EY76" s="228">
        <v>729.24</v>
      </c>
      <c r="EZ76" s="229">
        <v>2.01E-2</v>
      </c>
      <c r="FA76" s="229">
        <v>0.31180000000000002</v>
      </c>
      <c r="FB76" s="227" t="s">
        <v>555</v>
      </c>
      <c r="FC76">
        <f t="shared" si="1"/>
        <v>1932</v>
      </c>
    </row>
    <row r="77" spans="1:159" ht="17.25" hidden="1" thickBot="1" x14ac:dyDescent="0.3">
      <c r="A77" s="226">
        <v>46086</v>
      </c>
      <c r="B77" s="227" t="s">
        <v>175</v>
      </c>
      <c r="C77" s="227" t="s">
        <v>225</v>
      </c>
      <c r="D77" s="228">
        <v>1100</v>
      </c>
      <c r="E77" s="228">
        <v>25</v>
      </c>
      <c r="F77" s="228">
        <v>686.35</v>
      </c>
      <c r="G77" s="228">
        <v>687.65</v>
      </c>
      <c r="H77" s="228">
        <v>-1.3</v>
      </c>
      <c r="I77" s="229">
        <v>-1.9E-3</v>
      </c>
      <c r="J77" s="228">
        <v>684.3</v>
      </c>
      <c r="K77" s="228">
        <v>684.6</v>
      </c>
      <c r="L77" s="228">
        <v>-0.3</v>
      </c>
      <c r="M77" s="229">
        <v>-4.0000000000000002E-4</v>
      </c>
      <c r="N77" s="228">
        <v>686.35</v>
      </c>
      <c r="O77" s="228">
        <v>687.65</v>
      </c>
      <c r="P77" s="228">
        <v>-1.3</v>
      </c>
      <c r="Q77" s="229">
        <v>-1.9E-3</v>
      </c>
      <c r="R77" s="228">
        <v>690.55</v>
      </c>
      <c r="S77" s="228">
        <v>691.75</v>
      </c>
      <c r="T77" s="228">
        <v>-1.2</v>
      </c>
      <c r="U77" s="229">
        <v>-1.6999999999999999E-3</v>
      </c>
      <c r="V77" s="228">
        <v>686.1</v>
      </c>
      <c r="W77" s="228">
        <v>695.9</v>
      </c>
      <c r="X77" s="228">
        <v>-9.8000000000000007</v>
      </c>
      <c r="Y77" s="229">
        <v>-1.41E-2</v>
      </c>
      <c r="Z77" s="228">
        <v>2.0499999999999998</v>
      </c>
      <c r="AA77" s="228">
        <v>3.05</v>
      </c>
      <c r="AB77" s="228">
        <v>-1</v>
      </c>
      <c r="AC77" s="229">
        <v>3.0000000000000001E-3</v>
      </c>
      <c r="AD77" s="228">
        <v>2.0499999999999998</v>
      </c>
      <c r="AE77" s="228">
        <v>3.05</v>
      </c>
      <c r="AF77" s="228">
        <v>-1</v>
      </c>
      <c r="AG77" s="229">
        <v>3.0000000000000001E-3</v>
      </c>
      <c r="AH77" s="228">
        <v>6.25</v>
      </c>
      <c r="AI77" s="228">
        <v>7.15</v>
      </c>
      <c r="AJ77" s="228">
        <v>-0.9</v>
      </c>
      <c r="AK77" s="229">
        <v>9.1000000000000004E-3</v>
      </c>
      <c r="AL77" s="228">
        <v>1.8</v>
      </c>
      <c r="AM77" s="228">
        <v>11.3</v>
      </c>
      <c r="AN77" s="228">
        <v>-9.5</v>
      </c>
      <c r="AO77" s="229">
        <v>2.5999999999999999E-3</v>
      </c>
      <c r="AP77" s="228">
        <v>681.06</v>
      </c>
      <c r="AQ77" s="228">
        <v>685.62</v>
      </c>
      <c r="AR77" s="228">
        <v>0</v>
      </c>
      <c r="AS77" s="228">
        <v>440</v>
      </c>
      <c r="AT77" s="228">
        <v>421</v>
      </c>
      <c r="AU77" s="228">
        <v>20</v>
      </c>
      <c r="AV77" s="229">
        <v>4.6699999999999998E-2</v>
      </c>
      <c r="AW77" s="228">
        <v>415</v>
      </c>
      <c r="AX77" s="228">
        <v>390</v>
      </c>
      <c r="AY77" s="228">
        <v>25</v>
      </c>
      <c r="AZ77" s="229">
        <v>6.3299999999999995E-2</v>
      </c>
      <c r="BA77" s="228">
        <v>23</v>
      </c>
      <c r="BB77" s="228">
        <v>28</v>
      </c>
      <c r="BC77" s="228">
        <v>-5</v>
      </c>
      <c r="BD77" s="229">
        <v>-0.1734</v>
      </c>
      <c r="BE77" s="228">
        <v>2</v>
      </c>
      <c r="BF77" s="228">
        <v>3</v>
      </c>
      <c r="BG77" s="228">
        <v>0</v>
      </c>
      <c r="BH77" s="229">
        <v>-8.5699999999999998E-2</v>
      </c>
      <c r="BI77" s="230">
        <v>1011</v>
      </c>
      <c r="BJ77" s="228">
        <v>940</v>
      </c>
      <c r="BK77" s="228">
        <v>70</v>
      </c>
      <c r="BL77" s="229">
        <v>7.4899999999999994E-2</v>
      </c>
      <c r="BM77" s="228">
        <v>684</v>
      </c>
      <c r="BN77" s="228">
        <v>521</v>
      </c>
      <c r="BO77" s="228">
        <v>163</v>
      </c>
      <c r="BP77" s="229">
        <v>0.31280000000000002</v>
      </c>
      <c r="BQ77" s="230">
        <v>2135</v>
      </c>
      <c r="BR77" s="230">
        <v>1882</v>
      </c>
      <c r="BS77" s="228">
        <v>253</v>
      </c>
      <c r="BT77" s="229">
        <v>0.13450000000000001</v>
      </c>
      <c r="BU77" s="230">
        <v>5522440</v>
      </c>
      <c r="BV77" s="230">
        <v>7775897</v>
      </c>
      <c r="BW77" s="230">
        <v>-2253457</v>
      </c>
      <c r="BX77" s="229">
        <v>-0.2898</v>
      </c>
      <c r="BY77" s="230">
        <v>2485</v>
      </c>
      <c r="BZ77" s="230">
        <v>2447</v>
      </c>
      <c r="CA77" s="228">
        <v>38</v>
      </c>
      <c r="CB77" s="229">
        <v>1.55E-2</v>
      </c>
      <c r="CC77" s="230">
        <v>2445</v>
      </c>
      <c r="CD77" s="230">
        <v>2414</v>
      </c>
      <c r="CE77" s="228">
        <v>31</v>
      </c>
      <c r="CF77" s="229">
        <v>1.2800000000000001E-2</v>
      </c>
      <c r="CG77" s="228">
        <v>36</v>
      </c>
      <c r="CH77" s="228">
        <v>30</v>
      </c>
      <c r="CI77" s="228">
        <v>6</v>
      </c>
      <c r="CJ77" s="229">
        <v>0.2087</v>
      </c>
      <c r="CK77" s="228">
        <v>5</v>
      </c>
      <c r="CL77" s="228">
        <v>4</v>
      </c>
      <c r="CM77" s="228">
        <v>1</v>
      </c>
      <c r="CN77" s="229">
        <v>0.1731</v>
      </c>
      <c r="CO77" s="228">
        <v>843</v>
      </c>
      <c r="CP77" s="228">
        <v>724</v>
      </c>
      <c r="CQ77" s="228">
        <v>118</v>
      </c>
      <c r="CR77" s="229">
        <v>0.16320000000000001</v>
      </c>
      <c r="CS77" s="228">
        <v>356</v>
      </c>
      <c r="CT77" s="228">
        <v>305</v>
      </c>
      <c r="CU77" s="228">
        <v>51</v>
      </c>
      <c r="CV77" s="229">
        <v>0.16719999999999999</v>
      </c>
      <c r="CW77" s="230">
        <v>3684</v>
      </c>
      <c r="CX77" s="230">
        <v>3477</v>
      </c>
      <c r="CY77" s="228">
        <v>207</v>
      </c>
      <c r="CZ77" s="229">
        <v>5.96E-2</v>
      </c>
      <c r="DA77" s="228">
        <v>23</v>
      </c>
      <c r="DB77" s="228">
        <v>24.82</v>
      </c>
      <c r="DC77" s="228">
        <v>-1.82</v>
      </c>
      <c r="DD77" s="228">
        <v>-1.82</v>
      </c>
      <c r="DE77" s="228">
        <v>24.91</v>
      </c>
      <c r="DF77" s="228">
        <v>24.98</v>
      </c>
      <c r="DG77" s="228">
        <v>-1.91</v>
      </c>
      <c r="DH77" s="228">
        <v>-7.0000000000000007E-2</v>
      </c>
      <c r="DI77" s="228">
        <v>22.64</v>
      </c>
      <c r="DJ77" s="228">
        <v>24.46</v>
      </c>
      <c r="DK77" s="228">
        <v>-1.82</v>
      </c>
      <c r="DL77" s="228">
        <v>-1.82</v>
      </c>
      <c r="DM77" s="228">
        <v>23.52</v>
      </c>
      <c r="DN77" s="228">
        <v>25.47</v>
      </c>
      <c r="DO77" s="228">
        <v>-1.95</v>
      </c>
      <c r="DP77" s="228">
        <v>-1.95</v>
      </c>
      <c r="DQ77" s="228">
        <v>0.42</v>
      </c>
      <c r="DR77" s="228">
        <v>0.42</v>
      </c>
      <c r="DS77" s="228">
        <v>0</v>
      </c>
      <c r="DT77" s="229">
        <v>0</v>
      </c>
      <c r="DU77" s="228">
        <v>750</v>
      </c>
      <c r="DV77" s="228">
        <v>650</v>
      </c>
      <c r="DW77" s="228">
        <v>0.68</v>
      </c>
      <c r="DX77" s="228">
        <v>0.55000000000000004</v>
      </c>
      <c r="DY77" s="228">
        <v>0.13</v>
      </c>
      <c r="DZ77" s="229">
        <v>0.2364</v>
      </c>
      <c r="EA77" s="229">
        <v>1.6299999999999999E-2</v>
      </c>
      <c r="EB77" s="230">
        <v>489500</v>
      </c>
      <c r="EC77" s="229">
        <v>6.1000000000000004E-3</v>
      </c>
      <c r="ED77" s="229">
        <v>1.6299999999999999E-2</v>
      </c>
      <c r="EE77" s="228">
        <v>4.5599999999999996</v>
      </c>
      <c r="EF77" s="229">
        <v>6.7000000000000002E-3</v>
      </c>
      <c r="EG77" s="230">
        <v>3655111</v>
      </c>
      <c r="EH77" s="230">
        <v>5526251</v>
      </c>
      <c r="EI77" s="229">
        <v>-0.33860000000000001</v>
      </c>
      <c r="EJ77" s="229">
        <v>0.66190000000000004</v>
      </c>
      <c r="EK77" s="231">
        <v>1070.7</v>
      </c>
      <c r="EL77" s="228">
        <v>680.06</v>
      </c>
      <c r="EM77" s="228">
        <v>437.09</v>
      </c>
      <c r="EN77" s="228">
        <v>36.619999999999997</v>
      </c>
      <c r="EO77" s="231">
        <v>2187.85</v>
      </c>
      <c r="EP77" s="231">
        <v>1970.3</v>
      </c>
      <c r="EQ77" s="228">
        <v>217.55</v>
      </c>
      <c r="ER77" s="229">
        <v>0.1104</v>
      </c>
      <c r="ES77" s="228">
        <v>926.22</v>
      </c>
      <c r="ET77" s="228">
        <v>357.62</v>
      </c>
      <c r="EU77" s="231">
        <v>2485.4</v>
      </c>
      <c r="EV77" s="231">
        <v>128849634</v>
      </c>
      <c r="EW77" s="231">
        <v>3769.24</v>
      </c>
      <c r="EX77" s="231">
        <v>3564.03</v>
      </c>
      <c r="EY77" s="228">
        <v>205.21</v>
      </c>
      <c r="EZ77" s="229">
        <v>5.7599999999999998E-2</v>
      </c>
      <c r="FA77" s="229">
        <v>0.41660000000000003</v>
      </c>
      <c r="FB77" s="227" t="s">
        <v>567</v>
      </c>
      <c r="FC77">
        <f t="shared" si="1"/>
        <v>40</v>
      </c>
    </row>
    <row r="78" spans="1:159" ht="17.25" hidden="1" thickBot="1" x14ac:dyDescent="0.3">
      <c r="A78" s="226">
        <v>46086</v>
      </c>
      <c r="B78" s="227" t="s">
        <v>162</v>
      </c>
      <c r="C78" s="227" t="s">
        <v>226</v>
      </c>
      <c r="D78" s="228">
        <v>150</v>
      </c>
      <c r="E78" s="228">
        <v>25</v>
      </c>
      <c r="F78" s="231">
        <v>5600.5</v>
      </c>
      <c r="G78" s="231">
        <v>5511.5</v>
      </c>
      <c r="H78" s="228">
        <v>89</v>
      </c>
      <c r="I78" s="229">
        <v>1.61E-2</v>
      </c>
      <c r="J78" s="231">
        <v>5588.5</v>
      </c>
      <c r="K78" s="231">
        <v>5500</v>
      </c>
      <c r="L78" s="228">
        <v>88.5</v>
      </c>
      <c r="M78" s="229">
        <v>1.61E-2</v>
      </c>
      <c r="N78" s="231">
        <v>5600.5</v>
      </c>
      <c r="O78" s="231">
        <v>5511.5</v>
      </c>
      <c r="P78" s="228">
        <v>89</v>
      </c>
      <c r="Q78" s="229">
        <v>1.61E-2</v>
      </c>
      <c r="R78" s="231">
        <v>5631.5</v>
      </c>
      <c r="S78" s="231">
        <v>5540</v>
      </c>
      <c r="T78" s="228">
        <v>91.5</v>
      </c>
      <c r="U78" s="229">
        <v>1.6500000000000001E-2</v>
      </c>
      <c r="V78" s="231">
        <v>5585.5</v>
      </c>
      <c r="W78" s="231">
        <v>5560</v>
      </c>
      <c r="X78" s="228">
        <v>25.5</v>
      </c>
      <c r="Y78" s="229">
        <v>4.5999999999999999E-3</v>
      </c>
      <c r="Z78" s="228">
        <v>12</v>
      </c>
      <c r="AA78" s="228">
        <v>11.5</v>
      </c>
      <c r="AB78" s="228">
        <v>0.5</v>
      </c>
      <c r="AC78" s="229">
        <v>2.0999999999999999E-3</v>
      </c>
      <c r="AD78" s="228">
        <v>12</v>
      </c>
      <c r="AE78" s="228">
        <v>11.5</v>
      </c>
      <c r="AF78" s="228">
        <v>0.5</v>
      </c>
      <c r="AG78" s="229">
        <v>2.0999999999999999E-3</v>
      </c>
      <c r="AH78" s="228">
        <v>43</v>
      </c>
      <c r="AI78" s="228">
        <v>40</v>
      </c>
      <c r="AJ78" s="228">
        <v>3</v>
      </c>
      <c r="AK78" s="229">
        <v>7.7000000000000002E-3</v>
      </c>
      <c r="AL78" s="228">
        <v>-3</v>
      </c>
      <c r="AM78" s="228">
        <v>60</v>
      </c>
      <c r="AN78" s="228">
        <v>-63</v>
      </c>
      <c r="AO78" s="229">
        <v>-5.0000000000000001E-4</v>
      </c>
      <c r="AP78" s="231">
        <v>5567.12</v>
      </c>
      <c r="AQ78" s="231">
        <v>5601.94</v>
      </c>
      <c r="AR78" s="228">
        <v>0</v>
      </c>
      <c r="AS78" s="228">
        <v>359</v>
      </c>
      <c r="AT78" s="228">
        <v>387</v>
      </c>
      <c r="AU78" s="228">
        <v>-28</v>
      </c>
      <c r="AV78" s="229">
        <v>-7.1599999999999997E-2</v>
      </c>
      <c r="AW78" s="228">
        <v>340</v>
      </c>
      <c r="AX78" s="228">
        <v>374</v>
      </c>
      <c r="AY78" s="228">
        <v>-34</v>
      </c>
      <c r="AZ78" s="229">
        <v>-9.01E-2</v>
      </c>
      <c r="BA78" s="228">
        <v>18</v>
      </c>
      <c r="BB78" s="228">
        <v>12</v>
      </c>
      <c r="BC78" s="228">
        <v>6</v>
      </c>
      <c r="BD78" s="229">
        <v>0.4662</v>
      </c>
      <c r="BE78" s="228">
        <v>1</v>
      </c>
      <c r="BF78" s="228">
        <v>1</v>
      </c>
      <c r="BG78" s="228">
        <v>0</v>
      </c>
      <c r="BH78" s="229">
        <v>0.28570000000000001</v>
      </c>
      <c r="BI78" s="230">
        <v>1349</v>
      </c>
      <c r="BJ78" s="230">
        <v>1062</v>
      </c>
      <c r="BK78" s="228">
        <v>287</v>
      </c>
      <c r="BL78" s="229">
        <v>0.27010000000000001</v>
      </c>
      <c r="BM78" s="228">
        <v>670</v>
      </c>
      <c r="BN78" s="228">
        <v>867</v>
      </c>
      <c r="BO78" s="228">
        <v>-197</v>
      </c>
      <c r="BP78" s="229">
        <v>-0.22689999999999999</v>
      </c>
      <c r="BQ78" s="230">
        <v>2379</v>
      </c>
      <c r="BR78" s="230">
        <v>2316</v>
      </c>
      <c r="BS78" s="228">
        <v>63</v>
      </c>
      <c r="BT78" s="229">
        <v>2.7E-2</v>
      </c>
      <c r="BU78" s="230">
        <v>562627</v>
      </c>
      <c r="BV78" s="230">
        <v>463802</v>
      </c>
      <c r="BW78" s="230">
        <v>98825</v>
      </c>
      <c r="BX78" s="229">
        <v>0.21310000000000001</v>
      </c>
      <c r="BY78" s="230">
        <v>1925</v>
      </c>
      <c r="BZ78" s="230">
        <v>1928</v>
      </c>
      <c r="CA78" s="228">
        <v>-3</v>
      </c>
      <c r="CB78" s="229">
        <v>-1.5E-3</v>
      </c>
      <c r="CC78" s="230">
        <v>1893</v>
      </c>
      <c r="CD78" s="230">
        <v>1897</v>
      </c>
      <c r="CE78" s="228">
        <v>-4</v>
      </c>
      <c r="CF78" s="229">
        <v>-2.0999999999999999E-3</v>
      </c>
      <c r="CG78" s="228">
        <v>29</v>
      </c>
      <c r="CH78" s="228">
        <v>28</v>
      </c>
      <c r="CI78" s="228">
        <v>1</v>
      </c>
      <c r="CJ78" s="229">
        <v>3.5999999999999997E-2</v>
      </c>
      <c r="CK78" s="228">
        <v>3</v>
      </c>
      <c r="CL78" s="228">
        <v>3</v>
      </c>
      <c r="CM78" s="228">
        <v>0</v>
      </c>
      <c r="CN78" s="229">
        <v>6.6699999999999995E-2</v>
      </c>
      <c r="CO78" s="228">
        <v>887</v>
      </c>
      <c r="CP78" s="228">
        <v>872</v>
      </c>
      <c r="CQ78" s="228">
        <v>15</v>
      </c>
      <c r="CR78" s="229">
        <v>1.6899999999999998E-2</v>
      </c>
      <c r="CS78" s="228">
        <v>581</v>
      </c>
      <c r="CT78" s="228">
        <v>599</v>
      </c>
      <c r="CU78" s="228">
        <v>-18</v>
      </c>
      <c r="CV78" s="229">
        <v>-0.03</v>
      </c>
      <c r="CW78" s="230">
        <v>3393</v>
      </c>
      <c r="CX78" s="230">
        <v>3399</v>
      </c>
      <c r="CY78" s="228">
        <v>-6</v>
      </c>
      <c r="CZ78" s="229">
        <v>-1.8E-3</v>
      </c>
      <c r="DA78" s="228">
        <v>27.33</v>
      </c>
      <c r="DB78" s="228">
        <v>30.06</v>
      </c>
      <c r="DC78" s="228">
        <v>-2.73</v>
      </c>
      <c r="DD78" s="228">
        <v>-2.73</v>
      </c>
      <c r="DE78" s="228">
        <v>30.36</v>
      </c>
      <c r="DF78" s="228">
        <v>30.36</v>
      </c>
      <c r="DG78" s="228">
        <v>-3.03</v>
      </c>
      <c r="DH78" s="228">
        <v>0</v>
      </c>
      <c r="DI78" s="228">
        <v>26.43</v>
      </c>
      <c r="DJ78" s="228">
        <v>28.86</v>
      </c>
      <c r="DK78" s="228">
        <v>-2.4300000000000002</v>
      </c>
      <c r="DL78" s="228">
        <v>-2.4300000000000002</v>
      </c>
      <c r="DM78" s="228">
        <v>29.13</v>
      </c>
      <c r="DN78" s="228">
        <v>31.54</v>
      </c>
      <c r="DO78" s="228">
        <v>-2.41</v>
      </c>
      <c r="DP78" s="228">
        <v>-2.41</v>
      </c>
      <c r="DQ78" s="228">
        <v>0.66</v>
      </c>
      <c r="DR78" s="228">
        <v>0.69</v>
      </c>
      <c r="DS78" s="228">
        <v>-0.03</v>
      </c>
      <c r="DT78" s="229">
        <v>-4.3499999999999997E-2</v>
      </c>
      <c r="DU78" s="231">
        <v>6000</v>
      </c>
      <c r="DV78" s="231">
        <v>5400</v>
      </c>
      <c r="DW78" s="228">
        <v>0.5</v>
      </c>
      <c r="DX78" s="228">
        <v>0.82</v>
      </c>
      <c r="DY78" s="228">
        <v>-0.32</v>
      </c>
      <c r="DZ78" s="229">
        <v>-0.39019999999999999</v>
      </c>
      <c r="EA78" s="229">
        <v>1.6500000000000001E-2</v>
      </c>
      <c r="EB78" s="230">
        <v>54450</v>
      </c>
      <c r="EC78" s="229">
        <v>5.4999999999999997E-3</v>
      </c>
      <c r="ED78" s="229">
        <v>1.6500000000000001E-2</v>
      </c>
      <c r="EE78" s="228">
        <v>34.82</v>
      </c>
      <c r="EF78" s="229">
        <v>6.3E-3</v>
      </c>
      <c r="EG78" s="230">
        <v>271029</v>
      </c>
      <c r="EH78" s="230">
        <v>245948</v>
      </c>
      <c r="EI78" s="229">
        <v>0.10199999999999999</v>
      </c>
      <c r="EJ78" s="229">
        <v>0.48170000000000002</v>
      </c>
      <c r="EK78" s="231">
        <v>1428.13</v>
      </c>
      <c r="EL78" s="228">
        <v>635.02</v>
      </c>
      <c r="EM78" s="228">
        <v>357.19</v>
      </c>
      <c r="EN78" s="228">
        <v>54.6</v>
      </c>
      <c r="EO78" s="231">
        <v>2420.35</v>
      </c>
      <c r="EP78" s="231">
        <v>2326.56</v>
      </c>
      <c r="EQ78" s="228">
        <v>93.79</v>
      </c>
      <c r="ER78" s="229">
        <v>4.0300000000000002E-2</v>
      </c>
      <c r="ES78" s="228">
        <v>947.71</v>
      </c>
      <c r="ET78" s="228">
        <v>556.12</v>
      </c>
      <c r="EU78" s="231">
        <v>1925.19</v>
      </c>
      <c r="EV78" s="231">
        <v>19586951</v>
      </c>
      <c r="EW78" s="231">
        <v>3429.02</v>
      </c>
      <c r="EX78" s="231">
        <v>3399.36</v>
      </c>
      <c r="EY78" s="228">
        <v>29.66</v>
      </c>
      <c r="EZ78" s="229">
        <v>8.6999999999999994E-3</v>
      </c>
      <c r="FA78" s="229">
        <v>0.30930000000000002</v>
      </c>
      <c r="FB78" s="227" t="s">
        <v>556</v>
      </c>
      <c r="FC78">
        <f t="shared" si="1"/>
        <v>32</v>
      </c>
    </row>
    <row r="79" spans="1:159" ht="17.25" hidden="1" thickBot="1" x14ac:dyDescent="0.3">
      <c r="A79" s="226">
        <v>46086</v>
      </c>
      <c r="B79" s="227" t="s">
        <v>227</v>
      </c>
      <c r="C79" s="227" t="s">
        <v>228</v>
      </c>
      <c r="D79" s="228">
        <v>700</v>
      </c>
      <c r="E79" s="228">
        <v>25</v>
      </c>
      <c r="F79" s="228">
        <v>956.75</v>
      </c>
      <c r="G79" s="228">
        <v>925.95</v>
      </c>
      <c r="H79" s="228">
        <v>30.8</v>
      </c>
      <c r="I79" s="229">
        <v>3.3300000000000003E-2</v>
      </c>
      <c r="J79" s="228">
        <v>954.95</v>
      </c>
      <c r="K79" s="228">
        <v>921.8</v>
      </c>
      <c r="L79" s="228">
        <v>33.15</v>
      </c>
      <c r="M79" s="229">
        <v>3.5999999999999997E-2</v>
      </c>
      <c r="N79" s="228">
        <v>956.75</v>
      </c>
      <c r="O79" s="228">
        <v>925.95</v>
      </c>
      <c r="P79" s="228">
        <v>30.8</v>
      </c>
      <c r="Q79" s="229">
        <v>3.3300000000000003E-2</v>
      </c>
      <c r="R79" s="228">
        <v>963.3</v>
      </c>
      <c r="S79" s="228">
        <v>931.4</v>
      </c>
      <c r="T79" s="228">
        <v>31.9</v>
      </c>
      <c r="U79" s="229">
        <v>3.4200000000000001E-2</v>
      </c>
      <c r="V79" s="228">
        <v>972.45</v>
      </c>
      <c r="W79" s="228">
        <v>936.15</v>
      </c>
      <c r="X79" s="228">
        <v>36.299999999999997</v>
      </c>
      <c r="Y79" s="229">
        <v>3.8800000000000001E-2</v>
      </c>
      <c r="Z79" s="228">
        <v>1.8</v>
      </c>
      <c r="AA79" s="228">
        <v>4.1500000000000004</v>
      </c>
      <c r="AB79" s="228">
        <v>-2.35</v>
      </c>
      <c r="AC79" s="229">
        <v>1.9E-3</v>
      </c>
      <c r="AD79" s="228">
        <v>1.8</v>
      </c>
      <c r="AE79" s="228">
        <v>4.1500000000000004</v>
      </c>
      <c r="AF79" s="228">
        <v>-2.35</v>
      </c>
      <c r="AG79" s="229">
        <v>1.9E-3</v>
      </c>
      <c r="AH79" s="228">
        <v>8.35</v>
      </c>
      <c r="AI79" s="228">
        <v>9.6</v>
      </c>
      <c r="AJ79" s="228">
        <v>-1.25</v>
      </c>
      <c r="AK79" s="229">
        <v>8.6999999999999994E-3</v>
      </c>
      <c r="AL79" s="228">
        <v>17.5</v>
      </c>
      <c r="AM79" s="228">
        <v>14.35</v>
      </c>
      <c r="AN79" s="228">
        <v>3.15</v>
      </c>
      <c r="AO79" s="229">
        <v>1.83E-2</v>
      </c>
      <c r="AP79" s="228">
        <v>966.85</v>
      </c>
      <c r="AQ79" s="228">
        <v>974.81</v>
      </c>
      <c r="AR79" s="228">
        <v>0</v>
      </c>
      <c r="AS79" s="230">
        <v>2510</v>
      </c>
      <c r="AT79" s="230">
        <v>1091</v>
      </c>
      <c r="AU79" s="230">
        <v>1419</v>
      </c>
      <c r="AV79" s="229">
        <v>1.3</v>
      </c>
      <c r="AW79" s="230">
        <v>2271</v>
      </c>
      <c r="AX79" s="230">
        <v>1062</v>
      </c>
      <c r="AY79" s="230">
        <v>1209</v>
      </c>
      <c r="AZ79" s="229">
        <v>1.1380999999999999</v>
      </c>
      <c r="BA79" s="228">
        <v>142</v>
      </c>
      <c r="BB79" s="228">
        <v>24</v>
      </c>
      <c r="BC79" s="228">
        <v>119</v>
      </c>
      <c r="BD79" s="229">
        <v>5.0141999999999998</v>
      </c>
      <c r="BE79" s="228">
        <v>96</v>
      </c>
      <c r="BF79" s="228">
        <v>5</v>
      </c>
      <c r="BG79" s="228">
        <v>91</v>
      </c>
      <c r="BH79" s="229">
        <v>17</v>
      </c>
      <c r="BI79" s="230">
        <v>8132</v>
      </c>
      <c r="BJ79" s="230">
        <v>1805</v>
      </c>
      <c r="BK79" s="230">
        <v>6327</v>
      </c>
      <c r="BL79" s="229">
        <v>3.5047000000000001</v>
      </c>
      <c r="BM79" s="230">
        <v>3812</v>
      </c>
      <c r="BN79" s="230">
        <v>1777</v>
      </c>
      <c r="BO79" s="230">
        <v>2034</v>
      </c>
      <c r="BP79" s="229">
        <v>1.1445000000000001</v>
      </c>
      <c r="BQ79" s="230">
        <v>14453</v>
      </c>
      <c r="BR79" s="230">
        <v>4674</v>
      </c>
      <c r="BS79" s="230">
        <v>9779</v>
      </c>
      <c r="BT79" s="229">
        <v>2.0924</v>
      </c>
      <c r="BU79" s="230">
        <v>17581239</v>
      </c>
      <c r="BV79" s="230">
        <v>7806842</v>
      </c>
      <c r="BW79" s="230">
        <v>9774397</v>
      </c>
      <c r="BX79" s="229">
        <v>1.252</v>
      </c>
      <c r="BY79" s="230">
        <v>4116</v>
      </c>
      <c r="BZ79" s="230">
        <v>4209</v>
      </c>
      <c r="CA79" s="228">
        <v>-94</v>
      </c>
      <c r="CB79" s="229">
        <v>-2.2200000000000001E-2</v>
      </c>
      <c r="CC79" s="230">
        <v>3657</v>
      </c>
      <c r="CD79" s="230">
        <v>3898</v>
      </c>
      <c r="CE79" s="228">
        <v>-241</v>
      </c>
      <c r="CF79" s="229">
        <v>-6.1800000000000001E-2</v>
      </c>
      <c r="CG79" s="228">
        <v>244</v>
      </c>
      <c r="CH79" s="228">
        <v>172</v>
      </c>
      <c r="CI79" s="228">
        <v>72</v>
      </c>
      <c r="CJ79" s="229">
        <v>0.41660000000000003</v>
      </c>
      <c r="CK79" s="228">
        <v>214</v>
      </c>
      <c r="CL79" s="228">
        <v>139</v>
      </c>
      <c r="CM79" s="228">
        <v>75</v>
      </c>
      <c r="CN79" s="229">
        <v>0.54269999999999996</v>
      </c>
      <c r="CO79" s="230">
        <v>1035</v>
      </c>
      <c r="CP79" s="228">
        <v>826</v>
      </c>
      <c r="CQ79" s="228">
        <v>209</v>
      </c>
      <c r="CR79" s="229">
        <v>0.2535</v>
      </c>
      <c r="CS79" s="228">
        <v>877</v>
      </c>
      <c r="CT79" s="228">
        <v>694</v>
      </c>
      <c r="CU79" s="228">
        <v>183</v>
      </c>
      <c r="CV79" s="229">
        <v>0.26319999999999999</v>
      </c>
      <c r="CW79" s="230">
        <v>6028</v>
      </c>
      <c r="CX79" s="230">
        <v>5729</v>
      </c>
      <c r="CY79" s="228">
        <v>298</v>
      </c>
      <c r="CZ79" s="229">
        <v>5.21E-2</v>
      </c>
      <c r="DA79" s="228">
        <v>34.15</v>
      </c>
      <c r="DB79" s="228">
        <v>34.159999999999997</v>
      </c>
      <c r="DC79" s="228">
        <v>-0.01</v>
      </c>
      <c r="DD79" s="228">
        <v>-0.01</v>
      </c>
      <c r="DE79" s="228">
        <v>35.28</v>
      </c>
      <c r="DF79" s="228">
        <v>35.04</v>
      </c>
      <c r="DG79" s="228">
        <v>-1.1299999999999999</v>
      </c>
      <c r="DH79" s="228">
        <v>0.24</v>
      </c>
      <c r="DI79" s="228">
        <v>34.14</v>
      </c>
      <c r="DJ79" s="228">
        <v>33.46</v>
      </c>
      <c r="DK79" s="228">
        <v>0.68</v>
      </c>
      <c r="DL79" s="228">
        <v>0.68</v>
      </c>
      <c r="DM79" s="228">
        <v>34.159999999999997</v>
      </c>
      <c r="DN79" s="228">
        <v>34.869999999999997</v>
      </c>
      <c r="DO79" s="228">
        <v>-0.71</v>
      </c>
      <c r="DP79" s="228">
        <v>-0.71</v>
      </c>
      <c r="DQ79" s="228">
        <v>0.85</v>
      </c>
      <c r="DR79" s="228">
        <v>0.84</v>
      </c>
      <c r="DS79" s="228">
        <v>0.01</v>
      </c>
      <c r="DT79" s="229">
        <v>1.1900000000000001E-2</v>
      </c>
      <c r="DU79" s="231">
        <v>1000</v>
      </c>
      <c r="DV79" s="228">
        <v>900</v>
      </c>
      <c r="DW79" s="228">
        <v>0.47</v>
      </c>
      <c r="DX79" s="228">
        <v>0.98</v>
      </c>
      <c r="DY79" s="228">
        <v>-0.51</v>
      </c>
      <c r="DZ79" s="229">
        <v>-0.52039999999999997</v>
      </c>
      <c r="EA79" s="229">
        <v>0.1114</v>
      </c>
      <c r="EB79" s="230">
        <v>3252200</v>
      </c>
      <c r="EC79" s="229">
        <v>6.7999999999999996E-3</v>
      </c>
      <c r="ED79" s="229">
        <v>0.1114</v>
      </c>
      <c r="EE79" s="228">
        <v>7.96</v>
      </c>
      <c r="EF79" s="229">
        <v>8.2000000000000007E-3</v>
      </c>
      <c r="EG79" s="230">
        <v>6495548</v>
      </c>
      <c r="EH79" s="230">
        <v>4117484</v>
      </c>
      <c r="EI79" s="229">
        <v>0.5776</v>
      </c>
      <c r="EJ79" s="229">
        <v>0.3695</v>
      </c>
      <c r="EK79" s="231">
        <v>8786.01</v>
      </c>
      <c r="EL79" s="231">
        <v>3763.07</v>
      </c>
      <c r="EM79" s="231">
        <v>2538.94</v>
      </c>
      <c r="EN79" s="228">
        <v>125.31</v>
      </c>
      <c r="EO79" s="231">
        <v>15088.03</v>
      </c>
      <c r="EP79" s="231">
        <v>4599.1400000000003</v>
      </c>
      <c r="EQ79" s="231">
        <v>10488.89</v>
      </c>
      <c r="ER79" s="229">
        <v>2.2806000000000002</v>
      </c>
      <c r="ES79" s="231">
        <v>1081.79</v>
      </c>
      <c r="ET79" s="228">
        <v>823.54</v>
      </c>
      <c r="EU79" s="231">
        <v>4120.78</v>
      </c>
      <c r="EV79" s="231">
        <v>212176873</v>
      </c>
      <c r="EW79" s="231">
        <v>6026.11</v>
      </c>
      <c r="EX79" s="231">
        <v>5557.43</v>
      </c>
      <c r="EY79" s="228">
        <v>468.68</v>
      </c>
      <c r="EZ79" s="229">
        <v>8.43E-2</v>
      </c>
      <c r="FA79" s="229">
        <v>0.2969</v>
      </c>
      <c r="FB79" s="227" t="s">
        <v>556</v>
      </c>
      <c r="FC79">
        <f t="shared" si="1"/>
        <v>459</v>
      </c>
    </row>
    <row r="80" spans="1:159" ht="17.25" hidden="1" thickBot="1" x14ac:dyDescent="0.3">
      <c r="A80" s="226">
        <v>46086</v>
      </c>
      <c r="B80" s="227" t="s">
        <v>193</v>
      </c>
      <c r="C80" s="227" t="s">
        <v>229</v>
      </c>
      <c r="D80" s="228">
        <v>2025</v>
      </c>
      <c r="E80" s="228">
        <v>25</v>
      </c>
      <c r="F80" s="228">
        <v>417.9</v>
      </c>
      <c r="G80" s="228">
        <v>402.9</v>
      </c>
      <c r="H80" s="228">
        <v>15</v>
      </c>
      <c r="I80" s="229">
        <v>3.7199999999999997E-2</v>
      </c>
      <c r="J80" s="228">
        <v>418.4</v>
      </c>
      <c r="K80" s="228">
        <v>401.45</v>
      </c>
      <c r="L80" s="228">
        <v>16.95</v>
      </c>
      <c r="M80" s="229">
        <v>4.2200000000000001E-2</v>
      </c>
      <c r="N80" s="228">
        <v>417.9</v>
      </c>
      <c r="O80" s="228">
        <v>402.9</v>
      </c>
      <c r="P80" s="228">
        <v>15</v>
      </c>
      <c r="Q80" s="229">
        <v>3.7199999999999997E-2</v>
      </c>
      <c r="R80" s="228">
        <v>419.45</v>
      </c>
      <c r="S80" s="228">
        <v>405.2</v>
      </c>
      <c r="T80" s="228">
        <v>14.25</v>
      </c>
      <c r="U80" s="229">
        <v>3.5200000000000002E-2</v>
      </c>
      <c r="V80" s="228">
        <v>424.15</v>
      </c>
      <c r="W80" s="228">
        <v>408.35</v>
      </c>
      <c r="X80" s="228">
        <v>15.8</v>
      </c>
      <c r="Y80" s="229">
        <v>3.8699999999999998E-2</v>
      </c>
      <c r="Z80" s="228">
        <v>-0.5</v>
      </c>
      <c r="AA80" s="228">
        <v>1.45</v>
      </c>
      <c r="AB80" s="228">
        <v>-1.95</v>
      </c>
      <c r="AC80" s="229">
        <v>-1.1999999999999999E-3</v>
      </c>
      <c r="AD80" s="228">
        <v>-0.5</v>
      </c>
      <c r="AE80" s="228">
        <v>1.45</v>
      </c>
      <c r="AF80" s="228">
        <v>-1.95</v>
      </c>
      <c r="AG80" s="229">
        <v>-1.1999999999999999E-3</v>
      </c>
      <c r="AH80" s="228">
        <v>1.05</v>
      </c>
      <c r="AI80" s="228">
        <v>3.75</v>
      </c>
      <c r="AJ80" s="228">
        <v>-2.7</v>
      </c>
      <c r="AK80" s="229">
        <v>2.5000000000000001E-3</v>
      </c>
      <c r="AL80" s="228">
        <v>5.75</v>
      </c>
      <c r="AM80" s="228">
        <v>6.9</v>
      </c>
      <c r="AN80" s="228">
        <v>-1.1499999999999999</v>
      </c>
      <c r="AO80" s="229">
        <v>1.37E-2</v>
      </c>
      <c r="AP80" s="228">
        <v>412.27</v>
      </c>
      <c r="AQ80" s="228">
        <v>416.02</v>
      </c>
      <c r="AR80" s="228">
        <v>0</v>
      </c>
      <c r="AS80" s="230">
        <v>1148</v>
      </c>
      <c r="AT80" s="228">
        <v>571</v>
      </c>
      <c r="AU80" s="228">
        <v>576</v>
      </c>
      <c r="AV80" s="229">
        <v>1.0083</v>
      </c>
      <c r="AW80" s="230">
        <v>1082</v>
      </c>
      <c r="AX80" s="228">
        <v>534</v>
      </c>
      <c r="AY80" s="228">
        <v>548</v>
      </c>
      <c r="AZ80" s="229">
        <v>1.0246999999999999</v>
      </c>
      <c r="BA80" s="228">
        <v>60</v>
      </c>
      <c r="BB80" s="228">
        <v>32</v>
      </c>
      <c r="BC80" s="228">
        <v>28</v>
      </c>
      <c r="BD80" s="229">
        <v>0.8639</v>
      </c>
      <c r="BE80" s="228">
        <v>5</v>
      </c>
      <c r="BF80" s="228">
        <v>5</v>
      </c>
      <c r="BG80" s="228">
        <v>1</v>
      </c>
      <c r="BH80" s="229">
        <v>0.1429</v>
      </c>
      <c r="BI80" s="230">
        <v>1475</v>
      </c>
      <c r="BJ80" s="228">
        <v>932</v>
      </c>
      <c r="BK80" s="228">
        <v>543</v>
      </c>
      <c r="BL80" s="229">
        <v>0.58250000000000002</v>
      </c>
      <c r="BM80" s="230">
        <v>1502</v>
      </c>
      <c r="BN80" s="230">
        <v>1252</v>
      </c>
      <c r="BO80" s="228">
        <v>250</v>
      </c>
      <c r="BP80" s="229">
        <v>0.19989999999999999</v>
      </c>
      <c r="BQ80" s="230">
        <v>4124</v>
      </c>
      <c r="BR80" s="230">
        <v>2755</v>
      </c>
      <c r="BS80" s="230">
        <v>1369</v>
      </c>
      <c r="BT80" s="229">
        <v>0.497</v>
      </c>
      <c r="BU80" s="230">
        <v>10778075</v>
      </c>
      <c r="BV80" s="230">
        <v>6800429</v>
      </c>
      <c r="BW80" s="230">
        <v>3977646</v>
      </c>
      <c r="BX80" s="229">
        <v>0.58489999999999998</v>
      </c>
      <c r="BY80" s="230">
        <v>1817</v>
      </c>
      <c r="BZ80" s="230">
        <v>1909</v>
      </c>
      <c r="CA80" s="228">
        <v>-92</v>
      </c>
      <c r="CB80" s="229">
        <v>-4.8300000000000003E-2</v>
      </c>
      <c r="CC80" s="230">
        <v>1773</v>
      </c>
      <c r="CD80" s="230">
        <v>1870</v>
      </c>
      <c r="CE80" s="228">
        <v>-97</v>
      </c>
      <c r="CF80" s="229">
        <v>-5.1999999999999998E-2</v>
      </c>
      <c r="CG80" s="228">
        <v>39</v>
      </c>
      <c r="CH80" s="228">
        <v>36</v>
      </c>
      <c r="CI80" s="228">
        <v>4</v>
      </c>
      <c r="CJ80" s="229">
        <v>0.1021</v>
      </c>
      <c r="CK80" s="228">
        <v>5</v>
      </c>
      <c r="CL80" s="228">
        <v>3</v>
      </c>
      <c r="CM80" s="228">
        <v>2</v>
      </c>
      <c r="CN80" s="229">
        <v>0.48649999999999999</v>
      </c>
      <c r="CO80" s="228">
        <v>579</v>
      </c>
      <c r="CP80" s="228">
        <v>477</v>
      </c>
      <c r="CQ80" s="228">
        <v>101</v>
      </c>
      <c r="CR80" s="229">
        <v>0.21240000000000001</v>
      </c>
      <c r="CS80" s="228">
        <v>567</v>
      </c>
      <c r="CT80" s="228">
        <v>533</v>
      </c>
      <c r="CU80" s="228">
        <v>34</v>
      </c>
      <c r="CV80" s="229">
        <v>6.4399999999999999E-2</v>
      </c>
      <c r="CW80" s="230">
        <v>2963</v>
      </c>
      <c r="CX80" s="230">
        <v>2919</v>
      </c>
      <c r="CY80" s="228">
        <v>44</v>
      </c>
      <c r="CZ80" s="229">
        <v>1.49E-2</v>
      </c>
      <c r="DA80" s="228">
        <v>37.43</v>
      </c>
      <c r="DB80" s="228">
        <v>42.47</v>
      </c>
      <c r="DC80" s="228">
        <v>-5.04</v>
      </c>
      <c r="DD80" s="228">
        <v>-5.04</v>
      </c>
      <c r="DE80" s="228">
        <v>39.630000000000003</v>
      </c>
      <c r="DF80" s="228">
        <v>39.380000000000003</v>
      </c>
      <c r="DG80" s="228">
        <v>-2.2000000000000002</v>
      </c>
      <c r="DH80" s="228">
        <v>0.25</v>
      </c>
      <c r="DI80" s="228">
        <v>35.75</v>
      </c>
      <c r="DJ80" s="228">
        <v>40.46</v>
      </c>
      <c r="DK80" s="228">
        <v>-4.71</v>
      </c>
      <c r="DL80" s="228">
        <v>-4.71</v>
      </c>
      <c r="DM80" s="228">
        <v>39.08</v>
      </c>
      <c r="DN80" s="228">
        <v>43.96</v>
      </c>
      <c r="DO80" s="228">
        <v>-4.88</v>
      </c>
      <c r="DP80" s="228">
        <v>-4.88</v>
      </c>
      <c r="DQ80" s="228">
        <v>0.98</v>
      </c>
      <c r="DR80" s="228">
        <v>1.1200000000000001</v>
      </c>
      <c r="DS80" s="228">
        <v>-0.14000000000000001</v>
      </c>
      <c r="DT80" s="229">
        <v>-0.125</v>
      </c>
      <c r="DU80" s="228">
        <v>430</v>
      </c>
      <c r="DV80" s="228">
        <v>400</v>
      </c>
      <c r="DW80" s="228">
        <v>1.02</v>
      </c>
      <c r="DX80" s="228">
        <v>1.34</v>
      </c>
      <c r="DY80" s="228">
        <v>-0.32</v>
      </c>
      <c r="DZ80" s="229">
        <v>-0.23880000000000001</v>
      </c>
      <c r="EA80" s="229">
        <v>2.4199999999999999E-2</v>
      </c>
      <c r="EB80" s="230">
        <v>927450</v>
      </c>
      <c r="EC80" s="229">
        <v>3.7000000000000002E-3</v>
      </c>
      <c r="ED80" s="229">
        <v>2.4199999999999999E-2</v>
      </c>
      <c r="EE80" s="228">
        <v>3.75</v>
      </c>
      <c r="EF80" s="229">
        <v>9.1000000000000004E-3</v>
      </c>
      <c r="EG80" s="230">
        <v>3970078</v>
      </c>
      <c r="EH80" s="230">
        <v>2775714</v>
      </c>
      <c r="EI80" s="229">
        <v>0.43030000000000002</v>
      </c>
      <c r="EJ80" s="229">
        <v>0.36830000000000002</v>
      </c>
      <c r="EK80" s="231">
        <v>1553.6</v>
      </c>
      <c r="EL80" s="231">
        <v>1452.37</v>
      </c>
      <c r="EM80" s="231">
        <v>1132.6400000000001</v>
      </c>
      <c r="EN80" s="228">
        <v>58.29</v>
      </c>
      <c r="EO80" s="231">
        <v>4138.6099999999997</v>
      </c>
      <c r="EP80" s="231">
        <v>2779.77</v>
      </c>
      <c r="EQ80" s="231">
        <v>1358.84</v>
      </c>
      <c r="ER80" s="229">
        <v>0.48880000000000001</v>
      </c>
      <c r="ES80" s="228">
        <v>617.54999999999995</v>
      </c>
      <c r="ET80" s="228">
        <v>559.53</v>
      </c>
      <c r="EU80" s="231">
        <v>1817.02</v>
      </c>
      <c r="EV80" s="231">
        <v>143933168</v>
      </c>
      <c r="EW80" s="231">
        <v>2994.11</v>
      </c>
      <c r="EX80" s="231">
        <v>2881.58</v>
      </c>
      <c r="EY80" s="228">
        <v>112.53</v>
      </c>
      <c r="EZ80" s="229">
        <v>3.9100000000000003E-2</v>
      </c>
      <c r="FA80" s="229">
        <v>0.49259999999999998</v>
      </c>
      <c r="FB80" s="227" t="s">
        <v>556</v>
      </c>
      <c r="FC80">
        <f t="shared" si="1"/>
        <v>44</v>
      </c>
    </row>
    <row r="81" spans="1:159" ht="17.25" hidden="1" thickBot="1" x14ac:dyDescent="0.3">
      <c r="A81" s="226">
        <v>46086</v>
      </c>
      <c r="B81" s="227" t="s">
        <v>168</v>
      </c>
      <c r="C81" s="227" t="s">
        <v>230</v>
      </c>
      <c r="D81" s="228">
        <v>300</v>
      </c>
      <c r="E81" s="228">
        <v>25</v>
      </c>
      <c r="F81" s="231">
        <v>2266.6</v>
      </c>
      <c r="G81" s="231">
        <v>2269.6999999999998</v>
      </c>
      <c r="H81" s="228">
        <v>-3.1</v>
      </c>
      <c r="I81" s="229">
        <v>-1.4E-3</v>
      </c>
      <c r="J81" s="231">
        <v>2255</v>
      </c>
      <c r="K81" s="231">
        <v>2261.3000000000002</v>
      </c>
      <c r="L81" s="228">
        <v>-6.3</v>
      </c>
      <c r="M81" s="229">
        <v>-2.8E-3</v>
      </c>
      <c r="N81" s="231">
        <v>2266.6</v>
      </c>
      <c r="O81" s="231">
        <v>2269.6999999999998</v>
      </c>
      <c r="P81" s="228">
        <v>-3.1</v>
      </c>
      <c r="Q81" s="229">
        <v>-1.4E-3</v>
      </c>
      <c r="R81" s="231">
        <v>2278.9</v>
      </c>
      <c r="S81" s="231">
        <v>2284.1999999999998</v>
      </c>
      <c r="T81" s="228">
        <v>-5.3</v>
      </c>
      <c r="U81" s="229">
        <v>-2.3E-3</v>
      </c>
      <c r="V81" s="231">
        <v>2294.5</v>
      </c>
      <c r="W81" s="231">
        <v>2295.6</v>
      </c>
      <c r="X81" s="228">
        <v>-1.1000000000000001</v>
      </c>
      <c r="Y81" s="229">
        <v>-5.0000000000000001E-4</v>
      </c>
      <c r="Z81" s="228">
        <v>11.6</v>
      </c>
      <c r="AA81" s="228">
        <v>8.4</v>
      </c>
      <c r="AB81" s="228">
        <v>3.2</v>
      </c>
      <c r="AC81" s="229">
        <v>5.1000000000000004E-3</v>
      </c>
      <c r="AD81" s="228">
        <v>11.6</v>
      </c>
      <c r="AE81" s="228">
        <v>8.4</v>
      </c>
      <c r="AF81" s="228">
        <v>3.2</v>
      </c>
      <c r="AG81" s="229">
        <v>5.1000000000000004E-3</v>
      </c>
      <c r="AH81" s="228">
        <v>23.9</v>
      </c>
      <c r="AI81" s="228">
        <v>22.9</v>
      </c>
      <c r="AJ81" s="228">
        <v>1</v>
      </c>
      <c r="AK81" s="229">
        <v>1.06E-2</v>
      </c>
      <c r="AL81" s="228">
        <v>39.5</v>
      </c>
      <c r="AM81" s="228">
        <v>34.299999999999997</v>
      </c>
      <c r="AN81" s="228">
        <v>5.2</v>
      </c>
      <c r="AO81" s="229">
        <v>1.7500000000000002E-2</v>
      </c>
      <c r="AP81" s="231">
        <v>2257.48</v>
      </c>
      <c r="AQ81" s="231">
        <v>2267.33</v>
      </c>
      <c r="AR81" s="228">
        <v>0</v>
      </c>
      <c r="AS81" s="228">
        <v>469</v>
      </c>
      <c r="AT81" s="228">
        <v>444</v>
      </c>
      <c r="AU81" s="228">
        <v>25</v>
      </c>
      <c r="AV81" s="229">
        <v>5.5399999999999998E-2</v>
      </c>
      <c r="AW81" s="228">
        <v>436</v>
      </c>
      <c r="AX81" s="228">
        <v>412</v>
      </c>
      <c r="AY81" s="228">
        <v>24</v>
      </c>
      <c r="AZ81" s="229">
        <v>5.8299999999999998E-2</v>
      </c>
      <c r="BA81" s="228">
        <v>28</v>
      </c>
      <c r="BB81" s="228">
        <v>26</v>
      </c>
      <c r="BC81" s="228">
        <v>3</v>
      </c>
      <c r="BD81" s="229">
        <v>0.1055</v>
      </c>
      <c r="BE81" s="228">
        <v>4</v>
      </c>
      <c r="BF81" s="228">
        <v>6</v>
      </c>
      <c r="BG81" s="228">
        <v>-2</v>
      </c>
      <c r="BH81" s="229">
        <v>-0.32629999999999998</v>
      </c>
      <c r="BI81" s="230">
        <v>1798</v>
      </c>
      <c r="BJ81" s="230">
        <v>1610</v>
      </c>
      <c r="BK81" s="228">
        <v>188</v>
      </c>
      <c r="BL81" s="229">
        <v>0.1167</v>
      </c>
      <c r="BM81" s="228">
        <v>972</v>
      </c>
      <c r="BN81" s="230">
        <v>1173</v>
      </c>
      <c r="BO81" s="228">
        <v>-201</v>
      </c>
      <c r="BP81" s="229">
        <v>-0.1714</v>
      </c>
      <c r="BQ81" s="230">
        <v>3239</v>
      </c>
      <c r="BR81" s="230">
        <v>3227</v>
      </c>
      <c r="BS81" s="228">
        <v>11</v>
      </c>
      <c r="BT81" s="229">
        <v>3.5999999999999999E-3</v>
      </c>
      <c r="BU81" s="230">
        <v>1836853</v>
      </c>
      <c r="BV81" s="230">
        <v>2715262</v>
      </c>
      <c r="BW81" s="230">
        <v>-878409</v>
      </c>
      <c r="BX81" s="229">
        <v>-0.32350000000000001</v>
      </c>
      <c r="BY81" s="230">
        <v>3645</v>
      </c>
      <c r="BZ81" s="230">
        <v>3610</v>
      </c>
      <c r="CA81" s="228">
        <v>36</v>
      </c>
      <c r="CB81" s="229">
        <v>9.9000000000000008E-3</v>
      </c>
      <c r="CC81" s="230">
        <v>3580</v>
      </c>
      <c r="CD81" s="230">
        <v>3552</v>
      </c>
      <c r="CE81" s="228">
        <v>28</v>
      </c>
      <c r="CF81" s="229">
        <v>7.9000000000000008E-3</v>
      </c>
      <c r="CG81" s="228">
        <v>58</v>
      </c>
      <c r="CH81" s="228">
        <v>53</v>
      </c>
      <c r="CI81" s="228">
        <v>5</v>
      </c>
      <c r="CJ81" s="229">
        <v>0.1032</v>
      </c>
      <c r="CK81" s="228">
        <v>7</v>
      </c>
      <c r="CL81" s="228">
        <v>5</v>
      </c>
      <c r="CM81" s="228">
        <v>2</v>
      </c>
      <c r="CN81" s="229">
        <v>0.4133</v>
      </c>
      <c r="CO81" s="230">
        <v>1099</v>
      </c>
      <c r="CP81" s="230">
        <v>1074</v>
      </c>
      <c r="CQ81" s="228">
        <v>25</v>
      </c>
      <c r="CR81" s="229">
        <v>2.29E-2</v>
      </c>
      <c r="CS81" s="228">
        <v>599</v>
      </c>
      <c r="CT81" s="228">
        <v>554</v>
      </c>
      <c r="CU81" s="228">
        <v>45</v>
      </c>
      <c r="CV81" s="229">
        <v>8.1199999999999994E-2</v>
      </c>
      <c r="CW81" s="230">
        <v>5343</v>
      </c>
      <c r="CX81" s="230">
        <v>5238</v>
      </c>
      <c r="CY81" s="228">
        <v>105</v>
      </c>
      <c r="CZ81" s="229">
        <v>2.01E-2</v>
      </c>
      <c r="DA81" s="228">
        <v>19.920000000000002</v>
      </c>
      <c r="DB81" s="228">
        <v>21.48</v>
      </c>
      <c r="DC81" s="228">
        <v>-1.56</v>
      </c>
      <c r="DD81" s="228">
        <v>-1.56</v>
      </c>
      <c r="DE81" s="228">
        <v>22.71</v>
      </c>
      <c r="DF81" s="228">
        <v>22.77</v>
      </c>
      <c r="DG81" s="228">
        <v>-2.79</v>
      </c>
      <c r="DH81" s="228">
        <v>-0.06</v>
      </c>
      <c r="DI81" s="228">
        <v>19.63</v>
      </c>
      <c r="DJ81" s="228">
        <v>21.19</v>
      </c>
      <c r="DK81" s="228">
        <v>-1.56</v>
      </c>
      <c r="DL81" s="228">
        <v>-1.56</v>
      </c>
      <c r="DM81" s="228">
        <v>20.45</v>
      </c>
      <c r="DN81" s="228">
        <v>21.88</v>
      </c>
      <c r="DO81" s="228">
        <v>-1.43</v>
      </c>
      <c r="DP81" s="228">
        <v>-1.43</v>
      </c>
      <c r="DQ81" s="228">
        <v>0.55000000000000004</v>
      </c>
      <c r="DR81" s="228">
        <v>0.52</v>
      </c>
      <c r="DS81" s="228">
        <v>0.03</v>
      </c>
      <c r="DT81" s="229">
        <v>5.7700000000000001E-2</v>
      </c>
      <c r="DU81" s="231">
        <v>2500</v>
      </c>
      <c r="DV81" s="231">
        <v>2200</v>
      </c>
      <c r="DW81" s="228">
        <v>0.54</v>
      </c>
      <c r="DX81" s="228">
        <v>0.73</v>
      </c>
      <c r="DY81" s="228">
        <v>-0.19</v>
      </c>
      <c r="DZ81" s="229">
        <v>-0.26029999999999998</v>
      </c>
      <c r="EA81" s="229">
        <v>1.7899999999999999E-2</v>
      </c>
      <c r="EB81" s="230">
        <v>255000</v>
      </c>
      <c r="EC81" s="229">
        <v>5.4000000000000003E-3</v>
      </c>
      <c r="ED81" s="229">
        <v>1.7899999999999999E-2</v>
      </c>
      <c r="EE81" s="228">
        <v>9.85</v>
      </c>
      <c r="EF81" s="229">
        <v>4.4000000000000003E-3</v>
      </c>
      <c r="EG81" s="230">
        <v>990245</v>
      </c>
      <c r="EH81" s="230">
        <v>1760466</v>
      </c>
      <c r="EI81" s="229">
        <v>-0.4375</v>
      </c>
      <c r="EJ81" s="229">
        <v>0.53910000000000002</v>
      </c>
      <c r="EK81" s="231">
        <v>1890.04</v>
      </c>
      <c r="EL81" s="228">
        <v>962.23</v>
      </c>
      <c r="EM81" s="228">
        <v>466.93</v>
      </c>
      <c r="EN81" s="228">
        <v>57.53</v>
      </c>
      <c r="EO81" s="231">
        <v>3319.2</v>
      </c>
      <c r="EP81" s="231">
        <v>3331.93</v>
      </c>
      <c r="EQ81" s="228">
        <v>-12.73</v>
      </c>
      <c r="ER81" s="229">
        <v>-3.8E-3</v>
      </c>
      <c r="ES81" s="231">
        <v>1175.95</v>
      </c>
      <c r="ET81" s="228">
        <v>593.76</v>
      </c>
      <c r="EU81" s="231">
        <v>3645.84</v>
      </c>
      <c r="EV81" s="231">
        <v>91001773</v>
      </c>
      <c r="EW81" s="231">
        <v>5415.56</v>
      </c>
      <c r="EX81" s="231">
        <v>5322.09</v>
      </c>
      <c r="EY81" s="228">
        <v>93.47</v>
      </c>
      <c r="EZ81" s="229">
        <v>1.7600000000000001E-2</v>
      </c>
      <c r="FA81" s="229">
        <v>0.2591</v>
      </c>
      <c r="FB81" s="227" t="s">
        <v>567</v>
      </c>
      <c r="FC81">
        <f t="shared" si="1"/>
        <v>65</v>
      </c>
    </row>
    <row r="82" spans="1:159" ht="17.25" hidden="1" thickBot="1" x14ac:dyDescent="0.3">
      <c r="A82" s="226">
        <v>46086</v>
      </c>
      <c r="B82" s="227" t="s">
        <v>227</v>
      </c>
      <c r="C82" s="227" t="s">
        <v>667</v>
      </c>
      <c r="D82" s="228">
        <v>1225</v>
      </c>
      <c r="E82" s="228">
        <v>25</v>
      </c>
      <c r="F82" s="228">
        <v>596.6</v>
      </c>
      <c r="G82" s="228">
        <v>592.95000000000005</v>
      </c>
      <c r="H82" s="228">
        <v>3.65</v>
      </c>
      <c r="I82" s="229">
        <v>6.1999999999999998E-3</v>
      </c>
      <c r="J82" s="228">
        <v>595.65</v>
      </c>
      <c r="K82" s="228">
        <v>591.25</v>
      </c>
      <c r="L82" s="228">
        <v>4.4000000000000004</v>
      </c>
      <c r="M82" s="229">
        <v>7.4000000000000003E-3</v>
      </c>
      <c r="N82" s="228">
        <v>596.6</v>
      </c>
      <c r="O82" s="228">
        <v>592.95000000000005</v>
      </c>
      <c r="P82" s="228">
        <v>3.65</v>
      </c>
      <c r="Q82" s="229">
        <v>6.1999999999999998E-3</v>
      </c>
      <c r="R82" s="228">
        <v>600.65</v>
      </c>
      <c r="S82" s="228">
        <v>596.75</v>
      </c>
      <c r="T82" s="228">
        <v>3.9</v>
      </c>
      <c r="U82" s="229">
        <v>6.4999999999999997E-3</v>
      </c>
      <c r="V82" s="228">
        <v>597.1</v>
      </c>
      <c r="W82" s="228">
        <v>597</v>
      </c>
      <c r="X82" s="228">
        <v>0.1</v>
      </c>
      <c r="Y82" s="229">
        <v>2.0000000000000001E-4</v>
      </c>
      <c r="Z82" s="228">
        <v>0.95</v>
      </c>
      <c r="AA82" s="228">
        <v>1.7</v>
      </c>
      <c r="AB82" s="228">
        <v>-0.75</v>
      </c>
      <c r="AC82" s="229">
        <v>1.6000000000000001E-3</v>
      </c>
      <c r="AD82" s="228">
        <v>0.95</v>
      </c>
      <c r="AE82" s="228">
        <v>1.7</v>
      </c>
      <c r="AF82" s="228">
        <v>-0.75</v>
      </c>
      <c r="AG82" s="229">
        <v>1.6000000000000001E-3</v>
      </c>
      <c r="AH82" s="228">
        <v>5</v>
      </c>
      <c r="AI82" s="228">
        <v>5.5</v>
      </c>
      <c r="AJ82" s="228">
        <v>-0.5</v>
      </c>
      <c r="AK82" s="229">
        <v>8.3999999999999995E-3</v>
      </c>
      <c r="AL82" s="228">
        <v>1.45</v>
      </c>
      <c r="AM82" s="228">
        <v>5.75</v>
      </c>
      <c r="AN82" s="228">
        <v>-4.3</v>
      </c>
      <c r="AO82" s="229">
        <v>2.3999999999999998E-3</v>
      </c>
      <c r="AP82" s="228">
        <v>599.67999999999995</v>
      </c>
      <c r="AQ82" s="228">
        <v>603.15</v>
      </c>
      <c r="AR82" s="228">
        <v>0</v>
      </c>
      <c r="AS82" s="228">
        <v>476</v>
      </c>
      <c r="AT82" s="228">
        <v>587</v>
      </c>
      <c r="AU82" s="228">
        <v>-111</v>
      </c>
      <c r="AV82" s="229">
        <v>-0.18890000000000001</v>
      </c>
      <c r="AW82" s="228">
        <v>450</v>
      </c>
      <c r="AX82" s="228">
        <v>550</v>
      </c>
      <c r="AY82" s="228">
        <v>-100</v>
      </c>
      <c r="AZ82" s="229">
        <v>-0.1817</v>
      </c>
      <c r="BA82" s="228">
        <v>23</v>
      </c>
      <c r="BB82" s="228">
        <v>33</v>
      </c>
      <c r="BC82" s="228">
        <v>-9</v>
      </c>
      <c r="BD82" s="229">
        <v>-0.28670000000000001</v>
      </c>
      <c r="BE82" s="228">
        <v>2</v>
      </c>
      <c r="BF82" s="228">
        <v>4</v>
      </c>
      <c r="BG82" s="228">
        <v>-2</v>
      </c>
      <c r="BH82" s="229">
        <v>-0.38179999999999997</v>
      </c>
      <c r="BI82" s="230">
        <v>1927</v>
      </c>
      <c r="BJ82" s="230">
        <v>1899</v>
      </c>
      <c r="BK82" s="228">
        <v>28</v>
      </c>
      <c r="BL82" s="229">
        <v>1.47E-2</v>
      </c>
      <c r="BM82" s="228">
        <v>801</v>
      </c>
      <c r="BN82" s="230">
        <v>1417</v>
      </c>
      <c r="BO82" s="228">
        <v>-615</v>
      </c>
      <c r="BP82" s="229">
        <v>-0.43440000000000001</v>
      </c>
      <c r="BQ82" s="230">
        <v>3204</v>
      </c>
      <c r="BR82" s="230">
        <v>3903</v>
      </c>
      <c r="BS82" s="228">
        <v>-698</v>
      </c>
      <c r="BT82" s="229">
        <v>-0.17899999999999999</v>
      </c>
      <c r="BU82" s="230">
        <v>5580434</v>
      </c>
      <c r="BV82" s="230">
        <v>8006380</v>
      </c>
      <c r="BW82" s="230">
        <v>-2425946</v>
      </c>
      <c r="BX82" s="229">
        <v>-0.30299999999999999</v>
      </c>
      <c r="BY82" s="230">
        <v>2140</v>
      </c>
      <c r="BZ82" s="230">
        <v>2113</v>
      </c>
      <c r="CA82" s="228">
        <v>27</v>
      </c>
      <c r="CB82" s="229">
        <v>1.26E-2</v>
      </c>
      <c r="CC82" s="230">
        <v>1974</v>
      </c>
      <c r="CD82" s="230">
        <v>1950</v>
      </c>
      <c r="CE82" s="228">
        <v>23</v>
      </c>
      <c r="CF82" s="229">
        <v>1.2E-2</v>
      </c>
      <c r="CG82" s="228">
        <v>133</v>
      </c>
      <c r="CH82" s="228">
        <v>130</v>
      </c>
      <c r="CI82" s="228">
        <v>3</v>
      </c>
      <c r="CJ82" s="229">
        <v>2.5899999999999999E-2</v>
      </c>
      <c r="CK82" s="228">
        <v>33</v>
      </c>
      <c r="CL82" s="228">
        <v>33</v>
      </c>
      <c r="CM82" s="228">
        <v>0</v>
      </c>
      <c r="CN82" s="229">
        <v>-2.2000000000000001E-3</v>
      </c>
      <c r="CO82" s="230">
        <v>1616</v>
      </c>
      <c r="CP82" s="230">
        <v>1511</v>
      </c>
      <c r="CQ82" s="228">
        <v>105</v>
      </c>
      <c r="CR82" s="229">
        <v>6.9099999999999995E-2</v>
      </c>
      <c r="CS82" s="228">
        <v>912</v>
      </c>
      <c r="CT82" s="228">
        <v>931</v>
      </c>
      <c r="CU82" s="228">
        <v>-19</v>
      </c>
      <c r="CV82" s="229">
        <v>-2.01E-2</v>
      </c>
      <c r="CW82" s="230">
        <v>4668</v>
      </c>
      <c r="CX82" s="230">
        <v>4556</v>
      </c>
      <c r="CY82" s="228">
        <v>112</v>
      </c>
      <c r="CZ82" s="229">
        <v>2.47E-2</v>
      </c>
      <c r="DA82" s="228">
        <v>38.6</v>
      </c>
      <c r="DB82" s="228">
        <v>41.81</v>
      </c>
      <c r="DC82" s="228">
        <v>-3.21</v>
      </c>
      <c r="DD82" s="228">
        <v>-3.21</v>
      </c>
      <c r="DE82" s="228">
        <v>50.02</v>
      </c>
      <c r="DF82" s="228">
        <v>50.14</v>
      </c>
      <c r="DG82" s="228">
        <v>-11.42</v>
      </c>
      <c r="DH82" s="228">
        <v>-0.12</v>
      </c>
      <c r="DI82" s="228">
        <v>38.380000000000003</v>
      </c>
      <c r="DJ82" s="228">
        <v>41.02</v>
      </c>
      <c r="DK82" s="228">
        <v>-2.64</v>
      </c>
      <c r="DL82" s="228">
        <v>-2.64</v>
      </c>
      <c r="DM82" s="228">
        <v>39.11</v>
      </c>
      <c r="DN82" s="228">
        <v>42.86</v>
      </c>
      <c r="DO82" s="228">
        <v>-3.75</v>
      </c>
      <c r="DP82" s="228">
        <v>-3.75</v>
      </c>
      <c r="DQ82" s="228">
        <v>0.56000000000000005</v>
      </c>
      <c r="DR82" s="228">
        <v>0.62</v>
      </c>
      <c r="DS82" s="228">
        <v>-0.06</v>
      </c>
      <c r="DT82" s="229">
        <v>-9.6799999999999997E-2</v>
      </c>
      <c r="DU82" s="228">
        <v>700</v>
      </c>
      <c r="DV82" s="228">
        <v>600</v>
      </c>
      <c r="DW82" s="228">
        <v>0.42</v>
      </c>
      <c r="DX82" s="228">
        <v>0.75</v>
      </c>
      <c r="DY82" s="228">
        <v>-0.33</v>
      </c>
      <c r="DZ82" s="229">
        <v>-0.44</v>
      </c>
      <c r="EA82" s="229">
        <v>7.7600000000000002E-2</v>
      </c>
      <c r="EB82" s="230">
        <v>2726850</v>
      </c>
      <c r="EC82" s="229">
        <v>6.7999999999999996E-3</v>
      </c>
      <c r="ED82" s="229">
        <v>7.7600000000000002E-2</v>
      </c>
      <c r="EE82" s="228">
        <v>3.47</v>
      </c>
      <c r="EF82" s="229">
        <v>5.7999999999999996E-3</v>
      </c>
      <c r="EG82" s="230">
        <v>1915325</v>
      </c>
      <c r="EH82" s="230">
        <v>3553885</v>
      </c>
      <c r="EI82" s="229">
        <v>-0.46110000000000001</v>
      </c>
      <c r="EJ82" s="229">
        <v>0.34320000000000001</v>
      </c>
      <c r="EK82" s="231">
        <v>2094.69</v>
      </c>
      <c r="EL82" s="228">
        <v>790.95</v>
      </c>
      <c r="EM82" s="228">
        <v>478.6</v>
      </c>
      <c r="EN82" s="228">
        <v>70.64</v>
      </c>
      <c r="EO82" s="231">
        <v>3364.24</v>
      </c>
      <c r="EP82" s="231">
        <v>4058.98</v>
      </c>
      <c r="EQ82" s="228">
        <v>-694.75</v>
      </c>
      <c r="ER82" s="229">
        <v>-0.17119999999999999</v>
      </c>
      <c r="ES82" s="231">
        <v>1776.39</v>
      </c>
      <c r="ET82" s="228">
        <v>904.93</v>
      </c>
      <c r="EU82" s="231">
        <v>2140.6</v>
      </c>
      <c r="EV82" s="231">
        <v>161247058</v>
      </c>
      <c r="EW82" s="231">
        <v>4821.92</v>
      </c>
      <c r="EX82" s="231">
        <v>4684.9399999999996</v>
      </c>
      <c r="EY82" s="228">
        <v>136.97999999999999</v>
      </c>
      <c r="EZ82" s="229">
        <v>2.92E-2</v>
      </c>
      <c r="FA82" s="229">
        <v>0.48520000000000002</v>
      </c>
      <c r="FB82" s="227" t="s">
        <v>555</v>
      </c>
      <c r="FC82">
        <f t="shared" si="1"/>
        <v>166</v>
      </c>
    </row>
    <row r="83" spans="1:159" ht="17.25" hidden="1" thickBot="1" x14ac:dyDescent="0.3">
      <c r="A83" s="226">
        <v>46086</v>
      </c>
      <c r="B83" s="227" t="s">
        <v>206</v>
      </c>
      <c r="C83" s="227" t="s">
        <v>608</v>
      </c>
      <c r="D83" s="228">
        <v>2775</v>
      </c>
      <c r="E83" s="228">
        <v>25</v>
      </c>
      <c r="F83" s="228">
        <v>179.01</v>
      </c>
      <c r="G83" s="228">
        <v>176.54</v>
      </c>
      <c r="H83" s="228">
        <v>2.4700000000000002</v>
      </c>
      <c r="I83" s="229">
        <v>1.4E-2</v>
      </c>
      <c r="J83" s="228">
        <v>178.27</v>
      </c>
      <c r="K83" s="228">
        <v>176.15</v>
      </c>
      <c r="L83" s="228">
        <v>2.12</v>
      </c>
      <c r="M83" s="229">
        <v>1.2E-2</v>
      </c>
      <c r="N83" s="228">
        <v>179.01</v>
      </c>
      <c r="O83" s="228">
        <v>176.54</v>
      </c>
      <c r="P83" s="228">
        <v>2.4700000000000002</v>
      </c>
      <c r="Q83" s="229">
        <v>1.4E-2</v>
      </c>
      <c r="R83" s="228">
        <v>179.92</v>
      </c>
      <c r="S83" s="228">
        <v>177.53</v>
      </c>
      <c r="T83" s="228">
        <v>2.39</v>
      </c>
      <c r="U83" s="229">
        <v>1.35E-2</v>
      </c>
      <c r="V83" s="228">
        <v>0</v>
      </c>
      <c r="W83" s="228">
        <v>0</v>
      </c>
      <c r="X83" s="228">
        <v>0</v>
      </c>
      <c r="Y83" s="229">
        <v>0</v>
      </c>
      <c r="Z83" s="228">
        <v>0.74</v>
      </c>
      <c r="AA83" s="228">
        <v>0.39</v>
      </c>
      <c r="AB83" s="228">
        <v>0.35</v>
      </c>
      <c r="AC83" s="229">
        <v>4.1999999999999997E-3</v>
      </c>
      <c r="AD83" s="228">
        <v>0.74</v>
      </c>
      <c r="AE83" s="228">
        <v>0.39</v>
      </c>
      <c r="AF83" s="228">
        <v>0.35</v>
      </c>
      <c r="AG83" s="229">
        <v>4.1999999999999997E-3</v>
      </c>
      <c r="AH83" s="228">
        <v>1.65</v>
      </c>
      <c r="AI83" s="228">
        <v>1.38</v>
      </c>
      <c r="AJ83" s="228">
        <v>0.27</v>
      </c>
      <c r="AK83" s="229">
        <v>9.2999999999999992E-3</v>
      </c>
      <c r="AL83" s="228">
        <v>0</v>
      </c>
      <c r="AM83" s="228">
        <v>0</v>
      </c>
      <c r="AN83" s="228">
        <v>0</v>
      </c>
      <c r="AO83" s="229">
        <v>0</v>
      </c>
      <c r="AP83" s="228">
        <v>177.07</v>
      </c>
      <c r="AQ83" s="228">
        <v>178.13</v>
      </c>
      <c r="AR83" s="228">
        <v>0</v>
      </c>
      <c r="AS83" s="228">
        <v>73</v>
      </c>
      <c r="AT83" s="228">
        <v>116</v>
      </c>
      <c r="AU83" s="228">
        <v>-43</v>
      </c>
      <c r="AV83" s="229">
        <v>-0.36709999999999998</v>
      </c>
      <c r="AW83" s="228">
        <v>68</v>
      </c>
      <c r="AX83" s="228">
        <v>110</v>
      </c>
      <c r="AY83" s="228">
        <v>-42</v>
      </c>
      <c r="AZ83" s="229">
        <v>-0.37919999999999998</v>
      </c>
      <c r="BA83" s="228">
        <v>5</v>
      </c>
      <c r="BB83" s="228">
        <v>6</v>
      </c>
      <c r="BC83" s="228">
        <v>-1</v>
      </c>
      <c r="BD83" s="229">
        <v>-0.13159999999999999</v>
      </c>
      <c r="BE83" s="228">
        <v>0</v>
      </c>
      <c r="BF83" s="228">
        <v>0</v>
      </c>
      <c r="BG83" s="228">
        <v>0</v>
      </c>
      <c r="BH83" s="229">
        <v>0</v>
      </c>
      <c r="BI83" s="228">
        <v>214</v>
      </c>
      <c r="BJ83" s="228">
        <v>188</v>
      </c>
      <c r="BK83" s="228">
        <v>26</v>
      </c>
      <c r="BL83" s="229">
        <v>0.13819999999999999</v>
      </c>
      <c r="BM83" s="228">
        <v>90</v>
      </c>
      <c r="BN83" s="228">
        <v>109</v>
      </c>
      <c r="BO83" s="228">
        <v>-19</v>
      </c>
      <c r="BP83" s="229">
        <v>-0.17849999999999999</v>
      </c>
      <c r="BQ83" s="228">
        <v>377</v>
      </c>
      <c r="BR83" s="228">
        <v>413</v>
      </c>
      <c r="BS83" s="228">
        <v>-36</v>
      </c>
      <c r="BT83" s="229">
        <v>-8.6999999999999994E-2</v>
      </c>
      <c r="BU83" s="230">
        <v>3035462</v>
      </c>
      <c r="BV83" s="230">
        <v>3862536</v>
      </c>
      <c r="BW83" s="230">
        <v>-827074</v>
      </c>
      <c r="BX83" s="229">
        <v>-0.21410000000000001</v>
      </c>
      <c r="BY83" s="228">
        <v>760</v>
      </c>
      <c r="BZ83" s="228">
        <v>767</v>
      </c>
      <c r="CA83" s="228">
        <v>-7</v>
      </c>
      <c r="CB83" s="229">
        <v>-9.1000000000000004E-3</v>
      </c>
      <c r="CC83" s="228">
        <v>735</v>
      </c>
      <c r="CD83" s="228">
        <v>743</v>
      </c>
      <c r="CE83" s="228">
        <v>-8</v>
      </c>
      <c r="CF83" s="229">
        <v>-1.0500000000000001E-2</v>
      </c>
      <c r="CG83" s="228">
        <v>24</v>
      </c>
      <c r="CH83" s="228">
        <v>23</v>
      </c>
      <c r="CI83" s="228">
        <v>1</v>
      </c>
      <c r="CJ83" s="229">
        <v>3.4099999999999998E-2</v>
      </c>
      <c r="CK83" s="228">
        <v>0</v>
      </c>
      <c r="CL83" s="228">
        <v>0</v>
      </c>
      <c r="CM83" s="228">
        <v>0</v>
      </c>
      <c r="CN83" s="229">
        <v>0</v>
      </c>
      <c r="CO83" s="228">
        <v>316</v>
      </c>
      <c r="CP83" s="228">
        <v>302</v>
      </c>
      <c r="CQ83" s="228">
        <v>14</v>
      </c>
      <c r="CR83" s="229">
        <v>4.7100000000000003E-2</v>
      </c>
      <c r="CS83" s="228">
        <v>228</v>
      </c>
      <c r="CT83" s="228">
        <v>222</v>
      </c>
      <c r="CU83" s="228">
        <v>6</v>
      </c>
      <c r="CV83" s="229">
        <v>2.8400000000000002E-2</v>
      </c>
      <c r="CW83" s="230">
        <v>1304</v>
      </c>
      <c r="CX83" s="230">
        <v>1290</v>
      </c>
      <c r="CY83" s="228">
        <v>14</v>
      </c>
      <c r="CZ83" s="229">
        <v>1.0500000000000001E-2</v>
      </c>
      <c r="DA83" s="228">
        <v>35.06</v>
      </c>
      <c r="DB83" s="228">
        <v>39.270000000000003</v>
      </c>
      <c r="DC83" s="228">
        <v>-4.21</v>
      </c>
      <c r="DD83" s="228">
        <v>-4.21</v>
      </c>
      <c r="DE83" s="228">
        <v>49.18</v>
      </c>
      <c r="DF83" s="228">
        <v>49.26</v>
      </c>
      <c r="DG83" s="228">
        <v>-14.12</v>
      </c>
      <c r="DH83" s="228">
        <v>-0.08</v>
      </c>
      <c r="DI83" s="228">
        <v>34.32</v>
      </c>
      <c r="DJ83" s="228">
        <v>38.86</v>
      </c>
      <c r="DK83" s="228">
        <v>-4.54</v>
      </c>
      <c r="DL83" s="228">
        <v>-4.54</v>
      </c>
      <c r="DM83" s="228">
        <v>36.82</v>
      </c>
      <c r="DN83" s="228">
        <v>39.99</v>
      </c>
      <c r="DO83" s="228">
        <v>-3.17</v>
      </c>
      <c r="DP83" s="228">
        <v>-3.17</v>
      </c>
      <c r="DQ83" s="228">
        <v>0.72</v>
      </c>
      <c r="DR83" s="228">
        <v>0.73</v>
      </c>
      <c r="DS83" s="228">
        <v>-0.01</v>
      </c>
      <c r="DT83" s="229">
        <v>-1.37E-2</v>
      </c>
      <c r="DU83" s="228">
        <v>200</v>
      </c>
      <c r="DV83" s="228">
        <v>175</v>
      </c>
      <c r="DW83" s="228">
        <v>0.42</v>
      </c>
      <c r="DX83" s="228">
        <v>0.57999999999999996</v>
      </c>
      <c r="DY83" s="228">
        <v>-0.16</v>
      </c>
      <c r="DZ83" s="229">
        <v>-0.27589999999999998</v>
      </c>
      <c r="EA83" s="229">
        <v>3.1699999999999999E-2</v>
      </c>
      <c r="EB83" s="230">
        <v>1301475</v>
      </c>
      <c r="EC83" s="229">
        <v>5.1000000000000004E-3</v>
      </c>
      <c r="ED83" s="229">
        <v>3.1699999999999999E-2</v>
      </c>
      <c r="EE83" s="228">
        <v>1.06</v>
      </c>
      <c r="EF83" s="229">
        <v>6.0000000000000001E-3</v>
      </c>
      <c r="EG83" s="230">
        <v>947990</v>
      </c>
      <c r="EH83" s="230">
        <v>1373503</v>
      </c>
      <c r="EI83" s="229">
        <v>-0.30980000000000002</v>
      </c>
      <c r="EJ83" s="229">
        <v>0.31230000000000002</v>
      </c>
      <c r="EK83" s="228">
        <v>232.22</v>
      </c>
      <c r="EL83" s="228">
        <v>88.8</v>
      </c>
      <c r="EM83" s="228">
        <v>72.56</v>
      </c>
      <c r="EN83" s="228">
        <v>27.36</v>
      </c>
      <c r="EO83" s="228">
        <v>393.57</v>
      </c>
      <c r="EP83" s="228">
        <v>429.6</v>
      </c>
      <c r="EQ83" s="228">
        <v>-36.020000000000003</v>
      </c>
      <c r="ER83" s="229">
        <v>-8.3900000000000002E-2</v>
      </c>
      <c r="ES83" s="228">
        <v>351.89</v>
      </c>
      <c r="ET83" s="228">
        <v>238.39</v>
      </c>
      <c r="EU83" s="228">
        <v>759.66</v>
      </c>
      <c r="EV83" s="231">
        <v>75071250</v>
      </c>
      <c r="EW83" s="231">
        <v>1349.93</v>
      </c>
      <c r="EX83" s="231">
        <v>1326.57</v>
      </c>
      <c r="EY83" s="228">
        <v>23.36</v>
      </c>
      <c r="EZ83" s="229">
        <v>1.7600000000000001E-2</v>
      </c>
      <c r="FA83" s="229">
        <v>0.97009999999999996</v>
      </c>
      <c r="FB83" s="227" t="s">
        <v>556</v>
      </c>
      <c r="FC83">
        <f t="shared" si="1"/>
        <v>25</v>
      </c>
    </row>
    <row r="84" spans="1:159" ht="17.25" hidden="1" thickBot="1" x14ac:dyDescent="0.3">
      <c r="A84" s="226">
        <v>46086</v>
      </c>
      <c r="B84" s="227" t="s">
        <v>172</v>
      </c>
      <c r="C84" s="227" t="s">
        <v>232</v>
      </c>
      <c r="D84" s="228">
        <v>700</v>
      </c>
      <c r="E84" s="228">
        <v>25</v>
      </c>
      <c r="F84" s="231">
        <v>1361.3</v>
      </c>
      <c r="G84" s="231">
        <v>1369.5</v>
      </c>
      <c r="H84" s="228">
        <v>-8.1999999999999993</v>
      </c>
      <c r="I84" s="229">
        <v>-6.0000000000000001E-3</v>
      </c>
      <c r="J84" s="231">
        <v>1357.6</v>
      </c>
      <c r="K84" s="231">
        <v>1365.4</v>
      </c>
      <c r="L84" s="228">
        <v>-7.8</v>
      </c>
      <c r="M84" s="229">
        <v>-5.7000000000000002E-3</v>
      </c>
      <c r="N84" s="231">
        <v>1361.3</v>
      </c>
      <c r="O84" s="231">
        <v>1369.5</v>
      </c>
      <c r="P84" s="228">
        <v>-8.1999999999999993</v>
      </c>
      <c r="Q84" s="229">
        <v>-6.0000000000000001E-3</v>
      </c>
      <c r="R84" s="231">
        <v>1369</v>
      </c>
      <c r="S84" s="231">
        <v>1377.4</v>
      </c>
      <c r="T84" s="228">
        <v>-8.4</v>
      </c>
      <c r="U84" s="229">
        <v>-6.1000000000000004E-3</v>
      </c>
      <c r="V84" s="231">
        <v>1375.6</v>
      </c>
      <c r="W84" s="231">
        <v>1382.9</v>
      </c>
      <c r="X84" s="228">
        <v>-7.3</v>
      </c>
      <c r="Y84" s="229">
        <v>-5.3E-3</v>
      </c>
      <c r="Z84" s="228">
        <v>3.7</v>
      </c>
      <c r="AA84" s="228">
        <v>4.0999999999999996</v>
      </c>
      <c r="AB84" s="228">
        <v>-0.4</v>
      </c>
      <c r="AC84" s="229">
        <v>2.7000000000000001E-3</v>
      </c>
      <c r="AD84" s="228">
        <v>3.7</v>
      </c>
      <c r="AE84" s="228">
        <v>4.0999999999999996</v>
      </c>
      <c r="AF84" s="228">
        <v>-0.4</v>
      </c>
      <c r="AG84" s="229">
        <v>2.7000000000000001E-3</v>
      </c>
      <c r="AH84" s="228">
        <v>11.4</v>
      </c>
      <c r="AI84" s="228">
        <v>12</v>
      </c>
      <c r="AJ84" s="228">
        <v>-0.6</v>
      </c>
      <c r="AK84" s="229">
        <v>8.3999999999999995E-3</v>
      </c>
      <c r="AL84" s="228">
        <v>18</v>
      </c>
      <c r="AM84" s="228">
        <v>17.5</v>
      </c>
      <c r="AN84" s="228">
        <v>0.5</v>
      </c>
      <c r="AO84" s="229">
        <v>1.3299999999999999E-2</v>
      </c>
      <c r="AP84" s="231">
        <v>1362.34</v>
      </c>
      <c r="AQ84" s="231">
        <v>1370.17</v>
      </c>
      <c r="AR84" s="228">
        <v>0</v>
      </c>
      <c r="AS84" s="230">
        <v>1888</v>
      </c>
      <c r="AT84" s="230">
        <v>2337</v>
      </c>
      <c r="AU84" s="228">
        <v>-449</v>
      </c>
      <c r="AV84" s="229">
        <v>-0.19209999999999999</v>
      </c>
      <c r="AW84" s="230">
        <v>1804</v>
      </c>
      <c r="AX84" s="230">
        <v>2269</v>
      </c>
      <c r="AY84" s="228">
        <v>-466</v>
      </c>
      <c r="AZ84" s="229">
        <v>-0.20519999999999999</v>
      </c>
      <c r="BA84" s="228">
        <v>75</v>
      </c>
      <c r="BB84" s="228">
        <v>51</v>
      </c>
      <c r="BC84" s="228">
        <v>24</v>
      </c>
      <c r="BD84" s="229">
        <v>0.47570000000000001</v>
      </c>
      <c r="BE84" s="228">
        <v>9</v>
      </c>
      <c r="BF84" s="228">
        <v>16</v>
      </c>
      <c r="BG84" s="228">
        <v>-8</v>
      </c>
      <c r="BH84" s="229">
        <v>-0.46779999999999999</v>
      </c>
      <c r="BI84" s="230">
        <v>4936</v>
      </c>
      <c r="BJ84" s="230">
        <v>5705</v>
      </c>
      <c r="BK84" s="228">
        <v>-769</v>
      </c>
      <c r="BL84" s="229">
        <v>-0.1348</v>
      </c>
      <c r="BM84" s="230">
        <v>2577</v>
      </c>
      <c r="BN84" s="230">
        <v>3931</v>
      </c>
      <c r="BO84" s="230">
        <v>-1354</v>
      </c>
      <c r="BP84" s="229">
        <v>-0.34429999999999999</v>
      </c>
      <c r="BQ84" s="230">
        <v>9401</v>
      </c>
      <c r="BR84" s="230">
        <v>11973</v>
      </c>
      <c r="BS84" s="230">
        <v>-2571</v>
      </c>
      <c r="BT84" s="229">
        <v>-0.21479999999999999</v>
      </c>
      <c r="BU84" s="230">
        <v>18249839</v>
      </c>
      <c r="BV84" s="230">
        <v>20682955</v>
      </c>
      <c r="BW84" s="230">
        <v>-2433116</v>
      </c>
      <c r="BX84" s="229">
        <v>-0.1176</v>
      </c>
      <c r="BY84" s="230">
        <v>15876</v>
      </c>
      <c r="BZ84" s="230">
        <v>15575</v>
      </c>
      <c r="CA84" s="228">
        <v>301</v>
      </c>
      <c r="CB84" s="229">
        <v>1.9300000000000001E-2</v>
      </c>
      <c r="CC84" s="230">
        <v>15650</v>
      </c>
      <c r="CD84" s="230">
        <v>15380</v>
      </c>
      <c r="CE84" s="228">
        <v>271</v>
      </c>
      <c r="CF84" s="229">
        <v>1.7600000000000001E-2</v>
      </c>
      <c r="CG84" s="228">
        <v>197</v>
      </c>
      <c r="CH84" s="228">
        <v>170</v>
      </c>
      <c r="CI84" s="228">
        <v>27</v>
      </c>
      <c r="CJ84" s="229">
        <v>0.16170000000000001</v>
      </c>
      <c r="CK84" s="228">
        <v>28</v>
      </c>
      <c r="CL84" s="228">
        <v>26</v>
      </c>
      <c r="CM84" s="228">
        <v>3</v>
      </c>
      <c r="CN84" s="229">
        <v>0.1119</v>
      </c>
      <c r="CO84" s="230">
        <v>3227</v>
      </c>
      <c r="CP84" s="230">
        <v>2905</v>
      </c>
      <c r="CQ84" s="228">
        <v>322</v>
      </c>
      <c r="CR84" s="229">
        <v>0.1108</v>
      </c>
      <c r="CS84" s="230">
        <v>2025</v>
      </c>
      <c r="CT84" s="230">
        <v>2058</v>
      </c>
      <c r="CU84" s="228">
        <v>-33</v>
      </c>
      <c r="CV84" s="229">
        <v>-1.6199999999999999E-2</v>
      </c>
      <c r="CW84" s="230">
        <v>21127</v>
      </c>
      <c r="CX84" s="230">
        <v>20537</v>
      </c>
      <c r="CY84" s="228">
        <v>590</v>
      </c>
      <c r="CZ84" s="229">
        <v>2.87E-2</v>
      </c>
      <c r="DA84" s="228">
        <v>16.920000000000002</v>
      </c>
      <c r="DB84" s="228">
        <v>19.63</v>
      </c>
      <c r="DC84" s="228">
        <v>-2.71</v>
      </c>
      <c r="DD84" s="228">
        <v>-2.71</v>
      </c>
      <c r="DE84" s="228">
        <v>20.85</v>
      </c>
      <c r="DF84" s="228">
        <v>20.89</v>
      </c>
      <c r="DG84" s="228">
        <v>-3.93</v>
      </c>
      <c r="DH84" s="228">
        <v>-0.04</v>
      </c>
      <c r="DI84" s="228">
        <v>16.45</v>
      </c>
      <c r="DJ84" s="228">
        <v>18.510000000000002</v>
      </c>
      <c r="DK84" s="228">
        <v>-2.06</v>
      </c>
      <c r="DL84" s="228">
        <v>-2.06</v>
      </c>
      <c r="DM84" s="228">
        <v>17.829999999999998</v>
      </c>
      <c r="DN84" s="228">
        <v>21.27</v>
      </c>
      <c r="DO84" s="228">
        <v>-3.44</v>
      </c>
      <c r="DP84" s="228">
        <v>-3.44</v>
      </c>
      <c r="DQ84" s="228">
        <v>0.63</v>
      </c>
      <c r="DR84" s="228">
        <v>0.71</v>
      </c>
      <c r="DS84" s="228">
        <v>-0.08</v>
      </c>
      <c r="DT84" s="229">
        <v>-0.11269999999999999</v>
      </c>
      <c r="DU84" s="231">
        <v>1400</v>
      </c>
      <c r="DV84" s="231">
        <v>1400</v>
      </c>
      <c r="DW84" s="228">
        <v>0.52</v>
      </c>
      <c r="DX84" s="228">
        <v>0.69</v>
      </c>
      <c r="DY84" s="228">
        <v>-0.17</v>
      </c>
      <c r="DZ84" s="229">
        <v>-0.24640000000000001</v>
      </c>
      <c r="EA84" s="229">
        <v>1.4200000000000001E-2</v>
      </c>
      <c r="EB84" s="230">
        <v>1434300</v>
      </c>
      <c r="EC84" s="229">
        <v>5.7000000000000002E-3</v>
      </c>
      <c r="ED84" s="229">
        <v>1.4200000000000001E-2</v>
      </c>
      <c r="EE84" s="228">
        <v>7.83</v>
      </c>
      <c r="EF84" s="229">
        <v>5.7000000000000002E-3</v>
      </c>
      <c r="EG84" s="230">
        <v>7787598</v>
      </c>
      <c r="EH84" s="230">
        <v>12969006</v>
      </c>
      <c r="EI84" s="229">
        <v>-0.39950000000000002</v>
      </c>
      <c r="EJ84" s="229">
        <v>0.42670000000000002</v>
      </c>
      <c r="EK84" s="231">
        <v>5095.9399999999996</v>
      </c>
      <c r="EL84" s="231">
        <v>2561.46</v>
      </c>
      <c r="EM84" s="231">
        <v>1889.78</v>
      </c>
      <c r="EN84" s="228">
        <v>206.73</v>
      </c>
      <c r="EO84" s="231">
        <v>9547.17</v>
      </c>
      <c r="EP84" s="231">
        <v>12148.55</v>
      </c>
      <c r="EQ84" s="231">
        <v>-2601.38</v>
      </c>
      <c r="ER84" s="229">
        <v>-0.21410000000000001</v>
      </c>
      <c r="ES84" s="231">
        <v>3352.37</v>
      </c>
      <c r="ET84" s="231">
        <v>2010.92</v>
      </c>
      <c r="EU84" s="231">
        <v>15877.37</v>
      </c>
      <c r="EV84" s="231">
        <v>580601807</v>
      </c>
      <c r="EW84" s="231">
        <v>21240.66</v>
      </c>
      <c r="EX84" s="231">
        <v>20737.810000000001</v>
      </c>
      <c r="EY84" s="228">
        <v>502.85</v>
      </c>
      <c r="EZ84" s="229">
        <v>2.4199999999999999E-2</v>
      </c>
      <c r="FA84" s="229">
        <v>0.26729999999999998</v>
      </c>
      <c r="FB84" s="227" t="s">
        <v>567</v>
      </c>
      <c r="FC84">
        <f t="shared" si="1"/>
        <v>226</v>
      </c>
    </row>
    <row r="85" spans="1:159" ht="17.25" hidden="1" thickBot="1" x14ac:dyDescent="0.3">
      <c r="A85" s="226">
        <v>46086</v>
      </c>
      <c r="B85" s="227" t="s">
        <v>175</v>
      </c>
      <c r="C85" s="227" t="s">
        <v>472</v>
      </c>
      <c r="D85" s="228">
        <v>325</v>
      </c>
      <c r="E85" s="228">
        <v>25</v>
      </c>
      <c r="F85" s="231">
        <v>1879.9</v>
      </c>
      <c r="G85" s="231">
        <v>1860.8</v>
      </c>
      <c r="H85" s="228">
        <v>19.100000000000001</v>
      </c>
      <c r="I85" s="229">
        <v>1.03E-2</v>
      </c>
      <c r="J85" s="231">
        <v>1875.2</v>
      </c>
      <c r="K85" s="231">
        <v>1855.5</v>
      </c>
      <c r="L85" s="228">
        <v>19.7</v>
      </c>
      <c r="M85" s="229">
        <v>1.06E-2</v>
      </c>
      <c r="N85" s="231">
        <v>1879.9</v>
      </c>
      <c r="O85" s="231">
        <v>1860.8</v>
      </c>
      <c r="P85" s="228">
        <v>19.100000000000001</v>
      </c>
      <c r="Q85" s="229">
        <v>1.03E-2</v>
      </c>
      <c r="R85" s="231">
        <v>1885.4</v>
      </c>
      <c r="S85" s="231">
        <v>1865</v>
      </c>
      <c r="T85" s="228">
        <v>20.399999999999999</v>
      </c>
      <c r="U85" s="229">
        <v>1.09E-2</v>
      </c>
      <c r="V85" s="228">
        <v>0</v>
      </c>
      <c r="W85" s="228">
        <v>0</v>
      </c>
      <c r="X85" s="228">
        <v>0</v>
      </c>
      <c r="Y85" s="229">
        <v>0</v>
      </c>
      <c r="Z85" s="228">
        <v>4.7</v>
      </c>
      <c r="AA85" s="228">
        <v>5.3</v>
      </c>
      <c r="AB85" s="228">
        <v>-0.6</v>
      </c>
      <c r="AC85" s="229">
        <v>2.5000000000000001E-3</v>
      </c>
      <c r="AD85" s="228">
        <v>4.7</v>
      </c>
      <c r="AE85" s="228">
        <v>5.3</v>
      </c>
      <c r="AF85" s="228">
        <v>-0.6</v>
      </c>
      <c r="AG85" s="229">
        <v>2.5000000000000001E-3</v>
      </c>
      <c r="AH85" s="228">
        <v>10.199999999999999</v>
      </c>
      <c r="AI85" s="228">
        <v>9.5</v>
      </c>
      <c r="AJ85" s="228">
        <v>0.7</v>
      </c>
      <c r="AK85" s="229">
        <v>5.4000000000000003E-3</v>
      </c>
      <c r="AL85" s="228">
        <v>0</v>
      </c>
      <c r="AM85" s="228">
        <v>0</v>
      </c>
      <c r="AN85" s="228">
        <v>0</v>
      </c>
      <c r="AO85" s="229">
        <v>0</v>
      </c>
      <c r="AP85" s="231">
        <v>1865.3</v>
      </c>
      <c r="AQ85" s="231">
        <v>1875.26</v>
      </c>
      <c r="AR85" s="228">
        <v>0</v>
      </c>
      <c r="AS85" s="228">
        <v>98</v>
      </c>
      <c r="AT85" s="228">
        <v>175</v>
      </c>
      <c r="AU85" s="228">
        <v>-77</v>
      </c>
      <c r="AV85" s="229">
        <v>-0.44119999999999998</v>
      </c>
      <c r="AW85" s="228">
        <v>96</v>
      </c>
      <c r="AX85" s="228">
        <v>173</v>
      </c>
      <c r="AY85" s="228">
        <v>-77</v>
      </c>
      <c r="AZ85" s="229">
        <v>-0.44379999999999997</v>
      </c>
      <c r="BA85" s="228">
        <v>1</v>
      </c>
      <c r="BB85" s="228">
        <v>2</v>
      </c>
      <c r="BC85" s="228">
        <v>0</v>
      </c>
      <c r="BD85" s="229">
        <v>-0.2</v>
      </c>
      <c r="BE85" s="228">
        <v>0</v>
      </c>
      <c r="BF85" s="228">
        <v>0</v>
      </c>
      <c r="BG85" s="228">
        <v>0</v>
      </c>
      <c r="BH85" s="229">
        <v>0</v>
      </c>
      <c r="BI85" s="228">
        <v>98</v>
      </c>
      <c r="BJ85" s="228">
        <v>170</v>
      </c>
      <c r="BK85" s="228">
        <v>-72</v>
      </c>
      <c r="BL85" s="229">
        <v>-0.4234</v>
      </c>
      <c r="BM85" s="228">
        <v>59</v>
      </c>
      <c r="BN85" s="228">
        <v>143</v>
      </c>
      <c r="BO85" s="228">
        <v>-84</v>
      </c>
      <c r="BP85" s="229">
        <v>-0.58750000000000002</v>
      </c>
      <c r="BQ85" s="228">
        <v>254</v>
      </c>
      <c r="BR85" s="228">
        <v>487</v>
      </c>
      <c r="BS85" s="228">
        <v>-233</v>
      </c>
      <c r="BT85" s="229">
        <v>-0.47799999999999998</v>
      </c>
      <c r="BU85" s="230">
        <v>653138</v>
      </c>
      <c r="BV85" s="230">
        <v>724142</v>
      </c>
      <c r="BW85" s="230">
        <v>-71004</v>
      </c>
      <c r="BX85" s="229">
        <v>-9.8100000000000007E-2</v>
      </c>
      <c r="BY85" s="228">
        <v>883</v>
      </c>
      <c r="BZ85" s="228">
        <v>888</v>
      </c>
      <c r="CA85" s="228">
        <v>-5</v>
      </c>
      <c r="CB85" s="229">
        <v>-5.1999999999999998E-3</v>
      </c>
      <c r="CC85" s="228">
        <v>880</v>
      </c>
      <c r="CD85" s="228">
        <v>884</v>
      </c>
      <c r="CE85" s="228">
        <v>-5</v>
      </c>
      <c r="CF85" s="229">
        <v>-5.3E-3</v>
      </c>
      <c r="CG85" s="228">
        <v>4</v>
      </c>
      <c r="CH85" s="228">
        <v>4</v>
      </c>
      <c r="CI85" s="228">
        <v>0</v>
      </c>
      <c r="CJ85" s="229">
        <v>0</v>
      </c>
      <c r="CK85" s="228">
        <v>0</v>
      </c>
      <c r="CL85" s="228">
        <v>0</v>
      </c>
      <c r="CM85" s="228">
        <v>0</v>
      </c>
      <c r="CN85" s="229">
        <v>0</v>
      </c>
      <c r="CO85" s="228">
        <v>153</v>
      </c>
      <c r="CP85" s="228">
        <v>141</v>
      </c>
      <c r="CQ85" s="228">
        <v>12</v>
      </c>
      <c r="CR85" s="229">
        <v>8.43E-2</v>
      </c>
      <c r="CS85" s="228">
        <v>114</v>
      </c>
      <c r="CT85" s="228">
        <v>121</v>
      </c>
      <c r="CU85" s="228">
        <v>-7</v>
      </c>
      <c r="CV85" s="229">
        <v>-5.3999999999999999E-2</v>
      </c>
      <c r="CW85" s="230">
        <v>1151</v>
      </c>
      <c r="CX85" s="230">
        <v>1150</v>
      </c>
      <c r="CY85" s="228">
        <v>1</v>
      </c>
      <c r="CZ85" s="229">
        <v>5.9999999999999995E-4</v>
      </c>
      <c r="DA85" s="228">
        <v>21.72</v>
      </c>
      <c r="DB85" s="228">
        <v>23.14</v>
      </c>
      <c r="DC85" s="228">
        <v>-1.42</v>
      </c>
      <c r="DD85" s="228">
        <v>-1.42</v>
      </c>
      <c r="DE85" s="228">
        <v>27</v>
      </c>
      <c r="DF85" s="228">
        <v>27.03</v>
      </c>
      <c r="DG85" s="228">
        <v>-5.28</v>
      </c>
      <c r="DH85" s="228">
        <v>-0.03</v>
      </c>
      <c r="DI85" s="228">
        <v>21.19</v>
      </c>
      <c r="DJ85" s="228">
        <v>22.66</v>
      </c>
      <c r="DK85" s="228">
        <v>-1.47</v>
      </c>
      <c r="DL85" s="228">
        <v>-1.47</v>
      </c>
      <c r="DM85" s="228">
        <v>22.61</v>
      </c>
      <c r="DN85" s="228">
        <v>23.72</v>
      </c>
      <c r="DO85" s="228">
        <v>-1.1100000000000001</v>
      </c>
      <c r="DP85" s="228">
        <v>-1.1100000000000001</v>
      </c>
      <c r="DQ85" s="228">
        <v>0.75</v>
      </c>
      <c r="DR85" s="228">
        <v>0.86</v>
      </c>
      <c r="DS85" s="228">
        <v>-0.11</v>
      </c>
      <c r="DT85" s="229">
        <v>-0.12790000000000001</v>
      </c>
      <c r="DU85" s="231">
        <v>2000</v>
      </c>
      <c r="DV85" s="231">
        <v>1900</v>
      </c>
      <c r="DW85" s="228">
        <v>0.6</v>
      </c>
      <c r="DX85" s="228">
        <v>0.84</v>
      </c>
      <c r="DY85" s="228">
        <v>-0.24</v>
      </c>
      <c r="DZ85" s="229">
        <v>-0.28570000000000001</v>
      </c>
      <c r="EA85" s="229">
        <v>4.1000000000000003E-3</v>
      </c>
      <c r="EB85" s="230">
        <v>19175</v>
      </c>
      <c r="EC85" s="229">
        <v>2.8999999999999998E-3</v>
      </c>
      <c r="ED85" s="229">
        <v>4.1000000000000003E-3</v>
      </c>
      <c r="EE85" s="228">
        <v>9.9600000000000009</v>
      </c>
      <c r="EF85" s="229">
        <v>5.3E-3</v>
      </c>
      <c r="EG85" s="230">
        <v>422113</v>
      </c>
      <c r="EH85" s="230">
        <v>448111</v>
      </c>
      <c r="EI85" s="229">
        <v>-5.8000000000000003E-2</v>
      </c>
      <c r="EJ85" s="229">
        <v>0.64629999999999999</v>
      </c>
      <c r="EK85" s="228">
        <v>102.46</v>
      </c>
      <c r="EL85" s="228">
        <v>58.06</v>
      </c>
      <c r="EM85" s="228">
        <v>96.82</v>
      </c>
      <c r="EN85" s="228">
        <v>19.29</v>
      </c>
      <c r="EO85" s="228">
        <v>257.35000000000002</v>
      </c>
      <c r="EP85" s="228">
        <v>492.84</v>
      </c>
      <c r="EQ85" s="228">
        <v>-235.49</v>
      </c>
      <c r="ER85" s="229">
        <v>-0.4778</v>
      </c>
      <c r="ES85" s="228">
        <v>160.66</v>
      </c>
      <c r="ET85" s="228">
        <v>112.62</v>
      </c>
      <c r="EU85" s="228">
        <v>883.41</v>
      </c>
      <c r="EV85" s="231">
        <v>28747897</v>
      </c>
      <c r="EW85" s="231">
        <v>1156.69</v>
      </c>
      <c r="EX85" s="231">
        <v>1145.92</v>
      </c>
      <c r="EY85" s="228">
        <v>10.77</v>
      </c>
      <c r="EZ85" s="229">
        <v>9.4000000000000004E-3</v>
      </c>
      <c r="FA85" s="229">
        <v>0.21299999999999999</v>
      </c>
      <c r="FB85" s="227" t="s">
        <v>556</v>
      </c>
      <c r="FC85">
        <f t="shared" si="1"/>
        <v>3</v>
      </c>
    </row>
    <row r="86" spans="1:159" ht="17.25" hidden="1" thickBot="1" x14ac:dyDescent="0.3">
      <c r="A86" s="226">
        <v>46086</v>
      </c>
      <c r="B86" s="227" t="s">
        <v>175</v>
      </c>
      <c r="C86" s="227" t="s">
        <v>233</v>
      </c>
      <c r="D86" s="228">
        <v>925</v>
      </c>
      <c r="E86" s="228">
        <v>25</v>
      </c>
      <c r="F86" s="228">
        <v>629.85</v>
      </c>
      <c r="G86" s="228">
        <v>628</v>
      </c>
      <c r="H86" s="228">
        <v>1.85</v>
      </c>
      <c r="I86" s="229">
        <v>2.8999999999999998E-3</v>
      </c>
      <c r="J86" s="228">
        <v>627.45000000000005</v>
      </c>
      <c r="K86" s="228">
        <v>625.75</v>
      </c>
      <c r="L86" s="228">
        <v>1.7</v>
      </c>
      <c r="M86" s="229">
        <v>2.7000000000000001E-3</v>
      </c>
      <c r="N86" s="228">
        <v>629.85</v>
      </c>
      <c r="O86" s="228">
        <v>628</v>
      </c>
      <c r="P86" s="228">
        <v>1.85</v>
      </c>
      <c r="Q86" s="229">
        <v>2.8999999999999998E-3</v>
      </c>
      <c r="R86" s="228">
        <v>633.85</v>
      </c>
      <c r="S86" s="228">
        <v>632.35</v>
      </c>
      <c r="T86" s="228">
        <v>1.5</v>
      </c>
      <c r="U86" s="229">
        <v>2.3999999999999998E-3</v>
      </c>
      <c r="V86" s="228">
        <v>629.25</v>
      </c>
      <c r="W86" s="228">
        <v>638.20000000000005</v>
      </c>
      <c r="X86" s="228">
        <v>-8.9499999999999993</v>
      </c>
      <c r="Y86" s="229">
        <v>-1.4E-2</v>
      </c>
      <c r="Z86" s="228">
        <v>2.4</v>
      </c>
      <c r="AA86" s="228">
        <v>2.25</v>
      </c>
      <c r="AB86" s="228">
        <v>0.15</v>
      </c>
      <c r="AC86" s="229">
        <v>3.8E-3</v>
      </c>
      <c r="AD86" s="228">
        <v>2.4</v>
      </c>
      <c r="AE86" s="228">
        <v>2.25</v>
      </c>
      <c r="AF86" s="228">
        <v>0.15</v>
      </c>
      <c r="AG86" s="229">
        <v>3.8E-3</v>
      </c>
      <c r="AH86" s="228">
        <v>6.4</v>
      </c>
      <c r="AI86" s="228">
        <v>6.6</v>
      </c>
      <c r="AJ86" s="228">
        <v>-0.2</v>
      </c>
      <c r="AK86" s="229">
        <v>1.0200000000000001E-2</v>
      </c>
      <c r="AL86" s="228">
        <v>1.8</v>
      </c>
      <c r="AM86" s="228">
        <v>12.45</v>
      </c>
      <c r="AN86" s="228">
        <v>-10.65</v>
      </c>
      <c r="AO86" s="229">
        <v>2.8999999999999998E-3</v>
      </c>
      <c r="AP86" s="228">
        <v>626.82000000000005</v>
      </c>
      <c r="AQ86" s="228">
        <v>629.65</v>
      </c>
      <c r="AR86" s="228">
        <v>0</v>
      </c>
      <c r="AS86" s="228">
        <v>78</v>
      </c>
      <c r="AT86" s="228">
        <v>123</v>
      </c>
      <c r="AU86" s="228">
        <v>-46</v>
      </c>
      <c r="AV86" s="229">
        <v>-0.37019999999999997</v>
      </c>
      <c r="AW86" s="228">
        <v>76</v>
      </c>
      <c r="AX86" s="228">
        <v>119</v>
      </c>
      <c r="AY86" s="228">
        <v>-43</v>
      </c>
      <c r="AZ86" s="229">
        <v>-0.3604</v>
      </c>
      <c r="BA86" s="228">
        <v>2</v>
      </c>
      <c r="BB86" s="228">
        <v>5</v>
      </c>
      <c r="BC86" s="228">
        <v>-3</v>
      </c>
      <c r="BD86" s="229">
        <v>-0.64100000000000001</v>
      </c>
      <c r="BE86" s="228">
        <v>0</v>
      </c>
      <c r="BF86" s="228">
        <v>0</v>
      </c>
      <c r="BG86" s="228">
        <v>0</v>
      </c>
      <c r="BH86" s="229">
        <v>0</v>
      </c>
      <c r="BI86" s="228">
        <v>127</v>
      </c>
      <c r="BJ86" s="228">
        <v>142</v>
      </c>
      <c r="BK86" s="228">
        <v>-15</v>
      </c>
      <c r="BL86" s="229">
        <v>-0.1037</v>
      </c>
      <c r="BM86" s="228">
        <v>122</v>
      </c>
      <c r="BN86" s="228">
        <v>103</v>
      </c>
      <c r="BO86" s="228">
        <v>19</v>
      </c>
      <c r="BP86" s="229">
        <v>0.18110000000000001</v>
      </c>
      <c r="BQ86" s="228">
        <v>327</v>
      </c>
      <c r="BR86" s="228">
        <v>368</v>
      </c>
      <c r="BS86" s="228">
        <v>-42</v>
      </c>
      <c r="BT86" s="229">
        <v>-0.1133</v>
      </c>
      <c r="BU86" s="230">
        <v>567291</v>
      </c>
      <c r="BV86" s="230">
        <v>904339</v>
      </c>
      <c r="BW86" s="230">
        <v>-337048</v>
      </c>
      <c r="BX86" s="229">
        <v>-0.37269999999999998</v>
      </c>
      <c r="BY86" s="230">
        <v>1197</v>
      </c>
      <c r="BZ86" s="230">
        <v>1203</v>
      </c>
      <c r="CA86" s="228">
        <v>-6</v>
      </c>
      <c r="CB86" s="229">
        <v>-5.0000000000000001E-3</v>
      </c>
      <c r="CC86" s="230">
        <v>1192</v>
      </c>
      <c r="CD86" s="230">
        <v>1198</v>
      </c>
      <c r="CE86" s="228">
        <v>-6</v>
      </c>
      <c r="CF86" s="229">
        <v>-5.1999999999999998E-3</v>
      </c>
      <c r="CG86" s="228">
        <v>5</v>
      </c>
      <c r="CH86" s="228">
        <v>5</v>
      </c>
      <c r="CI86" s="228">
        <v>0</v>
      </c>
      <c r="CJ86" s="229">
        <v>2.53E-2</v>
      </c>
      <c r="CK86" s="228">
        <v>0</v>
      </c>
      <c r="CL86" s="228">
        <v>0</v>
      </c>
      <c r="CM86" s="228">
        <v>0</v>
      </c>
      <c r="CN86" s="229">
        <v>0.33329999999999999</v>
      </c>
      <c r="CO86" s="228">
        <v>179</v>
      </c>
      <c r="CP86" s="228">
        <v>163</v>
      </c>
      <c r="CQ86" s="228">
        <v>16</v>
      </c>
      <c r="CR86" s="229">
        <v>9.5200000000000007E-2</v>
      </c>
      <c r="CS86" s="228">
        <v>121</v>
      </c>
      <c r="CT86" s="228">
        <v>110</v>
      </c>
      <c r="CU86" s="228">
        <v>12</v>
      </c>
      <c r="CV86" s="229">
        <v>0.10489999999999999</v>
      </c>
      <c r="CW86" s="230">
        <v>1498</v>
      </c>
      <c r="CX86" s="230">
        <v>1477</v>
      </c>
      <c r="CY86" s="228">
        <v>21</v>
      </c>
      <c r="CZ86" s="229">
        <v>1.43E-2</v>
      </c>
      <c r="DA86" s="228">
        <v>25.34</v>
      </c>
      <c r="DB86" s="228">
        <v>27.24</v>
      </c>
      <c r="DC86" s="228">
        <v>-1.9</v>
      </c>
      <c r="DD86" s="228">
        <v>-1.9</v>
      </c>
      <c r="DE86" s="228">
        <v>26.95</v>
      </c>
      <c r="DF86" s="228">
        <v>27.02</v>
      </c>
      <c r="DG86" s="228">
        <v>-1.61</v>
      </c>
      <c r="DH86" s="228">
        <v>-7.0000000000000007E-2</v>
      </c>
      <c r="DI86" s="228">
        <v>24.47</v>
      </c>
      <c r="DJ86" s="228">
        <v>26.75</v>
      </c>
      <c r="DK86" s="228">
        <v>-2.2799999999999998</v>
      </c>
      <c r="DL86" s="228">
        <v>-2.2799999999999998</v>
      </c>
      <c r="DM86" s="228">
        <v>26.24</v>
      </c>
      <c r="DN86" s="228">
        <v>27.92</v>
      </c>
      <c r="DO86" s="228">
        <v>-1.68</v>
      </c>
      <c r="DP86" s="228">
        <v>-1.68</v>
      </c>
      <c r="DQ86" s="228">
        <v>0.68</v>
      </c>
      <c r="DR86" s="228">
        <v>0.67</v>
      </c>
      <c r="DS86" s="228">
        <v>0.01</v>
      </c>
      <c r="DT86" s="229">
        <v>1.49E-2</v>
      </c>
      <c r="DU86" s="228">
        <v>680</v>
      </c>
      <c r="DV86" s="228">
        <v>630</v>
      </c>
      <c r="DW86" s="228">
        <v>0.95</v>
      </c>
      <c r="DX86" s="228">
        <v>0.72</v>
      </c>
      <c r="DY86" s="228">
        <v>0.23</v>
      </c>
      <c r="DZ86" s="229">
        <v>0.31940000000000002</v>
      </c>
      <c r="EA86" s="229">
        <v>4.1000000000000003E-3</v>
      </c>
      <c r="EB86" s="230">
        <v>75850</v>
      </c>
      <c r="EC86" s="229">
        <v>6.4000000000000003E-3</v>
      </c>
      <c r="ED86" s="229">
        <v>4.1000000000000003E-3</v>
      </c>
      <c r="EE86" s="228">
        <v>2.83</v>
      </c>
      <c r="EF86" s="229">
        <v>4.4999999999999997E-3</v>
      </c>
      <c r="EG86" s="230">
        <v>261811</v>
      </c>
      <c r="EH86" s="230">
        <v>501706</v>
      </c>
      <c r="EI86" s="229">
        <v>-0.47820000000000001</v>
      </c>
      <c r="EJ86" s="229">
        <v>0.46150000000000002</v>
      </c>
      <c r="EK86" s="228">
        <v>135.06</v>
      </c>
      <c r="EL86" s="228">
        <v>121.58</v>
      </c>
      <c r="EM86" s="228">
        <v>77.239999999999995</v>
      </c>
      <c r="EN86" s="228">
        <v>20.28</v>
      </c>
      <c r="EO86" s="228">
        <v>333.88</v>
      </c>
      <c r="EP86" s="228">
        <v>380.5</v>
      </c>
      <c r="EQ86" s="228">
        <v>-46.62</v>
      </c>
      <c r="ER86" s="229">
        <v>-0.1225</v>
      </c>
      <c r="ES86" s="228">
        <v>192.74</v>
      </c>
      <c r="ET86" s="228">
        <v>121.02</v>
      </c>
      <c r="EU86" s="231">
        <v>1197.18</v>
      </c>
      <c r="EV86" s="231">
        <v>58746582</v>
      </c>
      <c r="EW86" s="231">
        <v>1510.93</v>
      </c>
      <c r="EX86" s="231">
        <v>1486</v>
      </c>
      <c r="EY86" s="228">
        <v>24.93</v>
      </c>
      <c r="EZ86" s="229">
        <v>1.6799999999999999E-2</v>
      </c>
      <c r="FA86" s="229">
        <v>0.40479999999999999</v>
      </c>
      <c r="FB86" s="227" t="s">
        <v>556</v>
      </c>
      <c r="FC86">
        <f t="shared" si="1"/>
        <v>5</v>
      </c>
    </row>
    <row r="87" spans="1:159" ht="17.25" hidden="1" thickBot="1" x14ac:dyDescent="0.3">
      <c r="A87" s="226">
        <v>46086</v>
      </c>
      <c r="B87" s="227" t="s">
        <v>188</v>
      </c>
      <c r="C87" s="227" t="s">
        <v>234</v>
      </c>
      <c r="D87" s="228">
        <v>71475</v>
      </c>
      <c r="E87" s="228">
        <v>25</v>
      </c>
      <c r="F87" s="228">
        <v>10.28</v>
      </c>
      <c r="G87" s="228">
        <v>10.039999999999999</v>
      </c>
      <c r="H87" s="228">
        <v>0.24</v>
      </c>
      <c r="I87" s="229">
        <v>2.3900000000000001E-2</v>
      </c>
      <c r="J87" s="228">
        <v>10.220000000000001</v>
      </c>
      <c r="K87" s="228">
        <v>9.99</v>
      </c>
      <c r="L87" s="228">
        <v>0.23</v>
      </c>
      <c r="M87" s="229">
        <v>2.3E-2</v>
      </c>
      <c r="N87" s="228">
        <v>10.28</v>
      </c>
      <c r="O87" s="228">
        <v>10.039999999999999</v>
      </c>
      <c r="P87" s="228">
        <v>0.24</v>
      </c>
      <c r="Q87" s="229">
        <v>2.3900000000000001E-2</v>
      </c>
      <c r="R87" s="228">
        <v>10.35</v>
      </c>
      <c r="S87" s="228">
        <v>10.11</v>
      </c>
      <c r="T87" s="228">
        <v>0.24</v>
      </c>
      <c r="U87" s="229">
        <v>2.3699999999999999E-2</v>
      </c>
      <c r="V87" s="228">
        <v>10.4</v>
      </c>
      <c r="W87" s="228">
        <v>10.18</v>
      </c>
      <c r="X87" s="228">
        <v>0.22</v>
      </c>
      <c r="Y87" s="229">
        <v>2.1600000000000001E-2</v>
      </c>
      <c r="Z87" s="228">
        <v>0.06</v>
      </c>
      <c r="AA87" s="228">
        <v>0.05</v>
      </c>
      <c r="AB87" s="228">
        <v>0.01</v>
      </c>
      <c r="AC87" s="229">
        <v>5.8999999999999999E-3</v>
      </c>
      <c r="AD87" s="228">
        <v>0.06</v>
      </c>
      <c r="AE87" s="228">
        <v>0.05</v>
      </c>
      <c r="AF87" s="228">
        <v>0.01</v>
      </c>
      <c r="AG87" s="229">
        <v>5.8999999999999999E-3</v>
      </c>
      <c r="AH87" s="228">
        <v>0.13</v>
      </c>
      <c r="AI87" s="228">
        <v>0.12</v>
      </c>
      <c r="AJ87" s="228">
        <v>0.01</v>
      </c>
      <c r="AK87" s="229">
        <v>1.2699999999999999E-2</v>
      </c>
      <c r="AL87" s="228">
        <v>0.18</v>
      </c>
      <c r="AM87" s="228">
        <v>0.19</v>
      </c>
      <c r="AN87" s="228">
        <v>-0.01</v>
      </c>
      <c r="AO87" s="229">
        <v>1.7600000000000001E-2</v>
      </c>
      <c r="AP87" s="228">
        <v>10.16</v>
      </c>
      <c r="AQ87" s="228">
        <v>10.199999999999999</v>
      </c>
      <c r="AR87" s="228">
        <v>0</v>
      </c>
      <c r="AS87" s="228">
        <v>998</v>
      </c>
      <c r="AT87" s="228">
        <v>593</v>
      </c>
      <c r="AU87" s="228">
        <v>405</v>
      </c>
      <c r="AV87" s="229">
        <v>0.68330000000000002</v>
      </c>
      <c r="AW87" s="228">
        <v>903</v>
      </c>
      <c r="AX87" s="228">
        <v>513</v>
      </c>
      <c r="AY87" s="228">
        <v>390</v>
      </c>
      <c r="AZ87" s="229">
        <v>0.75890000000000002</v>
      </c>
      <c r="BA87" s="228">
        <v>79</v>
      </c>
      <c r="BB87" s="228">
        <v>67</v>
      </c>
      <c r="BC87" s="228">
        <v>12</v>
      </c>
      <c r="BD87" s="229">
        <v>0.17780000000000001</v>
      </c>
      <c r="BE87" s="228">
        <v>16</v>
      </c>
      <c r="BF87" s="228">
        <v>12</v>
      </c>
      <c r="BG87" s="228">
        <v>3</v>
      </c>
      <c r="BH87" s="229">
        <v>0.27979999999999999</v>
      </c>
      <c r="BI87" s="230">
        <v>2164</v>
      </c>
      <c r="BJ87" s="228">
        <v>889</v>
      </c>
      <c r="BK87" s="230">
        <v>1275</v>
      </c>
      <c r="BL87" s="229">
        <v>1.4349000000000001</v>
      </c>
      <c r="BM87" s="228">
        <v>722</v>
      </c>
      <c r="BN87" s="228">
        <v>545</v>
      </c>
      <c r="BO87" s="228">
        <v>177</v>
      </c>
      <c r="BP87" s="229">
        <v>0.32369999999999999</v>
      </c>
      <c r="BQ87" s="230">
        <v>3884</v>
      </c>
      <c r="BR87" s="230">
        <v>2027</v>
      </c>
      <c r="BS87" s="230">
        <v>1857</v>
      </c>
      <c r="BT87" s="229">
        <v>0.91610000000000003</v>
      </c>
      <c r="BU87" s="230">
        <v>633763001</v>
      </c>
      <c r="BV87" s="230">
        <v>521213967</v>
      </c>
      <c r="BW87" s="230">
        <v>112549034</v>
      </c>
      <c r="BX87" s="229">
        <v>0.21590000000000001</v>
      </c>
      <c r="BY87" s="230">
        <v>7346</v>
      </c>
      <c r="BZ87" s="230">
        <v>7232</v>
      </c>
      <c r="CA87" s="228">
        <v>114</v>
      </c>
      <c r="CB87" s="229">
        <v>1.5800000000000002E-2</v>
      </c>
      <c r="CC87" s="230">
        <v>7063</v>
      </c>
      <c r="CD87" s="230">
        <v>6980</v>
      </c>
      <c r="CE87" s="228">
        <v>83</v>
      </c>
      <c r="CF87" s="229">
        <v>1.1900000000000001E-2</v>
      </c>
      <c r="CG87" s="228">
        <v>254</v>
      </c>
      <c r="CH87" s="228">
        <v>230</v>
      </c>
      <c r="CI87" s="228">
        <v>25</v>
      </c>
      <c r="CJ87" s="229">
        <v>0.10780000000000001</v>
      </c>
      <c r="CK87" s="228">
        <v>29</v>
      </c>
      <c r="CL87" s="228">
        <v>23</v>
      </c>
      <c r="CM87" s="228">
        <v>7</v>
      </c>
      <c r="CN87" s="229">
        <v>0.29349999999999998</v>
      </c>
      <c r="CO87" s="230">
        <v>1798</v>
      </c>
      <c r="CP87" s="230">
        <v>1585</v>
      </c>
      <c r="CQ87" s="228">
        <v>213</v>
      </c>
      <c r="CR87" s="229">
        <v>0.1343</v>
      </c>
      <c r="CS87" s="228">
        <v>932</v>
      </c>
      <c r="CT87" s="228">
        <v>913</v>
      </c>
      <c r="CU87" s="228">
        <v>19</v>
      </c>
      <c r="CV87" s="229">
        <v>2.12E-2</v>
      </c>
      <c r="CW87" s="230">
        <v>10077</v>
      </c>
      <c r="CX87" s="230">
        <v>9730</v>
      </c>
      <c r="CY87" s="228">
        <v>347</v>
      </c>
      <c r="CZ87" s="229">
        <v>3.56E-2</v>
      </c>
      <c r="DA87" s="228">
        <v>57.86</v>
      </c>
      <c r="DB87" s="228">
        <v>56.82</v>
      </c>
      <c r="DC87" s="228">
        <v>1.04</v>
      </c>
      <c r="DD87" s="228">
        <v>1.04</v>
      </c>
      <c r="DE87" s="228">
        <v>65.95</v>
      </c>
      <c r="DF87" s="228">
        <v>66.040000000000006</v>
      </c>
      <c r="DG87" s="228">
        <v>-8.09</v>
      </c>
      <c r="DH87" s="228">
        <v>-0.09</v>
      </c>
      <c r="DI87" s="228">
        <v>59.15</v>
      </c>
      <c r="DJ87" s="228">
        <v>58.51</v>
      </c>
      <c r="DK87" s="228">
        <v>0.64</v>
      </c>
      <c r="DL87" s="228">
        <v>0.64</v>
      </c>
      <c r="DM87" s="228">
        <v>53.97</v>
      </c>
      <c r="DN87" s="228">
        <v>54.08</v>
      </c>
      <c r="DO87" s="228">
        <v>-0.11</v>
      </c>
      <c r="DP87" s="228">
        <v>-0.11</v>
      </c>
      <c r="DQ87" s="228">
        <v>0.52</v>
      </c>
      <c r="DR87" s="228">
        <v>0.57999999999999996</v>
      </c>
      <c r="DS87" s="228">
        <v>-0.06</v>
      </c>
      <c r="DT87" s="229">
        <v>-0.10340000000000001</v>
      </c>
      <c r="DU87" s="228">
        <v>12</v>
      </c>
      <c r="DV87" s="228">
        <v>10</v>
      </c>
      <c r="DW87" s="228">
        <v>0.33</v>
      </c>
      <c r="DX87" s="228">
        <v>0.61</v>
      </c>
      <c r="DY87" s="228">
        <v>-0.28000000000000003</v>
      </c>
      <c r="DZ87" s="229">
        <v>-0.45900000000000002</v>
      </c>
      <c r="EA87" s="229">
        <v>3.8600000000000002E-2</v>
      </c>
      <c r="EB87" s="230">
        <v>245588100</v>
      </c>
      <c r="EC87" s="229">
        <v>6.7999999999999996E-3</v>
      </c>
      <c r="ED87" s="229">
        <v>3.8600000000000002E-2</v>
      </c>
      <c r="EE87" s="228">
        <v>0.04</v>
      </c>
      <c r="EF87" s="229">
        <v>3.8999999999999998E-3</v>
      </c>
      <c r="EG87" s="230">
        <v>125250728</v>
      </c>
      <c r="EH87" s="230">
        <v>147710053</v>
      </c>
      <c r="EI87" s="229">
        <v>-0.15210000000000001</v>
      </c>
      <c r="EJ87" s="229">
        <v>0.1976</v>
      </c>
      <c r="EK87" s="231">
        <v>2504.7600000000002</v>
      </c>
      <c r="EL87" s="228">
        <v>691.67</v>
      </c>
      <c r="EM87" s="228">
        <v>986.12</v>
      </c>
      <c r="EN87" s="228">
        <v>75.08</v>
      </c>
      <c r="EO87" s="231">
        <v>4182.55</v>
      </c>
      <c r="EP87" s="231">
        <v>2111.5700000000002</v>
      </c>
      <c r="EQ87" s="231">
        <v>2070.9899999999998</v>
      </c>
      <c r="ER87" s="229">
        <v>0.98080000000000001</v>
      </c>
      <c r="ES87" s="231">
        <v>2125.67</v>
      </c>
      <c r="ET87" s="228">
        <v>970.82</v>
      </c>
      <c r="EU87" s="231">
        <v>7348.53</v>
      </c>
      <c r="EV87" s="231">
        <v>12037179660</v>
      </c>
      <c r="EW87" s="231">
        <v>10445.02</v>
      </c>
      <c r="EX87" s="231">
        <v>9912.2900000000009</v>
      </c>
      <c r="EY87" s="228">
        <v>532.73</v>
      </c>
      <c r="EZ87" s="229">
        <v>5.3699999999999998E-2</v>
      </c>
      <c r="FA87" s="229">
        <v>0.81430000000000002</v>
      </c>
      <c r="FB87" s="227" t="s">
        <v>555</v>
      </c>
      <c r="FC87">
        <f t="shared" si="1"/>
        <v>283</v>
      </c>
    </row>
    <row r="88" spans="1:159" ht="17.25" hidden="1" thickBot="1" x14ac:dyDescent="0.3">
      <c r="A88" s="226">
        <v>46086</v>
      </c>
      <c r="B88" s="227" t="s">
        <v>172</v>
      </c>
      <c r="C88" s="227" t="s">
        <v>235</v>
      </c>
      <c r="D88" s="228">
        <v>9275</v>
      </c>
      <c r="E88" s="228">
        <v>25</v>
      </c>
      <c r="F88" s="228">
        <v>70.75</v>
      </c>
      <c r="G88" s="228">
        <v>70.260000000000005</v>
      </c>
      <c r="H88" s="228">
        <v>0.49</v>
      </c>
      <c r="I88" s="229">
        <v>7.0000000000000001E-3</v>
      </c>
      <c r="J88" s="228">
        <v>70.400000000000006</v>
      </c>
      <c r="K88" s="228">
        <v>70.06</v>
      </c>
      <c r="L88" s="228">
        <v>0.34</v>
      </c>
      <c r="M88" s="229">
        <v>4.8999999999999998E-3</v>
      </c>
      <c r="N88" s="228">
        <v>70.75</v>
      </c>
      <c r="O88" s="228">
        <v>70.260000000000005</v>
      </c>
      <c r="P88" s="228">
        <v>0.49</v>
      </c>
      <c r="Q88" s="229">
        <v>7.0000000000000001E-3</v>
      </c>
      <c r="R88" s="228">
        <v>71.209999999999994</v>
      </c>
      <c r="S88" s="228">
        <v>70.69</v>
      </c>
      <c r="T88" s="228">
        <v>0.52</v>
      </c>
      <c r="U88" s="229">
        <v>7.4000000000000003E-3</v>
      </c>
      <c r="V88" s="228">
        <v>71.599999999999994</v>
      </c>
      <c r="W88" s="228">
        <v>71.02</v>
      </c>
      <c r="X88" s="228">
        <v>0.57999999999999996</v>
      </c>
      <c r="Y88" s="229">
        <v>8.2000000000000007E-3</v>
      </c>
      <c r="Z88" s="228">
        <v>0.35</v>
      </c>
      <c r="AA88" s="228">
        <v>0.2</v>
      </c>
      <c r="AB88" s="228">
        <v>0.15</v>
      </c>
      <c r="AC88" s="229">
        <v>5.0000000000000001E-3</v>
      </c>
      <c r="AD88" s="228">
        <v>0.35</v>
      </c>
      <c r="AE88" s="228">
        <v>0.2</v>
      </c>
      <c r="AF88" s="228">
        <v>0.15</v>
      </c>
      <c r="AG88" s="229">
        <v>5.0000000000000001E-3</v>
      </c>
      <c r="AH88" s="228">
        <v>0.81</v>
      </c>
      <c r="AI88" s="228">
        <v>0.63</v>
      </c>
      <c r="AJ88" s="228">
        <v>0.18</v>
      </c>
      <c r="AK88" s="229">
        <v>1.15E-2</v>
      </c>
      <c r="AL88" s="228">
        <v>1.2</v>
      </c>
      <c r="AM88" s="228">
        <v>0.96</v>
      </c>
      <c r="AN88" s="228">
        <v>0.24</v>
      </c>
      <c r="AO88" s="229">
        <v>1.7000000000000001E-2</v>
      </c>
      <c r="AP88" s="228">
        <v>70.75</v>
      </c>
      <c r="AQ88" s="228">
        <v>71.22</v>
      </c>
      <c r="AR88" s="228">
        <v>0</v>
      </c>
      <c r="AS88" s="228">
        <v>560</v>
      </c>
      <c r="AT88" s="228">
        <v>675</v>
      </c>
      <c r="AU88" s="228">
        <v>-115</v>
      </c>
      <c r="AV88" s="229">
        <v>-0.17050000000000001</v>
      </c>
      <c r="AW88" s="228">
        <v>508</v>
      </c>
      <c r="AX88" s="228">
        <v>628</v>
      </c>
      <c r="AY88" s="228">
        <v>-119</v>
      </c>
      <c r="AZ88" s="229">
        <v>-0.19020000000000001</v>
      </c>
      <c r="BA88" s="228">
        <v>41</v>
      </c>
      <c r="BB88" s="228">
        <v>37</v>
      </c>
      <c r="BC88" s="228">
        <v>4</v>
      </c>
      <c r="BD88" s="229">
        <v>0.1119</v>
      </c>
      <c r="BE88" s="228">
        <v>10</v>
      </c>
      <c r="BF88" s="228">
        <v>10</v>
      </c>
      <c r="BG88" s="228">
        <v>0</v>
      </c>
      <c r="BH88" s="229">
        <v>1.9400000000000001E-2</v>
      </c>
      <c r="BI88" s="230">
        <v>1144</v>
      </c>
      <c r="BJ88" s="230">
        <v>1118</v>
      </c>
      <c r="BK88" s="228">
        <v>26</v>
      </c>
      <c r="BL88" s="229">
        <v>2.29E-2</v>
      </c>
      <c r="BM88" s="228">
        <v>631</v>
      </c>
      <c r="BN88" s="228">
        <v>874</v>
      </c>
      <c r="BO88" s="228">
        <v>-243</v>
      </c>
      <c r="BP88" s="229">
        <v>-0.27800000000000002</v>
      </c>
      <c r="BQ88" s="230">
        <v>2335</v>
      </c>
      <c r="BR88" s="230">
        <v>2667</v>
      </c>
      <c r="BS88" s="228">
        <v>-332</v>
      </c>
      <c r="BT88" s="229">
        <v>-0.1246</v>
      </c>
      <c r="BU88" s="230">
        <v>34888169</v>
      </c>
      <c r="BV88" s="230">
        <v>44398330</v>
      </c>
      <c r="BW88" s="230">
        <v>-9510161</v>
      </c>
      <c r="BX88" s="229">
        <v>-0.2142</v>
      </c>
      <c r="BY88" s="230">
        <v>3431</v>
      </c>
      <c r="BZ88" s="230">
        <v>3406</v>
      </c>
      <c r="CA88" s="228">
        <v>26</v>
      </c>
      <c r="CB88" s="229">
        <v>7.6E-3</v>
      </c>
      <c r="CC88" s="230">
        <v>3166</v>
      </c>
      <c r="CD88" s="230">
        <v>3150</v>
      </c>
      <c r="CE88" s="228">
        <v>15</v>
      </c>
      <c r="CF88" s="229">
        <v>4.8999999999999998E-3</v>
      </c>
      <c r="CG88" s="228">
        <v>222</v>
      </c>
      <c r="CH88" s="228">
        <v>214</v>
      </c>
      <c r="CI88" s="228">
        <v>8</v>
      </c>
      <c r="CJ88" s="229">
        <v>3.8699999999999998E-2</v>
      </c>
      <c r="CK88" s="228">
        <v>44</v>
      </c>
      <c r="CL88" s="228">
        <v>42</v>
      </c>
      <c r="CM88" s="228">
        <v>2</v>
      </c>
      <c r="CN88" s="229">
        <v>5.0500000000000003E-2</v>
      </c>
      <c r="CO88" s="230">
        <v>2176</v>
      </c>
      <c r="CP88" s="230">
        <v>2117</v>
      </c>
      <c r="CQ88" s="228">
        <v>59</v>
      </c>
      <c r="CR88" s="229">
        <v>2.7900000000000001E-2</v>
      </c>
      <c r="CS88" s="230">
        <v>1471</v>
      </c>
      <c r="CT88" s="230">
        <v>1414</v>
      </c>
      <c r="CU88" s="228">
        <v>58</v>
      </c>
      <c r="CV88" s="229">
        <v>4.0800000000000003E-2</v>
      </c>
      <c r="CW88" s="230">
        <v>7079</v>
      </c>
      <c r="CX88" s="230">
        <v>6936</v>
      </c>
      <c r="CY88" s="228">
        <v>143</v>
      </c>
      <c r="CZ88" s="229">
        <v>2.06E-2</v>
      </c>
      <c r="DA88" s="228">
        <v>37.909999999999997</v>
      </c>
      <c r="DB88" s="228">
        <v>42.41</v>
      </c>
      <c r="DC88" s="228">
        <v>-4.5</v>
      </c>
      <c r="DD88" s="228">
        <v>-4.5</v>
      </c>
      <c r="DE88" s="228">
        <v>39.4</v>
      </c>
      <c r="DF88" s="228">
        <v>39.49</v>
      </c>
      <c r="DG88" s="228">
        <v>-1.49</v>
      </c>
      <c r="DH88" s="228">
        <v>-0.09</v>
      </c>
      <c r="DI88" s="228">
        <v>37.32</v>
      </c>
      <c r="DJ88" s="228">
        <v>41.53</v>
      </c>
      <c r="DK88" s="228">
        <v>-4.21</v>
      </c>
      <c r="DL88" s="228">
        <v>-4.21</v>
      </c>
      <c r="DM88" s="228">
        <v>38.97</v>
      </c>
      <c r="DN88" s="228">
        <v>43.53</v>
      </c>
      <c r="DO88" s="228">
        <v>-4.5599999999999996</v>
      </c>
      <c r="DP88" s="228">
        <v>-4.5599999999999996</v>
      </c>
      <c r="DQ88" s="228">
        <v>0.68</v>
      </c>
      <c r="DR88" s="228">
        <v>0.67</v>
      </c>
      <c r="DS88" s="228">
        <v>0.01</v>
      </c>
      <c r="DT88" s="229">
        <v>1.49E-2</v>
      </c>
      <c r="DU88" s="228">
        <v>80</v>
      </c>
      <c r="DV88" s="228">
        <v>70</v>
      </c>
      <c r="DW88" s="228">
        <v>0.55000000000000004</v>
      </c>
      <c r="DX88" s="228">
        <v>0.78</v>
      </c>
      <c r="DY88" s="228">
        <v>-0.23</v>
      </c>
      <c r="DZ88" s="229">
        <v>-0.2949</v>
      </c>
      <c r="EA88" s="229">
        <v>7.7399999999999997E-2</v>
      </c>
      <c r="EB88" s="230">
        <v>36061200</v>
      </c>
      <c r="EC88" s="229">
        <v>6.4999999999999997E-3</v>
      </c>
      <c r="ED88" s="229">
        <v>7.7399999999999997E-2</v>
      </c>
      <c r="EE88" s="228">
        <v>0.47</v>
      </c>
      <c r="EF88" s="229">
        <v>6.6E-3</v>
      </c>
      <c r="EG88" s="230">
        <v>13889270</v>
      </c>
      <c r="EH88" s="230">
        <v>18335566</v>
      </c>
      <c r="EI88" s="229">
        <v>-0.24249999999999999</v>
      </c>
      <c r="EJ88" s="229">
        <v>0.39810000000000001</v>
      </c>
      <c r="EK88" s="231">
        <v>1266.5</v>
      </c>
      <c r="EL88" s="228">
        <v>605.02</v>
      </c>
      <c r="EM88" s="228">
        <v>560.34</v>
      </c>
      <c r="EN88" s="228">
        <v>143.43</v>
      </c>
      <c r="EO88" s="231">
        <v>2431.86</v>
      </c>
      <c r="EP88" s="231">
        <v>2728.37</v>
      </c>
      <c r="EQ88" s="228">
        <v>-296.51</v>
      </c>
      <c r="ER88" s="229">
        <v>-0.1087</v>
      </c>
      <c r="ES88" s="231">
        <v>2413.7399999999998</v>
      </c>
      <c r="ET88" s="231">
        <v>1422.75</v>
      </c>
      <c r="EU88" s="231">
        <v>3433.34</v>
      </c>
      <c r="EV88" s="231">
        <v>936861183</v>
      </c>
      <c r="EW88" s="231">
        <v>7269.83</v>
      </c>
      <c r="EX88" s="231">
        <v>7102.04</v>
      </c>
      <c r="EY88" s="228">
        <v>167.79</v>
      </c>
      <c r="EZ88" s="229">
        <v>2.3599999999999999E-2</v>
      </c>
      <c r="FA88" s="229">
        <v>1.0680000000000001</v>
      </c>
      <c r="FB88" s="227" t="s">
        <v>555</v>
      </c>
      <c r="FC88">
        <f t="shared" si="1"/>
        <v>265</v>
      </c>
    </row>
    <row r="89" spans="1:159" ht="17.25" hidden="1" thickBot="1" x14ac:dyDescent="0.3">
      <c r="A89" s="226">
        <v>46086</v>
      </c>
      <c r="B89" s="227" t="s">
        <v>161</v>
      </c>
      <c r="C89" s="227" t="s">
        <v>514</v>
      </c>
      <c r="D89" s="228">
        <v>3750</v>
      </c>
      <c r="E89" s="228">
        <v>25</v>
      </c>
      <c r="F89" s="228">
        <v>121.97</v>
      </c>
      <c r="G89" s="228">
        <v>118.97</v>
      </c>
      <c r="H89" s="228">
        <v>3</v>
      </c>
      <c r="I89" s="229">
        <v>2.52E-2</v>
      </c>
      <c r="J89" s="228">
        <v>121.63</v>
      </c>
      <c r="K89" s="228">
        <v>118.59</v>
      </c>
      <c r="L89" s="228">
        <v>3.04</v>
      </c>
      <c r="M89" s="229">
        <v>2.5600000000000001E-2</v>
      </c>
      <c r="N89" s="228">
        <v>121.97</v>
      </c>
      <c r="O89" s="228">
        <v>118.97</v>
      </c>
      <c r="P89" s="228">
        <v>3</v>
      </c>
      <c r="Q89" s="229">
        <v>2.52E-2</v>
      </c>
      <c r="R89" s="228">
        <v>122.84</v>
      </c>
      <c r="S89" s="228">
        <v>119.74</v>
      </c>
      <c r="T89" s="228">
        <v>3.1</v>
      </c>
      <c r="U89" s="229">
        <v>2.5899999999999999E-2</v>
      </c>
      <c r="V89" s="228">
        <v>122.64</v>
      </c>
      <c r="W89" s="228">
        <v>119.84</v>
      </c>
      <c r="X89" s="228">
        <v>2.8</v>
      </c>
      <c r="Y89" s="229">
        <v>2.3400000000000001E-2</v>
      </c>
      <c r="Z89" s="228">
        <v>0.34</v>
      </c>
      <c r="AA89" s="228">
        <v>0.38</v>
      </c>
      <c r="AB89" s="228">
        <v>-0.04</v>
      </c>
      <c r="AC89" s="229">
        <v>2.8E-3</v>
      </c>
      <c r="AD89" s="228">
        <v>0.34</v>
      </c>
      <c r="AE89" s="228">
        <v>0.38</v>
      </c>
      <c r="AF89" s="228">
        <v>-0.04</v>
      </c>
      <c r="AG89" s="229">
        <v>2.8E-3</v>
      </c>
      <c r="AH89" s="228">
        <v>1.21</v>
      </c>
      <c r="AI89" s="228">
        <v>1.1499999999999999</v>
      </c>
      <c r="AJ89" s="228">
        <v>0.06</v>
      </c>
      <c r="AK89" s="229">
        <v>9.9000000000000008E-3</v>
      </c>
      <c r="AL89" s="228">
        <v>1.01</v>
      </c>
      <c r="AM89" s="228">
        <v>1.25</v>
      </c>
      <c r="AN89" s="228">
        <v>-0.24</v>
      </c>
      <c r="AO89" s="229">
        <v>8.3000000000000001E-3</v>
      </c>
      <c r="AP89" s="228">
        <v>120.87</v>
      </c>
      <c r="AQ89" s="228">
        <v>121.76</v>
      </c>
      <c r="AR89" s="228">
        <v>0</v>
      </c>
      <c r="AS89" s="228">
        <v>107</v>
      </c>
      <c r="AT89" s="228">
        <v>119</v>
      </c>
      <c r="AU89" s="228">
        <v>-12</v>
      </c>
      <c r="AV89" s="229">
        <v>-0.10249999999999999</v>
      </c>
      <c r="AW89" s="228">
        <v>84</v>
      </c>
      <c r="AX89" s="228">
        <v>106</v>
      </c>
      <c r="AY89" s="228">
        <v>-22</v>
      </c>
      <c r="AZ89" s="229">
        <v>-0.2056</v>
      </c>
      <c r="BA89" s="228">
        <v>19</v>
      </c>
      <c r="BB89" s="228">
        <v>10</v>
      </c>
      <c r="BC89" s="228">
        <v>10</v>
      </c>
      <c r="BD89" s="229">
        <v>0.97650000000000003</v>
      </c>
      <c r="BE89" s="228">
        <v>3</v>
      </c>
      <c r="BF89" s="228">
        <v>3</v>
      </c>
      <c r="BG89" s="228">
        <v>0</v>
      </c>
      <c r="BH89" s="229">
        <v>4.7600000000000003E-2</v>
      </c>
      <c r="BI89" s="228">
        <v>231</v>
      </c>
      <c r="BJ89" s="228">
        <v>250</v>
      </c>
      <c r="BK89" s="228">
        <v>-19</v>
      </c>
      <c r="BL89" s="229">
        <v>-7.7700000000000005E-2</v>
      </c>
      <c r="BM89" s="228">
        <v>115</v>
      </c>
      <c r="BN89" s="228">
        <v>160</v>
      </c>
      <c r="BO89" s="228">
        <v>-45</v>
      </c>
      <c r="BP89" s="229">
        <v>-0.28179999999999999</v>
      </c>
      <c r="BQ89" s="228">
        <v>453</v>
      </c>
      <c r="BR89" s="228">
        <v>529</v>
      </c>
      <c r="BS89" s="228">
        <v>-77</v>
      </c>
      <c r="BT89" s="229">
        <v>-0.14510000000000001</v>
      </c>
      <c r="BU89" s="230">
        <v>5907027</v>
      </c>
      <c r="BV89" s="230">
        <v>5840345</v>
      </c>
      <c r="BW89" s="230">
        <v>66682</v>
      </c>
      <c r="BX89" s="229">
        <v>1.14E-2</v>
      </c>
      <c r="BY89" s="228">
        <v>858</v>
      </c>
      <c r="BZ89" s="228">
        <v>860</v>
      </c>
      <c r="CA89" s="228">
        <v>-2</v>
      </c>
      <c r="CB89" s="229">
        <v>-2.5999999999999999E-3</v>
      </c>
      <c r="CC89" s="228">
        <v>803</v>
      </c>
      <c r="CD89" s="228">
        <v>817</v>
      </c>
      <c r="CE89" s="228">
        <v>-14</v>
      </c>
      <c r="CF89" s="229">
        <v>-1.77E-2</v>
      </c>
      <c r="CG89" s="228">
        <v>50</v>
      </c>
      <c r="CH89" s="228">
        <v>38</v>
      </c>
      <c r="CI89" s="228">
        <v>12</v>
      </c>
      <c r="CJ89" s="229">
        <v>0.31809999999999999</v>
      </c>
      <c r="CK89" s="228">
        <v>5</v>
      </c>
      <c r="CL89" s="228">
        <v>5</v>
      </c>
      <c r="CM89" s="228">
        <v>0</v>
      </c>
      <c r="CN89" s="229">
        <v>3.0300000000000001E-2</v>
      </c>
      <c r="CO89" s="228">
        <v>433</v>
      </c>
      <c r="CP89" s="228">
        <v>429</v>
      </c>
      <c r="CQ89" s="228">
        <v>4</v>
      </c>
      <c r="CR89" s="229">
        <v>9.9000000000000008E-3</v>
      </c>
      <c r="CS89" s="228">
        <v>336</v>
      </c>
      <c r="CT89" s="228">
        <v>332</v>
      </c>
      <c r="CU89" s="228">
        <v>5</v>
      </c>
      <c r="CV89" s="229">
        <v>1.38E-2</v>
      </c>
      <c r="CW89" s="230">
        <v>1627</v>
      </c>
      <c r="CX89" s="230">
        <v>1620</v>
      </c>
      <c r="CY89" s="228">
        <v>7</v>
      </c>
      <c r="CZ89" s="229">
        <v>4.1000000000000003E-3</v>
      </c>
      <c r="DA89" s="228">
        <v>33.97</v>
      </c>
      <c r="DB89" s="228">
        <v>38.08</v>
      </c>
      <c r="DC89" s="228">
        <v>-4.1100000000000003</v>
      </c>
      <c r="DD89" s="228">
        <v>-4.1100000000000003</v>
      </c>
      <c r="DE89" s="228">
        <v>52.34</v>
      </c>
      <c r="DF89" s="228">
        <v>52.35</v>
      </c>
      <c r="DG89" s="228">
        <v>-18.37</v>
      </c>
      <c r="DH89" s="228">
        <v>-0.01</v>
      </c>
      <c r="DI89" s="228">
        <v>33.03</v>
      </c>
      <c r="DJ89" s="228">
        <v>36.99</v>
      </c>
      <c r="DK89" s="228">
        <v>-3.96</v>
      </c>
      <c r="DL89" s="228">
        <v>-3.96</v>
      </c>
      <c r="DM89" s="228">
        <v>35.869999999999997</v>
      </c>
      <c r="DN89" s="228">
        <v>39.78</v>
      </c>
      <c r="DO89" s="228">
        <v>-3.91</v>
      </c>
      <c r="DP89" s="228">
        <v>-3.91</v>
      </c>
      <c r="DQ89" s="228">
        <v>0.78</v>
      </c>
      <c r="DR89" s="228">
        <v>0.77</v>
      </c>
      <c r="DS89" s="228">
        <v>0.01</v>
      </c>
      <c r="DT89" s="229">
        <v>1.2999999999999999E-2</v>
      </c>
      <c r="DU89" s="228">
        <v>130</v>
      </c>
      <c r="DV89" s="228">
        <v>140</v>
      </c>
      <c r="DW89" s="228">
        <v>0.5</v>
      </c>
      <c r="DX89" s="228">
        <v>0.64</v>
      </c>
      <c r="DY89" s="228">
        <v>-0.14000000000000001</v>
      </c>
      <c r="DZ89" s="229">
        <v>-0.21879999999999999</v>
      </c>
      <c r="EA89" s="229">
        <v>6.4000000000000001E-2</v>
      </c>
      <c r="EB89" s="230">
        <v>3495000</v>
      </c>
      <c r="EC89" s="229">
        <v>7.1000000000000004E-3</v>
      </c>
      <c r="ED89" s="229">
        <v>6.4000000000000001E-2</v>
      </c>
      <c r="EE89" s="228">
        <v>0.89</v>
      </c>
      <c r="EF89" s="229">
        <v>7.4000000000000003E-3</v>
      </c>
      <c r="EG89" s="230">
        <v>2223796</v>
      </c>
      <c r="EH89" s="230">
        <v>2441175</v>
      </c>
      <c r="EI89" s="229">
        <v>-8.8999999999999996E-2</v>
      </c>
      <c r="EJ89" s="229">
        <v>0.3765</v>
      </c>
      <c r="EK89" s="228">
        <v>246.94</v>
      </c>
      <c r="EL89" s="228">
        <v>111.55</v>
      </c>
      <c r="EM89" s="228">
        <v>105.76</v>
      </c>
      <c r="EN89" s="228">
        <v>25.67</v>
      </c>
      <c r="EO89" s="228">
        <v>464.26</v>
      </c>
      <c r="EP89" s="228">
        <v>536.39</v>
      </c>
      <c r="EQ89" s="228">
        <v>-72.13</v>
      </c>
      <c r="ER89" s="229">
        <v>-0.13450000000000001</v>
      </c>
      <c r="ES89" s="228">
        <v>471.36</v>
      </c>
      <c r="ET89" s="228">
        <v>354</v>
      </c>
      <c r="EU89" s="228">
        <v>858.26</v>
      </c>
      <c r="EV89" s="231">
        <v>133395043</v>
      </c>
      <c r="EW89" s="231">
        <v>1683.62</v>
      </c>
      <c r="EX89" s="231">
        <v>1656.02</v>
      </c>
      <c r="EY89" s="228">
        <v>27.6</v>
      </c>
      <c r="EZ89" s="229">
        <v>1.67E-2</v>
      </c>
      <c r="FA89" s="229">
        <v>1</v>
      </c>
      <c r="FB89" s="227" t="s">
        <v>556</v>
      </c>
      <c r="FC89">
        <f t="shared" si="1"/>
        <v>55</v>
      </c>
    </row>
    <row r="90" spans="1:159" ht="17.25" hidden="1" thickBot="1" x14ac:dyDescent="0.3">
      <c r="A90" s="226">
        <v>46086</v>
      </c>
      <c r="B90" s="227" t="s">
        <v>206</v>
      </c>
      <c r="C90" s="227" t="s">
        <v>501</v>
      </c>
      <c r="D90" s="228">
        <v>1000</v>
      </c>
      <c r="E90" s="228">
        <v>25</v>
      </c>
      <c r="F90" s="228">
        <v>632.70000000000005</v>
      </c>
      <c r="G90" s="228">
        <v>636.65</v>
      </c>
      <c r="H90" s="228">
        <v>-3.95</v>
      </c>
      <c r="I90" s="229">
        <v>-6.1999999999999998E-3</v>
      </c>
      <c r="J90" s="228">
        <v>629.70000000000005</v>
      </c>
      <c r="K90" s="228">
        <v>633.75</v>
      </c>
      <c r="L90" s="228">
        <v>-4.05</v>
      </c>
      <c r="M90" s="229">
        <v>-6.4000000000000003E-3</v>
      </c>
      <c r="N90" s="228">
        <v>632.70000000000005</v>
      </c>
      <c r="O90" s="228">
        <v>636.65</v>
      </c>
      <c r="P90" s="228">
        <v>-3.95</v>
      </c>
      <c r="Q90" s="229">
        <v>-6.1999999999999998E-3</v>
      </c>
      <c r="R90" s="228">
        <v>636.54999999999995</v>
      </c>
      <c r="S90" s="228">
        <v>640.15</v>
      </c>
      <c r="T90" s="228">
        <v>-3.6</v>
      </c>
      <c r="U90" s="229">
        <v>-5.5999999999999999E-3</v>
      </c>
      <c r="V90" s="228">
        <v>639.79999999999995</v>
      </c>
      <c r="W90" s="228">
        <v>643.65</v>
      </c>
      <c r="X90" s="228">
        <v>-3.85</v>
      </c>
      <c r="Y90" s="229">
        <v>-6.0000000000000001E-3</v>
      </c>
      <c r="Z90" s="228">
        <v>3</v>
      </c>
      <c r="AA90" s="228">
        <v>2.9</v>
      </c>
      <c r="AB90" s="228">
        <v>0.1</v>
      </c>
      <c r="AC90" s="229">
        <v>4.7999999999999996E-3</v>
      </c>
      <c r="AD90" s="228">
        <v>3</v>
      </c>
      <c r="AE90" s="228">
        <v>2.9</v>
      </c>
      <c r="AF90" s="228">
        <v>0.1</v>
      </c>
      <c r="AG90" s="229">
        <v>4.7999999999999996E-3</v>
      </c>
      <c r="AH90" s="228">
        <v>6.85</v>
      </c>
      <c r="AI90" s="228">
        <v>6.4</v>
      </c>
      <c r="AJ90" s="228">
        <v>0.45</v>
      </c>
      <c r="AK90" s="229">
        <v>1.09E-2</v>
      </c>
      <c r="AL90" s="228">
        <v>10.1</v>
      </c>
      <c r="AM90" s="228">
        <v>9.9</v>
      </c>
      <c r="AN90" s="228">
        <v>0.2</v>
      </c>
      <c r="AO90" s="229">
        <v>1.6E-2</v>
      </c>
      <c r="AP90" s="228">
        <v>627.64</v>
      </c>
      <c r="AQ90" s="228">
        <v>631.89</v>
      </c>
      <c r="AR90" s="228">
        <v>0</v>
      </c>
      <c r="AS90" s="228">
        <v>363</v>
      </c>
      <c r="AT90" s="228">
        <v>288</v>
      </c>
      <c r="AU90" s="228">
        <v>75</v>
      </c>
      <c r="AV90" s="229">
        <v>0.26150000000000001</v>
      </c>
      <c r="AW90" s="228">
        <v>339</v>
      </c>
      <c r="AX90" s="228">
        <v>268</v>
      </c>
      <c r="AY90" s="228">
        <v>71</v>
      </c>
      <c r="AZ90" s="229">
        <v>0.26700000000000002</v>
      </c>
      <c r="BA90" s="228">
        <v>21</v>
      </c>
      <c r="BB90" s="228">
        <v>17</v>
      </c>
      <c r="BC90" s="228">
        <v>4</v>
      </c>
      <c r="BD90" s="229">
        <v>0.22589999999999999</v>
      </c>
      <c r="BE90" s="228">
        <v>4</v>
      </c>
      <c r="BF90" s="228">
        <v>4</v>
      </c>
      <c r="BG90" s="228">
        <v>0</v>
      </c>
      <c r="BH90" s="229">
        <v>1.7899999999999999E-2</v>
      </c>
      <c r="BI90" s="228">
        <v>665</v>
      </c>
      <c r="BJ90" s="228">
        <v>333</v>
      </c>
      <c r="BK90" s="228">
        <v>332</v>
      </c>
      <c r="BL90" s="229">
        <v>0.99560000000000004</v>
      </c>
      <c r="BM90" s="228">
        <v>517</v>
      </c>
      <c r="BN90" s="228">
        <v>299</v>
      </c>
      <c r="BO90" s="228">
        <v>219</v>
      </c>
      <c r="BP90" s="229">
        <v>0.73219999999999996</v>
      </c>
      <c r="BQ90" s="230">
        <v>1546</v>
      </c>
      <c r="BR90" s="228">
        <v>920</v>
      </c>
      <c r="BS90" s="228">
        <v>626</v>
      </c>
      <c r="BT90" s="229">
        <v>0.68020000000000003</v>
      </c>
      <c r="BU90" s="230">
        <v>4395186</v>
      </c>
      <c r="BV90" s="230">
        <v>3484683</v>
      </c>
      <c r="BW90" s="230">
        <v>910503</v>
      </c>
      <c r="BX90" s="229">
        <v>0.26129999999999998</v>
      </c>
      <c r="BY90" s="230">
        <v>1411</v>
      </c>
      <c r="BZ90" s="230">
        <v>1401</v>
      </c>
      <c r="CA90" s="228">
        <v>10</v>
      </c>
      <c r="CB90" s="229">
        <v>7.4000000000000003E-3</v>
      </c>
      <c r="CC90" s="230">
        <v>1360</v>
      </c>
      <c r="CD90" s="230">
        <v>1355</v>
      </c>
      <c r="CE90" s="228">
        <v>5</v>
      </c>
      <c r="CF90" s="229">
        <v>3.8999999999999998E-3</v>
      </c>
      <c r="CG90" s="228">
        <v>45</v>
      </c>
      <c r="CH90" s="228">
        <v>42</v>
      </c>
      <c r="CI90" s="228">
        <v>3</v>
      </c>
      <c r="CJ90" s="229">
        <v>8.0500000000000002E-2</v>
      </c>
      <c r="CK90" s="228">
        <v>6</v>
      </c>
      <c r="CL90" s="228">
        <v>4</v>
      </c>
      <c r="CM90" s="228">
        <v>2</v>
      </c>
      <c r="CN90" s="229">
        <v>0.45</v>
      </c>
      <c r="CO90" s="228">
        <v>487</v>
      </c>
      <c r="CP90" s="228">
        <v>400</v>
      </c>
      <c r="CQ90" s="228">
        <v>86</v>
      </c>
      <c r="CR90" s="229">
        <v>0.21479999999999999</v>
      </c>
      <c r="CS90" s="228">
        <v>370</v>
      </c>
      <c r="CT90" s="228">
        <v>339</v>
      </c>
      <c r="CU90" s="228">
        <v>31</v>
      </c>
      <c r="CV90" s="229">
        <v>9.0800000000000006E-2</v>
      </c>
      <c r="CW90" s="230">
        <v>2268</v>
      </c>
      <c r="CX90" s="230">
        <v>2141</v>
      </c>
      <c r="CY90" s="228">
        <v>127</v>
      </c>
      <c r="CZ90" s="229">
        <v>5.9400000000000001E-2</v>
      </c>
      <c r="DA90" s="228">
        <v>27.51</v>
      </c>
      <c r="DB90" s="228">
        <v>27.42</v>
      </c>
      <c r="DC90" s="228">
        <v>0.09</v>
      </c>
      <c r="DD90" s="228">
        <v>0.09</v>
      </c>
      <c r="DE90" s="228">
        <v>32.68</v>
      </c>
      <c r="DF90" s="228">
        <v>32.76</v>
      </c>
      <c r="DG90" s="228">
        <v>-5.17</v>
      </c>
      <c r="DH90" s="228">
        <v>-0.08</v>
      </c>
      <c r="DI90" s="228">
        <v>26.85</v>
      </c>
      <c r="DJ90" s="228">
        <v>26.45</v>
      </c>
      <c r="DK90" s="228">
        <v>0.4</v>
      </c>
      <c r="DL90" s="228">
        <v>0.4</v>
      </c>
      <c r="DM90" s="228">
        <v>28.36</v>
      </c>
      <c r="DN90" s="228">
        <v>28.52</v>
      </c>
      <c r="DO90" s="228">
        <v>-0.16</v>
      </c>
      <c r="DP90" s="228">
        <v>-0.16</v>
      </c>
      <c r="DQ90" s="228">
        <v>0.76</v>
      </c>
      <c r="DR90" s="228">
        <v>0.85</v>
      </c>
      <c r="DS90" s="228">
        <v>-0.09</v>
      </c>
      <c r="DT90" s="229">
        <v>-0.10589999999999999</v>
      </c>
      <c r="DU90" s="228">
        <v>700</v>
      </c>
      <c r="DV90" s="228">
        <v>680</v>
      </c>
      <c r="DW90" s="228">
        <v>0.78</v>
      </c>
      <c r="DX90" s="228">
        <v>0.9</v>
      </c>
      <c r="DY90" s="228">
        <v>-0.12</v>
      </c>
      <c r="DZ90" s="229">
        <v>-0.1333</v>
      </c>
      <c r="EA90" s="229">
        <v>3.5799999999999998E-2</v>
      </c>
      <c r="EB90" s="230">
        <v>718000</v>
      </c>
      <c r="EC90" s="229">
        <v>6.1000000000000004E-3</v>
      </c>
      <c r="ED90" s="229">
        <v>3.5799999999999998E-2</v>
      </c>
      <c r="EE90" s="228">
        <v>4.25</v>
      </c>
      <c r="EF90" s="229">
        <v>6.7999999999999996E-3</v>
      </c>
      <c r="EG90" s="230">
        <v>2474352</v>
      </c>
      <c r="EH90" s="230">
        <v>1987451</v>
      </c>
      <c r="EI90" s="229">
        <v>0.245</v>
      </c>
      <c r="EJ90" s="229">
        <v>0.56299999999999994</v>
      </c>
      <c r="EK90" s="228">
        <v>708.64</v>
      </c>
      <c r="EL90" s="228">
        <v>514.16</v>
      </c>
      <c r="EM90" s="228">
        <v>360.75</v>
      </c>
      <c r="EN90" s="228">
        <v>35.78</v>
      </c>
      <c r="EO90" s="231">
        <v>1583.55</v>
      </c>
      <c r="EP90" s="228">
        <v>955.14</v>
      </c>
      <c r="EQ90" s="228">
        <v>628.41</v>
      </c>
      <c r="ER90" s="229">
        <v>0.65790000000000004</v>
      </c>
      <c r="ES90" s="228">
        <v>531.04</v>
      </c>
      <c r="ET90" s="228">
        <v>387.47</v>
      </c>
      <c r="EU90" s="231">
        <v>1411.32</v>
      </c>
      <c r="EV90" s="231">
        <v>132129624</v>
      </c>
      <c r="EW90" s="231">
        <v>2329.83</v>
      </c>
      <c r="EX90" s="231">
        <v>2211.16</v>
      </c>
      <c r="EY90" s="228">
        <v>118.67</v>
      </c>
      <c r="EZ90" s="229">
        <v>5.3699999999999998E-2</v>
      </c>
      <c r="FA90" s="229">
        <v>0.27129999999999999</v>
      </c>
      <c r="FB90" s="227" t="s">
        <v>567</v>
      </c>
      <c r="FC90">
        <f t="shared" si="1"/>
        <v>51</v>
      </c>
    </row>
    <row r="91" spans="1:159" ht="17.25" hidden="1" thickBot="1" x14ac:dyDescent="0.3">
      <c r="A91" s="226">
        <v>46086</v>
      </c>
      <c r="B91" s="227" t="s">
        <v>172</v>
      </c>
      <c r="C91" s="227" t="s">
        <v>578</v>
      </c>
      <c r="D91" s="228">
        <v>1000</v>
      </c>
      <c r="E91" s="228">
        <v>25</v>
      </c>
      <c r="F91" s="228">
        <v>950.65</v>
      </c>
      <c r="G91" s="228">
        <v>942.35</v>
      </c>
      <c r="H91" s="228">
        <v>8.3000000000000007</v>
      </c>
      <c r="I91" s="229">
        <v>8.8000000000000005E-3</v>
      </c>
      <c r="J91" s="228">
        <v>951.75</v>
      </c>
      <c r="K91" s="228">
        <v>939</v>
      </c>
      <c r="L91" s="228">
        <v>12.75</v>
      </c>
      <c r="M91" s="229">
        <v>1.3599999999999999E-2</v>
      </c>
      <c r="N91" s="228">
        <v>950.65</v>
      </c>
      <c r="O91" s="228">
        <v>942.35</v>
      </c>
      <c r="P91" s="228">
        <v>8.3000000000000007</v>
      </c>
      <c r="Q91" s="229">
        <v>8.8000000000000005E-3</v>
      </c>
      <c r="R91" s="228">
        <v>953.95</v>
      </c>
      <c r="S91" s="228">
        <v>946.8</v>
      </c>
      <c r="T91" s="228">
        <v>7.15</v>
      </c>
      <c r="U91" s="229">
        <v>7.6E-3</v>
      </c>
      <c r="V91" s="228">
        <v>952</v>
      </c>
      <c r="W91" s="228">
        <v>955</v>
      </c>
      <c r="X91" s="228">
        <v>-3</v>
      </c>
      <c r="Y91" s="229">
        <v>-3.0999999999999999E-3</v>
      </c>
      <c r="Z91" s="228">
        <v>-1.1000000000000001</v>
      </c>
      <c r="AA91" s="228">
        <v>3.35</v>
      </c>
      <c r="AB91" s="228">
        <v>-4.45</v>
      </c>
      <c r="AC91" s="229">
        <v>-1.1999999999999999E-3</v>
      </c>
      <c r="AD91" s="228">
        <v>-1.1000000000000001</v>
      </c>
      <c r="AE91" s="228">
        <v>3.35</v>
      </c>
      <c r="AF91" s="228">
        <v>-4.45</v>
      </c>
      <c r="AG91" s="229">
        <v>-1.1999999999999999E-3</v>
      </c>
      <c r="AH91" s="228">
        <v>2.2000000000000002</v>
      </c>
      <c r="AI91" s="228">
        <v>7.8</v>
      </c>
      <c r="AJ91" s="228">
        <v>-5.6</v>
      </c>
      <c r="AK91" s="229">
        <v>2.3E-3</v>
      </c>
      <c r="AL91" s="228">
        <v>0.25</v>
      </c>
      <c r="AM91" s="228">
        <v>16</v>
      </c>
      <c r="AN91" s="228">
        <v>-15.75</v>
      </c>
      <c r="AO91" s="229">
        <v>2.9999999999999997E-4</v>
      </c>
      <c r="AP91" s="228">
        <v>946.93</v>
      </c>
      <c r="AQ91" s="228">
        <v>951.07</v>
      </c>
      <c r="AR91" s="228">
        <v>0</v>
      </c>
      <c r="AS91" s="228">
        <v>327</v>
      </c>
      <c r="AT91" s="228">
        <v>542</v>
      </c>
      <c r="AU91" s="228">
        <v>-215</v>
      </c>
      <c r="AV91" s="229">
        <v>-0.39710000000000001</v>
      </c>
      <c r="AW91" s="228">
        <v>318</v>
      </c>
      <c r="AX91" s="228">
        <v>522</v>
      </c>
      <c r="AY91" s="228">
        <v>-205</v>
      </c>
      <c r="AZ91" s="229">
        <v>-0.39179999999999998</v>
      </c>
      <c r="BA91" s="228">
        <v>8</v>
      </c>
      <c r="BB91" s="228">
        <v>19</v>
      </c>
      <c r="BC91" s="228">
        <v>-10</v>
      </c>
      <c r="BD91" s="229">
        <v>-0.55900000000000005</v>
      </c>
      <c r="BE91" s="228">
        <v>1</v>
      </c>
      <c r="BF91" s="228">
        <v>1</v>
      </c>
      <c r="BG91" s="228">
        <v>0</v>
      </c>
      <c r="BH91" s="229">
        <v>-0.2</v>
      </c>
      <c r="BI91" s="228">
        <v>406</v>
      </c>
      <c r="BJ91" s="228">
        <v>860</v>
      </c>
      <c r="BK91" s="228">
        <v>-454</v>
      </c>
      <c r="BL91" s="229">
        <v>-0.52759999999999996</v>
      </c>
      <c r="BM91" s="228">
        <v>234</v>
      </c>
      <c r="BN91" s="228">
        <v>705</v>
      </c>
      <c r="BO91" s="228">
        <v>-470</v>
      </c>
      <c r="BP91" s="229">
        <v>-0.66739999999999999</v>
      </c>
      <c r="BQ91" s="228">
        <v>967</v>
      </c>
      <c r="BR91" s="230">
        <v>2106</v>
      </c>
      <c r="BS91" s="230">
        <v>-1139</v>
      </c>
      <c r="BT91" s="229">
        <v>-0.54079999999999995</v>
      </c>
      <c r="BU91" s="230">
        <v>2227163</v>
      </c>
      <c r="BV91" s="230">
        <v>3067603</v>
      </c>
      <c r="BW91" s="230">
        <v>-840440</v>
      </c>
      <c r="BX91" s="229">
        <v>-0.27400000000000002</v>
      </c>
      <c r="BY91" s="228">
        <v>687</v>
      </c>
      <c r="BZ91" s="228">
        <v>704</v>
      </c>
      <c r="CA91" s="228">
        <v>-17</v>
      </c>
      <c r="CB91" s="229">
        <v>-2.3900000000000001E-2</v>
      </c>
      <c r="CC91" s="228">
        <v>674</v>
      </c>
      <c r="CD91" s="228">
        <v>692</v>
      </c>
      <c r="CE91" s="228">
        <v>-19</v>
      </c>
      <c r="CF91" s="229">
        <v>-2.69E-2</v>
      </c>
      <c r="CG91" s="228">
        <v>12</v>
      </c>
      <c r="CH91" s="228">
        <v>10</v>
      </c>
      <c r="CI91" s="228">
        <v>2</v>
      </c>
      <c r="CJ91" s="229">
        <v>0.15090000000000001</v>
      </c>
      <c r="CK91" s="228">
        <v>1</v>
      </c>
      <c r="CL91" s="228">
        <v>1</v>
      </c>
      <c r="CM91" s="228">
        <v>0</v>
      </c>
      <c r="CN91" s="229">
        <v>0.25</v>
      </c>
      <c r="CO91" s="228">
        <v>414</v>
      </c>
      <c r="CP91" s="228">
        <v>406</v>
      </c>
      <c r="CQ91" s="228">
        <v>8</v>
      </c>
      <c r="CR91" s="229">
        <v>1.9199999999999998E-2</v>
      </c>
      <c r="CS91" s="228">
        <v>272</v>
      </c>
      <c r="CT91" s="228">
        <v>273</v>
      </c>
      <c r="CU91" s="228">
        <v>-1</v>
      </c>
      <c r="CV91" s="229">
        <v>-3.8E-3</v>
      </c>
      <c r="CW91" s="230">
        <v>1372</v>
      </c>
      <c r="CX91" s="230">
        <v>1382</v>
      </c>
      <c r="CY91" s="228">
        <v>-10</v>
      </c>
      <c r="CZ91" s="229">
        <v>-7.3000000000000001E-3</v>
      </c>
      <c r="DA91" s="228">
        <v>31.72</v>
      </c>
      <c r="DB91" s="228">
        <v>35.020000000000003</v>
      </c>
      <c r="DC91" s="228">
        <v>-3.3</v>
      </c>
      <c r="DD91" s="228">
        <v>-3.3</v>
      </c>
      <c r="DE91" s="228">
        <v>39.090000000000003</v>
      </c>
      <c r="DF91" s="228">
        <v>39.14</v>
      </c>
      <c r="DG91" s="228">
        <v>-7.37</v>
      </c>
      <c r="DH91" s="228">
        <v>-0.05</v>
      </c>
      <c r="DI91" s="228">
        <v>31.01</v>
      </c>
      <c r="DJ91" s="228">
        <v>33.880000000000003</v>
      </c>
      <c r="DK91" s="228">
        <v>-2.87</v>
      </c>
      <c r="DL91" s="228">
        <v>-2.87</v>
      </c>
      <c r="DM91" s="228">
        <v>32.950000000000003</v>
      </c>
      <c r="DN91" s="228">
        <v>36.409999999999997</v>
      </c>
      <c r="DO91" s="228">
        <v>-3.46</v>
      </c>
      <c r="DP91" s="228">
        <v>-3.46</v>
      </c>
      <c r="DQ91" s="228">
        <v>0.66</v>
      </c>
      <c r="DR91" s="228">
        <v>0.67</v>
      </c>
      <c r="DS91" s="228">
        <v>-0.01</v>
      </c>
      <c r="DT91" s="229">
        <v>-1.49E-2</v>
      </c>
      <c r="DU91" s="231">
        <v>1000</v>
      </c>
      <c r="DV91" s="228">
        <v>900</v>
      </c>
      <c r="DW91" s="228">
        <v>0.57999999999999996</v>
      </c>
      <c r="DX91" s="228">
        <v>0.82</v>
      </c>
      <c r="DY91" s="228">
        <v>-0.24</v>
      </c>
      <c r="DZ91" s="229">
        <v>-0.29270000000000002</v>
      </c>
      <c r="EA91" s="229">
        <v>1.9E-2</v>
      </c>
      <c r="EB91" s="230">
        <v>118000</v>
      </c>
      <c r="EC91" s="229">
        <v>3.5000000000000001E-3</v>
      </c>
      <c r="ED91" s="229">
        <v>1.9E-2</v>
      </c>
      <c r="EE91" s="228">
        <v>4.1399999999999997</v>
      </c>
      <c r="EF91" s="229">
        <v>4.4000000000000003E-3</v>
      </c>
      <c r="EG91" s="230">
        <v>1074808</v>
      </c>
      <c r="EH91" s="230">
        <v>1396987</v>
      </c>
      <c r="EI91" s="229">
        <v>-0.2306</v>
      </c>
      <c r="EJ91" s="229">
        <v>0.48259999999999997</v>
      </c>
      <c r="EK91" s="228">
        <v>432.18</v>
      </c>
      <c r="EL91" s="228">
        <v>230.57</v>
      </c>
      <c r="EM91" s="228">
        <v>325.58999999999997</v>
      </c>
      <c r="EN91" s="228">
        <v>37.04</v>
      </c>
      <c r="EO91" s="228">
        <v>988.35</v>
      </c>
      <c r="EP91" s="231">
        <v>2149.23</v>
      </c>
      <c r="EQ91" s="231">
        <v>-1160.8800000000001</v>
      </c>
      <c r="ER91" s="229">
        <v>-0.54010000000000002</v>
      </c>
      <c r="ES91" s="228">
        <v>435.6</v>
      </c>
      <c r="ET91" s="228">
        <v>264.35000000000002</v>
      </c>
      <c r="EU91" s="228">
        <v>686.79</v>
      </c>
      <c r="EV91" s="231">
        <v>52862157</v>
      </c>
      <c r="EW91" s="231">
        <v>1386.75</v>
      </c>
      <c r="EX91" s="231">
        <v>1391.18</v>
      </c>
      <c r="EY91" s="228">
        <v>-4.43</v>
      </c>
      <c r="EZ91" s="229">
        <v>-3.2000000000000002E-3</v>
      </c>
      <c r="FA91" s="229">
        <v>0.27300000000000002</v>
      </c>
      <c r="FB91" s="227" t="s">
        <v>556</v>
      </c>
      <c r="FC91">
        <f t="shared" si="1"/>
        <v>13</v>
      </c>
    </row>
    <row r="92" spans="1:159" ht="17.25" hidden="1" thickBot="1" x14ac:dyDescent="0.3">
      <c r="A92" s="226">
        <v>46086</v>
      </c>
      <c r="B92" s="227" t="s">
        <v>181</v>
      </c>
      <c r="C92" s="227" t="s">
        <v>687</v>
      </c>
      <c r="D92" s="228">
        <v>1</v>
      </c>
      <c r="E92" s="228">
        <v>25</v>
      </c>
      <c r="F92" s="228">
        <v>17.86</v>
      </c>
      <c r="G92" s="228">
        <v>21.14</v>
      </c>
      <c r="H92" s="228">
        <v>-3.28</v>
      </c>
      <c r="I92" s="229">
        <v>-0.15529999999999999</v>
      </c>
      <c r="J92" s="228">
        <v>17.86</v>
      </c>
      <c r="K92" s="228">
        <v>21.14</v>
      </c>
      <c r="L92" s="228">
        <v>-3.28</v>
      </c>
      <c r="M92" s="229">
        <v>-0.15529999999999999</v>
      </c>
      <c r="N92" s="228">
        <v>0</v>
      </c>
      <c r="O92" s="228">
        <v>0</v>
      </c>
      <c r="P92" s="228">
        <v>0</v>
      </c>
      <c r="Q92" s="229">
        <v>0</v>
      </c>
      <c r="R92" s="228">
        <v>0</v>
      </c>
      <c r="S92" s="228">
        <v>0</v>
      </c>
      <c r="T92" s="228">
        <v>0</v>
      </c>
      <c r="U92" s="229">
        <v>0</v>
      </c>
      <c r="V92" s="228">
        <v>0</v>
      </c>
      <c r="W92" s="228">
        <v>0</v>
      </c>
      <c r="X92" s="228">
        <v>0</v>
      </c>
      <c r="Y92" s="229">
        <v>0</v>
      </c>
      <c r="Z92" s="228">
        <v>0</v>
      </c>
      <c r="AA92" s="228">
        <v>0</v>
      </c>
      <c r="AB92" s="228">
        <v>0</v>
      </c>
      <c r="AC92" s="229">
        <v>0</v>
      </c>
      <c r="AD92" s="228">
        <v>0</v>
      </c>
      <c r="AE92" s="228">
        <v>0</v>
      </c>
      <c r="AF92" s="228">
        <v>0</v>
      </c>
      <c r="AG92" s="229">
        <v>0</v>
      </c>
      <c r="AH92" s="228">
        <v>0</v>
      </c>
      <c r="AI92" s="228">
        <v>0</v>
      </c>
      <c r="AJ92" s="228">
        <v>0</v>
      </c>
      <c r="AK92" s="229">
        <v>0</v>
      </c>
      <c r="AL92" s="228">
        <v>0</v>
      </c>
      <c r="AM92" s="228">
        <v>0</v>
      </c>
      <c r="AN92" s="228">
        <v>0</v>
      </c>
      <c r="AO92" s="229">
        <v>0</v>
      </c>
      <c r="AP92" s="228">
        <v>0</v>
      </c>
      <c r="AQ92" s="228">
        <v>0</v>
      </c>
      <c r="AR92" s="228">
        <v>0</v>
      </c>
      <c r="AS92" s="228">
        <v>0</v>
      </c>
      <c r="AT92" s="228">
        <v>0</v>
      </c>
      <c r="AU92" s="228">
        <v>0</v>
      </c>
      <c r="AV92" s="229">
        <v>0</v>
      </c>
      <c r="AW92" s="228">
        <v>0</v>
      </c>
      <c r="AX92" s="228">
        <v>0</v>
      </c>
      <c r="AY92" s="228">
        <v>0</v>
      </c>
      <c r="AZ92" s="229">
        <v>0</v>
      </c>
      <c r="BA92" s="228">
        <v>0</v>
      </c>
      <c r="BB92" s="228">
        <v>0</v>
      </c>
      <c r="BC92" s="228">
        <v>0</v>
      </c>
      <c r="BD92" s="229">
        <v>0</v>
      </c>
      <c r="BE92" s="228">
        <v>0</v>
      </c>
      <c r="BF92" s="228">
        <v>0</v>
      </c>
      <c r="BG92" s="228">
        <v>0</v>
      </c>
      <c r="BH92" s="229">
        <v>0</v>
      </c>
      <c r="BI92" s="228">
        <v>0</v>
      </c>
      <c r="BJ92" s="228">
        <v>0</v>
      </c>
      <c r="BK92" s="228">
        <v>0</v>
      </c>
      <c r="BL92" s="229">
        <v>0</v>
      </c>
      <c r="BM92" s="228">
        <v>0</v>
      </c>
      <c r="BN92" s="228">
        <v>0</v>
      </c>
      <c r="BO92" s="228">
        <v>0</v>
      </c>
      <c r="BP92" s="229">
        <v>0</v>
      </c>
      <c r="BQ92" s="228">
        <v>0</v>
      </c>
      <c r="BR92" s="228">
        <v>0</v>
      </c>
      <c r="BS92" s="228">
        <v>0</v>
      </c>
      <c r="BT92" s="229">
        <v>0</v>
      </c>
      <c r="BU92" s="228">
        <v>0</v>
      </c>
      <c r="BV92" s="228">
        <v>0</v>
      </c>
      <c r="BW92" s="228">
        <v>0</v>
      </c>
      <c r="BX92" s="229">
        <v>0</v>
      </c>
      <c r="BY92" s="228">
        <v>0</v>
      </c>
      <c r="BZ92" s="228">
        <v>0</v>
      </c>
      <c r="CA92" s="228">
        <v>0</v>
      </c>
      <c r="CB92" s="229">
        <v>0</v>
      </c>
      <c r="CC92" s="228">
        <v>0</v>
      </c>
      <c r="CD92" s="228">
        <v>0</v>
      </c>
      <c r="CE92" s="228">
        <v>0</v>
      </c>
      <c r="CF92" s="229">
        <v>0</v>
      </c>
      <c r="CG92" s="228">
        <v>0</v>
      </c>
      <c r="CH92" s="228">
        <v>0</v>
      </c>
      <c r="CI92" s="228">
        <v>0</v>
      </c>
      <c r="CJ92" s="229">
        <v>0</v>
      </c>
      <c r="CK92" s="228">
        <v>0</v>
      </c>
      <c r="CL92" s="228">
        <v>0</v>
      </c>
      <c r="CM92" s="228">
        <v>0</v>
      </c>
      <c r="CN92" s="229">
        <v>0</v>
      </c>
      <c r="CO92" s="228">
        <v>0</v>
      </c>
      <c r="CP92" s="228">
        <v>0</v>
      </c>
      <c r="CQ92" s="228">
        <v>0</v>
      </c>
      <c r="CR92" s="229">
        <v>0</v>
      </c>
      <c r="CS92" s="228">
        <v>0</v>
      </c>
      <c r="CT92" s="228">
        <v>0</v>
      </c>
      <c r="CU92" s="228">
        <v>0</v>
      </c>
      <c r="CV92" s="229">
        <v>0</v>
      </c>
      <c r="CW92" s="228">
        <v>0</v>
      </c>
      <c r="CX92" s="228">
        <v>0</v>
      </c>
      <c r="CY92" s="228">
        <v>0</v>
      </c>
      <c r="CZ92" s="229">
        <v>0</v>
      </c>
      <c r="DA92" s="228">
        <v>0</v>
      </c>
      <c r="DB92" s="228">
        <v>0</v>
      </c>
      <c r="DC92" s="228">
        <v>0</v>
      </c>
      <c r="DD92" s="228">
        <v>0</v>
      </c>
      <c r="DE92" s="228">
        <v>0</v>
      </c>
      <c r="DF92" s="228">
        <v>0</v>
      </c>
      <c r="DG92" s="228">
        <v>0</v>
      </c>
      <c r="DH92" s="228">
        <v>0</v>
      </c>
      <c r="DI92" s="228">
        <v>0</v>
      </c>
      <c r="DJ92" s="228">
        <v>0</v>
      </c>
      <c r="DK92" s="228">
        <v>0</v>
      </c>
      <c r="DL92" s="228">
        <v>0</v>
      </c>
      <c r="DM92" s="228">
        <v>0</v>
      </c>
      <c r="DN92" s="228">
        <v>0</v>
      </c>
      <c r="DO92" s="228">
        <v>0</v>
      </c>
      <c r="DP92" s="228">
        <v>0</v>
      </c>
      <c r="DQ92" s="228">
        <v>0</v>
      </c>
      <c r="DR92" s="228">
        <v>0</v>
      </c>
      <c r="DS92" s="228">
        <v>0</v>
      </c>
      <c r="DT92" s="229">
        <v>0</v>
      </c>
      <c r="DU92" s="228">
        <v>0</v>
      </c>
      <c r="DV92" s="228">
        <v>0</v>
      </c>
      <c r="DW92" s="228">
        <v>0</v>
      </c>
      <c r="DX92" s="228">
        <v>0</v>
      </c>
      <c r="DY92" s="228">
        <v>0</v>
      </c>
      <c r="DZ92" s="229">
        <v>0</v>
      </c>
      <c r="EA92" s="229">
        <v>0</v>
      </c>
      <c r="EB92" s="228">
        <v>0</v>
      </c>
      <c r="EC92" s="229">
        <v>0</v>
      </c>
      <c r="ED92" s="229">
        <v>0</v>
      </c>
      <c r="EE92" s="228">
        <v>0</v>
      </c>
      <c r="EF92" s="229">
        <v>0</v>
      </c>
      <c r="EG92" s="228">
        <v>0</v>
      </c>
      <c r="EH92" s="228">
        <v>0</v>
      </c>
      <c r="EI92" s="229">
        <v>0</v>
      </c>
      <c r="EJ92" s="229">
        <v>0</v>
      </c>
      <c r="EK92" s="228">
        <v>0</v>
      </c>
      <c r="EL92" s="228">
        <v>0</v>
      </c>
      <c r="EM92" s="228">
        <v>0</v>
      </c>
      <c r="EN92" s="228">
        <v>0</v>
      </c>
      <c r="EO92" s="228">
        <v>0</v>
      </c>
      <c r="EP92" s="228">
        <v>0</v>
      </c>
      <c r="EQ92" s="228">
        <v>0</v>
      </c>
      <c r="ER92" s="229">
        <v>0</v>
      </c>
      <c r="ES92" s="228">
        <v>0</v>
      </c>
      <c r="ET92" s="228">
        <v>0</v>
      </c>
      <c r="EU92" s="228">
        <v>0</v>
      </c>
      <c r="EV92" s="228">
        <v>0</v>
      </c>
      <c r="EW92" s="228">
        <v>0</v>
      </c>
      <c r="EX92" s="228">
        <v>0</v>
      </c>
      <c r="EY92" s="228">
        <v>0</v>
      </c>
      <c r="EZ92" s="229">
        <v>0</v>
      </c>
      <c r="FA92" s="229">
        <v>0</v>
      </c>
      <c r="FB92" s="227" t="s">
        <v>237</v>
      </c>
      <c r="FC92">
        <f t="shared" si="1"/>
        <v>0</v>
      </c>
    </row>
    <row r="93" spans="1:159" ht="17.25" hidden="1" thickBot="1" x14ac:dyDescent="0.3">
      <c r="A93" s="226">
        <v>46086</v>
      </c>
      <c r="B93" s="227" t="s">
        <v>215</v>
      </c>
      <c r="C93" s="227" t="s">
        <v>238</v>
      </c>
      <c r="D93" s="228">
        <v>150</v>
      </c>
      <c r="E93" s="228">
        <v>25</v>
      </c>
      <c r="F93" s="231">
        <v>4520.1000000000004</v>
      </c>
      <c r="G93" s="231">
        <v>4412.3</v>
      </c>
      <c r="H93" s="228">
        <v>107.8</v>
      </c>
      <c r="I93" s="229">
        <v>2.4400000000000002E-2</v>
      </c>
      <c r="J93" s="231">
        <v>4512.8</v>
      </c>
      <c r="K93" s="231">
        <v>4392.8999999999996</v>
      </c>
      <c r="L93" s="228">
        <v>119.9</v>
      </c>
      <c r="M93" s="229">
        <v>2.7300000000000001E-2</v>
      </c>
      <c r="N93" s="231">
        <v>4520.1000000000004</v>
      </c>
      <c r="O93" s="231">
        <v>4412.3</v>
      </c>
      <c r="P93" s="228">
        <v>107.8</v>
      </c>
      <c r="Q93" s="229">
        <v>2.4400000000000002E-2</v>
      </c>
      <c r="R93" s="231">
        <v>4548.5</v>
      </c>
      <c r="S93" s="231">
        <v>4436.7</v>
      </c>
      <c r="T93" s="228">
        <v>111.8</v>
      </c>
      <c r="U93" s="229">
        <v>2.52E-2</v>
      </c>
      <c r="V93" s="231">
        <v>4575.2</v>
      </c>
      <c r="W93" s="231">
        <v>4450.5</v>
      </c>
      <c r="X93" s="228">
        <v>124.7</v>
      </c>
      <c r="Y93" s="229">
        <v>2.8000000000000001E-2</v>
      </c>
      <c r="Z93" s="228">
        <v>7.3</v>
      </c>
      <c r="AA93" s="228">
        <v>19.399999999999999</v>
      </c>
      <c r="AB93" s="228">
        <v>-12.1</v>
      </c>
      <c r="AC93" s="229">
        <v>1.6000000000000001E-3</v>
      </c>
      <c r="AD93" s="228">
        <v>7.3</v>
      </c>
      <c r="AE93" s="228">
        <v>19.399999999999999</v>
      </c>
      <c r="AF93" s="228">
        <v>-12.1</v>
      </c>
      <c r="AG93" s="229">
        <v>1.6000000000000001E-3</v>
      </c>
      <c r="AH93" s="228">
        <v>35.700000000000003</v>
      </c>
      <c r="AI93" s="228">
        <v>43.8</v>
      </c>
      <c r="AJ93" s="228">
        <v>-8.1</v>
      </c>
      <c r="AK93" s="229">
        <v>7.9000000000000008E-3</v>
      </c>
      <c r="AL93" s="228">
        <v>62.4</v>
      </c>
      <c r="AM93" s="228">
        <v>57.6</v>
      </c>
      <c r="AN93" s="228">
        <v>4.8</v>
      </c>
      <c r="AO93" s="229">
        <v>1.38E-2</v>
      </c>
      <c r="AP93" s="231">
        <v>4449.46</v>
      </c>
      <c r="AQ93" s="231">
        <v>4464.37</v>
      </c>
      <c r="AR93" s="228">
        <v>0</v>
      </c>
      <c r="AS93" s="230">
        <v>1891</v>
      </c>
      <c r="AT93" s="230">
        <v>1589</v>
      </c>
      <c r="AU93" s="228">
        <v>302</v>
      </c>
      <c r="AV93" s="229">
        <v>0.19009999999999999</v>
      </c>
      <c r="AW93" s="230">
        <v>1759</v>
      </c>
      <c r="AX93" s="230">
        <v>1504</v>
      </c>
      <c r="AY93" s="228">
        <v>255</v>
      </c>
      <c r="AZ93" s="229">
        <v>0.1696</v>
      </c>
      <c r="BA93" s="228">
        <v>86</v>
      </c>
      <c r="BB93" s="228">
        <v>71</v>
      </c>
      <c r="BC93" s="228">
        <v>15</v>
      </c>
      <c r="BD93" s="229">
        <v>0.20610000000000001</v>
      </c>
      <c r="BE93" s="228">
        <v>46</v>
      </c>
      <c r="BF93" s="228">
        <v>14</v>
      </c>
      <c r="BG93" s="228">
        <v>32</v>
      </c>
      <c r="BH93" s="229">
        <v>2.3268</v>
      </c>
      <c r="BI93" s="230">
        <v>4352</v>
      </c>
      <c r="BJ93" s="230">
        <v>4339</v>
      </c>
      <c r="BK93" s="228">
        <v>13</v>
      </c>
      <c r="BL93" s="229">
        <v>2.8999999999999998E-3</v>
      </c>
      <c r="BM93" s="230">
        <v>4218</v>
      </c>
      <c r="BN93" s="230">
        <v>5511</v>
      </c>
      <c r="BO93" s="230">
        <v>-1293</v>
      </c>
      <c r="BP93" s="229">
        <v>-0.2346</v>
      </c>
      <c r="BQ93" s="230">
        <v>10461</v>
      </c>
      <c r="BR93" s="230">
        <v>11439</v>
      </c>
      <c r="BS93" s="228">
        <v>-978</v>
      </c>
      <c r="BT93" s="229">
        <v>-8.5500000000000007E-2</v>
      </c>
      <c r="BU93" s="230">
        <v>2746192</v>
      </c>
      <c r="BV93" s="230">
        <v>3089306</v>
      </c>
      <c r="BW93" s="230">
        <v>-343114</v>
      </c>
      <c r="BX93" s="229">
        <v>-0.1111</v>
      </c>
      <c r="BY93" s="230">
        <v>4163</v>
      </c>
      <c r="BZ93" s="230">
        <v>4228</v>
      </c>
      <c r="CA93" s="228">
        <v>-64</v>
      </c>
      <c r="CB93" s="229">
        <v>-1.52E-2</v>
      </c>
      <c r="CC93" s="230">
        <v>3791</v>
      </c>
      <c r="CD93" s="230">
        <v>3863</v>
      </c>
      <c r="CE93" s="228">
        <v>-72</v>
      </c>
      <c r="CF93" s="229">
        <v>-1.8700000000000001E-2</v>
      </c>
      <c r="CG93" s="228">
        <v>217</v>
      </c>
      <c r="CH93" s="228">
        <v>211</v>
      </c>
      <c r="CI93" s="228">
        <v>6</v>
      </c>
      <c r="CJ93" s="229">
        <v>3.0599999999999999E-2</v>
      </c>
      <c r="CK93" s="228">
        <v>155</v>
      </c>
      <c r="CL93" s="228">
        <v>154</v>
      </c>
      <c r="CM93" s="228">
        <v>1</v>
      </c>
      <c r="CN93" s="229">
        <v>8.8000000000000005E-3</v>
      </c>
      <c r="CO93" s="230">
        <v>2367</v>
      </c>
      <c r="CP93" s="230">
        <v>2050</v>
      </c>
      <c r="CQ93" s="228">
        <v>317</v>
      </c>
      <c r="CR93" s="229">
        <v>0.1547</v>
      </c>
      <c r="CS93" s="230">
        <v>1737</v>
      </c>
      <c r="CT93" s="230">
        <v>1563</v>
      </c>
      <c r="CU93" s="228">
        <v>174</v>
      </c>
      <c r="CV93" s="229">
        <v>0.1115</v>
      </c>
      <c r="CW93" s="230">
        <v>8267</v>
      </c>
      <c r="CX93" s="230">
        <v>7840</v>
      </c>
      <c r="CY93" s="228">
        <v>427</v>
      </c>
      <c r="CZ93" s="229">
        <v>5.45E-2</v>
      </c>
      <c r="DA93" s="228">
        <v>32.729999999999997</v>
      </c>
      <c r="DB93" s="228">
        <v>40.340000000000003</v>
      </c>
      <c r="DC93" s="228">
        <v>-7.61</v>
      </c>
      <c r="DD93" s="228">
        <v>-7.61</v>
      </c>
      <c r="DE93" s="228">
        <v>34.79</v>
      </c>
      <c r="DF93" s="228">
        <v>34.68</v>
      </c>
      <c r="DG93" s="228">
        <v>-2.06</v>
      </c>
      <c r="DH93" s="228">
        <v>0.11</v>
      </c>
      <c r="DI93" s="228">
        <v>29.15</v>
      </c>
      <c r="DJ93" s="228">
        <v>35.47</v>
      </c>
      <c r="DK93" s="228">
        <v>-6.32</v>
      </c>
      <c r="DL93" s="228">
        <v>-6.32</v>
      </c>
      <c r="DM93" s="228">
        <v>36.42</v>
      </c>
      <c r="DN93" s="228">
        <v>44.17</v>
      </c>
      <c r="DO93" s="228">
        <v>-7.75</v>
      </c>
      <c r="DP93" s="228">
        <v>-7.75</v>
      </c>
      <c r="DQ93" s="228">
        <v>0.73</v>
      </c>
      <c r="DR93" s="228">
        <v>0.76</v>
      </c>
      <c r="DS93" s="228">
        <v>-0.03</v>
      </c>
      <c r="DT93" s="229">
        <v>-3.95E-2</v>
      </c>
      <c r="DU93" s="231">
        <v>4600</v>
      </c>
      <c r="DV93" s="231">
        <v>4300</v>
      </c>
      <c r="DW93" s="228">
        <v>0.97</v>
      </c>
      <c r="DX93" s="228">
        <v>1.27</v>
      </c>
      <c r="DY93" s="228">
        <v>-0.3</v>
      </c>
      <c r="DZ93" s="229">
        <v>-0.23619999999999999</v>
      </c>
      <c r="EA93" s="229">
        <v>8.9399999999999993E-2</v>
      </c>
      <c r="EB93" s="230">
        <v>806100</v>
      </c>
      <c r="EC93" s="229">
        <v>6.3E-3</v>
      </c>
      <c r="ED93" s="229">
        <v>8.9399999999999993E-2</v>
      </c>
      <c r="EE93" s="228">
        <v>14.91</v>
      </c>
      <c r="EF93" s="229">
        <v>3.3999999999999998E-3</v>
      </c>
      <c r="EG93" s="230">
        <v>1396084</v>
      </c>
      <c r="EH93" s="230">
        <v>1583284</v>
      </c>
      <c r="EI93" s="229">
        <v>-0.1182</v>
      </c>
      <c r="EJ93" s="229">
        <v>0.50839999999999996</v>
      </c>
      <c r="EK93" s="231">
        <v>4556.32</v>
      </c>
      <c r="EL93" s="231">
        <v>4061.51</v>
      </c>
      <c r="EM93" s="231">
        <v>1861.91</v>
      </c>
      <c r="EN93" s="228">
        <v>174.95</v>
      </c>
      <c r="EO93" s="231">
        <v>10479.75</v>
      </c>
      <c r="EP93" s="231">
        <v>11419.65</v>
      </c>
      <c r="EQ93" s="228">
        <v>-939.9</v>
      </c>
      <c r="ER93" s="229">
        <v>-8.2299999999999998E-2</v>
      </c>
      <c r="ES93" s="231">
        <v>2495.91</v>
      </c>
      <c r="ET93" s="231">
        <v>1724.32</v>
      </c>
      <c r="EU93" s="231">
        <v>4166.6099999999997</v>
      </c>
      <c r="EV93" s="231">
        <v>33874835</v>
      </c>
      <c r="EW93" s="231">
        <v>8386.84</v>
      </c>
      <c r="EX93" s="231">
        <v>7857.61</v>
      </c>
      <c r="EY93" s="228">
        <v>529.23</v>
      </c>
      <c r="EZ93" s="229">
        <v>6.7400000000000002E-2</v>
      </c>
      <c r="FA93" s="229">
        <v>0.53990000000000005</v>
      </c>
      <c r="FB93" s="227" t="s">
        <v>556</v>
      </c>
      <c r="FC93">
        <f t="shared" si="1"/>
        <v>372</v>
      </c>
    </row>
    <row r="94" spans="1:159" ht="17.25" hidden="1" thickBot="1" x14ac:dyDescent="0.3">
      <c r="A94" s="226">
        <v>46086</v>
      </c>
      <c r="B94" s="227" t="s">
        <v>172</v>
      </c>
      <c r="C94" s="227" t="s">
        <v>239</v>
      </c>
      <c r="D94" s="228">
        <v>700</v>
      </c>
      <c r="E94" s="228">
        <v>25</v>
      </c>
      <c r="F94" s="228">
        <v>940.45</v>
      </c>
      <c r="G94" s="228">
        <v>929.95</v>
      </c>
      <c r="H94" s="228">
        <v>10.5</v>
      </c>
      <c r="I94" s="229">
        <v>1.1299999999999999E-2</v>
      </c>
      <c r="J94" s="228">
        <v>937.2</v>
      </c>
      <c r="K94" s="228">
        <v>927.55</v>
      </c>
      <c r="L94" s="228">
        <v>9.65</v>
      </c>
      <c r="M94" s="229">
        <v>1.04E-2</v>
      </c>
      <c r="N94" s="228">
        <v>940.45</v>
      </c>
      <c r="O94" s="228">
        <v>929.95</v>
      </c>
      <c r="P94" s="228">
        <v>10.5</v>
      </c>
      <c r="Q94" s="229">
        <v>1.1299999999999999E-2</v>
      </c>
      <c r="R94" s="228">
        <v>946.65</v>
      </c>
      <c r="S94" s="228">
        <v>936.15</v>
      </c>
      <c r="T94" s="228">
        <v>10.5</v>
      </c>
      <c r="U94" s="229">
        <v>1.12E-2</v>
      </c>
      <c r="V94" s="228">
        <v>951.7</v>
      </c>
      <c r="W94" s="228">
        <v>940.85</v>
      </c>
      <c r="X94" s="228">
        <v>10.85</v>
      </c>
      <c r="Y94" s="229">
        <v>1.15E-2</v>
      </c>
      <c r="Z94" s="228">
        <v>3.25</v>
      </c>
      <c r="AA94" s="228">
        <v>2.4</v>
      </c>
      <c r="AB94" s="228">
        <v>0.85</v>
      </c>
      <c r="AC94" s="229">
        <v>3.5000000000000001E-3</v>
      </c>
      <c r="AD94" s="228">
        <v>3.25</v>
      </c>
      <c r="AE94" s="228">
        <v>2.4</v>
      </c>
      <c r="AF94" s="228">
        <v>0.85</v>
      </c>
      <c r="AG94" s="229">
        <v>3.5000000000000001E-3</v>
      </c>
      <c r="AH94" s="228">
        <v>9.4499999999999993</v>
      </c>
      <c r="AI94" s="228">
        <v>8.6</v>
      </c>
      <c r="AJ94" s="228">
        <v>0.85</v>
      </c>
      <c r="AK94" s="229">
        <v>1.01E-2</v>
      </c>
      <c r="AL94" s="228">
        <v>14.5</v>
      </c>
      <c r="AM94" s="228">
        <v>13.3</v>
      </c>
      <c r="AN94" s="228">
        <v>1.2</v>
      </c>
      <c r="AO94" s="229">
        <v>1.55E-2</v>
      </c>
      <c r="AP94" s="228">
        <v>939.83</v>
      </c>
      <c r="AQ94" s="228">
        <v>943.95</v>
      </c>
      <c r="AR94" s="228">
        <v>0</v>
      </c>
      <c r="AS94" s="228">
        <v>566</v>
      </c>
      <c r="AT94" s="228">
        <v>876</v>
      </c>
      <c r="AU94" s="228">
        <v>-310</v>
      </c>
      <c r="AV94" s="229">
        <v>-0.35360000000000003</v>
      </c>
      <c r="AW94" s="228">
        <v>528</v>
      </c>
      <c r="AX94" s="228">
        <v>836</v>
      </c>
      <c r="AY94" s="228">
        <v>-308</v>
      </c>
      <c r="AZ94" s="229">
        <v>-0.36830000000000002</v>
      </c>
      <c r="BA94" s="228">
        <v>36</v>
      </c>
      <c r="BB94" s="228">
        <v>29</v>
      </c>
      <c r="BC94" s="228">
        <v>7</v>
      </c>
      <c r="BD94" s="229">
        <v>0.25640000000000002</v>
      </c>
      <c r="BE94" s="228">
        <v>2</v>
      </c>
      <c r="BF94" s="228">
        <v>11</v>
      </c>
      <c r="BG94" s="228">
        <v>-9</v>
      </c>
      <c r="BH94" s="229">
        <v>-0.80469999999999997</v>
      </c>
      <c r="BI94" s="228">
        <v>671</v>
      </c>
      <c r="BJ94" s="228">
        <v>651</v>
      </c>
      <c r="BK94" s="228">
        <v>20</v>
      </c>
      <c r="BL94" s="229">
        <v>3.0300000000000001E-2</v>
      </c>
      <c r="BM94" s="228">
        <v>516</v>
      </c>
      <c r="BN94" s="228">
        <v>539</v>
      </c>
      <c r="BO94" s="228">
        <v>-23</v>
      </c>
      <c r="BP94" s="229">
        <v>-4.2299999999999997E-2</v>
      </c>
      <c r="BQ94" s="230">
        <v>1753</v>
      </c>
      <c r="BR94" s="230">
        <v>2066</v>
      </c>
      <c r="BS94" s="228">
        <v>-313</v>
      </c>
      <c r="BT94" s="229">
        <v>-0.15140000000000001</v>
      </c>
      <c r="BU94" s="230">
        <v>1997302</v>
      </c>
      <c r="BV94" s="230">
        <v>2594966</v>
      </c>
      <c r="BW94" s="230">
        <v>-597664</v>
      </c>
      <c r="BX94" s="229">
        <v>-0.2303</v>
      </c>
      <c r="BY94" s="230">
        <v>3374</v>
      </c>
      <c r="BZ94" s="230">
        <v>3336</v>
      </c>
      <c r="CA94" s="228">
        <v>38</v>
      </c>
      <c r="CB94" s="229">
        <v>1.1299999999999999E-2</v>
      </c>
      <c r="CC94" s="230">
        <v>3234</v>
      </c>
      <c r="CD94" s="230">
        <v>3211</v>
      </c>
      <c r="CE94" s="228">
        <v>23</v>
      </c>
      <c r="CF94" s="229">
        <v>7.3000000000000001E-3</v>
      </c>
      <c r="CG94" s="228">
        <v>126</v>
      </c>
      <c r="CH94" s="228">
        <v>112</v>
      </c>
      <c r="CI94" s="228">
        <v>14</v>
      </c>
      <c r="CJ94" s="229">
        <v>0.1255</v>
      </c>
      <c r="CK94" s="228">
        <v>13</v>
      </c>
      <c r="CL94" s="228">
        <v>13</v>
      </c>
      <c r="CM94" s="228">
        <v>0</v>
      </c>
      <c r="CN94" s="229">
        <v>2.6200000000000001E-2</v>
      </c>
      <c r="CO94" s="228">
        <v>580</v>
      </c>
      <c r="CP94" s="228">
        <v>586</v>
      </c>
      <c r="CQ94" s="228">
        <v>-6</v>
      </c>
      <c r="CR94" s="229">
        <v>-1.0800000000000001E-2</v>
      </c>
      <c r="CS94" s="228">
        <v>399</v>
      </c>
      <c r="CT94" s="228">
        <v>411</v>
      </c>
      <c r="CU94" s="228">
        <v>-11</v>
      </c>
      <c r="CV94" s="229">
        <v>-2.7400000000000001E-2</v>
      </c>
      <c r="CW94" s="230">
        <v>4353</v>
      </c>
      <c r="CX94" s="230">
        <v>4333</v>
      </c>
      <c r="CY94" s="228">
        <v>20</v>
      </c>
      <c r="CZ94" s="229">
        <v>4.5999999999999999E-3</v>
      </c>
      <c r="DA94" s="228">
        <v>29.05</v>
      </c>
      <c r="DB94" s="228">
        <v>32</v>
      </c>
      <c r="DC94" s="228">
        <v>-2.95</v>
      </c>
      <c r="DD94" s="228">
        <v>-2.95</v>
      </c>
      <c r="DE94" s="228">
        <v>41.09</v>
      </c>
      <c r="DF94" s="228">
        <v>41.17</v>
      </c>
      <c r="DG94" s="228">
        <v>-12.04</v>
      </c>
      <c r="DH94" s="228">
        <v>-0.08</v>
      </c>
      <c r="DI94" s="228">
        <v>28.39</v>
      </c>
      <c r="DJ94" s="228">
        <v>31.13</v>
      </c>
      <c r="DK94" s="228">
        <v>-2.74</v>
      </c>
      <c r="DL94" s="228">
        <v>-2.74</v>
      </c>
      <c r="DM94" s="228">
        <v>29.91</v>
      </c>
      <c r="DN94" s="228">
        <v>33.06</v>
      </c>
      <c r="DO94" s="228">
        <v>-3.15</v>
      </c>
      <c r="DP94" s="228">
        <v>-3.15</v>
      </c>
      <c r="DQ94" s="228">
        <v>0.69</v>
      </c>
      <c r="DR94" s="228">
        <v>0.7</v>
      </c>
      <c r="DS94" s="228">
        <v>-0.01</v>
      </c>
      <c r="DT94" s="229">
        <v>-1.43E-2</v>
      </c>
      <c r="DU94" s="231">
        <v>1000</v>
      </c>
      <c r="DV94" s="228">
        <v>900</v>
      </c>
      <c r="DW94" s="228">
        <v>0.77</v>
      </c>
      <c r="DX94" s="228">
        <v>0.83</v>
      </c>
      <c r="DY94" s="228">
        <v>-0.06</v>
      </c>
      <c r="DZ94" s="229">
        <v>-7.2300000000000003E-2</v>
      </c>
      <c r="EA94" s="229">
        <v>4.1300000000000003E-2</v>
      </c>
      <c r="EB94" s="230">
        <v>1327200</v>
      </c>
      <c r="EC94" s="229">
        <v>6.6E-3</v>
      </c>
      <c r="ED94" s="229">
        <v>4.1300000000000003E-2</v>
      </c>
      <c r="EE94" s="228">
        <v>4.12</v>
      </c>
      <c r="EF94" s="229">
        <v>4.4000000000000003E-3</v>
      </c>
      <c r="EG94" s="230">
        <v>758487</v>
      </c>
      <c r="EH94" s="230">
        <v>1080732</v>
      </c>
      <c r="EI94" s="229">
        <v>-0.29820000000000002</v>
      </c>
      <c r="EJ94" s="229">
        <v>0.37980000000000003</v>
      </c>
      <c r="EK94" s="228">
        <v>706.87</v>
      </c>
      <c r="EL94" s="228">
        <v>516.75</v>
      </c>
      <c r="EM94" s="228">
        <v>566.02</v>
      </c>
      <c r="EN94" s="228">
        <v>124.36</v>
      </c>
      <c r="EO94" s="231">
        <v>1789.65</v>
      </c>
      <c r="EP94" s="231">
        <v>2083.46</v>
      </c>
      <c r="EQ94" s="228">
        <v>-293.81</v>
      </c>
      <c r="ER94" s="229">
        <v>-0.14099999999999999</v>
      </c>
      <c r="ES94" s="228">
        <v>604.44000000000005</v>
      </c>
      <c r="ET94" s="228">
        <v>386.5</v>
      </c>
      <c r="EU94" s="231">
        <v>3374.72</v>
      </c>
      <c r="EV94" s="231">
        <v>93808799</v>
      </c>
      <c r="EW94" s="231">
        <v>4365.66</v>
      </c>
      <c r="EX94" s="231">
        <v>4307.2</v>
      </c>
      <c r="EY94" s="228">
        <v>58.46</v>
      </c>
      <c r="EZ94" s="229">
        <v>1.3599999999999999E-2</v>
      </c>
      <c r="FA94" s="229">
        <v>0.49340000000000001</v>
      </c>
      <c r="FB94" s="227" t="s">
        <v>555</v>
      </c>
      <c r="FC94">
        <f t="shared" si="1"/>
        <v>140</v>
      </c>
    </row>
    <row r="95" spans="1:159" ht="17.25" hidden="1" thickBot="1" x14ac:dyDescent="0.3">
      <c r="A95" s="226">
        <v>46086</v>
      </c>
      <c r="B95" s="227" t="s">
        <v>188</v>
      </c>
      <c r="C95" s="227" t="s">
        <v>473</v>
      </c>
      <c r="D95" s="228">
        <v>1700</v>
      </c>
      <c r="E95" s="228">
        <v>25</v>
      </c>
      <c r="F95" s="228">
        <v>453.6</v>
      </c>
      <c r="G95" s="228">
        <v>443.4</v>
      </c>
      <c r="H95" s="228">
        <v>10.199999999999999</v>
      </c>
      <c r="I95" s="229">
        <v>2.3E-2</v>
      </c>
      <c r="J95" s="228">
        <v>451.4</v>
      </c>
      <c r="K95" s="228">
        <v>442.3</v>
      </c>
      <c r="L95" s="228">
        <v>9.1</v>
      </c>
      <c r="M95" s="229">
        <v>2.06E-2</v>
      </c>
      <c r="N95" s="228">
        <v>453.6</v>
      </c>
      <c r="O95" s="228">
        <v>443.4</v>
      </c>
      <c r="P95" s="228">
        <v>10.199999999999999</v>
      </c>
      <c r="Q95" s="229">
        <v>2.3E-2</v>
      </c>
      <c r="R95" s="228">
        <v>456.1</v>
      </c>
      <c r="S95" s="228">
        <v>446.45</v>
      </c>
      <c r="T95" s="228">
        <v>9.65</v>
      </c>
      <c r="U95" s="229">
        <v>2.1600000000000001E-2</v>
      </c>
      <c r="V95" s="228">
        <v>463.75</v>
      </c>
      <c r="W95" s="228">
        <v>447</v>
      </c>
      <c r="X95" s="228">
        <v>16.75</v>
      </c>
      <c r="Y95" s="229">
        <v>3.7499999999999999E-2</v>
      </c>
      <c r="Z95" s="228">
        <v>2.2000000000000002</v>
      </c>
      <c r="AA95" s="228">
        <v>1.1000000000000001</v>
      </c>
      <c r="AB95" s="228">
        <v>1.1000000000000001</v>
      </c>
      <c r="AC95" s="229">
        <v>4.8999999999999998E-3</v>
      </c>
      <c r="AD95" s="228">
        <v>2.2000000000000002</v>
      </c>
      <c r="AE95" s="228">
        <v>1.1000000000000001</v>
      </c>
      <c r="AF95" s="228">
        <v>1.1000000000000001</v>
      </c>
      <c r="AG95" s="229">
        <v>4.8999999999999998E-3</v>
      </c>
      <c r="AH95" s="228">
        <v>4.7</v>
      </c>
      <c r="AI95" s="228">
        <v>4.1500000000000004</v>
      </c>
      <c r="AJ95" s="228">
        <v>0.55000000000000004</v>
      </c>
      <c r="AK95" s="229">
        <v>1.04E-2</v>
      </c>
      <c r="AL95" s="228">
        <v>12.35</v>
      </c>
      <c r="AM95" s="228">
        <v>4.7</v>
      </c>
      <c r="AN95" s="228">
        <v>7.65</v>
      </c>
      <c r="AO95" s="229">
        <v>2.7400000000000001E-2</v>
      </c>
      <c r="AP95" s="228">
        <v>451.94</v>
      </c>
      <c r="AQ95" s="228">
        <v>454.76</v>
      </c>
      <c r="AR95" s="228">
        <v>0</v>
      </c>
      <c r="AS95" s="228">
        <v>349</v>
      </c>
      <c r="AT95" s="228">
        <v>407</v>
      </c>
      <c r="AU95" s="228">
        <v>-58</v>
      </c>
      <c r="AV95" s="229">
        <v>-0.14349999999999999</v>
      </c>
      <c r="AW95" s="228">
        <v>339</v>
      </c>
      <c r="AX95" s="228">
        <v>373</v>
      </c>
      <c r="AY95" s="228">
        <v>-34</v>
      </c>
      <c r="AZ95" s="229">
        <v>-9.0399999999999994E-2</v>
      </c>
      <c r="BA95" s="228">
        <v>9</v>
      </c>
      <c r="BB95" s="228">
        <v>33</v>
      </c>
      <c r="BC95" s="228">
        <v>-24</v>
      </c>
      <c r="BD95" s="229">
        <v>-0.73829999999999996</v>
      </c>
      <c r="BE95" s="228">
        <v>1</v>
      </c>
      <c r="BF95" s="228">
        <v>1</v>
      </c>
      <c r="BG95" s="228">
        <v>0</v>
      </c>
      <c r="BH95" s="229">
        <v>-0.25</v>
      </c>
      <c r="BI95" s="228">
        <v>563</v>
      </c>
      <c r="BJ95" s="228">
        <v>488</v>
      </c>
      <c r="BK95" s="228">
        <v>75</v>
      </c>
      <c r="BL95" s="229">
        <v>0.15479999999999999</v>
      </c>
      <c r="BM95" s="228">
        <v>221</v>
      </c>
      <c r="BN95" s="228">
        <v>233</v>
      </c>
      <c r="BO95" s="228">
        <v>-12</v>
      </c>
      <c r="BP95" s="229">
        <v>-5.2200000000000003E-2</v>
      </c>
      <c r="BQ95" s="230">
        <v>1133</v>
      </c>
      <c r="BR95" s="230">
        <v>1128</v>
      </c>
      <c r="BS95" s="228">
        <v>5</v>
      </c>
      <c r="BT95" s="229">
        <v>4.4000000000000003E-3</v>
      </c>
      <c r="BU95" s="230">
        <v>3105031</v>
      </c>
      <c r="BV95" s="230">
        <v>5679353</v>
      </c>
      <c r="BW95" s="230">
        <v>-2574322</v>
      </c>
      <c r="BX95" s="229">
        <v>-0.45329999999999998</v>
      </c>
      <c r="BY95" s="230">
        <v>3239</v>
      </c>
      <c r="BZ95" s="230">
        <v>3234</v>
      </c>
      <c r="CA95" s="228">
        <v>4</v>
      </c>
      <c r="CB95" s="229">
        <v>1.4E-3</v>
      </c>
      <c r="CC95" s="230">
        <v>3196</v>
      </c>
      <c r="CD95" s="230">
        <v>3193</v>
      </c>
      <c r="CE95" s="228">
        <v>3</v>
      </c>
      <c r="CF95" s="229">
        <v>1.1000000000000001E-3</v>
      </c>
      <c r="CG95" s="228">
        <v>41</v>
      </c>
      <c r="CH95" s="228">
        <v>40</v>
      </c>
      <c r="CI95" s="228">
        <v>1</v>
      </c>
      <c r="CJ95" s="229">
        <v>1.54E-2</v>
      </c>
      <c r="CK95" s="228">
        <v>2</v>
      </c>
      <c r="CL95" s="228">
        <v>1</v>
      </c>
      <c r="CM95" s="228">
        <v>0</v>
      </c>
      <c r="CN95" s="229">
        <v>0.375</v>
      </c>
      <c r="CO95" s="228">
        <v>511</v>
      </c>
      <c r="CP95" s="228">
        <v>515</v>
      </c>
      <c r="CQ95" s="228">
        <v>-4</v>
      </c>
      <c r="CR95" s="229">
        <v>-8.0999999999999996E-3</v>
      </c>
      <c r="CS95" s="228">
        <v>276</v>
      </c>
      <c r="CT95" s="228">
        <v>253</v>
      </c>
      <c r="CU95" s="228">
        <v>23</v>
      </c>
      <c r="CV95" s="229">
        <v>8.9099999999999999E-2</v>
      </c>
      <c r="CW95" s="230">
        <v>4025</v>
      </c>
      <c r="CX95" s="230">
        <v>4002</v>
      </c>
      <c r="CY95" s="228">
        <v>23</v>
      </c>
      <c r="CZ95" s="229">
        <v>5.7000000000000002E-3</v>
      </c>
      <c r="DA95" s="228">
        <v>30.45</v>
      </c>
      <c r="DB95" s="228">
        <v>33.799999999999997</v>
      </c>
      <c r="DC95" s="228">
        <v>-3.35</v>
      </c>
      <c r="DD95" s="228">
        <v>-3.35</v>
      </c>
      <c r="DE95" s="228">
        <v>37</v>
      </c>
      <c r="DF95" s="228">
        <v>36.99</v>
      </c>
      <c r="DG95" s="228">
        <v>-6.55</v>
      </c>
      <c r="DH95" s="228">
        <v>0.01</v>
      </c>
      <c r="DI95" s="228">
        <v>29.62</v>
      </c>
      <c r="DJ95" s="228">
        <v>33.28</v>
      </c>
      <c r="DK95" s="228">
        <v>-3.66</v>
      </c>
      <c r="DL95" s="228">
        <v>-3.66</v>
      </c>
      <c r="DM95" s="228">
        <v>32.56</v>
      </c>
      <c r="DN95" s="228">
        <v>34.9</v>
      </c>
      <c r="DO95" s="228">
        <v>-2.34</v>
      </c>
      <c r="DP95" s="228">
        <v>-2.34</v>
      </c>
      <c r="DQ95" s="228">
        <v>0.54</v>
      </c>
      <c r="DR95" s="228">
        <v>0.49</v>
      </c>
      <c r="DS95" s="228">
        <v>0.05</v>
      </c>
      <c r="DT95" s="229">
        <v>0.10199999999999999</v>
      </c>
      <c r="DU95" s="228">
        <v>500</v>
      </c>
      <c r="DV95" s="228">
        <v>470</v>
      </c>
      <c r="DW95" s="228">
        <v>0.39</v>
      </c>
      <c r="DX95" s="228">
        <v>0.48</v>
      </c>
      <c r="DY95" s="228">
        <v>-0.09</v>
      </c>
      <c r="DZ95" s="229">
        <v>-0.1875</v>
      </c>
      <c r="EA95" s="229">
        <v>1.3100000000000001E-2</v>
      </c>
      <c r="EB95" s="230">
        <v>911200</v>
      </c>
      <c r="EC95" s="229">
        <v>5.4999999999999997E-3</v>
      </c>
      <c r="ED95" s="229">
        <v>1.3100000000000001E-2</v>
      </c>
      <c r="EE95" s="228">
        <v>2.82</v>
      </c>
      <c r="EF95" s="229">
        <v>6.1999999999999998E-3</v>
      </c>
      <c r="EG95" s="230">
        <v>1518488</v>
      </c>
      <c r="EH95" s="230">
        <v>2772951</v>
      </c>
      <c r="EI95" s="229">
        <v>-0.45240000000000002</v>
      </c>
      <c r="EJ95" s="229">
        <v>0.48899999999999999</v>
      </c>
      <c r="EK95" s="228">
        <v>596.16999999999996</v>
      </c>
      <c r="EL95" s="228">
        <v>213.88</v>
      </c>
      <c r="EM95" s="228">
        <v>347.34</v>
      </c>
      <c r="EN95" s="228">
        <v>45.06</v>
      </c>
      <c r="EO95" s="231">
        <v>1157.3900000000001</v>
      </c>
      <c r="EP95" s="231">
        <v>1134.1300000000001</v>
      </c>
      <c r="EQ95" s="228">
        <v>23.26</v>
      </c>
      <c r="ER95" s="229">
        <v>2.0500000000000001E-2</v>
      </c>
      <c r="ES95" s="228">
        <v>537.78</v>
      </c>
      <c r="ET95" s="228">
        <v>270.62</v>
      </c>
      <c r="EU95" s="231">
        <v>3238.97</v>
      </c>
      <c r="EV95" s="231">
        <v>193623116</v>
      </c>
      <c r="EW95" s="231">
        <v>4047.37</v>
      </c>
      <c r="EX95" s="231">
        <v>3955.37</v>
      </c>
      <c r="EY95" s="228">
        <v>92</v>
      </c>
      <c r="EZ95" s="229">
        <v>2.3300000000000001E-2</v>
      </c>
      <c r="FA95" s="229">
        <v>0.45829999999999999</v>
      </c>
      <c r="FB95" s="227" t="s">
        <v>555</v>
      </c>
      <c r="FC95">
        <f t="shared" si="1"/>
        <v>43</v>
      </c>
    </row>
    <row r="96" spans="1:159" ht="17.25" hidden="1" thickBot="1" x14ac:dyDescent="0.3">
      <c r="A96" s="226">
        <v>46086</v>
      </c>
      <c r="B96" s="227" t="s">
        <v>221</v>
      </c>
      <c r="C96" s="227" t="s">
        <v>240</v>
      </c>
      <c r="D96" s="228">
        <v>400</v>
      </c>
      <c r="E96" s="228">
        <v>25</v>
      </c>
      <c r="F96" s="231">
        <v>1309.3</v>
      </c>
      <c r="G96" s="231">
        <v>1311.7</v>
      </c>
      <c r="H96" s="228">
        <v>-2.4</v>
      </c>
      <c r="I96" s="229">
        <v>-1.8E-3</v>
      </c>
      <c r="J96" s="231">
        <v>1305.8</v>
      </c>
      <c r="K96" s="231">
        <v>1307.4000000000001</v>
      </c>
      <c r="L96" s="228">
        <v>-1.6</v>
      </c>
      <c r="M96" s="229">
        <v>-1.1999999999999999E-3</v>
      </c>
      <c r="N96" s="231">
        <v>1309.3</v>
      </c>
      <c r="O96" s="231">
        <v>1311.7</v>
      </c>
      <c r="P96" s="228">
        <v>-2.4</v>
      </c>
      <c r="Q96" s="229">
        <v>-1.8E-3</v>
      </c>
      <c r="R96" s="231">
        <v>1313.6</v>
      </c>
      <c r="S96" s="231">
        <v>1316.3</v>
      </c>
      <c r="T96" s="228">
        <v>-2.7</v>
      </c>
      <c r="U96" s="229">
        <v>-2.0999999999999999E-3</v>
      </c>
      <c r="V96" s="231">
        <v>1318</v>
      </c>
      <c r="W96" s="231">
        <v>1320.6</v>
      </c>
      <c r="X96" s="228">
        <v>-2.6</v>
      </c>
      <c r="Y96" s="229">
        <v>-2E-3</v>
      </c>
      <c r="Z96" s="228">
        <v>3.5</v>
      </c>
      <c r="AA96" s="228">
        <v>4.3</v>
      </c>
      <c r="AB96" s="228">
        <v>-0.8</v>
      </c>
      <c r="AC96" s="229">
        <v>2.7000000000000001E-3</v>
      </c>
      <c r="AD96" s="228">
        <v>3.5</v>
      </c>
      <c r="AE96" s="228">
        <v>4.3</v>
      </c>
      <c r="AF96" s="228">
        <v>-0.8</v>
      </c>
      <c r="AG96" s="229">
        <v>2.7000000000000001E-3</v>
      </c>
      <c r="AH96" s="228">
        <v>7.8</v>
      </c>
      <c r="AI96" s="228">
        <v>8.9</v>
      </c>
      <c r="AJ96" s="228">
        <v>-1.1000000000000001</v>
      </c>
      <c r="AK96" s="229">
        <v>6.0000000000000001E-3</v>
      </c>
      <c r="AL96" s="228">
        <v>12.2</v>
      </c>
      <c r="AM96" s="228">
        <v>13.2</v>
      </c>
      <c r="AN96" s="228">
        <v>-1</v>
      </c>
      <c r="AO96" s="229">
        <v>9.2999999999999992E-3</v>
      </c>
      <c r="AP96" s="231">
        <v>1304.79</v>
      </c>
      <c r="AQ96" s="231">
        <v>1308.8800000000001</v>
      </c>
      <c r="AR96" s="228">
        <v>0</v>
      </c>
      <c r="AS96" s="230">
        <v>1240</v>
      </c>
      <c r="AT96" s="230">
        <v>1818</v>
      </c>
      <c r="AU96" s="228">
        <v>-578</v>
      </c>
      <c r="AV96" s="229">
        <v>-0.31790000000000002</v>
      </c>
      <c r="AW96" s="230">
        <v>1173</v>
      </c>
      <c r="AX96" s="230">
        <v>1710</v>
      </c>
      <c r="AY96" s="228">
        <v>-537</v>
      </c>
      <c r="AZ96" s="229">
        <v>-0.31380000000000002</v>
      </c>
      <c r="BA96" s="228">
        <v>58</v>
      </c>
      <c r="BB96" s="228">
        <v>91</v>
      </c>
      <c r="BC96" s="228">
        <v>-33</v>
      </c>
      <c r="BD96" s="229">
        <v>-0.36620000000000003</v>
      </c>
      <c r="BE96" s="228">
        <v>9</v>
      </c>
      <c r="BF96" s="228">
        <v>17</v>
      </c>
      <c r="BG96" s="228">
        <v>-8</v>
      </c>
      <c r="BH96" s="229">
        <v>-0.47220000000000001</v>
      </c>
      <c r="BI96" s="230">
        <v>3328</v>
      </c>
      <c r="BJ96" s="230">
        <v>5977</v>
      </c>
      <c r="BK96" s="230">
        <v>-2649</v>
      </c>
      <c r="BL96" s="229">
        <v>-0.44319999999999998</v>
      </c>
      <c r="BM96" s="230">
        <v>2295</v>
      </c>
      <c r="BN96" s="230">
        <v>3448</v>
      </c>
      <c r="BO96" s="230">
        <v>-1153</v>
      </c>
      <c r="BP96" s="229">
        <v>-0.33439999999999998</v>
      </c>
      <c r="BQ96" s="230">
        <v>6863</v>
      </c>
      <c r="BR96" s="230">
        <v>11243</v>
      </c>
      <c r="BS96" s="230">
        <v>-4380</v>
      </c>
      <c r="BT96" s="229">
        <v>-0.3896</v>
      </c>
      <c r="BU96" s="230">
        <v>10729143</v>
      </c>
      <c r="BV96" s="230">
        <v>15629654</v>
      </c>
      <c r="BW96" s="230">
        <v>-4900511</v>
      </c>
      <c r="BX96" s="229">
        <v>-0.3135</v>
      </c>
      <c r="BY96" s="230">
        <v>10654</v>
      </c>
      <c r="BZ96" s="230">
        <v>10750</v>
      </c>
      <c r="CA96" s="228">
        <v>-96</v>
      </c>
      <c r="CB96" s="229">
        <v>-8.8999999999999999E-3</v>
      </c>
      <c r="CC96" s="230">
        <v>9921</v>
      </c>
      <c r="CD96" s="230">
        <v>10025</v>
      </c>
      <c r="CE96" s="228">
        <v>-104</v>
      </c>
      <c r="CF96" s="229">
        <v>-1.04E-2</v>
      </c>
      <c r="CG96" s="228">
        <v>537</v>
      </c>
      <c r="CH96" s="228">
        <v>530</v>
      </c>
      <c r="CI96" s="228">
        <v>6</v>
      </c>
      <c r="CJ96" s="229">
        <v>1.1599999999999999E-2</v>
      </c>
      <c r="CK96" s="228">
        <v>197</v>
      </c>
      <c r="CL96" s="228">
        <v>195</v>
      </c>
      <c r="CM96" s="228">
        <v>2</v>
      </c>
      <c r="CN96" s="229">
        <v>1.0999999999999999E-2</v>
      </c>
      <c r="CO96" s="230">
        <v>4857</v>
      </c>
      <c r="CP96" s="230">
        <v>4775</v>
      </c>
      <c r="CQ96" s="228">
        <v>82</v>
      </c>
      <c r="CR96" s="229">
        <v>1.72E-2</v>
      </c>
      <c r="CS96" s="230">
        <v>2650</v>
      </c>
      <c r="CT96" s="230">
        <v>2704</v>
      </c>
      <c r="CU96" s="228">
        <v>-55</v>
      </c>
      <c r="CV96" s="229">
        <v>-2.0199999999999999E-2</v>
      </c>
      <c r="CW96" s="230">
        <v>18161</v>
      </c>
      <c r="CX96" s="230">
        <v>18229</v>
      </c>
      <c r="CY96" s="228">
        <v>-68</v>
      </c>
      <c r="CZ96" s="229">
        <v>-3.8E-3</v>
      </c>
      <c r="DA96" s="228">
        <v>32.81</v>
      </c>
      <c r="DB96" s="228">
        <v>34.549999999999997</v>
      </c>
      <c r="DC96" s="228">
        <v>-1.74</v>
      </c>
      <c r="DD96" s="228">
        <v>-1.74</v>
      </c>
      <c r="DE96" s="228">
        <v>30.77</v>
      </c>
      <c r="DF96" s="228">
        <v>30.85</v>
      </c>
      <c r="DG96" s="228">
        <v>2.04</v>
      </c>
      <c r="DH96" s="228">
        <v>-0.08</v>
      </c>
      <c r="DI96" s="228">
        <v>31.45</v>
      </c>
      <c r="DJ96" s="228">
        <v>32.950000000000003</v>
      </c>
      <c r="DK96" s="228">
        <v>-1.5</v>
      </c>
      <c r="DL96" s="228">
        <v>-1.5</v>
      </c>
      <c r="DM96" s="228">
        <v>34.770000000000003</v>
      </c>
      <c r="DN96" s="228">
        <v>37.299999999999997</v>
      </c>
      <c r="DO96" s="228">
        <v>-2.5299999999999998</v>
      </c>
      <c r="DP96" s="228">
        <v>-2.5299999999999998</v>
      </c>
      <c r="DQ96" s="228">
        <v>0.55000000000000004</v>
      </c>
      <c r="DR96" s="228">
        <v>0.56999999999999995</v>
      </c>
      <c r="DS96" s="228">
        <v>-0.02</v>
      </c>
      <c r="DT96" s="229">
        <v>-3.5099999999999999E-2</v>
      </c>
      <c r="DU96" s="231">
        <v>1400</v>
      </c>
      <c r="DV96" s="231">
        <v>1280</v>
      </c>
      <c r="DW96" s="228">
        <v>0.69</v>
      </c>
      <c r="DX96" s="228">
        <v>0.57999999999999996</v>
      </c>
      <c r="DY96" s="228">
        <v>0.11</v>
      </c>
      <c r="DZ96" s="229">
        <v>0.18970000000000001</v>
      </c>
      <c r="EA96" s="229">
        <v>6.88E-2</v>
      </c>
      <c r="EB96" s="230">
        <v>5538000</v>
      </c>
      <c r="EC96" s="229">
        <v>3.3E-3</v>
      </c>
      <c r="ED96" s="229">
        <v>6.88E-2</v>
      </c>
      <c r="EE96" s="228">
        <v>4.09</v>
      </c>
      <c r="EF96" s="229">
        <v>3.0999999999999999E-3</v>
      </c>
      <c r="EG96" s="230">
        <v>4905342</v>
      </c>
      <c r="EH96" s="230">
        <v>8023647</v>
      </c>
      <c r="EI96" s="229">
        <v>-0.3886</v>
      </c>
      <c r="EJ96" s="229">
        <v>0.4572</v>
      </c>
      <c r="EK96" s="231">
        <v>3590</v>
      </c>
      <c r="EL96" s="231">
        <v>2234.73</v>
      </c>
      <c r="EM96" s="231">
        <v>1236.24</v>
      </c>
      <c r="EN96" s="228">
        <v>363.94</v>
      </c>
      <c r="EO96" s="231">
        <v>7060.97</v>
      </c>
      <c r="EP96" s="231">
        <v>11616.64</v>
      </c>
      <c r="EQ96" s="231">
        <v>-4555.67</v>
      </c>
      <c r="ER96" s="229">
        <v>-0.39219999999999999</v>
      </c>
      <c r="ES96" s="231">
        <v>5345.11</v>
      </c>
      <c r="ET96" s="231">
        <v>2620.0500000000002</v>
      </c>
      <c r="EU96" s="231">
        <v>10657.21</v>
      </c>
      <c r="EV96" s="231">
        <v>368703409</v>
      </c>
      <c r="EW96" s="231">
        <v>18622.37</v>
      </c>
      <c r="EX96" s="231">
        <v>18702.43</v>
      </c>
      <c r="EY96" s="228">
        <v>-80.06</v>
      </c>
      <c r="EZ96" s="229">
        <v>-4.3E-3</v>
      </c>
      <c r="FA96" s="229">
        <v>0.37619999999999998</v>
      </c>
      <c r="FB96" s="227" t="s">
        <v>568</v>
      </c>
      <c r="FC96">
        <f t="shared" si="1"/>
        <v>733</v>
      </c>
    </row>
    <row r="97" spans="1:159" ht="17.25" hidden="1" thickBot="1" x14ac:dyDescent="0.3">
      <c r="A97" s="226">
        <v>46086</v>
      </c>
      <c r="B97" s="227" t="s">
        <v>161</v>
      </c>
      <c r="C97" s="227" t="s">
        <v>668</v>
      </c>
      <c r="D97" s="228">
        <v>3575</v>
      </c>
      <c r="E97" s="228">
        <v>25</v>
      </c>
      <c r="F97" s="228">
        <v>86.57</v>
      </c>
      <c r="G97" s="228">
        <v>86.22</v>
      </c>
      <c r="H97" s="228">
        <v>0.35</v>
      </c>
      <c r="I97" s="229">
        <v>4.1000000000000003E-3</v>
      </c>
      <c r="J97" s="228">
        <v>86.32</v>
      </c>
      <c r="K97" s="228">
        <v>85.85</v>
      </c>
      <c r="L97" s="228">
        <v>0.47</v>
      </c>
      <c r="M97" s="229">
        <v>5.4999999999999997E-3</v>
      </c>
      <c r="N97" s="228">
        <v>86.57</v>
      </c>
      <c r="O97" s="228">
        <v>86.22</v>
      </c>
      <c r="P97" s="228">
        <v>0.35</v>
      </c>
      <c r="Q97" s="229">
        <v>4.1000000000000003E-3</v>
      </c>
      <c r="R97" s="228">
        <v>87.08</v>
      </c>
      <c r="S97" s="228">
        <v>86.73</v>
      </c>
      <c r="T97" s="228">
        <v>0.35</v>
      </c>
      <c r="U97" s="229">
        <v>4.0000000000000001E-3</v>
      </c>
      <c r="V97" s="228">
        <v>87.46</v>
      </c>
      <c r="W97" s="228">
        <v>87.19</v>
      </c>
      <c r="X97" s="228">
        <v>0.27</v>
      </c>
      <c r="Y97" s="229">
        <v>3.0999999999999999E-3</v>
      </c>
      <c r="Z97" s="228">
        <v>0.25</v>
      </c>
      <c r="AA97" s="228">
        <v>0.37</v>
      </c>
      <c r="AB97" s="228">
        <v>-0.12</v>
      </c>
      <c r="AC97" s="229">
        <v>2.8999999999999998E-3</v>
      </c>
      <c r="AD97" s="228">
        <v>0.25</v>
      </c>
      <c r="AE97" s="228">
        <v>0.37</v>
      </c>
      <c r="AF97" s="228">
        <v>-0.12</v>
      </c>
      <c r="AG97" s="229">
        <v>2.8999999999999998E-3</v>
      </c>
      <c r="AH97" s="228">
        <v>0.76</v>
      </c>
      <c r="AI97" s="228">
        <v>0.88</v>
      </c>
      <c r="AJ97" s="228">
        <v>-0.12</v>
      </c>
      <c r="AK97" s="229">
        <v>8.8000000000000005E-3</v>
      </c>
      <c r="AL97" s="228">
        <v>1.1399999999999999</v>
      </c>
      <c r="AM97" s="228">
        <v>1.34</v>
      </c>
      <c r="AN97" s="228">
        <v>-0.2</v>
      </c>
      <c r="AO97" s="229">
        <v>1.32E-2</v>
      </c>
      <c r="AP97" s="228">
        <v>85.41</v>
      </c>
      <c r="AQ97" s="228">
        <v>85.91</v>
      </c>
      <c r="AR97" s="228">
        <v>0</v>
      </c>
      <c r="AS97" s="228">
        <v>158</v>
      </c>
      <c r="AT97" s="228">
        <v>125</v>
      </c>
      <c r="AU97" s="228">
        <v>33</v>
      </c>
      <c r="AV97" s="229">
        <v>0.26769999999999999</v>
      </c>
      <c r="AW97" s="228">
        <v>143</v>
      </c>
      <c r="AX97" s="228">
        <v>111</v>
      </c>
      <c r="AY97" s="228">
        <v>32</v>
      </c>
      <c r="AZ97" s="229">
        <v>0.28760000000000002</v>
      </c>
      <c r="BA97" s="228">
        <v>13</v>
      </c>
      <c r="BB97" s="228">
        <v>12</v>
      </c>
      <c r="BC97" s="228">
        <v>2</v>
      </c>
      <c r="BD97" s="229">
        <v>0.16089999999999999</v>
      </c>
      <c r="BE97" s="228">
        <v>1</v>
      </c>
      <c r="BF97" s="228">
        <v>2</v>
      </c>
      <c r="BG97" s="228">
        <v>-1</v>
      </c>
      <c r="BH97" s="229">
        <v>-0.35289999999999999</v>
      </c>
      <c r="BI97" s="228">
        <v>329</v>
      </c>
      <c r="BJ97" s="228">
        <v>206</v>
      </c>
      <c r="BK97" s="228">
        <v>123</v>
      </c>
      <c r="BL97" s="229">
        <v>0.59619999999999995</v>
      </c>
      <c r="BM97" s="228">
        <v>181</v>
      </c>
      <c r="BN97" s="228">
        <v>99</v>
      </c>
      <c r="BO97" s="228">
        <v>82</v>
      </c>
      <c r="BP97" s="229">
        <v>0.83379999999999999</v>
      </c>
      <c r="BQ97" s="228">
        <v>668</v>
      </c>
      <c r="BR97" s="228">
        <v>429</v>
      </c>
      <c r="BS97" s="228">
        <v>238</v>
      </c>
      <c r="BT97" s="229">
        <v>0.55549999999999999</v>
      </c>
      <c r="BU97" s="230">
        <v>11378411</v>
      </c>
      <c r="BV97" s="230">
        <v>10509571</v>
      </c>
      <c r="BW97" s="230">
        <v>868840</v>
      </c>
      <c r="BX97" s="229">
        <v>8.2699999999999996E-2</v>
      </c>
      <c r="BY97" s="228">
        <v>892</v>
      </c>
      <c r="BZ97" s="228">
        <v>908</v>
      </c>
      <c r="CA97" s="228">
        <v>-16</v>
      </c>
      <c r="CB97" s="229">
        <v>-1.7299999999999999E-2</v>
      </c>
      <c r="CC97" s="228">
        <v>854</v>
      </c>
      <c r="CD97" s="228">
        <v>871</v>
      </c>
      <c r="CE97" s="228">
        <v>-17</v>
      </c>
      <c r="CF97" s="229">
        <v>-1.9699999999999999E-2</v>
      </c>
      <c r="CG97" s="228">
        <v>35</v>
      </c>
      <c r="CH97" s="228">
        <v>33</v>
      </c>
      <c r="CI97" s="228">
        <v>1</v>
      </c>
      <c r="CJ97" s="229">
        <v>4.1000000000000002E-2</v>
      </c>
      <c r="CK97" s="228">
        <v>4</v>
      </c>
      <c r="CL97" s="228">
        <v>4</v>
      </c>
      <c r="CM97" s="228">
        <v>0</v>
      </c>
      <c r="CN97" s="229">
        <v>8.0999999999999996E-3</v>
      </c>
      <c r="CO97" s="228">
        <v>279</v>
      </c>
      <c r="CP97" s="228">
        <v>258</v>
      </c>
      <c r="CQ97" s="228">
        <v>20</v>
      </c>
      <c r="CR97" s="229">
        <v>7.7499999999999999E-2</v>
      </c>
      <c r="CS97" s="228">
        <v>207</v>
      </c>
      <c r="CT97" s="228">
        <v>185</v>
      </c>
      <c r="CU97" s="228">
        <v>22</v>
      </c>
      <c r="CV97" s="229">
        <v>0.1215</v>
      </c>
      <c r="CW97" s="230">
        <v>1378</v>
      </c>
      <c r="CX97" s="230">
        <v>1351</v>
      </c>
      <c r="CY97" s="228">
        <v>27</v>
      </c>
      <c r="CZ97" s="229">
        <v>1.9800000000000002E-2</v>
      </c>
      <c r="DA97" s="228">
        <v>44.2</v>
      </c>
      <c r="DB97" s="228">
        <v>48.93</v>
      </c>
      <c r="DC97" s="228">
        <v>-4.7300000000000004</v>
      </c>
      <c r="DD97" s="228">
        <v>-4.7300000000000004</v>
      </c>
      <c r="DE97" s="228">
        <v>51.06</v>
      </c>
      <c r="DF97" s="228">
        <v>51.18</v>
      </c>
      <c r="DG97" s="228">
        <v>-6.86</v>
      </c>
      <c r="DH97" s="228">
        <v>-0.12</v>
      </c>
      <c r="DI97" s="228">
        <v>43.4</v>
      </c>
      <c r="DJ97" s="228">
        <v>48.61</v>
      </c>
      <c r="DK97" s="228">
        <v>-5.21</v>
      </c>
      <c r="DL97" s="228">
        <v>-5.21</v>
      </c>
      <c r="DM97" s="228">
        <v>45.66</v>
      </c>
      <c r="DN97" s="228">
        <v>49.59</v>
      </c>
      <c r="DO97" s="228">
        <v>-3.93</v>
      </c>
      <c r="DP97" s="228">
        <v>-3.93</v>
      </c>
      <c r="DQ97" s="228">
        <v>0.74</v>
      </c>
      <c r="DR97" s="228">
        <v>0.71</v>
      </c>
      <c r="DS97" s="228">
        <v>0.03</v>
      </c>
      <c r="DT97" s="229">
        <v>4.2299999999999997E-2</v>
      </c>
      <c r="DU97" s="228">
        <v>100</v>
      </c>
      <c r="DV97" s="228">
        <v>85</v>
      </c>
      <c r="DW97" s="228">
        <v>0.55000000000000004</v>
      </c>
      <c r="DX97" s="228">
        <v>0.48</v>
      </c>
      <c r="DY97" s="228">
        <v>7.0000000000000007E-2</v>
      </c>
      <c r="DZ97" s="229">
        <v>0.14580000000000001</v>
      </c>
      <c r="EA97" s="229">
        <v>4.2999999999999997E-2</v>
      </c>
      <c r="EB97" s="230">
        <v>4275700</v>
      </c>
      <c r="EC97" s="229">
        <v>5.8999999999999999E-3</v>
      </c>
      <c r="ED97" s="229">
        <v>4.2999999999999997E-2</v>
      </c>
      <c r="EE97" s="228">
        <v>0.5</v>
      </c>
      <c r="EF97" s="229">
        <v>5.8999999999999999E-3</v>
      </c>
      <c r="EG97" s="230">
        <v>3735975</v>
      </c>
      <c r="EH97" s="230">
        <v>3674344</v>
      </c>
      <c r="EI97" s="229">
        <v>1.6799999999999999E-2</v>
      </c>
      <c r="EJ97" s="229">
        <v>0.32829999999999998</v>
      </c>
      <c r="EK97" s="228">
        <v>359.51</v>
      </c>
      <c r="EL97" s="228">
        <v>187.03</v>
      </c>
      <c r="EM97" s="228">
        <v>155.81</v>
      </c>
      <c r="EN97" s="228">
        <v>34.729999999999997</v>
      </c>
      <c r="EO97" s="228">
        <v>702.35</v>
      </c>
      <c r="EP97" s="228">
        <v>456.4</v>
      </c>
      <c r="EQ97" s="228">
        <v>245.95</v>
      </c>
      <c r="ER97" s="229">
        <v>0.53890000000000005</v>
      </c>
      <c r="ES97" s="228">
        <v>322.14</v>
      </c>
      <c r="ET97" s="228">
        <v>232.35</v>
      </c>
      <c r="EU97" s="228">
        <v>892.68</v>
      </c>
      <c r="EV97" s="231">
        <v>144708707</v>
      </c>
      <c r="EW97" s="231">
        <v>1447.17</v>
      </c>
      <c r="EX97" s="231">
        <v>1418.77</v>
      </c>
      <c r="EY97" s="228">
        <v>28.4</v>
      </c>
      <c r="EZ97" s="229">
        <v>0.02</v>
      </c>
      <c r="FA97" s="229">
        <v>1.1000000000000001</v>
      </c>
      <c r="FB97" s="227" t="s">
        <v>556</v>
      </c>
      <c r="FC97">
        <f t="shared" si="1"/>
        <v>38</v>
      </c>
    </row>
    <row r="98" spans="1:159" ht="17.25" hidden="1" thickBot="1" x14ac:dyDescent="0.3">
      <c r="A98" s="226">
        <v>46086</v>
      </c>
      <c r="B98" s="227" t="s">
        <v>193</v>
      </c>
      <c r="C98" s="227" t="s">
        <v>241</v>
      </c>
      <c r="D98" s="228">
        <v>4875</v>
      </c>
      <c r="E98" s="228">
        <v>25</v>
      </c>
      <c r="F98" s="228">
        <v>170.99</v>
      </c>
      <c r="G98" s="228">
        <v>169.77</v>
      </c>
      <c r="H98" s="228">
        <v>1.22</v>
      </c>
      <c r="I98" s="229">
        <v>7.1999999999999998E-3</v>
      </c>
      <c r="J98" s="228">
        <v>171.54</v>
      </c>
      <c r="K98" s="228">
        <v>170.44</v>
      </c>
      <c r="L98" s="228">
        <v>1.1000000000000001</v>
      </c>
      <c r="M98" s="229">
        <v>6.4999999999999997E-3</v>
      </c>
      <c r="N98" s="228">
        <v>170.99</v>
      </c>
      <c r="O98" s="228">
        <v>169.77</v>
      </c>
      <c r="P98" s="228">
        <v>1.22</v>
      </c>
      <c r="Q98" s="229">
        <v>7.1999999999999998E-3</v>
      </c>
      <c r="R98" s="228">
        <v>171.87</v>
      </c>
      <c r="S98" s="228">
        <v>170.66</v>
      </c>
      <c r="T98" s="228">
        <v>1.21</v>
      </c>
      <c r="U98" s="229">
        <v>7.1000000000000004E-3</v>
      </c>
      <c r="V98" s="228">
        <v>172.44</v>
      </c>
      <c r="W98" s="228">
        <v>171.86</v>
      </c>
      <c r="X98" s="228">
        <v>0.57999999999999996</v>
      </c>
      <c r="Y98" s="229">
        <v>3.3999999999999998E-3</v>
      </c>
      <c r="Z98" s="228">
        <v>-0.55000000000000004</v>
      </c>
      <c r="AA98" s="228">
        <v>-0.67</v>
      </c>
      <c r="AB98" s="228">
        <v>0.12</v>
      </c>
      <c r="AC98" s="229">
        <v>-3.2000000000000002E-3</v>
      </c>
      <c r="AD98" s="228">
        <v>-0.55000000000000004</v>
      </c>
      <c r="AE98" s="228">
        <v>-0.67</v>
      </c>
      <c r="AF98" s="228">
        <v>0.12</v>
      </c>
      <c r="AG98" s="229">
        <v>-3.2000000000000002E-3</v>
      </c>
      <c r="AH98" s="228">
        <v>0.33</v>
      </c>
      <c r="AI98" s="228">
        <v>0.22</v>
      </c>
      <c r="AJ98" s="228">
        <v>0.11</v>
      </c>
      <c r="AK98" s="229">
        <v>1.9E-3</v>
      </c>
      <c r="AL98" s="228">
        <v>0.9</v>
      </c>
      <c r="AM98" s="228">
        <v>1.42</v>
      </c>
      <c r="AN98" s="228">
        <v>-0.52</v>
      </c>
      <c r="AO98" s="229">
        <v>5.1999999999999998E-3</v>
      </c>
      <c r="AP98" s="228">
        <v>170.97</v>
      </c>
      <c r="AQ98" s="228">
        <v>172.08</v>
      </c>
      <c r="AR98" s="228">
        <v>0</v>
      </c>
      <c r="AS98" s="230">
        <v>1007</v>
      </c>
      <c r="AT98" s="228">
        <v>518</v>
      </c>
      <c r="AU98" s="228">
        <v>488</v>
      </c>
      <c r="AV98" s="229">
        <v>0.94179999999999997</v>
      </c>
      <c r="AW98" s="228">
        <v>939</v>
      </c>
      <c r="AX98" s="228">
        <v>478</v>
      </c>
      <c r="AY98" s="228">
        <v>461</v>
      </c>
      <c r="AZ98" s="229">
        <v>0.96409999999999996</v>
      </c>
      <c r="BA98" s="228">
        <v>54</v>
      </c>
      <c r="BB98" s="228">
        <v>30</v>
      </c>
      <c r="BC98" s="228">
        <v>24</v>
      </c>
      <c r="BD98" s="229">
        <v>0.78449999999999998</v>
      </c>
      <c r="BE98" s="228">
        <v>14</v>
      </c>
      <c r="BF98" s="228">
        <v>10</v>
      </c>
      <c r="BG98" s="228">
        <v>4</v>
      </c>
      <c r="BH98" s="229">
        <v>0.371</v>
      </c>
      <c r="BI98" s="230">
        <v>1742</v>
      </c>
      <c r="BJ98" s="228">
        <v>992</v>
      </c>
      <c r="BK98" s="228">
        <v>750</v>
      </c>
      <c r="BL98" s="229">
        <v>0.75609999999999999</v>
      </c>
      <c r="BM98" s="230">
        <v>1682</v>
      </c>
      <c r="BN98" s="230">
        <v>1862</v>
      </c>
      <c r="BO98" s="228">
        <v>-180</v>
      </c>
      <c r="BP98" s="229">
        <v>-9.6600000000000005E-2</v>
      </c>
      <c r="BQ98" s="230">
        <v>4431</v>
      </c>
      <c r="BR98" s="230">
        <v>3372</v>
      </c>
      <c r="BS98" s="230">
        <v>1058</v>
      </c>
      <c r="BT98" s="229">
        <v>0.31390000000000001</v>
      </c>
      <c r="BU98" s="230">
        <v>34090099</v>
      </c>
      <c r="BV98" s="230">
        <v>29485743</v>
      </c>
      <c r="BW98" s="230">
        <v>4604356</v>
      </c>
      <c r="BX98" s="229">
        <v>0.15620000000000001</v>
      </c>
      <c r="BY98" s="230">
        <v>1627</v>
      </c>
      <c r="BZ98" s="230">
        <v>1514</v>
      </c>
      <c r="CA98" s="228">
        <v>114</v>
      </c>
      <c r="CB98" s="229">
        <v>7.51E-2</v>
      </c>
      <c r="CC98" s="230">
        <v>1574</v>
      </c>
      <c r="CD98" s="230">
        <v>1468</v>
      </c>
      <c r="CE98" s="228">
        <v>106</v>
      </c>
      <c r="CF98" s="229">
        <v>7.22E-2</v>
      </c>
      <c r="CG98" s="228">
        <v>40</v>
      </c>
      <c r="CH98" s="228">
        <v>33</v>
      </c>
      <c r="CI98" s="228">
        <v>7</v>
      </c>
      <c r="CJ98" s="229">
        <v>0.2127</v>
      </c>
      <c r="CK98" s="228">
        <v>13</v>
      </c>
      <c r="CL98" s="228">
        <v>13</v>
      </c>
      <c r="CM98" s="228">
        <v>1</v>
      </c>
      <c r="CN98" s="229">
        <v>4.6699999999999998E-2</v>
      </c>
      <c r="CO98" s="228">
        <v>879</v>
      </c>
      <c r="CP98" s="228">
        <v>735</v>
      </c>
      <c r="CQ98" s="228">
        <v>144</v>
      </c>
      <c r="CR98" s="229">
        <v>0.19570000000000001</v>
      </c>
      <c r="CS98" s="228">
        <v>735</v>
      </c>
      <c r="CT98" s="228">
        <v>713</v>
      </c>
      <c r="CU98" s="228">
        <v>22</v>
      </c>
      <c r="CV98" s="229">
        <v>3.15E-2</v>
      </c>
      <c r="CW98" s="230">
        <v>3241</v>
      </c>
      <c r="CX98" s="230">
        <v>2961</v>
      </c>
      <c r="CY98" s="228">
        <v>280</v>
      </c>
      <c r="CZ98" s="229">
        <v>9.4500000000000001E-2</v>
      </c>
      <c r="DA98" s="228">
        <v>32.619999999999997</v>
      </c>
      <c r="DB98" s="228">
        <v>37.28</v>
      </c>
      <c r="DC98" s="228">
        <v>-4.66</v>
      </c>
      <c r="DD98" s="228">
        <v>-4.66</v>
      </c>
      <c r="DE98" s="228">
        <v>31.71</v>
      </c>
      <c r="DF98" s="228">
        <v>31.77</v>
      </c>
      <c r="DG98" s="228">
        <v>0.91</v>
      </c>
      <c r="DH98" s="228">
        <v>-0.06</v>
      </c>
      <c r="DI98" s="228">
        <v>31.55</v>
      </c>
      <c r="DJ98" s="228">
        <v>34.5</v>
      </c>
      <c r="DK98" s="228">
        <v>-2.95</v>
      </c>
      <c r="DL98" s="228">
        <v>-2.95</v>
      </c>
      <c r="DM98" s="228">
        <v>33.729999999999997</v>
      </c>
      <c r="DN98" s="228">
        <v>38.76</v>
      </c>
      <c r="DO98" s="228">
        <v>-5.03</v>
      </c>
      <c r="DP98" s="228">
        <v>-5.03</v>
      </c>
      <c r="DQ98" s="228">
        <v>0.84</v>
      </c>
      <c r="DR98" s="228">
        <v>0.97</v>
      </c>
      <c r="DS98" s="228">
        <v>-0.13</v>
      </c>
      <c r="DT98" s="229">
        <v>-0.13400000000000001</v>
      </c>
      <c r="DU98" s="228">
        <v>180</v>
      </c>
      <c r="DV98" s="228">
        <v>170</v>
      </c>
      <c r="DW98" s="228">
        <v>0.97</v>
      </c>
      <c r="DX98" s="228">
        <v>1.88</v>
      </c>
      <c r="DY98" s="228">
        <v>-0.91</v>
      </c>
      <c r="DZ98" s="229">
        <v>-0.48399999999999999</v>
      </c>
      <c r="EA98" s="229">
        <v>3.2599999999999997E-2</v>
      </c>
      <c r="EB98" s="230">
        <v>2656875</v>
      </c>
      <c r="EC98" s="229">
        <v>5.1000000000000004E-3</v>
      </c>
      <c r="ED98" s="229">
        <v>3.2599999999999997E-2</v>
      </c>
      <c r="EE98" s="228">
        <v>1.1100000000000001</v>
      </c>
      <c r="EF98" s="229">
        <v>6.4999999999999997E-3</v>
      </c>
      <c r="EG98" s="230">
        <v>13896328</v>
      </c>
      <c r="EH98" s="230">
        <v>14386180</v>
      </c>
      <c r="EI98" s="229">
        <v>-3.4099999999999998E-2</v>
      </c>
      <c r="EJ98" s="229">
        <v>0.40760000000000002</v>
      </c>
      <c r="EK98" s="231">
        <v>1862.3</v>
      </c>
      <c r="EL98" s="231">
        <v>1655.57</v>
      </c>
      <c r="EM98" s="231">
        <v>1007.08</v>
      </c>
      <c r="EN98" s="228">
        <v>57.04</v>
      </c>
      <c r="EO98" s="231">
        <v>4524.95</v>
      </c>
      <c r="EP98" s="231">
        <v>3459.07</v>
      </c>
      <c r="EQ98" s="231">
        <v>1065.8800000000001</v>
      </c>
      <c r="ER98" s="229">
        <v>0.30809999999999998</v>
      </c>
      <c r="ES98" s="228">
        <v>942.55</v>
      </c>
      <c r="ET98" s="228">
        <v>727.45</v>
      </c>
      <c r="EU98" s="231">
        <v>1627.54</v>
      </c>
      <c r="EV98" s="231">
        <v>684903861</v>
      </c>
      <c r="EW98" s="231">
        <v>3297.55</v>
      </c>
      <c r="EX98" s="231">
        <v>3003.35</v>
      </c>
      <c r="EY98" s="228">
        <v>294.2</v>
      </c>
      <c r="EZ98" s="229">
        <v>9.8000000000000004E-2</v>
      </c>
      <c r="FA98" s="229">
        <v>0.27679999999999999</v>
      </c>
      <c r="FB98" s="227" t="s">
        <v>555</v>
      </c>
      <c r="FC98">
        <f t="shared" si="1"/>
        <v>53</v>
      </c>
    </row>
    <row r="99" spans="1:159" ht="17.25" hidden="1" thickBot="1" x14ac:dyDescent="0.3">
      <c r="A99" s="226">
        <v>46086</v>
      </c>
      <c r="B99" s="227" t="s">
        <v>175</v>
      </c>
      <c r="C99" s="227" t="s">
        <v>664</v>
      </c>
      <c r="D99" s="228">
        <v>3450</v>
      </c>
      <c r="E99" s="228">
        <v>25</v>
      </c>
      <c r="F99" s="228">
        <v>115.85</v>
      </c>
      <c r="G99" s="228">
        <v>113.61</v>
      </c>
      <c r="H99" s="228">
        <v>2.2400000000000002</v>
      </c>
      <c r="I99" s="229">
        <v>1.9699999999999999E-2</v>
      </c>
      <c r="J99" s="228">
        <v>115.65</v>
      </c>
      <c r="K99" s="228">
        <v>113.52</v>
      </c>
      <c r="L99" s="228">
        <v>2.13</v>
      </c>
      <c r="M99" s="229">
        <v>1.8800000000000001E-2</v>
      </c>
      <c r="N99" s="228">
        <v>115.85</v>
      </c>
      <c r="O99" s="228">
        <v>113.61</v>
      </c>
      <c r="P99" s="228">
        <v>2.2400000000000002</v>
      </c>
      <c r="Q99" s="229">
        <v>1.9699999999999999E-2</v>
      </c>
      <c r="R99" s="228">
        <v>115.39</v>
      </c>
      <c r="S99" s="228">
        <v>113.14</v>
      </c>
      <c r="T99" s="228">
        <v>2.25</v>
      </c>
      <c r="U99" s="229">
        <v>1.9900000000000001E-2</v>
      </c>
      <c r="V99" s="228">
        <v>115.13</v>
      </c>
      <c r="W99" s="228">
        <v>112.74</v>
      </c>
      <c r="X99" s="228">
        <v>2.39</v>
      </c>
      <c r="Y99" s="229">
        <v>2.12E-2</v>
      </c>
      <c r="Z99" s="228">
        <v>0.2</v>
      </c>
      <c r="AA99" s="228">
        <v>0.09</v>
      </c>
      <c r="AB99" s="228">
        <v>0.11</v>
      </c>
      <c r="AC99" s="229">
        <v>1.6999999999999999E-3</v>
      </c>
      <c r="AD99" s="228">
        <v>0.2</v>
      </c>
      <c r="AE99" s="228">
        <v>0.09</v>
      </c>
      <c r="AF99" s="228">
        <v>0.11</v>
      </c>
      <c r="AG99" s="229">
        <v>1.6999999999999999E-3</v>
      </c>
      <c r="AH99" s="228">
        <v>-0.26</v>
      </c>
      <c r="AI99" s="228">
        <v>-0.38</v>
      </c>
      <c r="AJ99" s="228">
        <v>0.12</v>
      </c>
      <c r="AK99" s="229">
        <v>-2.2000000000000001E-3</v>
      </c>
      <c r="AL99" s="228">
        <v>-0.52</v>
      </c>
      <c r="AM99" s="228">
        <v>-0.78</v>
      </c>
      <c r="AN99" s="228">
        <v>0.26</v>
      </c>
      <c r="AO99" s="229">
        <v>-4.4999999999999997E-3</v>
      </c>
      <c r="AP99" s="228">
        <v>114.2</v>
      </c>
      <c r="AQ99" s="228">
        <v>113.86</v>
      </c>
      <c r="AR99" s="228">
        <v>0</v>
      </c>
      <c r="AS99" s="228">
        <v>131</v>
      </c>
      <c r="AT99" s="228">
        <v>149</v>
      </c>
      <c r="AU99" s="228">
        <v>-18</v>
      </c>
      <c r="AV99" s="229">
        <v>-0.1197</v>
      </c>
      <c r="AW99" s="228">
        <v>112</v>
      </c>
      <c r="AX99" s="228">
        <v>129</v>
      </c>
      <c r="AY99" s="228">
        <v>-18</v>
      </c>
      <c r="AZ99" s="229">
        <v>-0.1358</v>
      </c>
      <c r="BA99" s="228">
        <v>17</v>
      </c>
      <c r="BB99" s="228">
        <v>18</v>
      </c>
      <c r="BC99" s="228">
        <v>-2</v>
      </c>
      <c r="BD99" s="229">
        <v>-8.4099999999999994E-2</v>
      </c>
      <c r="BE99" s="228">
        <v>3</v>
      </c>
      <c r="BF99" s="228">
        <v>1</v>
      </c>
      <c r="BG99" s="228">
        <v>1</v>
      </c>
      <c r="BH99" s="229">
        <v>0.9143</v>
      </c>
      <c r="BI99" s="228">
        <v>178</v>
      </c>
      <c r="BJ99" s="228">
        <v>211</v>
      </c>
      <c r="BK99" s="228">
        <v>-33</v>
      </c>
      <c r="BL99" s="229">
        <v>-0.15590000000000001</v>
      </c>
      <c r="BM99" s="228">
        <v>60</v>
      </c>
      <c r="BN99" s="228">
        <v>97</v>
      </c>
      <c r="BO99" s="228">
        <v>-37</v>
      </c>
      <c r="BP99" s="229">
        <v>-0.37680000000000002</v>
      </c>
      <c r="BQ99" s="228">
        <v>370</v>
      </c>
      <c r="BR99" s="228">
        <v>457</v>
      </c>
      <c r="BS99" s="228">
        <v>-87</v>
      </c>
      <c r="BT99" s="229">
        <v>-0.191</v>
      </c>
      <c r="BU99" s="230">
        <v>10062248</v>
      </c>
      <c r="BV99" s="230">
        <v>12223285</v>
      </c>
      <c r="BW99" s="230">
        <v>-2161037</v>
      </c>
      <c r="BX99" s="229">
        <v>-0.17680000000000001</v>
      </c>
      <c r="BY99" s="228">
        <v>752</v>
      </c>
      <c r="BZ99" s="228">
        <v>754</v>
      </c>
      <c r="CA99" s="228">
        <v>-2</v>
      </c>
      <c r="CB99" s="229">
        <v>-3.0000000000000001E-3</v>
      </c>
      <c r="CC99" s="228">
        <v>672</v>
      </c>
      <c r="CD99" s="228">
        <v>675</v>
      </c>
      <c r="CE99" s="228">
        <v>-3</v>
      </c>
      <c r="CF99" s="229">
        <v>-4.5999999999999999E-3</v>
      </c>
      <c r="CG99" s="228">
        <v>72</v>
      </c>
      <c r="CH99" s="228">
        <v>72</v>
      </c>
      <c r="CI99" s="228">
        <v>0</v>
      </c>
      <c r="CJ99" s="229">
        <v>5.9999999999999995E-4</v>
      </c>
      <c r="CK99" s="228">
        <v>9</v>
      </c>
      <c r="CL99" s="228">
        <v>8</v>
      </c>
      <c r="CM99" s="228">
        <v>1</v>
      </c>
      <c r="CN99" s="229">
        <v>0.1071</v>
      </c>
      <c r="CO99" s="228">
        <v>338</v>
      </c>
      <c r="CP99" s="228">
        <v>327</v>
      </c>
      <c r="CQ99" s="228">
        <v>11</v>
      </c>
      <c r="CR99" s="229">
        <v>3.5000000000000003E-2</v>
      </c>
      <c r="CS99" s="228">
        <v>229</v>
      </c>
      <c r="CT99" s="228">
        <v>229</v>
      </c>
      <c r="CU99" s="228">
        <v>1</v>
      </c>
      <c r="CV99" s="229">
        <v>3.3E-3</v>
      </c>
      <c r="CW99" s="230">
        <v>1320</v>
      </c>
      <c r="CX99" s="230">
        <v>1310</v>
      </c>
      <c r="CY99" s="228">
        <v>10</v>
      </c>
      <c r="CZ99" s="229">
        <v>7.6E-3</v>
      </c>
      <c r="DA99" s="228">
        <v>37.159999999999997</v>
      </c>
      <c r="DB99" s="228">
        <v>43.24</v>
      </c>
      <c r="DC99" s="228">
        <v>-6.08</v>
      </c>
      <c r="DD99" s="228">
        <v>-6.08</v>
      </c>
      <c r="DE99" s="228">
        <v>47.75</v>
      </c>
      <c r="DF99" s="228">
        <v>47.79</v>
      </c>
      <c r="DG99" s="228">
        <v>-10.59</v>
      </c>
      <c r="DH99" s="228">
        <v>-0.04</v>
      </c>
      <c r="DI99" s="228">
        <v>36.96</v>
      </c>
      <c r="DJ99" s="228">
        <v>43.79</v>
      </c>
      <c r="DK99" s="228">
        <v>-6.83</v>
      </c>
      <c r="DL99" s="228">
        <v>-6.83</v>
      </c>
      <c r="DM99" s="228">
        <v>37.74</v>
      </c>
      <c r="DN99" s="228">
        <v>42.05</v>
      </c>
      <c r="DO99" s="228">
        <v>-4.3099999999999996</v>
      </c>
      <c r="DP99" s="228">
        <v>-4.3099999999999996</v>
      </c>
      <c r="DQ99" s="228">
        <v>0.68</v>
      </c>
      <c r="DR99" s="228">
        <v>0.7</v>
      </c>
      <c r="DS99" s="228">
        <v>-0.02</v>
      </c>
      <c r="DT99" s="229">
        <v>-2.86E-2</v>
      </c>
      <c r="DU99" s="228">
        <v>130</v>
      </c>
      <c r="DV99" s="228">
        <v>120</v>
      </c>
      <c r="DW99" s="228">
        <v>0.34</v>
      </c>
      <c r="DX99" s="228">
        <v>0.46</v>
      </c>
      <c r="DY99" s="228">
        <v>-0.12</v>
      </c>
      <c r="DZ99" s="229">
        <v>-0.26090000000000002</v>
      </c>
      <c r="EA99" s="229">
        <v>0.10680000000000001</v>
      </c>
      <c r="EB99" s="230">
        <v>6858600</v>
      </c>
      <c r="EC99" s="229">
        <v>-4.0000000000000001E-3</v>
      </c>
      <c r="ED99" s="229">
        <v>0.10680000000000001</v>
      </c>
      <c r="EE99" s="228">
        <v>-0.34</v>
      </c>
      <c r="EF99" s="229">
        <v>-3.0000000000000001E-3</v>
      </c>
      <c r="EG99" s="230">
        <v>3199635</v>
      </c>
      <c r="EH99" s="230">
        <v>4739584</v>
      </c>
      <c r="EI99" s="229">
        <v>-0.32490000000000002</v>
      </c>
      <c r="EJ99" s="229">
        <v>0.318</v>
      </c>
      <c r="EK99" s="228">
        <v>191.34</v>
      </c>
      <c r="EL99" s="228">
        <v>60.28</v>
      </c>
      <c r="EM99" s="228">
        <v>129.21</v>
      </c>
      <c r="EN99" s="228">
        <v>33.57</v>
      </c>
      <c r="EO99" s="228">
        <v>380.83</v>
      </c>
      <c r="EP99" s="228">
        <v>480.38</v>
      </c>
      <c r="EQ99" s="228">
        <v>-99.55</v>
      </c>
      <c r="ER99" s="229">
        <v>-0.2072</v>
      </c>
      <c r="ES99" s="228">
        <v>375.9</v>
      </c>
      <c r="ET99" s="228">
        <v>241.57</v>
      </c>
      <c r="EU99" s="228">
        <v>751.62</v>
      </c>
      <c r="EV99" s="231">
        <v>119011160</v>
      </c>
      <c r="EW99" s="231">
        <v>1369.1</v>
      </c>
      <c r="EX99" s="231">
        <v>1343.53</v>
      </c>
      <c r="EY99" s="228">
        <v>25.57</v>
      </c>
      <c r="EZ99" s="229">
        <v>1.9E-2</v>
      </c>
      <c r="FA99" s="229">
        <v>0.95740000000000003</v>
      </c>
      <c r="FB99" s="227" t="s">
        <v>556</v>
      </c>
      <c r="FC99">
        <f t="shared" si="1"/>
        <v>80</v>
      </c>
    </row>
    <row r="100" spans="1:159" ht="17.25" hidden="1" thickBot="1" x14ac:dyDescent="0.3">
      <c r="A100" s="226">
        <v>46086</v>
      </c>
      <c r="B100" s="227" t="s">
        <v>215</v>
      </c>
      <c r="C100" s="227" t="s">
        <v>592</v>
      </c>
      <c r="D100" s="228">
        <v>4250</v>
      </c>
      <c r="E100" s="228">
        <v>25</v>
      </c>
      <c r="F100" s="228">
        <v>98.04</v>
      </c>
      <c r="G100" s="228">
        <v>96.83</v>
      </c>
      <c r="H100" s="228">
        <v>1.21</v>
      </c>
      <c r="I100" s="229">
        <v>1.2500000000000001E-2</v>
      </c>
      <c r="J100" s="228">
        <v>98.85</v>
      </c>
      <c r="K100" s="228">
        <v>97.74</v>
      </c>
      <c r="L100" s="228">
        <v>1.1100000000000001</v>
      </c>
      <c r="M100" s="229">
        <v>1.14E-2</v>
      </c>
      <c r="N100" s="228">
        <v>98.04</v>
      </c>
      <c r="O100" s="228">
        <v>96.83</v>
      </c>
      <c r="P100" s="228">
        <v>1.21</v>
      </c>
      <c r="Q100" s="229">
        <v>1.2500000000000001E-2</v>
      </c>
      <c r="R100" s="228">
        <v>98.16</v>
      </c>
      <c r="S100" s="228">
        <v>96.87</v>
      </c>
      <c r="T100" s="228">
        <v>1.29</v>
      </c>
      <c r="U100" s="229">
        <v>1.3299999999999999E-2</v>
      </c>
      <c r="V100" s="228">
        <v>98.18</v>
      </c>
      <c r="W100" s="228">
        <v>97.16</v>
      </c>
      <c r="X100" s="228">
        <v>1.02</v>
      </c>
      <c r="Y100" s="229">
        <v>1.0500000000000001E-2</v>
      </c>
      <c r="Z100" s="228">
        <v>-0.81</v>
      </c>
      <c r="AA100" s="228">
        <v>-0.91</v>
      </c>
      <c r="AB100" s="228">
        <v>0.1</v>
      </c>
      <c r="AC100" s="229">
        <v>-8.2000000000000007E-3</v>
      </c>
      <c r="AD100" s="228">
        <v>-0.81</v>
      </c>
      <c r="AE100" s="228">
        <v>-0.91</v>
      </c>
      <c r="AF100" s="228">
        <v>0.1</v>
      </c>
      <c r="AG100" s="229">
        <v>-8.2000000000000007E-3</v>
      </c>
      <c r="AH100" s="228">
        <v>-0.69</v>
      </c>
      <c r="AI100" s="228">
        <v>-0.87</v>
      </c>
      <c r="AJ100" s="228">
        <v>0.18</v>
      </c>
      <c r="AK100" s="229">
        <v>-7.0000000000000001E-3</v>
      </c>
      <c r="AL100" s="228">
        <v>-0.67</v>
      </c>
      <c r="AM100" s="228">
        <v>-0.57999999999999996</v>
      </c>
      <c r="AN100" s="228">
        <v>-0.09</v>
      </c>
      <c r="AO100" s="229">
        <v>-6.7999999999999996E-3</v>
      </c>
      <c r="AP100" s="228">
        <v>97.03</v>
      </c>
      <c r="AQ100" s="228">
        <v>97.12</v>
      </c>
      <c r="AR100" s="228">
        <v>0</v>
      </c>
      <c r="AS100" s="228">
        <v>153</v>
      </c>
      <c r="AT100" s="228">
        <v>224</v>
      </c>
      <c r="AU100" s="228">
        <v>-71</v>
      </c>
      <c r="AV100" s="229">
        <v>-0.31680000000000003</v>
      </c>
      <c r="AW100" s="228">
        <v>125</v>
      </c>
      <c r="AX100" s="228">
        <v>202</v>
      </c>
      <c r="AY100" s="228">
        <v>-78</v>
      </c>
      <c r="AZ100" s="229">
        <v>-0.38319999999999999</v>
      </c>
      <c r="BA100" s="228">
        <v>23</v>
      </c>
      <c r="BB100" s="228">
        <v>18</v>
      </c>
      <c r="BC100" s="228">
        <v>5</v>
      </c>
      <c r="BD100" s="229">
        <v>0.29549999999999998</v>
      </c>
      <c r="BE100" s="228">
        <v>5</v>
      </c>
      <c r="BF100" s="228">
        <v>4</v>
      </c>
      <c r="BG100" s="228">
        <v>1</v>
      </c>
      <c r="BH100" s="229">
        <v>0.34379999999999999</v>
      </c>
      <c r="BI100" s="228">
        <v>501</v>
      </c>
      <c r="BJ100" s="228">
        <v>590</v>
      </c>
      <c r="BK100" s="228">
        <v>-89</v>
      </c>
      <c r="BL100" s="229">
        <v>-0.15090000000000001</v>
      </c>
      <c r="BM100" s="228">
        <v>143</v>
      </c>
      <c r="BN100" s="228">
        <v>262</v>
      </c>
      <c r="BO100" s="228">
        <v>-118</v>
      </c>
      <c r="BP100" s="229">
        <v>-0.45219999999999999</v>
      </c>
      <c r="BQ100" s="228">
        <v>797</v>
      </c>
      <c r="BR100" s="230">
        <v>1076</v>
      </c>
      <c r="BS100" s="228">
        <v>-278</v>
      </c>
      <c r="BT100" s="229">
        <v>-0.25879999999999997</v>
      </c>
      <c r="BU100" s="230">
        <v>18488854</v>
      </c>
      <c r="BV100" s="230">
        <v>36427971</v>
      </c>
      <c r="BW100" s="230">
        <v>-17939117</v>
      </c>
      <c r="BX100" s="229">
        <v>-0.49249999999999999</v>
      </c>
      <c r="BY100" s="228">
        <v>750</v>
      </c>
      <c r="BZ100" s="228">
        <v>744</v>
      </c>
      <c r="CA100" s="228">
        <v>6</v>
      </c>
      <c r="CB100" s="229">
        <v>7.7000000000000002E-3</v>
      </c>
      <c r="CC100" s="228">
        <v>639</v>
      </c>
      <c r="CD100" s="228">
        <v>638</v>
      </c>
      <c r="CE100" s="228">
        <v>1</v>
      </c>
      <c r="CF100" s="229">
        <v>2.2000000000000001E-3</v>
      </c>
      <c r="CG100" s="228">
        <v>96</v>
      </c>
      <c r="CH100" s="228">
        <v>94</v>
      </c>
      <c r="CI100" s="228">
        <v>2</v>
      </c>
      <c r="CJ100" s="229">
        <v>2.53E-2</v>
      </c>
      <c r="CK100" s="228">
        <v>15</v>
      </c>
      <c r="CL100" s="228">
        <v>13</v>
      </c>
      <c r="CM100" s="228">
        <v>2</v>
      </c>
      <c r="CN100" s="229">
        <v>0.15229999999999999</v>
      </c>
      <c r="CO100" s="228">
        <v>749</v>
      </c>
      <c r="CP100" s="228">
        <v>735</v>
      </c>
      <c r="CQ100" s="228">
        <v>15</v>
      </c>
      <c r="CR100" s="229">
        <v>0.02</v>
      </c>
      <c r="CS100" s="228">
        <v>417</v>
      </c>
      <c r="CT100" s="228">
        <v>413</v>
      </c>
      <c r="CU100" s="228">
        <v>4</v>
      </c>
      <c r="CV100" s="229">
        <v>1.01E-2</v>
      </c>
      <c r="CW100" s="230">
        <v>1917</v>
      </c>
      <c r="CX100" s="230">
        <v>1892</v>
      </c>
      <c r="CY100" s="228">
        <v>25</v>
      </c>
      <c r="CZ100" s="229">
        <v>1.2999999999999999E-2</v>
      </c>
      <c r="DA100" s="228">
        <v>34.61</v>
      </c>
      <c r="DB100" s="228">
        <v>37.43</v>
      </c>
      <c r="DC100" s="228">
        <v>-2.82</v>
      </c>
      <c r="DD100" s="228">
        <v>-2.82</v>
      </c>
      <c r="DE100" s="228">
        <v>44.75</v>
      </c>
      <c r="DF100" s="228">
        <v>44.83</v>
      </c>
      <c r="DG100" s="228">
        <v>-10.14</v>
      </c>
      <c r="DH100" s="228">
        <v>-0.08</v>
      </c>
      <c r="DI100" s="228">
        <v>34.590000000000003</v>
      </c>
      <c r="DJ100" s="228">
        <v>37.29</v>
      </c>
      <c r="DK100" s="228">
        <v>-2.7</v>
      </c>
      <c r="DL100" s="228">
        <v>-2.7</v>
      </c>
      <c r="DM100" s="228">
        <v>34.700000000000003</v>
      </c>
      <c r="DN100" s="228">
        <v>37.74</v>
      </c>
      <c r="DO100" s="228">
        <v>-3.04</v>
      </c>
      <c r="DP100" s="228">
        <v>-3.04</v>
      </c>
      <c r="DQ100" s="228">
        <v>0.56000000000000005</v>
      </c>
      <c r="DR100" s="228">
        <v>0.56000000000000005</v>
      </c>
      <c r="DS100" s="228">
        <v>0</v>
      </c>
      <c r="DT100" s="229">
        <v>0</v>
      </c>
      <c r="DU100" s="228">
        <v>110</v>
      </c>
      <c r="DV100" s="228">
        <v>100</v>
      </c>
      <c r="DW100" s="228">
        <v>0.28999999999999998</v>
      </c>
      <c r="DX100" s="228">
        <v>0.44</v>
      </c>
      <c r="DY100" s="228">
        <v>-0.15</v>
      </c>
      <c r="DZ100" s="229">
        <v>-0.34089999999999998</v>
      </c>
      <c r="EA100" s="229">
        <v>0.1477</v>
      </c>
      <c r="EB100" s="230">
        <v>10858750</v>
      </c>
      <c r="EC100" s="229">
        <v>1.1999999999999999E-3</v>
      </c>
      <c r="ED100" s="229">
        <v>0.1477</v>
      </c>
      <c r="EE100" s="228">
        <v>0.09</v>
      </c>
      <c r="EF100" s="229">
        <v>8.9999999999999998E-4</v>
      </c>
      <c r="EG100" s="230">
        <v>5586616</v>
      </c>
      <c r="EH100" s="230">
        <v>16898755</v>
      </c>
      <c r="EI100" s="229">
        <v>-0.6694</v>
      </c>
      <c r="EJ100" s="229">
        <v>0.30220000000000002</v>
      </c>
      <c r="EK100" s="228">
        <v>538.4</v>
      </c>
      <c r="EL100" s="228">
        <v>140.97999999999999</v>
      </c>
      <c r="EM100" s="228">
        <v>151.49</v>
      </c>
      <c r="EN100" s="228">
        <v>50.14</v>
      </c>
      <c r="EO100" s="228">
        <v>830.87</v>
      </c>
      <c r="EP100" s="231">
        <v>1115.53</v>
      </c>
      <c r="EQ100" s="228">
        <v>-284.66000000000003</v>
      </c>
      <c r="ER100" s="229">
        <v>-0.25519999999999998</v>
      </c>
      <c r="ES100" s="228">
        <v>845.65</v>
      </c>
      <c r="ET100" s="228">
        <v>439.09</v>
      </c>
      <c r="EU100" s="228">
        <v>750.06</v>
      </c>
      <c r="EV100" s="231">
        <v>200960551</v>
      </c>
      <c r="EW100" s="231">
        <v>2034.8</v>
      </c>
      <c r="EX100" s="231">
        <v>2003.19</v>
      </c>
      <c r="EY100" s="228">
        <v>31.61</v>
      </c>
      <c r="EZ100" s="229">
        <v>1.5800000000000002E-2</v>
      </c>
      <c r="FA100" s="229">
        <v>0.9728</v>
      </c>
      <c r="FB100" s="227" t="s">
        <v>555</v>
      </c>
      <c r="FC100">
        <f t="shared" si="1"/>
        <v>111</v>
      </c>
    </row>
    <row r="101" spans="1:159" ht="17.25" hidden="1" thickBot="1" x14ac:dyDescent="0.3">
      <c r="A101" s="226">
        <v>46086</v>
      </c>
      <c r="B101" s="227" t="s">
        <v>168</v>
      </c>
      <c r="C101" s="227" t="s">
        <v>242</v>
      </c>
      <c r="D101" s="228">
        <v>1600</v>
      </c>
      <c r="E101" s="228">
        <v>25</v>
      </c>
      <c r="F101" s="228">
        <v>312.89999999999998</v>
      </c>
      <c r="G101" s="228">
        <v>312.60000000000002</v>
      </c>
      <c r="H101" s="228">
        <v>0.3</v>
      </c>
      <c r="I101" s="229">
        <v>1E-3</v>
      </c>
      <c r="J101" s="228">
        <v>311.5</v>
      </c>
      <c r="K101" s="228">
        <v>311.95</v>
      </c>
      <c r="L101" s="228">
        <v>-0.45</v>
      </c>
      <c r="M101" s="229">
        <v>-1.4E-3</v>
      </c>
      <c r="N101" s="228">
        <v>312.89999999999998</v>
      </c>
      <c r="O101" s="228">
        <v>312.60000000000002</v>
      </c>
      <c r="P101" s="228">
        <v>0.3</v>
      </c>
      <c r="Q101" s="229">
        <v>1E-3</v>
      </c>
      <c r="R101" s="228">
        <v>314.85000000000002</v>
      </c>
      <c r="S101" s="228">
        <v>314.7</v>
      </c>
      <c r="T101" s="228">
        <v>0.15</v>
      </c>
      <c r="U101" s="229">
        <v>5.0000000000000001E-4</v>
      </c>
      <c r="V101" s="228">
        <v>316.35000000000002</v>
      </c>
      <c r="W101" s="228">
        <v>316.25</v>
      </c>
      <c r="X101" s="228">
        <v>0.1</v>
      </c>
      <c r="Y101" s="229">
        <v>2.9999999999999997E-4</v>
      </c>
      <c r="Z101" s="228">
        <v>1.4</v>
      </c>
      <c r="AA101" s="228">
        <v>0.65</v>
      </c>
      <c r="AB101" s="228">
        <v>0.75</v>
      </c>
      <c r="AC101" s="229">
        <v>4.4999999999999997E-3</v>
      </c>
      <c r="AD101" s="228">
        <v>1.4</v>
      </c>
      <c r="AE101" s="228">
        <v>0.65</v>
      </c>
      <c r="AF101" s="228">
        <v>0.75</v>
      </c>
      <c r="AG101" s="229">
        <v>4.4999999999999997E-3</v>
      </c>
      <c r="AH101" s="228">
        <v>3.35</v>
      </c>
      <c r="AI101" s="228">
        <v>2.75</v>
      </c>
      <c r="AJ101" s="228">
        <v>0.6</v>
      </c>
      <c r="AK101" s="229">
        <v>1.0800000000000001E-2</v>
      </c>
      <c r="AL101" s="228">
        <v>4.8499999999999996</v>
      </c>
      <c r="AM101" s="228">
        <v>4.3</v>
      </c>
      <c r="AN101" s="228">
        <v>0.55000000000000004</v>
      </c>
      <c r="AO101" s="229">
        <v>1.5599999999999999E-2</v>
      </c>
      <c r="AP101" s="228">
        <v>311.74</v>
      </c>
      <c r="AQ101" s="228">
        <v>313.57</v>
      </c>
      <c r="AR101" s="228">
        <v>0</v>
      </c>
      <c r="AS101" s="228">
        <v>475</v>
      </c>
      <c r="AT101" s="228">
        <v>553</v>
      </c>
      <c r="AU101" s="228">
        <v>-77</v>
      </c>
      <c r="AV101" s="229">
        <v>-0.14030000000000001</v>
      </c>
      <c r="AW101" s="228">
        <v>417</v>
      </c>
      <c r="AX101" s="228">
        <v>512</v>
      </c>
      <c r="AY101" s="228">
        <v>-96</v>
      </c>
      <c r="AZ101" s="229">
        <v>-0.1865</v>
      </c>
      <c r="BA101" s="228">
        <v>50</v>
      </c>
      <c r="BB101" s="228">
        <v>33</v>
      </c>
      <c r="BC101" s="228">
        <v>16</v>
      </c>
      <c r="BD101" s="229">
        <v>0.49249999999999999</v>
      </c>
      <c r="BE101" s="228">
        <v>9</v>
      </c>
      <c r="BF101" s="228">
        <v>7</v>
      </c>
      <c r="BG101" s="228">
        <v>2</v>
      </c>
      <c r="BH101" s="229">
        <v>0.23080000000000001</v>
      </c>
      <c r="BI101" s="230">
        <v>3097</v>
      </c>
      <c r="BJ101" s="230">
        <v>2807</v>
      </c>
      <c r="BK101" s="228">
        <v>290</v>
      </c>
      <c r="BL101" s="229">
        <v>0.1032</v>
      </c>
      <c r="BM101" s="228">
        <v>890</v>
      </c>
      <c r="BN101" s="230">
        <v>1196</v>
      </c>
      <c r="BO101" s="228">
        <v>-306</v>
      </c>
      <c r="BP101" s="229">
        <v>-0.25569999999999998</v>
      </c>
      <c r="BQ101" s="230">
        <v>4462</v>
      </c>
      <c r="BR101" s="230">
        <v>4556</v>
      </c>
      <c r="BS101" s="228">
        <v>-94</v>
      </c>
      <c r="BT101" s="229">
        <v>-2.06E-2</v>
      </c>
      <c r="BU101" s="230">
        <v>20911201</v>
      </c>
      <c r="BV101" s="230">
        <v>25786267</v>
      </c>
      <c r="BW101" s="230">
        <v>-4875066</v>
      </c>
      <c r="BX101" s="229">
        <v>-0.18909999999999999</v>
      </c>
      <c r="BY101" s="230">
        <v>5256</v>
      </c>
      <c r="BZ101" s="230">
        <v>5284</v>
      </c>
      <c r="CA101" s="228">
        <v>-28</v>
      </c>
      <c r="CB101" s="229">
        <v>-5.3E-3</v>
      </c>
      <c r="CC101" s="230">
        <v>4931</v>
      </c>
      <c r="CD101" s="230">
        <v>4982</v>
      </c>
      <c r="CE101" s="228">
        <v>-51</v>
      </c>
      <c r="CF101" s="229">
        <v>-1.03E-2</v>
      </c>
      <c r="CG101" s="228">
        <v>298</v>
      </c>
      <c r="CH101" s="228">
        <v>278</v>
      </c>
      <c r="CI101" s="228">
        <v>19</v>
      </c>
      <c r="CJ101" s="229">
        <v>6.8500000000000005E-2</v>
      </c>
      <c r="CK101" s="228">
        <v>28</v>
      </c>
      <c r="CL101" s="228">
        <v>24</v>
      </c>
      <c r="CM101" s="228">
        <v>4</v>
      </c>
      <c r="CN101" s="229">
        <v>0.16389999999999999</v>
      </c>
      <c r="CO101" s="230">
        <v>3477</v>
      </c>
      <c r="CP101" s="230">
        <v>3362</v>
      </c>
      <c r="CQ101" s="228">
        <v>115</v>
      </c>
      <c r="CR101" s="229">
        <v>3.4099999999999998E-2</v>
      </c>
      <c r="CS101" s="230">
        <v>1560</v>
      </c>
      <c r="CT101" s="230">
        <v>1529</v>
      </c>
      <c r="CU101" s="228">
        <v>31</v>
      </c>
      <c r="CV101" s="229">
        <v>2.0299999999999999E-2</v>
      </c>
      <c r="CW101" s="230">
        <v>10293</v>
      </c>
      <c r="CX101" s="230">
        <v>10176</v>
      </c>
      <c r="CY101" s="228">
        <v>118</v>
      </c>
      <c r="CZ101" s="229">
        <v>1.1599999999999999E-2</v>
      </c>
      <c r="DA101" s="228">
        <v>20.47</v>
      </c>
      <c r="DB101" s="228">
        <v>20.97</v>
      </c>
      <c r="DC101" s="228">
        <v>-0.5</v>
      </c>
      <c r="DD101" s="228">
        <v>-0.5</v>
      </c>
      <c r="DE101" s="228">
        <v>24.35</v>
      </c>
      <c r="DF101" s="228">
        <v>24.41</v>
      </c>
      <c r="DG101" s="228">
        <v>-3.88</v>
      </c>
      <c r="DH101" s="228">
        <v>-0.06</v>
      </c>
      <c r="DI101" s="228">
        <v>20.81</v>
      </c>
      <c r="DJ101" s="228">
        <v>21.05</v>
      </c>
      <c r="DK101" s="228">
        <v>-0.24</v>
      </c>
      <c r="DL101" s="228">
        <v>-0.24</v>
      </c>
      <c r="DM101" s="228">
        <v>19.28</v>
      </c>
      <c r="DN101" s="228">
        <v>20.77</v>
      </c>
      <c r="DO101" s="228">
        <v>-1.49</v>
      </c>
      <c r="DP101" s="228">
        <v>-1.49</v>
      </c>
      <c r="DQ101" s="228">
        <v>0.45</v>
      </c>
      <c r="DR101" s="228">
        <v>0.45</v>
      </c>
      <c r="DS101" s="228">
        <v>0</v>
      </c>
      <c r="DT101" s="229">
        <v>0</v>
      </c>
      <c r="DU101" s="228">
        <v>320</v>
      </c>
      <c r="DV101" s="228">
        <v>320</v>
      </c>
      <c r="DW101" s="228">
        <v>0.28999999999999998</v>
      </c>
      <c r="DX101" s="228">
        <v>0.43</v>
      </c>
      <c r="DY101" s="228">
        <v>-0.14000000000000001</v>
      </c>
      <c r="DZ101" s="229">
        <v>-0.3256</v>
      </c>
      <c r="EA101" s="229">
        <v>6.1899999999999997E-2</v>
      </c>
      <c r="EB101" s="230">
        <v>9660800</v>
      </c>
      <c r="EC101" s="229">
        <v>6.1999999999999998E-3</v>
      </c>
      <c r="ED101" s="229">
        <v>6.1899999999999997E-2</v>
      </c>
      <c r="EE101" s="228">
        <v>1.83</v>
      </c>
      <c r="EF101" s="229">
        <v>5.8999999999999999E-3</v>
      </c>
      <c r="EG101" s="230">
        <v>12014817</v>
      </c>
      <c r="EH101" s="230">
        <v>17442361</v>
      </c>
      <c r="EI101" s="229">
        <v>-0.31119999999999998</v>
      </c>
      <c r="EJ101" s="229">
        <v>0.5746</v>
      </c>
      <c r="EK101" s="231">
        <v>3289.24</v>
      </c>
      <c r="EL101" s="228">
        <v>891.06</v>
      </c>
      <c r="EM101" s="228">
        <v>473.68</v>
      </c>
      <c r="EN101" s="228">
        <v>98.83</v>
      </c>
      <c r="EO101" s="231">
        <v>4653.9799999999996</v>
      </c>
      <c r="EP101" s="231">
        <v>4709.82</v>
      </c>
      <c r="EQ101" s="228">
        <v>-55.84</v>
      </c>
      <c r="ER101" s="229">
        <v>-1.1900000000000001E-2</v>
      </c>
      <c r="ES101" s="231">
        <v>3732.68</v>
      </c>
      <c r="ET101" s="231">
        <v>1607.71</v>
      </c>
      <c r="EU101" s="231">
        <v>5258.28</v>
      </c>
      <c r="EV101" s="231">
        <v>1252401670</v>
      </c>
      <c r="EW101" s="231">
        <v>10598.67</v>
      </c>
      <c r="EX101" s="231">
        <v>10474.43</v>
      </c>
      <c r="EY101" s="228">
        <v>124.24</v>
      </c>
      <c r="EZ101" s="229">
        <v>1.1900000000000001E-2</v>
      </c>
      <c r="FA101" s="229">
        <v>0.26269999999999999</v>
      </c>
      <c r="FB101" s="227" t="s">
        <v>556</v>
      </c>
      <c r="FC101">
        <f t="shared" si="1"/>
        <v>325</v>
      </c>
    </row>
    <row r="102" spans="1:159" ht="17.25" hidden="1" thickBot="1" x14ac:dyDescent="0.3">
      <c r="A102" s="226">
        <v>46086</v>
      </c>
      <c r="B102" s="227" t="s">
        <v>227</v>
      </c>
      <c r="C102" s="227" t="s">
        <v>243</v>
      </c>
      <c r="D102" s="228">
        <v>625</v>
      </c>
      <c r="E102" s="228">
        <v>25</v>
      </c>
      <c r="F102" s="231">
        <v>1189</v>
      </c>
      <c r="G102" s="231">
        <v>1173.0999999999999</v>
      </c>
      <c r="H102" s="228">
        <v>15.9</v>
      </c>
      <c r="I102" s="229">
        <v>1.3599999999999999E-2</v>
      </c>
      <c r="J102" s="231">
        <v>1184</v>
      </c>
      <c r="K102" s="231">
        <v>1168.4000000000001</v>
      </c>
      <c r="L102" s="228">
        <v>15.6</v>
      </c>
      <c r="M102" s="229">
        <v>1.34E-2</v>
      </c>
      <c r="N102" s="231">
        <v>1189</v>
      </c>
      <c r="O102" s="231">
        <v>1173.0999999999999</v>
      </c>
      <c r="P102" s="228">
        <v>15.9</v>
      </c>
      <c r="Q102" s="229">
        <v>1.3599999999999999E-2</v>
      </c>
      <c r="R102" s="231">
        <v>1195.8</v>
      </c>
      <c r="S102" s="231">
        <v>1178.2</v>
      </c>
      <c r="T102" s="228">
        <v>17.600000000000001</v>
      </c>
      <c r="U102" s="229">
        <v>1.49E-2</v>
      </c>
      <c r="V102" s="231">
        <v>1203.5999999999999</v>
      </c>
      <c r="W102" s="231">
        <v>1186.0999999999999</v>
      </c>
      <c r="X102" s="228">
        <v>17.5</v>
      </c>
      <c r="Y102" s="229">
        <v>1.4800000000000001E-2</v>
      </c>
      <c r="Z102" s="228">
        <v>5</v>
      </c>
      <c r="AA102" s="228">
        <v>4.7</v>
      </c>
      <c r="AB102" s="228">
        <v>0.3</v>
      </c>
      <c r="AC102" s="229">
        <v>4.1999999999999997E-3</v>
      </c>
      <c r="AD102" s="228">
        <v>5</v>
      </c>
      <c r="AE102" s="228">
        <v>4.7</v>
      </c>
      <c r="AF102" s="228">
        <v>0.3</v>
      </c>
      <c r="AG102" s="229">
        <v>4.1999999999999997E-3</v>
      </c>
      <c r="AH102" s="228">
        <v>11.8</v>
      </c>
      <c r="AI102" s="228">
        <v>9.8000000000000007</v>
      </c>
      <c r="AJ102" s="228">
        <v>2</v>
      </c>
      <c r="AK102" s="229">
        <v>0.01</v>
      </c>
      <c r="AL102" s="228">
        <v>19.600000000000001</v>
      </c>
      <c r="AM102" s="228">
        <v>17.7</v>
      </c>
      <c r="AN102" s="228">
        <v>1.9</v>
      </c>
      <c r="AO102" s="229">
        <v>1.66E-2</v>
      </c>
      <c r="AP102" s="231">
        <v>1185.8599999999999</v>
      </c>
      <c r="AQ102" s="231">
        <v>1194.05</v>
      </c>
      <c r="AR102" s="228">
        <v>0</v>
      </c>
      <c r="AS102" s="228">
        <v>327</v>
      </c>
      <c r="AT102" s="228">
        <v>541</v>
      </c>
      <c r="AU102" s="228">
        <v>-213</v>
      </c>
      <c r="AV102" s="229">
        <v>-0.39429999999999998</v>
      </c>
      <c r="AW102" s="228">
        <v>320</v>
      </c>
      <c r="AX102" s="228">
        <v>524</v>
      </c>
      <c r="AY102" s="228">
        <v>-204</v>
      </c>
      <c r="AZ102" s="229">
        <v>-0.38950000000000001</v>
      </c>
      <c r="BA102" s="228">
        <v>7</v>
      </c>
      <c r="BB102" s="228">
        <v>14</v>
      </c>
      <c r="BC102" s="228">
        <v>-7</v>
      </c>
      <c r="BD102" s="229">
        <v>-0.48449999999999999</v>
      </c>
      <c r="BE102" s="228">
        <v>0</v>
      </c>
      <c r="BF102" s="228">
        <v>2</v>
      </c>
      <c r="BG102" s="228">
        <v>-2</v>
      </c>
      <c r="BH102" s="229">
        <v>-0.93330000000000002</v>
      </c>
      <c r="BI102" s="228">
        <v>596</v>
      </c>
      <c r="BJ102" s="228">
        <v>758</v>
      </c>
      <c r="BK102" s="228">
        <v>-162</v>
      </c>
      <c r="BL102" s="229">
        <v>-0.2135</v>
      </c>
      <c r="BM102" s="228">
        <v>235</v>
      </c>
      <c r="BN102" s="228">
        <v>931</v>
      </c>
      <c r="BO102" s="228">
        <v>-696</v>
      </c>
      <c r="BP102" s="229">
        <v>-0.74770000000000003</v>
      </c>
      <c r="BQ102" s="230">
        <v>1158</v>
      </c>
      <c r="BR102" s="230">
        <v>2229</v>
      </c>
      <c r="BS102" s="230">
        <v>-1071</v>
      </c>
      <c r="BT102" s="229">
        <v>-0.48039999999999999</v>
      </c>
      <c r="BU102" s="230">
        <v>813266</v>
      </c>
      <c r="BV102" s="230">
        <v>2959744</v>
      </c>
      <c r="BW102" s="230">
        <v>-2146478</v>
      </c>
      <c r="BX102" s="229">
        <v>-0.72519999999999996</v>
      </c>
      <c r="BY102" s="230">
        <v>1199</v>
      </c>
      <c r="BZ102" s="230">
        <v>1201</v>
      </c>
      <c r="CA102" s="228">
        <v>-2</v>
      </c>
      <c r="CB102" s="229">
        <v>-1.5E-3</v>
      </c>
      <c r="CC102" s="230">
        <v>1185</v>
      </c>
      <c r="CD102" s="230">
        <v>1187</v>
      </c>
      <c r="CE102" s="228">
        <v>-2</v>
      </c>
      <c r="CF102" s="229">
        <v>-2.0999999999999999E-3</v>
      </c>
      <c r="CG102" s="228">
        <v>13</v>
      </c>
      <c r="CH102" s="228">
        <v>12</v>
      </c>
      <c r="CI102" s="228">
        <v>1</v>
      </c>
      <c r="CJ102" s="229">
        <v>4.3200000000000002E-2</v>
      </c>
      <c r="CK102" s="228">
        <v>1</v>
      </c>
      <c r="CL102" s="228">
        <v>1</v>
      </c>
      <c r="CM102" s="228">
        <v>0</v>
      </c>
      <c r="CN102" s="229">
        <v>5.2600000000000001E-2</v>
      </c>
      <c r="CO102" s="228">
        <v>356</v>
      </c>
      <c r="CP102" s="228">
        <v>329</v>
      </c>
      <c r="CQ102" s="228">
        <v>27</v>
      </c>
      <c r="CR102" s="229">
        <v>8.1100000000000005E-2</v>
      </c>
      <c r="CS102" s="228">
        <v>372</v>
      </c>
      <c r="CT102" s="228">
        <v>382</v>
      </c>
      <c r="CU102" s="228">
        <v>-10</v>
      </c>
      <c r="CV102" s="229">
        <v>-2.5499999999999998E-2</v>
      </c>
      <c r="CW102" s="230">
        <v>1927</v>
      </c>
      <c r="CX102" s="230">
        <v>1911</v>
      </c>
      <c r="CY102" s="228">
        <v>15</v>
      </c>
      <c r="CZ102" s="229">
        <v>7.9000000000000008E-3</v>
      </c>
      <c r="DA102" s="228">
        <v>28.01</v>
      </c>
      <c r="DB102" s="228">
        <v>31.59</v>
      </c>
      <c r="DC102" s="228">
        <v>-3.58</v>
      </c>
      <c r="DD102" s="228">
        <v>-3.58</v>
      </c>
      <c r="DE102" s="228">
        <v>35.1</v>
      </c>
      <c r="DF102" s="228">
        <v>35.14</v>
      </c>
      <c r="DG102" s="228">
        <v>-7.09</v>
      </c>
      <c r="DH102" s="228">
        <v>-0.04</v>
      </c>
      <c r="DI102" s="228">
        <v>27.39</v>
      </c>
      <c r="DJ102" s="228">
        <v>30.24</v>
      </c>
      <c r="DK102" s="228">
        <v>-2.85</v>
      </c>
      <c r="DL102" s="228">
        <v>-2.85</v>
      </c>
      <c r="DM102" s="228">
        <v>29.58</v>
      </c>
      <c r="DN102" s="228">
        <v>32.68</v>
      </c>
      <c r="DO102" s="228">
        <v>-3.1</v>
      </c>
      <c r="DP102" s="228">
        <v>-3.1</v>
      </c>
      <c r="DQ102" s="228">
        <v>1.05</v>
      </c>
      <c r="DR102" s="228">
        <v>1.1599999999999999</v>
      </c>
      <c r="DS102" s="228">
        <v>-0.11</v>
      </c>
      <c r="DT102" s="229">
        <v>-9.4799999999999995E-2</v>
      </c>
      <c r="DU102" s="231">
        <v>1200</v>
      </c>
      <c r="DV102" s="231">
        <v>1180</v>
      </c>
      <c r="DW102" s="228">
        <v>0.39</v>
      </c>
      <c r="DX102" s="228">
        <v>1.23</v>
      </c>
      <c r="DY102" s="228">
        <v>-0.84</v>
      </c>
      <c r="DZ102" s="229">
        <v>-0.68289999999999995</v>
      </c>
      <c r="EA102" s="229">
        <v>1.17E-2</v>
      </c>
      <c r="EB102" s="230">
        <v>113125</v>
      </c>
      <c r="EC102" s="229">
        <v>5.7000000000000002E-3</v>
      </c>
      <c r="ED102" s="229">
        <v>1.17E-2</v>
      </c>
      <c r="EE102" s="228">
        <v>8.19</v>
      </c>
      <c r="EF102" s="229">
        <v>6.8999999999999999E-3</v>
      </c>
      <c r="EG102" s="230">
        <v>266855</v>
      </c>
      <c r="EH102" s="230">
        <v>1512387</v>
      </c>
      <c r="EI102" s="229">
        <v>-0.8236</v>
      </c>
      <c r="EJ102" s="229">
        <v>0.3281</v>
      </c>
      <c r="EK102" s="228">
        <v>630.21</v>
      </c>
      <c r="EL102" s="228">
        <v>228.4</v>
      </c>
      <c r="EM102" s="228">
        <v>326.68</v>
      </c>
      <c r="EN102" s="228">
        <v>39.56</v>
      </c>
      <c r="EO102" s="231">
        <v>1185.29</v>
      </c>
      <c r="EP102" s="231">
        <v>2278.61</v>
      </c>
      <c r="EQ102" s="231">
        <v>-1093.32</v>
      </c>
      <c r="ER102" s="229">
        <v>-0.4798</v>
      </c>
      <c r="ES102" s="228">
        <v>376.56</v>
      </c>
      <c r="ET102" s="228">
        <v>363.35</v>
      </c>
      <c r="EU102" s="231">
        <v>1198.83</v>
      </c>
      <c r="EV102" s="231">
        <v>48257090</v>
      </c>
      <c r="EW102" s="231">
        <v>1938.74</v>
      </c>
      <c r="EX102" s="231">
        <v>1907.66</v>
      </c>
      <c r="EY102" s="228">
        <v>31.08</v>
      </c>
      <c r="EZ102" s="229">
        <v>1.6299999999999999E-2</v>
      </c>
      <c r="FA102" s="229">
        <v>0.33579999999999999</v>
      </c>
      <c r="FB102" s="227" t="s">
        <v>556</v>
      </c>
      <c r="FC102">
        <f t="shared" si="1"/>
        <v>14</v>
      </c>
    </row>
    <row r="103" spans="1:159" ht="17.25" hidden="1" thickBot="1" x14ac:dyDescent="0.3">
      <c r="A103" s="226">
        <v>46086</v>
      </c>
      <c r="B103" s="227" t="s">
        <v>175</v>
      </c>
      <c r="C103" s="227" t="s">
        <v>570</v>
      </c>
      <c r="D103" s="228">
        <v>2350</v>
      </c>
      <c r="E103" s="228">
        <v>25</v>
      </c>
      <c r="F103" s="228">
        <v>244.1</v>
      </c>
      <c r="G103" s="228">
        <v>242</v>
      </c>
      <c r="H103" s="228">
        <v>2.1</v>
      </c>
      <c r="I103" s="229">
        <v>8.6999999999999994E-3</v>
      </c>
      <c r="J103" s="228">
        <v>243.1</v>
      </c>
      <c r="K103" s="228">
        <v>241.3</v>
      </c>
      <c r="L103" s="228">
        <v>1.8</v>
      </c>
      <c r="M103" s="229">
        <v>7.4999999999999997E-3</v>
      </c>
      <c r="N103" s="228">
        <v>244.1</v>
      </c>
      <c r="O103" s="228">
        <v>242</v>
      </c>
      <c r="P103" s="228">
        <v>2.1</v>
      </c>
      <c r="Q103" s="229">
        <v>8.6999999999999994E-3</v>
      </c>
      <c r="R103" s="228">
        <v>245.65</v>
      </c>
      <c r="S103" s="228">
        <v>243.5</v>
      </c>
      <c r="T103" s="228">
        <v>2.15</v>
      </c>
      <c r="U103" s="229">
        <v>8.8000000000000005E-3</v>
      </c>
      <c r="V103" s="228">
        <v>247</v>
      </c>
      <c r="W103" s="228">
        <v>244.7</v>
      </c>
      <c r="X103" s="228">
        <v>2.2999999999999998</v>
      </c>
      <c r="Y103" s="229">
        <v>9.4000000000000004E-3</v>
      </c>
      <c r="Z103" s="228">
        <v>1</v>
      </c>
      <c r="AA103" s="228">
        <v>0.7</v>
      </c>
      <c r="AB103" s="228">
        <v>0.3</v>
      </c>
      <c r="AC103" s="229">
        <v>4.1000000000000003E-3</v>
      </c>
      <c r="AD103" s="228">
        <v>1</v>
      </c>
      <c r="AE103" s="228">
        <v>0.7</v>
      </c>
      <c r="AF103" s="228">
        <v>0.3</v>
      </c>
      <c r="AG103" s="229">
        <v>4.1000000000000003E-3</v>
      </c>
      <c r="AH103" s="228">
        <v>2.5499999999999998</v>
      </c>
      <c r="AI103" s="228">
        <v>2.2000000000000002</v>
      </c>
      <c r="AJ103" s="228">
        <v>0.35</v>
      </c>
      <c r="AK103" s="229">
        <v>1.0500000000000001E-2</v>
      </c>
      <c r="AL103" s="228">
        <v>3.9</v>
      </c>
      <c r="AM103" s="228">
        <v>3.4</v>
      </c>
      <c r="AN103" s="228">
        <v>0.5</v>
      </c>
      <c r="AO103" s="229">
        <v>1.6E-2</v>
      </c>
      <c r="AP103" s="228">
        <v>242.08</v>
      </c>
      <c r="AQ103" s="228">
        <v>243.04</v>
      </c>
      <c r="AR103" s="228">
        <v>0</v>
      </c>
      <c r="AS103" s="228">
        <v>525</v>
      </c>
      <c r="AT103" s="228">
        <v>457</v>
      </c>
      <c r="AU103" s="228">
        <v>68</v>
      </c>
      <c r="AV103" s="229">
        <v>0.14879999999999999</v>
      </c>
      <c r="AW103" s="228">
        <v>417</v>
      </c>
      <c r="AX103" s="228">
        <v>368</v>
      </c>
      <c r="AY103" s="228">
        <v>48</v>
      </c>
      <c r="AZ103" s="229">
        <v>0.13100000000000001</v>
      </c>
      <c r="BA103" s="228">
        <v>96</v>
      </c>
      <c r="BB103" s="228">
        <v>74</v>
      </c>
      <c r="BC103" s="228">
        <v>22</v>
      </c>
      <c r="BD103" s="229">
        <v>0.29570000000000002</v>
      </c>
      <c r="BE103" s="228">
        <v>13</v>
      </c>
      <c r="BF103" s="228">
        <v>15</v>
      </c>
      <c r="BG103" s="228">
        <v>-2</v>
      </c>
      <c r="BH103" s="229">
        <v>-0.13850000000000001</v>
      </c>
      <c r="BI103" s="230">
        <v>1106</v>
      </c>
      <c r="BJ103" s="230">
        <v>1014</v>
      </c>
      <c r="BK103" s="228">
        <v>92</v>
      </c>
      <c r="BL103" s="229">
        <v>9.0899999999999995E-2</v>
      </c>
      <c r="BM103" s="228">
        <v>526</v>
      </c>
      <c r="BN103" s="228">
        <v>651</v>
      </c>
      <c r="BO103" s="228">
        <v>-125</v>
      </c>
      <c r="BP103" s="229">
        <v>-0.19239999999999999</v>
      </c>
      <c r="BQ103" s="230">
        <v>2157</v>
      </c>
      <c r="BR103" s="230">
        <v>2122</v>
      </c>
      <c r="BS103" s="228">
        <v>35</v>
      </c>
      <c r="BT103" s="229">
        <v>1.6400000000000001E-2</v>
      </c>
      <c r="BU103" s="230">
        <v>14394497</v>
      </c>
      <c r="BV103" s="230">
        <v>14734583</v>
      </c>
      <c r="BW103" s="230">
        <v>-340086</v>
      </c>
      <c r="BX103" s="229">
        <v>-2.3099999999999999E-2</v>
      </c>
      <c r="BY103" s="230">
        <v>4220</v>
      </c>
      <c r="BZ103" s="230">
        <v>4200</v>
      </c>
      <c r="CA103" s="228">
        <v>19</v>
      </c>
      <c r="CB103" s="229">
        <v>4.5999999999999999E-3</v>
      </c>
      <c r="CC103" s="230">
        <v>3933</v>
      </c>
      <c r="CD103" s="230">
        <v>3961</v>
      </c>
      <c r="CE103" s="228">
        <v>-28</v>
      </c>
      <c r="CF103" s="229">
        <v>-7.1000000000000004E-3</v>
      </c>
      <c r="CG103" s="228">
        <v>263</v>
      </c>
      <c r="CH103" s="228">
        <v>220</v>
      </c>
      <c r="CI103" s="228">
        <v>42</v>
      </c>
      <c r="CJ103" s="229">
        <v>0.191</v>
      </c>
      <c r="CK103" s="228">
        <v>24</v>
      </c>
      <c r="CL103" s="228">
        <v>19</v>
      </c>
      <c r="CM103" s="228">
        <v>5</v>
      </c>
      <c r="CN103" s="229">
        <v>0.27239999999999998</v>
      </c>
      <c r="CO103" s="230">
        <v>1106</v>
      </c>
      <c r="CP103" s="230">
        <v>1039</v>
      </c>
      <c r="CQ103" s="228">
        <v>67</v>
      </c>
      <c r="CR103" s="229">
        <v>6.4000000000000001E-2</v>
      </c>
      <c r="CS103" s="228">
        <v>887</v>
      </c>
      <c r="CT103" s="228">
        <v>867</v>
      </c>
      <c r="CU103" s="228">
        <v>20</v>
      </c>
      <c r="CV103" s="229">
        <v>2.29E-2</v>
      </c>
      <c r="CW103" s="230">
        <v>6212</v>
      </c>
      <c r="CX103" s="230">
        <v>6106</v>
      </c>
      <c r="CY103" s="228">
        <v>106</v>
      </c>
      <c r="CZ103" s="229">
        <v>1.7299999999999999E-2</v>
      </c>
      <c r="DA103" s="228">
        <v>31.16</v>
      </c>
      <c r="DB103" s="228">
        <v>34.24</v>
      </c>
      <c r="DC103" s="228">
        <v>-3.08</v>
      </c>
      <c r="DD103" s="228">
        <v>-3.08</v>
      </c>
      <c r="DE103" s="228">
        <v>34.81</v>
      </c>
      <c r="DF103" s="228">
        <v>34.869999999999997</v>
      </c>
      <c r="DG103" s="228">
        <v>-3.65</v>
      </c>
      <c r="DH103" s="228">
        <v>-0.06</v>
      </c>
      <c r="DI103" s="228">
        <v>30.93</v>
      </c>
      <c r="DJ103" s="228">
        <v>33.76</v>
      </c>
      <c r="DK103" s="228">
        <v>-2.83</v>
      </c>
      <c r="DL103" s="228">
        <v>-2.83</v>
      </c>
      <c r="DM103" s="228">
        <v>31.66</v>
      </c>
      <c r="DN103" s="228">
        <v>34.979999999999997</v>
      </c>
      <c r="DO103" s="228">
        <v>-3.32</v>
      </c>
      <c r="DP103" s="228">
        <v>-3.32</v>
      </c>
      <c r="DQ103" s="228">
        <v>0.8</v>
      </c>
      <c r="DR103" s="228">
        <v>0.83</v>
      </c>
      <c r="DS103" s="228">
        <v>-0.03</v>
      </c>
      <c r="DT103" s="229">
        <v>-3.61E-2</v>
      </c>
      <c r="DU103" s="228">
        <v>300</v>
      </c>
      <c r="DV103" s="228">
        <v>260</v>
      </c>
      <c r="DW103" s="228">
        <v>0.48</v>
      </c>
      <c r="DX103" s="228">
        <v>0.64</v>
      </c>
      <c r="DY103" s="228">
        <v>-0.16</v>
      </c>
      <c r="DZ103" s="229">
        <v>-0.25</v>
      </c>
      <c r="EA103" s="229">
        <v>6.7799999999999999E-2</v>
      </c>
      <c r="EB103" s="230">
        <v>9790100</v>
      </c>
      <c r="EC103" s="229">
        <v>6.3E-3</v>
      </c>
      <c r="ED103" s="229">
        <v>6.7799999999999999E-2</v>
      </c>
      <c r="EE103" s="228">
        <v>0.96</v>
      </c>
      <c r="EF103" s="229">
        <v>4.0000000000000001E-3</v>
      </c>
      <c r="EG103" s="230">
        <v>6654802</v>
      </c>
      <c r="EH103" s="230">
        <v>7093116</v>
      </c>
      <c r="EI103" s="229">
        <v>-6.1800000000000001E-2</v>
      </c>
      <c r="EJ103" s="229">
        <v>0.46229999999999999</v>
      </c>
      <c r="EK103" s="231">
        <v>1184.93</v>
      </c>
      <c r="EL103" s="228">
        <v>521.05999999999995</v>
      </c>
      <c r="EM103" s="228">
        <v>521.12</v>
      </c>
      <c r="EN103" s="228">
        <v>62.27</v>
      </c>
      <c r="EO103" s="231">
        <v>2227.1</v>
      </c>
      <c r="EP103" s="231">
        <v>2197.9899999999998</v>
      </c>
      <c r="EQ103" s="228">
        <v>29.11</v>
      </c>
      <c r="ER103" s="229">
        <v>1.32E-2</v>
      </c>
      <c r="ES103" s="231">
        <v>1235.33</v>
      </c>
      <c r="ET103" s="228">
        <v>954.14</v>
      </c>
      <c r="EU103" s="231">
        <v>4221.55</v>
      </c>
      <c r="EV103" s="231">
        <v>355358091</v>
      </c>
      <c r="EW103" s="231">
        <v>6411.02</v>
      </c>
      <c r="EX103" s="231">
        <v>6268.21</v>
      </c>
      <c r="EY103" s="228">
        <v>142.81</v>
      </c>
      <c r="EZ103" s="229">
        <v>2.2800000000000001E-2</v>
      </c>
      <c r="FA103" s="229">
        <v>0.71609999999999996</v>
      </c>
      <c r="FB103" s="227" t="s">
        <v>555</v>
      </c>
      <c r="FC103">
        <f t="shared" si="1"/>
        <v>287</v>
      </c>
    </row>
    <row r="104" spans="1:159" ht="17.25" hidden="1" thickBot="1" x14ac:dyDescent="0.3">
      <c r="A104" s="226">
        <v>46086</v>
      </c>
      <c r="B104" s="227" t="s">
        <v>161</v>
      </c>
      <c r="C104" s="227" t="s">
        <v>580</v>
      </c>
      <c r="D104" s="228">
        <v>1000</v>
      </c>
      <c r="E104" s="228">
        <v>25</v>
      </c>
      <c r="F104" s="228">
        <v>480.35</v>
      </c>
      <c r="G104" s="228">
        <v>469.05</v>
      </c>
      <c r="H104" s="228">
        <v>11.3</v>
      </c>
      <c r="I104" s="229">
        <v>2.41E-2</v>
      </c>
      <c r="J104" s="228">
        <v>479.5</v>
      </c>
      <c r="K104" s="228">
        <v>468.05</v>
      </c>
      <c r="L104" s="228">
        <v>11.45</v>
      </c>
      <c r="M104" s="229">
        <v>2.4500000000000001E-2</v>
      </c>
      <c r="N104" s="228">
        <v>480.35</v>
      </c>
      <c r="O104" s="228">
        <v>469.05</v>
      </c>
      <c r="P104" s="228">
        <v>11.3</v>
      </c>
      <c r="Q104" s="229">
        <v>2.41E-2</v>
      </c>
      <c r="R104" s="228">
        <v>483.65</v>
      </c>
      <c r="S104" s="228">
        <v>472.95</v>
      </c>
      <c r="T104" s="228">
        <v>10.7</v>
      </c>
      <c r="U104" s="229">
        <v>2.2599999999999999E-2</v>
      </c>
      <c r="V104" s="228">
        <v>488.8</v>
      </c>
      <c r="W104" s="228">
        <v>474</v>
      </c>
      <c r="X104" s="228">
        <v>14.8</v>
      </c>
      <c r="Y104" s="229">
        <v>3.1199999999999999E-2</v>
      </c>
      <c r="Z104" s="228">
        <v>0.85</v>
      </c>
      <c r="AA104" s="228">
        <v>1</v>
      </c>
      <c r="AB104" s="228">
        <v>-0.15</v>
      </c>
      <c r="AC104" s="229">
        <v>1.8E-3</v>
      </c>
      <c r="AD104" s="228">
        <v>0.85</v>
      </c>
      <c r="AE104" s="228">
        <v>1</v>
      </c>
      <c r="AF104" s="228">
        <v>-0.15</v>
      </c>
      <c r="AG104" s="229">
        <v>1.8E-3</v>
      </c>
      <c r="AH104" s="228">
        <v>4.1500000000000004</v>
      </c>
      <c r="AI104" s="228">
        <v>4.9000000000000004</v>
      </c>
      <c r="AJ104" s="228">
        <v>-0.75</v>
      </c>
      <c r="AK104" s="229">
        <v>8.6999999999999994E-3</v>
      </c>
      <c r="AL104" s="228">
        <v>9.3000000000000007</v>
      </c>
      <c r="AM104" s="228">
        <v>5.95</v>
      </c>
      <c r="AN104" s="228">
        <v>3.35</v>
      </c>
      <c r="AO104" s="229">
        <v>1.9400000000000001E-2</v>
      </c>
      <c r="AP104" s="228">
        <v>476.51</v>
      </c>
      <c r="AQ104" s="228">
        <v>479.47</v>
      </c>
      <c r="AR104" s="228">
        <v>0</v>
      </c>
      <c r="AS104" s="228">
        <v>133</v>
      </c>
      <c r="AT104" s="228">
        <v>114</v>
      </c>
      <c r="AU104" s="228">
        <v>19</v>
      </c>
      <c r="AV104" s="229">
        <v>0.16270000000000001</v>
      </c>
      <c r="AW104" s="228">
        <v>128</v>
      </c>
      <c r="AX104" s="228">
        <v>111</v>
      </c>
      <c r="AY104" s="228">
        <v>17</v>
      </c>
      <c r="AZ104" s="229">
        <v>0.15690000000000001</v>
      </c>
      <c r="BA104" s="228">
        <v>4</v>
      </c>
      <c r="BB104" s="228">
        <v>3</v>
      </c>
      <c r="BC104" s="228">
        <v>1</v>
      </c>
      <c r="BD104" s="229">
        <v>0.37309999999999999</v>
      </c>
      <c r="BE104" s="228">
        <v>0</v>
      </c>
      <c r="BF104" s="228">
        <v>0</v>
      </c>
      <c r="BG104" s="228">
        <v>0</v>
      </c>
      <c r="BH104" s="229">
        <v>0</v>
      </c>
      <c r="BI104" s="228">
        <v>149</v>
      </c>
      <c r="BJ104" s="228">
        <v>205</v>
      </c>
      <c r="BK104" s="228">
        <v>-55</v>
      </c>
      <c r="BL104" s="229">
        <v>-0.27050000000000002</v>
      </c>
      <c r="BM104" s="228">
        <v>49</v>
      </c>
      <c r="BN104" s="228">
        <v>122</v>
      </c>
      <c r="BO104" s="228">
        <v>-73</v>
      </c>
      <c r="BP104" s="229">
        <v>-0.5968</v>
      </c>
      <c r="BQ104" s="228">
        <v>331</v>
      </c>
      <c r="BR104" s="228">
        <v>441</v>
      </c>
      <c r="BS104" s="228">
        <v>-110</v>
      </c>
      <c r="BT104" s="229">
        <v>-0.24890000000000001</v>
      </c>
      <c r="BU104" s="230">
        <v>1558195</v>
      </c>
      <c r="BV104" s="230">
        <v>1641410</v>
      </c>
      <c r="BW104" s="230">
        <v>-83215</v>
      </c>
      <c r="BX104" s="229">
        <v>-5.0700000000000002E-2</v>
      </c>
      <c r="BY104" s="230">
        <v>1411</v>
      </c>
      <c r="BZ104" s="230">
        <v>1433</v>
      </c>
      <c r="CA104" s="228">
        <v>-22</v>
      </c>
      <c r="CB104" s="229">
        <v>-1.5100000000000001E-2</v>
      </c>
      <c r="CC104" s="230">
        <v>1402</v>
      </c>
      <c r="CD104" s="230">
        <v>1425</v>
      </c>
      <c r="CE104" s="228">
        <v>-23</v>
      </c>
      <c r="CF104" s="229">
        <v>-1.5800000000000002E-2</v>
      </c>
      <c r="CG104" s="228">
        <v>8</v>
      </c>
      <c r="CH104" s="228">
        <v>8</v>
      </c>
      <c r="CI104" s="228">
        <v>1</v>
      </c>
      <c r="CJ104" s="229">
        <v>0.121</v>
      </c>
      <c r="CK104" s="228">
        <v>1</v>
      </c>
      <c r="CL104" s="228">
        <v>1</v>
      </c>
      <c r="CM104" s="228">
        <v>0</v>
      </c>
      <c r="CN104" s="229">
        <v>-5.8799999999999998E-2</v>
      </c>
      <c r="CO104" s="228">
        <v>248</v>
      </c>
      <c r="CP104" s="228">
        <v>239</v>
      </c>
      <c r="CQ104" s="228">
        <v>8</v>
      </c>
      <c r="CR104" s="229">
        <v>3.49E-2</v>
      </c>
      <c r="CS104" s="228">
        <v>223</v>
      </c>
      <c r="CT104" s="228">
        <v>218</v>
      </c>
      <c r="CU104" s="228">
        <v>5</v>
      </c>
      <c r="CV104" s="229">
        <v>2.1600000000000001E-2</v>
      </c>
      <c r="CW104" s="230">
        <v>1882</v>
      </c>
      <c r="CX104" s="230">
        <v>1890</v>
      </c>
      <c r="CY104" s="228">
        <v>-9</v>
      </c>
      <c r="CZ104" s="229">
        <v>-4.4999999999999997E-3</v>
      </c>
      <c r="DA104" s="228">
        <v>30.28</v>
      </c>
      <c r="DB104" s="228">
        <v>33.6</v>
      </c>
      <c r="DC104" s="228">
        <v>-3.32</v>
      </c>
      <c r="DD104" s="228">
        <v>-3.32</v>
      </c>
      <c r="DE104" s="228">
        <v>42.37</v>
      </c>
      <c r="DF104" s="228">
        <v>42.35</v>
      </c>
      <c r="DG104" s="228">
        <v>-12.09</v>
      </c>
      <c r="DH104" s="228">
        <v>0.02</v>
      </c>
      <c r="DI104" s="228">
        <v>29.33</v>
      </c>
      <c r="DJ104" s="228">
        <v>32.340000000000003</v>
      </c>
      <c r="DK104" s="228">
        <v>-3.01</v>
      </c>
      <c r="DL104" s="228">
        <v>-3.01</v>
      </c>
      <c r="DM104" s="228">
        <v>33.159999999999997</v>
      </c>
      <c r="DN104" s="228">
        <v>35.72</v>
      </c>
      <c r="DO104" s="228">
        <v>-2.56</v>
      </c>
      <c r="DP104" s="228">
        <v>-2.56</v>
      </c>
      <c r="DQ104" s="228">
        <v>0.9</v>
      </c>
      <c r="DR104" s="228">
        <v>0.91</v>
      </c>
      <c r="DS104" s="228">
        <v>-0.01</v>
      </c>
      <c r="DT104" s="229">
        <v>-1.0999999999999999E-2</v>
      </c>
      <c r="DU104" s="228">
        <v>500</v>
      </c>
      <c r="DV104" s="228">
        <v>530</v>
      </c>
      <c r="DW104" s="228">
        <v>0.33</v>
      </c>
      <c r="DX104" s="228">
        <v>0.6</v>
      </c>
      <c r="DY104" s="228">
        <v>-0.27</v>
      </c>
      <c r="DZ104" s="229">
        <v>-0.45</v>
      </c>
      <c r="EA104" s="229">
        <v>6.4999999999999997E-3</v>
      </c>
      <c r="EB104" s="230">
        <v>174000</v>
      </c>
      <c r="EC104" s="229">
        <v>6.8999999999999999E-3</v>
      </c>
      <c r="ED104" s="229">
        <v>6.4999999999999997E-3</v>
      </c>
      <c r="EE104" s="228">
        <v>2.96</v>
      </c>
      <c r="EF104" s="229">
        <v>6.1999999999999998E-3</v>
      </c>
      <c r="EG104" s="230">
        <v>749944</v>
      </c>
      <c r="EH104" s="230">
        <v>796055</v>
      </c>
      <c r="EI104" s="229">
        <v>-5.79E-2</v>
      </c>
      <c r="EJ104" s="229">
        <v>0.48130000000000001</v>
      </c>
      <c r="EK104" s="228">
        <v>158.04</v>
      </c>
      <c r="EL104" s="228">
        <v>47.82</v>
      </c>
      <c r="EM104" s="228">
        <v>131.5</v>
      </c>
      <c r="EN104" s="228">
        <v>34.49</v>
      </c>
      <c r="EO104" s="228">
        <v>337.37</v>
      </c>
      <c r="EP104" s="228">
        <v>448.5</v>
      </c>
      <c r="EQ104" s="228">
        <v>-111.13</v>
      </c>
      <c r="ER104" s="229">
        <v>-0.24779999999999999</v>
      </c>
      <c r="ES104" s="228">
        <v>263.14999999999998</v>
      </c>
      <c r="ET104" s="228">
        <v>228.21</v>
      </c>
      <c r="EU104" s="231">
        <v>1411.29</v>
      </c>
      <c r="EV104" s="231">
        <v>80385888</v>
      </c>
      <c r="EW104" s="231">
        <v>1902.65</v>
      </c>
      <c r="EX104" s="231">
        <v>1877.18</v>
      </c>
      <c r="EY104" s="228">
        <v>25.47</v>
      </c>
      <c r="EZ104" s="229">
        <v>1.3599999999999999E-2</v>
      </c>
      <c r="FA104" s="229">
        <v>0.48730000000000001</v>
      </c>
      <c r="FB104" s="227" t="s">
        <v>556</v>
      </c>
      <c r="FC104">
        <f t="shared" si="1"/>
        <v>9</v>
      </c>
    </row>
    <row r="105" spans="1:159" ht="17.25" hidden="1" thickBot="1" x14ac:dyDescent="0.3">
      <c r="A105" s="226">
        <v>46086</v>
      </c>
      <c r="B105" s="227" t="s">
        <v>227</v>
      </c>
      <c r="C105" s="227" t="s">
        <v>244</v>
      </c>
      <c r="D105" s="228">
        <v>675</v>
      </c>
      <c r="E105" s="228">
        <v>25</v>
      </c>
      <c r="F105" s="231">
        <v>1251.2</v>
      </c>
      <c r="G105" s="231">
        <v>1216.9000000000001</v>
      </c>
      <c r="H105" s="228">
        <v>34.299999999999997</v>
      </c>
      <c r="I105" s="229">
        <v>2.8199999999999999E-2</v>
      </c>
      <c r="J105" s="231">
        <v>1248.0999999999999</v>
      </c>
      <c r="K105" s="231">
        <v>1213</v>
      </c>
      <c r="L105" s="228">
        <v>35.1</v>
      </c>
      <c r="M105" s="229">
        <v>2.8899999999999999E-2</v>
      </c>
      <c r="N105" s="231">
        <v>1251.2</v>
      </c>
      <c r="O105" s="231">
        <v>1216.9000000000001</v>
      </c>
      <c r="P105" s="228">
        <v>34.299999999999997</v>
      </c>
      <c r="Q105" s="229">
        <v>2.8199999999999999E-2</v>
      </c>
      <c r="R105" s="231">
        <v>1259.0999999999999</v>
      </c>
      <c r="S105" s="231">
        <v>1224.5</v>
      </c>
      <c r="T105" s="228">
        <v>34.6</v>
      </c>
      <c r="U105" s="229">
        <v>2.8299999999999999E-2</v>
      </c>
      <c r="V105" s="231">
        <v>1269</v>
      </c>
      <c r="W105" s="231">
        <v>1218.9000000000001</v>
      </c>
      <c r="X105" s="228">
        <v>50.1</v>
      </c>
      <c r="Y105" s="229">
        <v>4.1099999999999998E-2</v>
      </c>
      <c r="Z105" s="228">
        <v>3.1</v>
      </c>
      <c r="AA105" s="228">
        <v>3.9</v>
      </c>
      <c r="AB105" s="228">
        <v>-0.8</v>
      </c>
      <c r="AC105" s="229">
        <v>2.5000000000000001E-3</v>
      </c>
      <c r="AD105" s="228">
        <v>3.1</v>
      </c>
      <c r="AE105" s="228">
        <v>3.9</v>
      </c>
      <c r="AF105" s="228">
        <v>-0.8</v>
      </c>
      <c r="AG105" s="229">
        <v>2.5000000000000001E-3</v>
      </c>
      <c r="AH105" s="228">
        <v>11</v>
      </c>
      <c r="AI105" s="228">
        <v>11.5</v>
      </c>
      <c r="AJ105" s="228">
        <v>-0.5</v>
      </c>
      <c r="AK105" s="229">
        <v>8.8000000000000005E-3</v>
      </c>
      <c r="AL105" s="228">
        <v>20.9</v>
      </c>
      <c r="AM105" s="228">
        <v>5.9</v>
      </c>
      <c r="AN105" s="228">
        <v>15</v>
      </c>
      <c r="AO105" s="229">
        <v>1.67E-2</v>
      </c>
      <c r="AP105" s="231">
        <v>1238.6400000000001</v>
      </c>
      <c r="AQ105" s="231">
        <v>1249.52</v>
      </c>
      <c r="AR105" s="228">
        <v>0</v>
      </c>
      <c r="AS105" s="228">
        <v>857</v>
      </c>
      <c r="AT105" s="228">
        <v>756</v>
      </c>
      <c r="AU105" s="228">
        <v>101</v>
      </c>
      <c r="AV105" s="229">
        <v>0.1338</v>
      </c>
      <c r="AW105" s="228">
        <v>736</v>
      </c>
      <c r="AX105" s="228">
        <v>735</v>
      </c>
      <c r="AY105" s="228">
        <v>1</v>
      </c>
      <c r="AZ105" s="229">
        <v>1.2999999999999999E-3</v>
      </c>
      <c r="BA105" s="228">
        <v>121</v>
      </c>
      <c r="BB105" s="228">
        <v>19</v>
      </c>
      <c r="BC105" s="228">
        <v>101</v>
      </c>
      <c r="BD105" s="229">
        <v>5.2042999999999999</v>
      </c>
      <c r="BE105" s="228">
        <v>1</v>
      </c>
      <c r="BF105" s="228">
        <v>1</v>
      </c>
      <c r="BG105" s="228">
        <v>-1</v>
      </c>
      <c r="BH105" s="229">
        <v>-0.58819999999999995</v>
      </c>
      <c r="BI105" s="230">
        <v>1143</v>
      </c>
      <c r="BJ105" s="230">
        <v>1136</v>
      </c>
      <c r="BK105" s="228">
        <v>6</v>
      </c>
      <c r="BL105" s="229">
        <v>5.4000000000000003E-3</v>
      </c>
      <c r="BM105" s="228">
        <v>626</v>
      </c>
      <c r="BN105" s="230">
        <v>1191</v>
      </c>
      <c r="BO105" s="228">
        <v>-565</v>
      </c>
      <c r="BP105" s="229">
        <v>-0.47399999999999998</v>
      </c>
      <c r="BQ105" s="230">
        <v>2626</v>
      </c>
      <c r="BR105" s="230">
        <v>3083</v>
      </c>
      <c r="BS105" s="228">
        <v>-457</v>
      </c>
      <c r="BT105" s="229">
        <v>-0.14829999999999999</v>
      </c>
      <c r="BU105" s="230">
        <v>1744474</v>
      </c>
      <c r="BV105" s="230">
        <v>1787175</v>
      </c>
      <c r="BW105" s="230">
        <v>-42701</v>
      </c>
      <c r="BX105" s="229">
        <v>-2.3900000000000001E-2</v>
      </c>
      <c r="BY105" s="230">
        <v>6669</v>
      </c>
      <c r="BZ105" s="230">
        <v>6644</v>
      </c>
      <c r="CA105" s="228">
        <v>24</v>
      </c>
      <c r="CB105" s="229">
        <v>3.5999999999999999E-3</v>
      </c>
      <c r="CC105" s="230">
        <v>6542</v>
      </c>
      <c r="CD105" s="230">
        <v>6627</v>
      </c>
      <c r="CE105" s="228">
        <v>-85</v>
      </c>
      <c r="CF105" s="229">
        <v>-1.2800000000000001E-2</v>
      </c>
      <c r="CG105" s="228">
        <v>124</v>
      </c>
      <c r="CH105" s="228">
        <v>15</v>
      </c>
      <c r="CI105" s="228">
        <v>109</v>
      </c>
      <c r="CJ105" s="229">
        <v>7.2808999999999999</v>
      </c>
      <c r="CK105" s="228">
        <v>2</v>
      </c>
      <c r="CL105" s="228">
        <v>2</v>
      </c>
      <c r="CM105" s="228">
        <v>0</v>
      </c>
      <c r="CN105" s="229">
        <v>-3.5700000000000003E-2</v>
      </c>
      <c r="CO105" s="228">
        <v>744</v>
      </c>
      <c r="CP105" s="228">
        <v>700</v>
      </c>
      <c r="CQ105" s="228">
        <v>43</v>
      </c>
      <c r="CR105" s="229">
        <v>6.2100000000000002E-2</v>
      </c>
      <c r="CS105" s="228">
        <v>445</v>
      </c>
      <c r="CT105" s="228">
        <v>414</v>
      </c>
      <c r="CU105" s="228">
        <v>31</v>
      </c>
      <c r="CV105" s="229">
        <v>7.4700000000000003E-2</v>
      </c>
      <c r="CW105" s="230">
        <v>7857</v>
      </c>
      <c r="CX105" s="230">
        <v>7758</v>
      </c>
      <c r="CY105" s="228">
        <v>99</v>
      </c>
      <c r="CZ105" s="229">
        <v>1.2699999999999999E-2</v>
      </c>
      <c r="DA105" s="228">
        <v>26.62</v>
      </c>
      <c r="DB105" s="228">
        <v>29.22</v>
      </c>
      <c r="DC105" s="228">
        <v>-2.6</v>
      </c>
      <c r="DD105" s="228">
        <v>-2.6</v>
      </c>
      <c r="DE105" s="228">
        <v>29.59</v>
      </c>
      <c r="DF105" s="228">
        <v>29.42</v>
      </c>
      <c r="DG105" s="228">
        <v>-2.97</v>
      </c>
      <c r="DH105" s="228">
        <v>0.17</v>
      </c>
      <c r="DI105" s="228">
        <v>25.83</v>
      </c>
      <c r="DJ105" s="228">
        <v>27.79</v>
      </c>
      <c r="DK105" s="228">
        <v>-1.96</v>
      </c>
      <c r="DL105" s="228">
        <v>-1.96</v>
      </c>
      <c r="DM105" s="228">
        <v>28.06</v>
      </c>
      <c r="DN105" s="228">
        <v>30.58</v>
      </c>
      <c r="DO105" s="228">
        <v>-2.52</v>
      </c>
      <c r="DP105" s="228">
        <v>-2.52</v>
      </c>
      <c r="DQ105" s="228">
        <v>0.6</v>
      </c>
      <c r="DR105" s="228">
        <v>0.59</v>
      </c>
      <c r="DS105" s="228">
        <v>0.01</v>
      </c>
      <c r="DT105" s="229">
        <v>1.6899999999999998E-2</v>
      </c>
      <c r="DU105" s="231">
        <v>1300</v>
      </c>
      <c r="DV105" s="231">
        <v>1200</v>
      </c>
      <c r="DW105" s="228">
        <v>0.55000000000000004</v>
      </c>
      <c r="DX105" s="228">
        <v>1.05</v>
      </c>
      <c r="DY105" s="228">
        <v>-0.5</v>
      </c>
      <c r="DZ105" s="229">
        <v>-0.47620000000000001</v>
      </c>
      <c r="EA105" s="229">
        <v>1.9E-2</v>
      </c>
      <c r="EB105" s="230">
        <v>139050</v>
      </c>
      <c r="EC105" s="229">
        <v>6.3E-3</v>
      </c>
      <c r="ED105" s="229">
        <v>1.9E-2</v>
      </c>
      <c r="EE105" s="228">
        <v>10.88</v>
      </c>
      <c r="EF105" s="229">
        <v>8.8000000000000005E-3</v>
      </c>
      <c r="EG105" s="230">
        <v>723098</v>
      </c>
      <c r="EH105" s="230">
        <v>599213</v>
      </c>
      <c r="EI105" s="229">
        <v>0.20669999999999999</v>
      </c>
      <c r="EJ105" s="229">
        <v>0.41449999999999998</v>
      </c>
      <c r="EK105" s="231">
        <v>1201.45</v>
      </c>
      <c r="EL105" s="228">
        <v>602.71</v>
      </c>
      <c r="EM105" s="228">
        <v>849.68</v>
      </c>
      <c r="EN105" s="228">
        <v>48.96</v>
      </c>
      <c r="EO105" s="231">
        <v>2653.84</v>
      </c>
      <c r="EP105" s="231">
        <v>3084.38</v>
      </c>
      <c r="EQ105" s="228">
        <v>-430.54</v>
      </c>
      <c r="ER105" s="229">
        <v>-0.1396</v>
      </c>
      <c r="ES105" s="228">
        <v>785.93</v>
      </c>
      <c r="ET105" s="228">
        <v>425.73</v>
      </c>
      <c r="EU105" s="231">
        <v>6669.55</v>
      </c>
      <c r="EV105" s="231">
        <v>133434355</v>
      </c>
      <c r="EW105" s="231">
        <v>7881.21</v>
      </c>
      <c r="EX105" s="231">
        <v>7598.78</v>
      </c>
      <c r="EY105" s="228">
        <v>282.43</v>
      </c>
      <c r="EZ105" s="229">
        <v>3.7199999999999997E-2</v>
      </c>
      <c r="FA105" s="229">
        <v>0.47060000000000002</v>
      </c>
      <c r="FB105" s="227" t="s">
        <v>555</v>
      </c>
      <c r="FC105">
        <f t="shared" si="1"/>
        <v>127</v>
      </c>
    </row>
    <row r="106" spans="1:159" ht="17.25" hidden="1" thickBot="1" x14ac:dyDescent="0.3">
      <c r="A106" s="226">
        <v>46086</v>
      </c>
      <c r="B106" s="227" t="s">
        <v>168</v>
      </c>
      <c r="C106" s="227" t="s">
        <v>245</v>
      </c>
      <c r="D106" s="228">
        <v>1250</v>
      </c>
      <c r="E106" s="228">
        <v>25</v>
      </c>
      <c r="F106" s="228">
        <v>501.55</v>
      </c>
      <c r="G106" s="228">
        <v>500.3</v>
      </c>
      <c r="H106" s="228">
        <v>1.25</v>
      </c>
      <c r="I106" s="229">
        <v>2.5000000000000001E-3</v>
      </c>
      <c r="J106" s="228">
        <v>500.5</v>
      </c>
      <c r="K106" s="228">
        <v>499.5</v>
      </c>
      <c r="L106" s="228">
        <v>1</v>
      </c>
      <c r="M106" s="229">
        <v>2E-3</v>
      </c>
      <c r="N106" s="228">
        <v>501.55</v>
      </c>
      <c r="O106" s="228">
        <v>500.3</v>
      </c>
      <c r="P106" s="228">
        <v>1.25</v>
      </c>
      <c r="Q106" s="229">
        <v>2.5000000000000001E-3</v>
      </c>
      <c r="R106" s="228">
        <v>495.2</v>
      </c>
      <c r="S106" s="228">
        <v>492.65</v>
      </c>
      <c r="T106" s="228">
        <v>2.5499999999999998</v>
      </c>
      <c r="U106" s="229">
        <v>5.1999999999999998E-3</v>
      </c>
      <c r="V106" s="228">
        <v>491.85</v>
      </c>
      <c r="W106" s="228">
        <v>489.4</v>
      </c>
      <c r="X106" s="228">
        <v>2.4500000000000002</v>
      </c>
      <c r="Y106" s="229">
        <v>5.0000000000000001E-3</v>
      </c>
      <c r="Z106" s="228">
        <v>1.05</v>
      </c>
      <c r="AA106" s="228">
        <v>0.8</v>
      </c>
      <c r="AB106" s="228">
        <v>0.25</v>
      </c>
      <c r="AC106" s="229">
        <v>2.0999999999999999E-3</v>
      </c>
      <c r="AD106" s="228">
        <v>1.05</v>
      </c>
      <c r="AE106" s="228">
        <v>0.8</v>
      </c>
      <c r="AF106" s="228">
        <v>0.25</v>
      </c>
      <c r="AG106" s="229">
        <v>2.0999999999999999E-3</v>
      </c>
      <c r="AH106" s="228">
        <v>-5.3</v>
      </c>
      <c r="AI106" s="228">
        <v>-6.85</v>
      </c>
      <c r="AJ106" s="228">
        <v>1.55</v>
      </c>
      <c r="AK106" s="229">
        <v>-1.06E-2</v>
      </c>
      <c r="AL106" s="228">
        <v>-8.65</v>
      </c>
      <c r="AM106" s="228">
        <v>-10.1</v>
      </c>
      <c r="AN106" s="228">
        <v>1.45</v>
      </c>
      <c r="AO106" s="229">
        <v>-1.7299999999999999E-2</v>
      </c>
      <c r="AP106" s="228">
        <v>499.2</v>
      </c>
      <c r="AQ106" s="228">
        <v>490.9</v>
      </c>
      <c r="AR106" s="228">
        <v>0</v>
      </c>
      <c r="AS106" s="228">
        <v>174</v>
      </c>
      <c r="AT106" s="228">
        <v>306</v>
      </c>
      <c r="AU106" s="228">
        <v>-132</v>
      </c>
      <c r="AV106" s="229">
        <v>-0.43099999999999999</v>
      </c>
      <c r="AW106" s="228">
        <v>153</v>
      </c>
      <c r="AX106" s="228">
        <v>285</v>
      </c>
      <c r="AY106" s="228">
        <v>-131</v>
      </c>
      <c r="AZ106" s="229">
        <v>-0.46079999999999999</v>
      </c>
      <c r="BA106" s="228">
        <v>19</v>
      </c>
      <c r="BB106" s="228">
        <v>18</v>
      </c>
      <c r="BC106" s="228">
        <v>0</v>
      </c>
      <c r="BD106" s="229">
        <v>6.7999999999999996E-3</v>
      </c>
      <c r="BE106" s="228">
        <v>2</v>
      </c>
      <c r="BF106" s="228">
        <v>3</v>
      </c>
      <c r="BG106" s="228">
        <v>-1</v>
      </c>
      <c r="BH106" s="229">
        <v>-0.2979</v>
      </c>
      <c r="BI106" s="228">
        <v>236</v>
      </c>
      <c r="BJ106" s="228">
        <v>330</v>
      </c>
      <c r="BK106" s="228">
        <v>-94</v>
      </c>
      <c r="BL106" s="229">
        <v>-0.28420000000000001</v>
      </c>
      <c r="BM106" s="228">
        <v>66</v>
      </c>
      <c r="BN106" s="228">
        <v>141</v>
      </c>
      <c r="BO106" s="228">
        <v>-75</v>
      </c>
      <c r="BP106" s="229">
        <v>-0.5333</v>
      </c>
      <c r="BQ106" s="228">
        <v>476</v>
      </c>
      <c r="BR106" s="228">
        <v>777</v>
      </c>
      <c r="BS106" s="228">
        <v>-301</v>
      </c>
      <c r="BT106" s="229">
        <v>-0.38729999999999998</v>
      </c>
      <c r="BU106" s="230">
        <v>1744400</v>
      </c>
      <c r="BV106" s="230">
        <v>3884877</v>
      </c>
      <c r="BW106" s="230">
        <v>-2140477</v>
      </c>
      <c r="BX106" s="229">
        <v>-0.55100000000000005</v>
      </c>
      <c r="BY106" s="230">
        <v>1441</v>
      </c>
      <c r="BZ106" s="230">
        <v>1462</v>
      </c>
      <c r="CA106" s="228">
        <v>-21</v>
      </c>
      <c r="CB106" s="229">
        <v>-1.44E-2</v>
      </c>
      <c r="CC106" s="230">
        <v>1357</v>
      </c>
      <c r="CD106" s="230">
        <v>1386</v>
      </c>
      <c r="CE106" s="228">
        <v>-29</v>
      </c>
      <c r="CF106" s="229">
        <v>-2.1000000000000001E-2</v>
      </c>
      <c r="CG106" s="228">
        <v>75</v>
      </c>
      <c r="CH106" s="228">
        <v>68</v>
      </c>
      <c r="CI106" s="228">
        <v>7</v>
      </c>
      <c r="CJ106" s="229">
        <v>0.10199999999999999</v>
      </c>
      <c r="CK106" s="228">
        <v>9</v>
      </c>
      <c r="CL106" s="228">
        <v>8</v>
      </c>
      <c r="CM106" s="228">
        <v>1</v>
      </c>
      <c r="CN106" s="229">
        <v>0.157</v>
      </c>
      <c r="CO106" s="228">
        <v>337</v>
      </c>
      <c r="CP106" s="228">
        <v>316</v>
      </c>
      <c r="CQ106" s="228">
        <v>21</v>
      </c>
      <c r="CR106" s="229">
        <v>6.6400000000000001E-2</v>
      </c>
      <c r="CS106" s="228">
        <v>215</v>
      </c>
      <c r="CT106" s="228">
        <v>215</v>
      </c>
      <c r="CU106" s="228">
        <v>0</v>
      </c>
      <c r="CV106" s="229">
        <v>2.9999999999999997E-4</v>
      </c>
      <c r="CW106" s="230">
        <v>1993</v>
      </c>
      <c r="CX106" s="230">
        <v>1993</v>
      </c>
      <c r="CY106" s="228">
        <v>0</v>
      </c>
      <c r="CZ106" s="229">
        <v>0</v>
      </c>
      <c r="DA106" s="228">
        <v>28.67</v>
      </c>
      <c r="DB106" s="228">
        <v>31.99</v>
      </c>
      <c r="DC106" s="228">
        <v>-3.32</v>
      </c>
      <c r="DD106" s="228">
        <v>-3.32</v>
      </c>
      <c r="DE106" s="228">
        <v>32.58</v>
      </c>
      <c r="DF106" s="228">
        <v>32.659999999999997</v>
      </c>
      <c r="DG106" s="228">
        <v>-3.91</v>
      </c>
      <c r="DH106" s="228">
        <v>-0.08</v>
      </c>
      <c r="DI106" s="228">
        <v>28.4</v>
      </c>
      <c r="DJ106" s="228">
        <v>31.63</v>
      </c>
      <c r="DK106" s="228">
        <v>-3.23</v>
      </c>
      <c r="DL106" s="228">
        <v>-3.23</v>
      </c>
      <c r="DM106" s="228">
        <v>29.63</v>
      </c>
      <c r="DN106" s="228">
        <v>32.82</v>
      </c>
      <c r="DO106" s="228">
        <v>-3.19</v>
      </c>
      <c r="DP106" s="228">
        <v>-3.19</v>
      </c>
      <c r="DQ106" s="228">
        <v>0.64</v>
      </c>
      <c r="DR106" s="228">
        <v>0.68</v>
      </c>
      <c r="DS106" s="228">
        <v>-0.04</v>
      </c>
      <c r="DT106" s="229">
        <v>-5.8799999999999998E-2</v>
      </c>
      <c r="DU106" s="228">
        <v>600</v>
      </c>
      <c r="DV106" s="228">
        <v>500</v>
      </c>
      <c r="DW106" s="228">
        <v>0.28000000000000003</v>
      </c>
      <c r="DX106" s="228">
        <v>0.43</v>
      </c>
      <c r="DY106" s="228">
        <v>-0.15</v>
      </c>
      <c r="DZ106" s="229">
        <v>-0.3488</v>
      </c>
      <c r="EA106" s="229">
        <v>5.8299999999999998E-2</v>
      </c>
      <c r="EB106" s="230">
        <v>1511250</v>
      </c>
      <c r="EC106" s="229">
        <v>-1.2699999999999999E-2</v>
      </c>
      <c r="ED106" s="229">
        <v>5.8299999999999998E-2</v>
      </c>
      <c r="EE106" s="228">
        <v>-8.3000000000000007</v>
      </c>
      <c r="EF106" s="229">
        <v>-1.66E-2</v>
      </c>
      <c r="EG106" s="230">
        <v>925180</v>
      </c>
      <c r="EH106" s="230">
        <v>2189847</v>
      </c>
      <c r="EI106" s="229">
        <v>-0.57750000000000001</v>
      </c>
      <c r="EJ106" s="229">
        <v>0.53039999999999998</v>
      </c>
      <c r="EK106" s="228">
        <v>252.89</v>
      </c>
      <c r="EL106" s="228">
        <v>64.150000000000006</v>
      </c>
      <c r="EM106" s="228">
        <v>172.99</v>
      </c>
      <c r="EN106" s="228">
        <v>50.1</v>
      </c>
      <c r="EO106" s="228">
        <v>490.04</v>
      </c>
      <c r="EP106" s="228">
        <v>802.93</v>
      </c>
      <c r="EQ106" s="228">
        <v>-312.88</v>
      </c>
      <c r="ER106" s="229">
        <v>-0.38969999999999999</v>
      </c>
      <c r="ES106" s="228">
        <v>368.27</v>
      </c>
      <c r="ET106" s="228">
        <v>215.1</v>
      </c>
      <c r="EU106" s="231">
        <v>1439.77</v>
      </c>
      <c r="EV106" s="231">
        <v>58761693</v>
      </c>
      <c r="EW106" s="231">
        <v>2023.14</v>
      </c>
      <c r="EX106" s="231">
        <v>2018.95</v>
      </c>
      <c r="EY106" s="228">
        <v>4.1900000000000004</v>
      </c>
      <c r="EZ106" s="229">
        <v>2.0999999999999999E-3</v>
      </c>
      <c r="FA106" s="229">
        <v>0.67630000000000001</v>
      </c>
      <c r="FB106" s="227" t="s">
        <v>556</v>
      </c>
      <c r="FC106">
        <f t="shared" si="1"/>
        <v>84</v>
      </c>
    </row>
    <row r="107" spans="1:159" ht="17.25" hidden="1" thickBot="1" x14ac:dyDescent="0.3">
      <c r="A107" s="226">
        <v>46086</v>
      </c>
      <c r="B107" s="227" t="s">
        <v>168</v>
      </c>
      <c r="C107" s="227" t="s">
        <v>582</v>
      </c>
      <c r="D107" s="228">
        <v>1175</v>
      </c>
      <c r="E107" s="228">
        <v>25</v>
      </c>
      <c r="F107" s="228">
        <v>400.8</v>
      </c>
      <c r="G107" s="228">
        <v>394.95</v>
      </c>
      <c r="H107" s="228">
        <v>5.85</v>
      </c>
      <c r="I107" s="229">
        <v>1.4800000000000001E-2</v>
      </c>
      <c r="J107" s="228">
        <v>399.8</v>
      </c>
      <c r="K107" s="228">
        <v>393.8</v>
      </c>
      <c r="L107" s="228">
        <v>6</v>
      </c>
      <c r="M107" s="229">
        <v>1.52E-2</v>
      </c>
      <c r="N107" s="228">
        <v>400.8</v>
      </c>
      <c r="O107" s="228">
        <v>394.95</v>
      </c>
      <c r="P107" s="228">
        <v>5.85</v>
      </c>
      <c r="Q107" s="229">
        <v>1.4800000000000001E-2</v>
      </c>
      <c r="R107" s="228">
        <v>403.05</v>
      </c>
      <c r="S107" s="228">
        <v>397.1</v>
      </c>
      <c r="T107" s="228">
        <v>5.95</v>
      </c>
      <c r="U107" s="229">
        <v>1.4999999999999999E-2</v>
      </c>
      <c r="V107" s="228">
        <v>405.25</v>
      </c>
      <c r="W107" s="228">
        <v>395.9</v>
      </c>
      <c r="X107" s="228">
        <v>9.35</v>
      </c>
      <c r="Y107" s="229">
        <v>2.3599999999999999E-2</v>
      </c>
      <c r="Z107" s="228">
        <v>1</v>
      </c>
      <c r="AA107" s="228">
        <v>1.1499999999999999</v>
      </c>
      <c r="AB107" s="228">
        <v>-0.15</v>
      </c>
      <c r="AC107" s="229">
        <v>2.5000000000000001E-3</v>
      </c>
      <c r="AD107" s="228">
        <v>1</v>
      </c>
      <c r="AE107" s="228">
        <v>1.1499999999999999</v>
      </c>
      <c r="AF107" s="228">
        <v>-0.15</v>
      </c>
      <c r="AG107" s="229">
        <v>2.5000000000000001E-3</v>
      </c>
      <c r="AH107" s="228">
        <v>3.25</v>
      </c>
      <c r="AI107" s="228">
        <v>3.3</v>
      </c>
      <c r="AJ107" s="228">
        <v>-0.05</v>
      </c>
      <c r="AK107" s="229">
        <v>8.0999999999999996E-3</v>
      </c>
      <c r="AL107" s="228">
        <v>5.45</v>
      </c>
      <c r="AM107" s="228">
        <v>2.1</v>
      </c>
      <c r="AN107" s="228">
        <v>3.35</v>
      </c>
      <c r="AO107" s="229">
        <v>1.3599999999999999E-2</v>
      </c>
      <c r="AP107" s="228">
        <v>397.01</v>
      </c>
      <c r="AQ107" s="228">
        <v>399.48</v>
      </c>
      <c r="AR107" s="228">
        <v>0</v>
      </c>
      <c r="AS107" s="228">
        <v>154</v>
      </c>
      <c r="AT107" s="228">
        <v>135</v>
      </c>
      <c r="AU107" s="228">
        <v>19</v>
      </c>
      <c r="AV107" s="229">
        <v>0.1384</v>
      </c>
      <c r="AW107" s="228">
        <v>148</v>
      </c>
      <c r="AX107" s="228">
        <v>131</v>
      </c>
      <c r="AY107" s="228">
        <v>17</v>
      </c>
      <c r="AZ107" s="229">
        <v>0.12859999999999999</v>
      </c>
      <c r="BA107" s="228">
        <v>5</v>
      </c>
      <c r="BB107" s="228">
        <v>4</v>
      </c>
      <c r="BC107" s="228">
        <v>2</v>
      </c>
      <c r="BD107" s="229">
        <v>0.46150000000000002</v>
      </c>
      <c r="BE107" s="228">
        <v>1</v>
      </c>
      <c r="BF107" s="228">
        <v>1</v>
      </c>
      <c r="BG107" s="228">
        <v>0</v>
      </c>
      <c r="BH107" s="229">
        <v>0.28570000000000001</v>
      </c>
      <c r="BI107" s="228">
        <v>281</v>
      </c>
      <c r="BJ107" s="228">
        <v>313</v>
      </c>
      <c r="BK107" s="228">
        <v>-32</v>
      </c>
      <c r="BL107" s="229">
        <v>-0.1018</v>
      </c>
      <c r="BM107" s="228">
        <v>135</v>
      </c>
      <c r="BN107" s="228">
        <v>321</v>
      </c>
      <c r="BO107" s="228">
        <v>-186</v>
      </c>
      <c r="BP107" s="229">
        <v>-0.57930000000000004</v>
      </c>
      <c r="BQ107" s="228">
        <v>570</v>
      </c>
      <c r="BR107" s="228">
        <v>770</v>
      </c>
      <c r="BS107" s="228">
        <v>-199</v>
      </c>
      <c r="BT107" s="229">
        <v>-0.25900000000000001</v>
      </c>
      <c r="BU107" s="230">
        <v>2872170</v>
      </c>
      <c r="BV107" s="230">
        <v>3453427</v>
      </c>
      <c r="BW107" s="230">
        <v>-581257</v>
      </c>
      <c r="BX107" s="229">
        <v>-0.16830000000000001</v>
      </c>
      <c r="BY107" s="230">
        <v>1022</v>
      </c>
      <c r="BZ107" s="230">
        <v>1015</v>
      </c>
      <c r="CA107" s="228">
        <v>7</v>
      </c>
      <c r="CB107" s="229">
        <v>6.7999999999999996E-3</v>
      </c>
      <c r="CC107" s="228">
        <v>999</v>
      </c>
      <c r="CD107" s="228">
        <v>992</v>
      </c>
      <c r="CE107" s="228">
        <v>6</v>
      </c>
      <c r="CF107" s="229">
        <v>6.4999999999999997E-3</v>
      </c>
      <c r="CG107" s="228">
        <v>21</v>
      </c>
      <c r="CH107" s="228">
        <v>21</v>
      </c>
      <c r="CI107" s="228">
        <v>0</v>
      </c>
      <c r="CJ107" s="229">
        <v>8.8999999999999999E-3</v>
      </c>
      <c r="CK107" s="228">
        <v>2</v>
      </c>
      <c r="CL107" s="228">
        <v>1</v>
      </c>
      <c r="CM107" s="228">
        <v>0</v>
      </c>
      <c r="CN107" s="229">
        <v>0.19350000000000001</v>
      </c>
      <c r="CO107" s="228">
        <v>291</v>
      </c>
      <c r="CP107" s="228">
        <v>280</v>
      </c>
      <c r="CQ107" s="228">
        <v>11</v>
      </c>
      <c r="CR107" s="229">
        <v>3.85E-2</v>
      </c>
      <c r="CS107" s="228">
        <v>204</v>
      </c>
      <c r="CT107" s="228">
        <v>205</v>
      </c>
      <c r="CU107" s="228">
        <v>-1</v>
      </c>
      <c r="CV107" s="229">
        <v>-6.8999999999999999E-3</v>
      </c>
      <c r="CW107" s="230">
        <v>1517</v>
      </c>
      <c r="CX107" s="230">
        <v>1500</v>
      </c>
      <c r="CY107" s="228">
        <v>16</v>
      </c>
      <c r="CZ107" s="229">
        <v>1.0800000000000001E-2</v>
      </c>
      <c r="DA107" s="228">
        <v>36.17</v>
      </c>
      <c r="DB107" s="228">
        <v>39.81</v>
      </c>
      <c r="DC107" s="228">
        <v>-3.64</v>
      </c>
      <c r="DD107" s="228">
        <v>-3.64</v>
      </c>
      <c r="DE107" s="228">
        <v>51.82</v>
      </c>
      <c r="DF107" s="228">
        <v>51.91</v>
      </c>
      <c r="DG107" s="228">
        <v>-15.65</v>
      </c>
      <c r="DH107" s="228">
        <v>-0.09</v>
      </c>
      <c r="DI107" s="228">
        <v>35.619999999999997</v>
      </c>
      <c r="DJ107" s="228">
        <v>38.369999999999997</v>
      </c>
      <c r="DK107" s="228">
        <v>-2.75</v>
      </c>
      <c r="DL107" s="228">
        <v>-2.75</v>
      </c>
      <c r="DM107" s="228">
        <v>37.299999999999997</v>
      </c>
      <c r="DN107" s="228">
        <v>41.22</v>
      </c>
      <c r="DO107" s="228">
        <v>-3.92</v>
      </c>
      <c r="DP107" s="228">
        <v>-3.92</v>
      </c>
      <c r="DQ107" s="228">
        <v>0.7</v>
      </c>
      <c r="DR107" s="228">
        <v>0.73</v>
      </c>
      <c r="DS107" s="228">
        <v>-0.03</v>
      </c>
      <c r="DT107" s="229">
        <v>-4.1099999999999998E-2</v>
      </c>
      <c r="DU107" s="228">
        <v>450</v>
      </c>
      <c r="DV107" s="228">
        <v>400</v>
      </c>
      <c r="DW107" s="228">
        <v>0.48</v>
      </c>
      <c r="DX107" s="228">
        <v>1.03</v>
      </c>
      <c r="DY107" s="228">
        <v>-0.55000000000000004</v>
      </c>
      <c r="DZ107" s="229">
        <v>-0.53400000000000003</v>
      </c>
      <c r="EA107" s="229">
        <v>2.2499999999999999E-2</v>
      </c>
      <c r="EB107" s="230">
        <v>562825</v>
      </c>
      <c r="EC107" s="229">
        <v>5.5999999999999999E-3</v>
      </c>
      <c r="ED107" s="229">
        <v>2.2499999999999999E-2</v>
      </c>
      <c r="EE107" s="228">
        <v>2.4700000000000002</v>
      </c>
      <c r="EF107" s="229">
        <v>6.1999999999999998E-3</v>
      </c>
      <c r="EG107" s="230">
        <v>794581</v>
      </c>
      <c r="EH107" s="230">
        <v>875226</v>
      </c>
      <c r="EI107" s="229">
        <v>-9.2100000000000001E-2</v>
      </c>
      <c r="EJ107" s="229">
        <v>0.27660000000000001</v>
      </c>
      <c r="EK107" s="228">
        <v>297.42</v>
      </c>
      <c r="EL107" s="228">
        <v>131.19</v>
      </c>
      <c r="EM107" s="228">
        <v>152.4</v>
      </c>
      <c r="EN107" s="228">
        <v>38.1</v>
      </c>
      <c r="EO107" s="228">
        <v>581</v>
      </c>
      <c r="EP107" s="228">
        <v>771.57</v>
      </c>
      <c r="EQ107" s="228">
        <v>-190.57</v>
      </c>
      <c r="ER107" s="229">
        <v>-0.247</v>
      </c>
      <c r="ES107" s="228">
        <v>311.94</v>
      </c>
      <c r="ET107" s="228">
        <v>198.4</v>
      </c>
      <c r="EU107" s="231">
        <v>1021.98</v>
      </c>
      <c r="EV107" s="231">
        <v>57654984</v>
      </c>
      <c r="EW107" s="231">
        <v>1532.33</v>
      </c>
      <c r="EX107" s="231">
        <v>1500.23</v>
      </c>
      <c r="EY107" s="228">
        <v>32.1</v>
      </c>
      <c r="EZ107" s="229">
        <v>2.1399999999999999E-2</v>
      </c>
      <c r="FA107" s="229">
        <v>0.65629999999999999</v>
      </c>
      <c r="FB107" s="227" t="s">
        <v>555</v>
      </c>
      <c r="FC107">
        <f t="shared" si="1"/>
        <v>23</v>
      </c>
    </row>
    <row r="108" spans="1:159" ht="17.25" hidden="1" thickBot="1" x14ac:dyDescent="0.3">
      <c r="A108" s="226">
        <v>46086</v>
      </c>
      <c r="B108" s="227" t="s">
        <v>184</v>
      </c>
      <c r="C108" s="227" t="s">
        <v>675</v>
      </c>
      <c r="D108" s="228">
        <v>100</v>
      </c>
      <c r="E108" s="228">
        <v>25</v>
      </c>
      <c r="F108" s="231">
        <v>3826.7</v>
      </c>
      <c r="G108" s="231">
        <v>3716.9</v>
      </c>
      <c r="H108" s="228">
        <v>109.8</v>
      </c>
      <c r="I108" s="229">
        <v>2.9499999999999998E-2</v>
      </c>
      <c r="J108" s="231">
        <v>3814.5</v>
      </c>
      <c r="K108" s="231">
        <v>3700.4</v>
      </c>
      <c r="L108" s="228">
        <v>114.1</v>
      </c>
      <c r="M108" s="229">
        <v>3.0800000000000001E-2</v>
      </c>
      <c r="N108" s="231">
        <v>3826.7</v>
      </c>
      <c r="O108" s="231">
        <v>3716.9</v>
      </c>
      <c r="P108" s="228">
        <v>109.8</v>
      </c>
      <c r="Q108" s="229">
        <v>2.9499999999999998E-2</v>
      </c>
      <c r="R108" s="231">
        <v>3812.9</v>
      </c>
      <c r="S108" s="231">
        <v>3720.5</v>
      </c>
      <c r="T108" s="228">
        <v>92.4</v>
      </c>
      <c r="U108" s="229">
        <v>2.4799999999999999E-2</v>
      </c>
      <c r="V108" s="231">
        <v>3839.7</v>
      </c>
      <c r="W108" s="231">
        <v>3736.3</v>
      </c>
      <c r="X108" s="228">
        <v>103.4</v>
      </c>
      <c r="Y108" s="229">
        <v>2.7699999999999999E-2</v>
      </c>
      <c r="Z108" s="228">
        <v>12.2</v>
      </c>
      <c r="AA108" s="228">
        <v>16.5</v>
      </c>
      <c r="AB108" s="228">
        <v>-4.3</v>
      </c>
      <c r="AC108" s="229">
        <v>3.2000000000000002E-3</v>
      </c>
      <c r="AD108" s="228">
        <v>12.2</v>
      </c>
      <c r="AE108" s="228">
        <v>16.5</v>
      </c>
      <c r="AF108" s="228">
        <v>-4.3</v>
      </c>
      <c r="AG108" s="229">
        <v>3.2000000000000002E-3</v>
      </c>
      <c r="AH108" s="228">
        <v>-1.6</v>
      </c>
      <c r="AI108" s="228">
        <v>20.100000000000001</v>
      </c>
      <c r="AJ108" s="228">
        <v>-21.7</v>
      </c>
      <c r="AK108" s="229">
        <v>-4.0000000000000002E-4</v>
      </c>
      <c r="AL108" s="228">
        <v>25.2</v>
      </c>
      <c r="AM108" s="228">
        <v>35.9</v>
      </c>
      <c r="AN108" s="228">
        <v>-10.7</v>
      </c>
      <c r="AO108" s="229">
        <v>6.6E-3</v>
      </c>
      <c r="AP108" s="231">
        <v>3757.23</v>
      </c>
      <c r="AQ108" s="231">
        <v>3747.28</v>
      </c>
      <c r="AR108" s="228">
        <v>0</v>
      </c>
      <c r="AS108" s="228">
        <v>515</v>
      </c>
      <c r="AT108" s="228">
        <v>319</v>
      </c>
      <c r="AU108" s="228">
        <v>196</v>
      </c>
      <c r="AV108" s="229">
        <v>0.61509999999999998</v>
      </c>
      <c r="AW108" s="228">
        <v>488</v>
      </c>
      <c r="AX108" s="228">
        <v>303</v>
      </c>
      <c r="AY108" s="228">
        <v>185</v>
      </c>
      <c r="AZ108" s="229">
        <v>0.60980000000000001</v>
      </c>
      <c r="BA108" s="228">
        <v>24</v>
      </c>
      <c r="BB108" s="228">
        <v>14</v>
      </c>
      <c r="BC108" s="228">
        <v>10</v>
      </c>
      <c r="BD108" s="229">
        <v>0.74729999999999996</v>
      </c>
      <c r="BE108" s="228">
        <v>3</v>
      </c>
      <c r="BF108" s="228">
        <v>2</v>
      </c>
      <c r="BG108" s="228">
        <v>1</v>
      </c>
      <c r="BH108" s="229">
        <v>0.5</v>
      </c>
      <c r="BI108" s="230">
        <v>1022</v>
      </c>
      <c r="BJ108" s="228">
        <v>720</v>
      </c>
      <c r="BK108" s="228">
        <v>301</v>
      </c>
      <c r="BL108" s="229">
        <v>0.41820000000000002</v>
      </c>
      <c r="BM108" s="228">
        <v>601</v>
      </c>
      <c r="BN108" s="228">
        <v>413</v>
      </c>
      <c r="BO108" s="228">
        <v>188</v>
      </c>
      <c r="BP108" s="229">
        <v>0.45590000000000003</v>
      </c>
      <c r="BQ108" s="230">
        <v>2138</v>
      </c>
      <c r="BR108" s="230">
        <v>1453</v>
      </c>
      <c r="BS108" s="228">
        <v>686</v>
      </c>
      <c r="BT108" s="229">
        <v>0.47220000000000001</v>
      </c>
      <c r="BU108" s="230">
        <v>1494063</v>
      </c>
      <c r="BV108" s="230">
        <v>1284431</v>
      </c>
      <c r="BW108" s="230">
        <v>209632</v>
      </c>
      <c r="BX108" s="229">
        <v>0.16320000000000001</v>
      </c>
      <c r="BY108" s="230">
        <v>1438</v>
      </c>
      <c r="BZ108" s="230">
        <v>1389</v>
      </c>
      <c r="CA108" s="228">
        <v>49</v>
      </c>
      <c r="CB108" s="229">
        <v>3.5200000000000002E-2</v>
      </c>
      <c r="CC108" s="230">
        <v>1371</v>
      </c>
      <c r="CD108" s="230">
        <v>1326</v>
      </c>
      <c r="CE108" s="228">
        <v>45</v>
      </c>
      <c r="CF108" s="229">
        <v>3.4099999999999998E-2</v>
      </c>
      <c r="CG108" s="228">
        <v>62</v>
      </c>
      <c r="CH108" s="228">
        <v>59</v>
      </c>
      <c r="CI108" s="228">
        <v>3</v>
      </c>
      <c r="CJ108" s="229">
        <v>5.16E-2</v>
      </c>
      <c r="CK108" s="228">
        <v>5</v>
      </c>
      <c r="CL108" s="228">
        <v>5</v>
      </c>
      <c r="CM108" s="228">
        <v>1</v>
      </c>
      <c r="CN108" s="229">
        <v>0.13930000000000001</v>
      </c>
      <c r="CO108" s="228">
        <v>553</v>
      </c>
      <c r="CP108" s="228">
        <v>494</v>
      </c>
      <c r="CQ108" s="228">
        <v>59</v>
      </c>
      <c r="CR108" s="229">
        <v>0.1188</v>
      </c>
      <c r="CS108" s="228">
        <v>486</v>
      </c>
      <c r="CT108" s="228">
        <v>413</v>
      </c>
      <c r="CU108" s="228">
        <v>74</v>
      </c>
      <c r="CV108" s="229">
        <v>0.1784</v>
      </c>
      <c r="CW108" s="230">
        <v>2477</v>
      </c>
      <c r="CX108" s="230">
        <v>2296</v>
      </c>
      <c r="CY108" s="228">
        <v>181</v>
      </c>
      <c r="CZ108" s="229">
        <v>7.9000000000000001E-2</v>
      </c>
      <c r="DA108" s="228">
        <v>42.41</v>
      </c>
      <c r="DB108" s="228">
        <v>47.22</v>
      </c>
      <c r="DC108" s="228">
        <v>-4.8099999999999996</v>
      </c>
      <c r="DD108" s="228">
        <v>-4.8099999999999996</v>
      </c>
      <c r="DE108" s="228">
        <v>60.4</v>
      </c>
      <c r="DF108" s="228">
        <v>60.41</v>
      </c>
      <c r="DG108" s="228">
        <v>-17.989999999999998</v>
      </c>
      <c r="DH108" s="228">
        <v>-0.01</v>
      </c>
      <c r="DI108" s="228">
        <v>41.31</v>
      </c>
      <c r="DJ108" s="228">
        <v>46.79</v>
      </c>
      <c r="DK108" s="228">
        <v>-5.48</v>
      </c>
      <c r="DL108" s="228">
        <v>-5.48</v>
      </c>
      <c r="DM108" s="228">
        <v>44.28</v>
      </c>
      <c r="DN108" s="228">
        <v>47.97</v>
      </c>
      <c r="DO108" s="228">
        <v>-3.69</v>
      </c>
      <c r="DP108" s="228">
        <v>-3.69</v>
      </c>
      <c r="DQ108" s="228">
        <v>0.88</v>
      </c>
      <c r="DR108" s="228">
        <v>0.84</v>
      </c>
      <c r="DS108" s="228">
        <v>0.04</v>
      </c>
      <c r="DT108" s="229">
        <v>4.7600000000000003E-2</v>
      </c>
      <c r="DU108" s="231">
        <v>4000</v>
      </c>
      <c r="DV108" s="231">
        <v>3500</v>
      </c>
      <c r="DW108" s="228">
        <v>0.59</v>
      </c>
      <c r="DX108" s="228">
        <v>0.56999999999999995</v>
      </c>
      <c r="DY108" s="228">
        <v>0.02</v>
      </c>
      <c r="DZ108" s="229">
        <v>3.5099999999999999E-2</v>
      </c>
      <c r="EA108" s="229">
        <v>4.65E-2</v>
      </c>
      <c r="EB108" s="230">
        <v>165200</v>
      </c>
      <c r="EC108" s="229">
        <v>-3.5999999999999999E-3</v>
      </c>
      <c r="ED108" s="229">
        <v>4.65E-2</v>
      </c>
      <c r="EE108" s="228">
        <v>-9.9499999999999993</v>
      </c>
      <c r="EF108" s="229">
        <v>-2.5999999999999999E-3</v>
      </c>
      <c r="EG108" s="230">
        <v>278891</v>
      </c>
      <c r="EH108" s="230">
        <v>288283</v>
      </c>
      <c r="EI108" s="229">
        <v>-3.2599999999999997E-2</v>
      </c>
      <c r="EJ108" s="229">
        <v>0.1867</v>
      </c>
      <c r="EK108" s="231">
        <v>1075.03</v>
      </c>
      <c r="EL108" s="228">
        <v>580.05999999999995</v>
      </c>
      <c r="EM108" s="228">
        <v>505.95</v>
      </c>
      <c r="EN108" s="228">
        <v>79.760000000000005</v>
      </c>
      <c r="EO108" s="231">
        <v>2161.0500000000002</v>
      </c>
      <c r="EP108" s="231">
        <v>1465.56</v>
      </c>
      <c r="EQ108" s="228">
        <v>695.48</v>
      </c>
      <c r="ER108" s="229">
        <v>0.47449999999999998</v>
      </c>
      <c r="ES108" s="228">
        <v>582.11</v>
      </c>
      <c r="ET108" s="228">
        <v>474.86</v>
      </c>
      <c r="EU108" s="231">
        <v>1437.68</v>
      </c>
      <c r="EV108" s="231">
        <v>4679418</v>
      </c>
      <c r="EW108" s="231">
        <v>2494.65</v>
      </c>
      <c r="EX108" s="231">
        <v>2281.1999999999998</v>
      </c>
      <c r="EY108" s="228">
        <v>213.45</v>
      </c>
      <c r="EZ108" s="229">
        <v>9.3600000000000003E-2</v>
      </c>
      <c r="FA108" s="229">
        <v>1.3834</v>
      </c>
      <c r="FB108" s="227" t="s">
        <v>555</v>
      </c>
      <c r="FC108">
        <f t="shared" si="1"/>
        <v>67</v>
      </c>
    </row>
    <row r="109" spans="1:159" ht="17.25" hidden="1" thickBot="1" x14ac:dyDescent="0.3">
      <c r="A109" s="226">
        <v>46086</v>
      </c>
      <c r="B109" s="227" t="s">
        <v>161</v>
      </c>
      <c r="C109" s="227" t="s">
        <v>610</v>
      </c>
      <c r="D109" s="228">
        <v>175</v>
      </c>
      <c r="E109" s="228">
        <v>25</v>
      </c>
      <c r="F109" s="231">
        <v>4939</v>
      </c>
      <c r="G109" s="231">
        <v>4978.5</v>
      </c>
      <c r="H109" s="228">
        <v>-39.5</v>
      </c>
      <c r="I109" s="229">
        <v>-7.9000000000000008E-3</v>
      </c>
      <c r="J109" s="231">
        <v>4920.5</v>
      </c>
      <c r="K109" s="231">
        <v>4979</v>
      </c>
      <c r="L109" s="228">
        <v>-58.5</v>
      </c>
      <c r="M109" s="229">
        <v>-1.17E-2</v>
      </c>
      <c r="N109" s="231">
        <v>4939</v>
      </c>
      <c r="O109" s="231">
        <v>4978.5</v>
      </c>
      <c r="P109" s="228">
        <v>-39.5</v>
      </c>
      <c r="Q109" s="229">
        <v>-7.9000000000000008E-3</v>
      </c>
      <c r="R109" s="231">
        <v>4900</v>
      </c>
      <c r="S109" s="231">
        <v>4915.5</v>
      </c>
      <c r="T109" s="228">
        <v>-15.5</v>
      </c>
      <c r="U109" s="229">
        <v>-3.2000000000000002E-3</v>
      </c>
      <c r="V109" s="231">
        <v>4826.5</v>
      </c>
      <c r="W109" s="231">
        <v>4900.5</v>
      </c>
      <c r="X109" s="228">
        <v>-74</v>
      </c>
      <c r="Y109" s="229">
        <v>-1.5100000000000001E-2</v>
      </c>
      <c r="Z109" s="228">
        <v>18.5</v>
      </c>
      <c r="AA109" s="228">
        <v>-0.5</v>
      </c>
      <c r="AB109" s="228">
        <v>19</v>
      </c>
      <c r="AC109" s="229">
        <v>3.8E-3</v>
      </c>
      <c r="AD109" s="228">
        <v>18.5</v>
      </c>
      <c r="AE109" s="228">
        <v>-0.5</v>
      </c>
      <c r="AF109" s="228">
        <v>19</v>
      </c>
      <c r="AG109" s="229">
        <v>3.8E-3</v>
      </c>
      <c r="AH109" s="228">
        <v>-20.5</v>
      </c>
      <c r="AI109" s="228">
        <v>-63.5</v>
      </c>
      <c r="AJ109" s="228">
        <v>43</v>
      </c>
      <c r="AK109" s="229">
        <v>-4.1999999999999997E-3</v>
      </c>
      <c r="AL109" s="228">
        <v>-94</v>
      </c>
      <c r="AM109" s="228">
        <v>-78.5</v>
      </c>
      <c r="AN109" s="228">
        <v>-15.5</v>
      </c>
      <c r="AO109" s="229">
        <v>-1.9099999999999999E-2</v>
      </c>
      <c r="AP109" s="231">
        <v>4941.51</v>
      </c>
      <c r="AQ109" s="231">
        <v>4891.93</v>
      </c>
      <c r="AR109" s="228">
        <v>0</v>
      </c>
      <c r="AS109" s="228">
        <v>399</v>
      </c>
      <c r="AT109" s="228">
        <v>421</v>
      </c>
      <c r="AU109" s="228">
        <v>-22</v>
      </c>
      <c r="AV109" s="229">
        <v>-5.2900000000000003E-2</v>
      </c>
      <c r="AW109" s="228">
        <v>371</v>
      </c>
      <c r="AX109" s="228">
        <v>398</v>
      </c>
      <c r="AY109" s="228">
        <v>-27</v>
      </c>
      <c r="AZ109" s="229">
        <v>-6.8199999999999997E-2</v>
      </c>
      <c r="BA109" s="228">
        <v>28</v>
      </c>
      <c r="BB109" s="228">
        <v>22</v>
      </c>
      <c r="BC109" s="228">
        <v>5</v>
      </c>
      <c r="BD109" s="229">
        <v>0.23549999999999999</v>
      </c>
      <c r="BE109" s="228">
        <v>0</v>
      </c>
      <c r="BF109" s="228">
        <v>1</v>
      </c>
      <c r="BG109" s="228">
        <v>0</v>
      </c>
      <c r="BH109" s="229">
        <v>-0.5</v>
      </c>
      <c r="BI109" s="228">
        <v>388</v>
      </c>
      <c r="BJ109" s="228">
        <v>591</v>
      </c>
      <c r="BK109" s="228">
        <v>-203</v>
      </c>
      <c r="BL109" s="229">
        <v>-0.34310000000000002</v>
      </c>
      <c r="BM109" s="228">
        <v>331</v>
      </c>
      <c r="BN109" s="228">
        <v>473</v>
      </c>
      <c r="BO109" s="228">
        <v>-142</v>
      </c>
      <c r="BP109" s="229">
        <v>-0.30009999999999998</v>
      </c>
      <c r="BQ109" s="230">
        <v>1118</v>
      </c>
      <c r="BR109" s="230">
        <v>1485</v>
      </c>
      <c r="BS109" s="228">
        <v>-367</v>
      </c>
      <c r="BT109" s="229">
        <v>-0.24709999999999999</v>
      </c>
      <c r="BU109" s="230">
        <v>603644</v>
      </c>
      <c r="BV109" s="230">
        <v>575420</v>
      </c>
      <c r="BW109" s="230">
        <v>28224</v>
      </c>
      <c r="BX109" s="229">
        <v>4.9000000000000002E-2</v>
      </c>
      <c r="BY109" s="228">
        <v>774</v>
      </c>
      <c r="BZ109" s="228">
        <v>836</v>
      </c>
      <c r="CA109" s="228">
        <v>-62</v>
      </c>
      <c r="CB109" s="229">
        <v>-7.4300000000000005E-2</v>
      </c>
      <c r="CC109" s="228">
        <v>706</v>
      </c>
      <c r="CD109" s="228">
        <v>776</v>
      </c>
      <c r="CE109" s="228">
        <v>-70</v>
      </c>
      <c r="CF109" s="229">
        <v>-8.9899999999999994E-2</v>
      </c>
      <c r="CG109" s="228">
        <v>65</v>
      </c>
      <c r="CH109" s="228">
        <v>58</v>
      </c>
      <c r="CI109" s="228">
        <v>7</v>
      </c>
      <c r="CJ109" s="229">
        <v>0.12870000000000001</v>
      </c>
      <c r="CK109" s="228">
        <v>3</v>
      </c>
      <c r="CL109" s="228">
        <v>3</v>
      </c>
      <c r="CM109" s="228">
        <v>0</v>
      </c>
      <c r="CN109" s="229">
        <v>6.4500000000000002E-2</v>
      </c>
      <c r="CO109" s="228">
        <v>302</v>
      </c>
      <c r="CP109" s="228">
        <v>298</v>
      </c>
      <c r="CQ109" s="228">
        <v>4</v>
      </c>
      <c r="CR109" s="229">
        <v>1.2800000000000001E-2</v>
      </c>
      <c r="CS109" s="228">
        <v>239</v>
      </c>
      <c r="CT109" s="228">
        <v>234</v>
      </c>
      <c r="CU109" s="228">
        <v>4</v>
      </c>
      <c r="CV109" s="229">
        <v>1.8800000000000001E-2</v>
      </c>
      <c r="CW109" s="230">
        <v>1315</v>
      </c>
      <c r="CX109" s="230">
        <v>1369</v>
      </c>
      <c r="CY109" s="228">
        <v>-54</v>
      </c>
      <c r="CZ109" s="229">
        <v>-3.9399999999999998E-2</v>
      </c>
      <c r="DA109" s="228">
        <v>33.659999999999997</v>
      </c>
      <c r="DB109" s="228">
        <v>34.54</v>
      </c>
      <c r="DC109" s="228">
        <v>-0.88</v>
      </c>
      <c r="DD109" s="228">
        <v>-0.88</v>
      </c>
      <c r="DE109" s="228">
        <v>44.82</v>
      </c>
      <c r="DF109" s="228">
        <v>44.92</v>
      </c>
      <c r="DG109" s="228">
        <v>-11.16</v>
      </c>
      <c r="DH109" s="228">
        <v>-0.1</v>
      </c>
      <c r="DI109" s="228">
        <v>32.950000000000003</v>
      </c>
      <c r="DJ109" s="228">
        <v>34.119999999999997</v>
      </c>
      <c r="DK109" s="228">
        <v>-1.17</v>
      </c>
      <c r="DL109" s="228">
        <v>-1.17</v>
      </c>
      <c r="DM109" s="228">
        <v>34.49</v>
      </c>
      <c r="DN109" s="228">
        <v>35.049999999999997</v>
      </c>
      <c r="DO109" s="228">
        <v>-0.56000000000000005</v>
      </c>
      <c r="DP109" s="228">
        <v>-0.56000000000000005</v>
      </c>
      <c r="DQ109" s="228">
        <v>0.79</v>
      </c>
      <c r="DR109" s="228">
        <v>0.79</v>
      </c>
      <c r="DS109" s="228">
        <v>0</v>
      </c>
      <c r="DT109" s="229">
        <v>0</v>
      </c>
      <c r="DU109" s="231">
        <v>5000</v>
      </c>
      <c r="DV109" s="231">
        <v>4500</v>
      </c>
      <c r="DW109" s="228">
        <v>0.85</v>
      </c>
      <c r="DX109" s="228">
        <v>0.8</v>
      </c>
      <c r="DY109" s="228">
        <v>0.05</v>
      </c>
      <c r="DZ109" s="229">
        <v>6.25E-2</v>
      </c>
      <c r="EA109" s="229">
        <v>8.7800000000000003E-2</v>
      </c>
      <c r="EB109" s="230">
        <v>122325</v>
      </c>
      <c r="EC109" s="229">
        <v>-7.9000000000000008E-3</v>
      </c>
      <c r="ED109" s="229">
        <v>8.7800000000000003E-2</v>
      </c>
      <c r="EE109" s="228">
        <v>-49.58</v>
      </c>
      <c r="EF109" s="229">
        <v>-0.01</v>
      </c>
      <c r="EG109" s="230">
        <v>376633</v>
      </c>
      <c r="EH109" s="230">
        <v>250398</v>
      </c>
      <c r="EI109" s="229">
        <v>0.50409999999999999</v>
      </c>
      <c r="EJ109" s="229">
        <v>0.62390000000000001</v>
      </c>
      <c r="EK109" s="228">
        <v>415.84</v>
      </c>
      <c r="EL109" s="228">
        <v>319.77999999999997</v>
      </c>
      <c r="EM109" s="228">
        <v>398.89</v>
      </c>
      <c r="EN109" s="228">
        <v>47.84</v>
      </c>
      <c r="EO109" s="231">
        <v>1134.5</v>
      </c>
      <c r="EP109" s="231">
        <v>1550.55</v>
      </c>
      <c r="EQ109" s="228">
        <v>-416.05</v>
      </c>
      <c r="ER109" s="229">
        <v>-0.26829999999999998</v>
      </c>
      <c r="ES109" s="228">
        <v>311.37</v>
      </c>
      <c r="ET109" s="228">
        <v>230.45</v>
      </c>
      <c r="EU109" s="228">
        <v>773.77</v>
      </c>
      <c r="EV109" s="231">
        <v>8553821</v>
      </c>
      <c r="EW109" s="231">
        <v>1315.59</v>
      </c>
      <c r="EX109" s="231">
        <v>1377.99</v>
      </c>
      <c r="EY109" s="228">
        <v>-62.4</v>
      </c>
      <c r="EZ109" s="229">
        <v>-4.53E-2</v>
      </c>
      <c r="FA109" s="229">
        <v>0.31130000000000002</v>
      </c>
      <c r="FB109" s="227" t="s">
        <v>568</v>
      </c>
      <c r="FC109">
        <f t="shared" si="1"/>
        <v>68</v>
      </c>
    </row>
    <row r="110" spans="1:159" ht="17.25" hidden="1" thickBot="1" x14ac:dyDescent="0.3">
      <c r="A110" s="226">
        <v>46086</v>
      </c>
      <c r="B110" s="227" t="s">
        <v>175</v>
      </c>
      <c r="C110" s="227" t="s">
        <v>682</v>
      </c>
      <c r="D110" s="228">
        <v>500</v>
      </c>
      <c r="E110" s="228">
        <v>25</v>
      </c>
      <c r="F110" s="228">
        <v>926.45</v>
      </c>
      <c r="G110" s="228">
        <v>911</v>
      </c>
      <c r="H110" s="228">
        <v>15.45</v>
      </c>
      <c r="I110" s="229">
        <v>1.7000000000000001E-2</v>
      </c>
      <c r="J110" s="228">
        <v>927.9</v>
      </c>
      <c r="K110" s="228">
        <v>909.3</v>
      </c>
      <c r="L110" s="228">
        <v>18.600000000000001</v>
      </c>
      <c r="M110" s="229">
        <v>2.0500000000000001E-2</v>
      </c>
      <c r="N110" s="228">
        <v>926.45</v>
      </c>
      <c r="O110" s="228">
        <v>911</v>
      </c>
      <c r="P110" s="228">
        <v>15.45</v>
      </c>
      <c r="Q110" s="229">
        <v>1.7000000000000001E-2</v>
      </c>
      <c r="R110" s="228">
        <v>922.85</v>
      </c>
      <c r="S110" s="228">
        <v>907</v>
      </c>
      <c r="T110" s="228">
        <v>15.85</v>
      </c>
      <c r="U110" s="229">
        <v>1.7500000000000002E-2</v>
      </c>
      <c r="V110" s="228">
        <v>921.35</v>
      </c>
      <c r="W110" s="228">
        <v>900</v>
      </c>
      <c r="X110" s="228">
        <v>21.35</v>
      </c>
      <c r="Y110" s="229">
        <v>2.3699999999999999E-2</v>
      </c>
      <c r="Z110" s="228">
        <v>-1.45</v>
      </c>
      <c r="AA110" s="228">
        <v>1.7</v>
      </c>
      <c r="AB110" s="228">
        <v>-3.15</v>
      </c>
      <c r="AC110" s="229">
        <v>-1.6000000000000001E-3</v>
      </c>
      <c r="AD110" s="228">
        <v>-1.45</v>
      </c>
      <c r="AE110" s="228">
        <v>1.7</v>
      </c>
      <c r="AF110" s="228">
        <v>-3.15</v>
      </c>
      <c r="AG110" s="229">
        <v>-1.6000000000000001E-3</v>
      </c>
      <c r="AH110" s="228">
        <v>-5.05</v>
      </c>
      <c r="AI110" s="228">
        <v>-2.2999999999999998</v>
      </c>
      <c r="AJ110" s="228">
        <v>-2.75</v>
      </c>
      <c r="AK110" s="229">
        <v>-5.4000000000000003E-3</v>
      </c>
      <c r="AL110" s="228">
        <v>-6.55</v>
      </c>
      <c r="AM110" s="228">
        <v>-9.3000000000000007</v>
      </c>
      <c r="AN110" s="228">
        <v>2.75</v>
      </c>
      <c r="AO110" s="229">
        <v>-7.1000000000000004E-3</v>
      </c>
      <c r="AP110" s="228">
        <v>923.05</v>
      </c>
      <c r="AQ110" s="228">
        <v>918.42</v>
      </c>
      <c r="AR110" s="228">
        <v>0</v>
      </c>
      <c r="AS110" s="228">
        <v>79</v>
      </c>
      <c r="AT110" s="228">
        <v>70</v>
      </c>
      <c r="AU110" s="228">
        <v>9</v>
      </c>
      <c r="AV110" s="229">
        <v>0.12989999999999999</v>
      </c>
      <c r="AW110" s="228">
        <v>75</v>
      </c>
      <c r="AX110" s="228">
        <v>66</v>
      </c>
      <c r="AY110" s="228">
        <v>10</v>
      </c>
      <c r="AZ110" s="229">
        <v>0.14749999999999999</v>
      </c>
      <c r="BA110" s="228">
        <v>3</v>
      </c>
      <c r="BB110" s="228">
        <v>4</v>
      </c>
      <c r="BC110" s="228">
        <v>-1</v>
      </c>
      <c r="BD110" s="229">
        <v>-0.1724</v>
      </c>
      <c r="BE110" s="228">
        <v>0</v>
      </c>
      <c r="BF110" s="228">
        <v>0</v>
      </c>
      <c r="BG110" s="228">
        <v>0</v>
      </c>
      <c r="BH110" s="229">
        <v>0.4</v>
      </c>
      <c r="BI110" s="228">
        <v>132</v>
      </c>
      <c r="BJ110" s="228">
        <v>64</v>
      </c>
      <c r="BK110" s="228">
        <v>68</v>
      </c>
      <c r="BL110" s="229">
        <v>1.0518000000000001</v>
      </c>
      <c r="BM110" s="228">
        <v>67</v>
      </c>
      <c r="BN110" s="228">
        <v>41</v>
      </c>
      <c r="BO110" s="228">
        <v>26</v>
      </c>
      <c r="BP110" s="229">
        <v>0.64670000000000005</v>
      </c>
      <c r="BQ110" s="228">
        <v>278</v>
      </c>
      <c r="BR110" s="228">
        <v>175</v>
      </c>
      <c r="BS110" s="228">
        <v>103</v>
      </c>
      <c r="BT110" s="229">
        <v>0.58940000000000003</v>
      </c>
      <c r="BU110" s="230">
        <v>538704</v>
      </c>
      <c r="BV110" s="230">
        <v>1134229</v>
      </c>
      <c r="BW110" s="230">
        <v>-595525</v>
      </c>
      <c r="BX110" s="229">
        <v>-0.52500000000000002</v>
      </c>
      <c r="BY110" s="228">
        <v>242</v>
      </c>
      <c r="BZ110" s="228">
        <v>241</v>
      </c>
      <c r="CA110" s="228">
        <v>1</v>
      </c>
      <c r="CB110" s="229">
        <v>4.4000000000000003E-3</v>
      </c>
      <c r="CC110" s="228">
        <v>225</v>
      </c>
      <c r="CD110" s="228">
        <v>224</v>
      </c>
      <c r="CE110" s="228">
        <v>1</v>
      </c>
      <c r="CF110" s="229">
        <v>4.5999999999999999E-3</v>
      </c>
      <c r="CG110" s="228">
        <v>16</v>
      </c>
      <c r="CH110" s="228">
        <v>16</v>
      </c>
      <c r="CI110" s="228">
        <v>0</v>
      </c>
      <c r="CJ110" s="229">
        <v>-1.7299999999999999E-2</v>
      </c>
      <c r="CK110" s="228">
        <v>1</v>
      </c>
      <c r="CL110" s="228">
        <v>1</v>
      </c>
      <c r="CM110" s="228">
        <v>0</v>
      </c>
      <c r="CN110" s="229">
        <v>0.33329999999999999</v>
      </c>
      <c r="CO110" s="228">
        <v>159</v>
      </c>
      <c r="CP110" s="228">
        <v>148</v>
      </c>
      <c r="CQ110" s="228">
        <v>11</v>
      </c>
      <c r="CR110" s="229">
        <v>7.7700000000000005E-2</v>
      </c>
      <c r="CS110" s="228">
        <v>102</v>
      </c>
      <c r="CT110" s="228">
        <v>98</v>
      </c>
      <c r="CU110" s="228">
        <v>4</v>
      </c>
      <c r="CV110" s="229">
        <v>4.5100000000000001E-2</v>
      </c>
      <c r="CW110" s="228">
        <v>503</v>
      </c>
      <c r="CX110" s="228">
        <v>486</v>
      </c>
      <c r="CY110" s="228">
        <v>17</v>
      </c>
      <c r="CZ110" s="229">
        <v>3.49E-2</v>
      </c>
      <c r="DA110" s="228">
        <v>36.39</v>
      </c>
      <c r="DB110" s="228">
        <v>38.51</v>
      </c>
      <c r="DC110" s="228">
        <v>-2.12</v>
      </c>
      <c r="DD110" s="228">
        <v>-2.12</v>
      </c>
      <c r="DE110" s="228">
        <v>49.88</v>
      </c>
      <c r="DF110" s="228">
        <v>49.95</v>
      </c>
      <c r="DG110" s="228">
        <v>-13.49</v>
      </c>
      <c r="DH110" s="228">
        <v>-7.0000000000000007E-2</v>
      </c>
      <c r="DI110" s="228">
        <v>36.06</v>
      </c>
      <c r="DJ110" s="228">
        <v>37.53</v>
      </c>
      <c r="DK110" s="228">
        <v>-1.47</v>
      </c>
      <c r="DL110" s="228">
        <v>-1.47</v>
      </c>
      <c r="DM110" s="228">
        <v>37.03</v>
      </c>
      <c r="DN110" s="228">
        <v>40.049999999999997</v>
      </c>
      <c r="DO110" s="228">
        <v>-3.02</v>
      </c>
      <c r="DP110" s="228">
        <v>-3.02</v>
      </c>
      <c r="DQ110" s="228">
        <v>0.64</v>
      </c>
      <c r="DR110" s="228">
        <v>0.66</v>
      </c>
      <c r="DS110" s="228">
        <v>-0.02</v>
      </c>
      <c r="DT110" s="229">
        <v>-3.0300000000000001E-2</v>
      </c>
      <c r="DU110" s="231">
        <v>1000</v>
      </c>
      <c r="DV110" s="231">
        <v>1000</v>
      </c>
      <c r="DW110" s="228">
        <v>0.51</v>
      </c>
      <c r="DX110" s="228">
        <v>0.64</v>
      </c>
      <c r="DY110" s="228">
        <v>-0.13</v>
      </c>
      <c r="DZ110" s="229">
        <v>-0.2031</v>
      </c>
      <c r="EA110" s="229">
        <v>7.0400000000000004E-2</v>
      </c>
      <c r="EB110" s="230">
        <v>183500</v>
      </c>
      <c r="EC110" s="229">
        <v>-3.8999999999999998E-3</v>
      </c>
      <c r="ED110" s="229">
        <v>7.0400000000000004E-2</v>
      </c>
      <c r="EE110" s="228">
        <v>-4.63</v>
      </c>
      <c r="EF110" s="229">
        <v>-5.0000000000000001E-3</v>
      </c>
      <c r="EG110" s="230">
        <v>238797</v>
      </c>
      <c r="EH110" s="230">
        <v>524457</v>
      </c>
      <c r="EI110" s="229">
        <v>-0.54469999999999996</v>
      </c>
      <c r="EJ110" s="229">
        <v>0.44330000000000003</v>
      </c>
      <c r="EK110" s="228">
        <v>140.87</v>
      </c>
      <c r="EL110" s="228">
        <v>66.42</v>
      </c>
      <c r="EM110" s="228">
        <v>78.67</v>
      </c>
      <c r="EN110" s="228">
        <v>18.36</v>
      </c>
      <c r="EO110" s="228">
        <v>285.95</v>
      </c>
      <c r="EP110" s="228">
        <v>177.49</v>
      </c>
      <c r="EQ110" s="228">
        <v>108.46</v>
      </c>
      <c r="ER110" s="229">
        <v>0.61109999999999998</v>
      </c>
      <c r="ES110" s="228">
        <v>175.47</v>
      </c>
      <c r="ET110" s="228">
        <v>103.53</v>
      </c>
      <c r="EU110" s="228">
        <v>241.97</v>
      </c>
      <c r="EV110" s="231">
        <v>19924232</v>
      </c>
      <c r="EW110" s="228">
        <v>520.97</v>
      </c>
      <c r="EX110" s="228">
        <v>499.83</v>
      </c>
      <c r="EY110" s="228">
        <v>21.14</v>
      </c>
      <c r="EZ110" s="229">
        <v>4.2299999999999997E-2</v>
      </c>
      <c r="FA110" s="229">
        <v>0.27260000000000001</v>
      </c>
      <c r="FB110" s="227" t="s">
        <v>555</v>
      </c>
      <c r="FC110">
        <f t="shared" si="1"/>
        <v>17</v>
      </c>
    </row>
    <row r="111" spans="1:159" ht="17.25" hidden="1" thickBot="1" x14ac:dyDescent="0.3">
      <c r="A111" s="226">
        <v>46086</v>
      </c>
      <c r="B111" s="227" t="s">
        <v>172</v>
      </c>
      <c r="C111" s="227" t="s">
        <v>246</v>
      </c>
      <c r="D111" s="228">
        <v>2000</v>
      </c>
      <c r="E111" s="228">
        <v>25</v>
      </c>
      <c r="F111" s="228">
        <v>409.15</v>
      </c>
      <c r="G111" s="228">
        <v>405.3</v>
      </c>
      <c r="H111" s="228">
        <v>3.85</v>
      </c>
      <c r="I111" s="229">
        <v>9.4999999999999998E-3</v>
      </c>
      <c r="J111" s="228">
        <v>407.3</v>
      </c>
      <c r="K111" s="228">
        <v>403.35</v>
      </c>
      <c r="L111" s="228">
        <v>3.95</v>
      </c>
      <c r="M111" s="229">
        <v>9.7999999999999997E-3</v>
      </c>
      <c r="N111" s="228">
        <v>409.15</v>
      </c>
      <c r="O111" s="228">
        <v>405.3</v>
      </c>
      <c r="P111" s="228">
        <v>3.85</v>
      </c>
      <c r="Q111" s="229">
        <v>9.4999999999999998E-3</v>
      </c>
      <c r="R111" s="228">
        <v>412.1</v>
      </c>
      <c r="S111" s="228">
        <v>407.85</v>
      </c>
      <c r="T111" s="228">
        <v>4.25</v>
      </c>
      <c r="U111" s="229">
        <v>1.04E-2</v>
      </c>
      <c r="V111" s="228">
        <v>414.2</v>
      </c>
      <c r="W111" s="228">
        <v>409.95</v>
      </c>
      <c r="X111" s="228">
        <v>4.25</v>
      </c>
      <c r="Y111" s="229">
        <v>1.04E-2</v>
      </c>
      <c r="Z111" s="228">
        <v>1.85</v>
      </c>
      <c r="AA111" s="228">
        <v>1.95</v>
      </c>
      <c r="AB111" s="228">
        <v>-0.1</v>
      </c>
      <c r="AC111" s="229">
        <v>4.4999999999999997E-3</v>
      </c>
      <c r="AD111" s="228">
        <v>1.85</v>
      </c>
      <c r="AE111" s="228">
        <v>1.95</v>
      </c>
      <c r="AF111" s="228">
        <v>-0.1</v>
      </c>
      <c r="AG111" s="229">
        <v>4.4999999999999997E-3</v>
      </c>
      <c r="AH111" s="228">
        <v>4.8</v>
      </c>
      <c r="AI111" s="228">
        <v>4.5</v>
      </c>
      <c r="AJ111" s="228">
        <v>0.3</v>
      </c>
      <c r="AK111" s="229">
        <v>1.18E-2</v>
      </c>
      <c r="AL111" s="228">
        <v>6.9</v>
      </c>
      <c r="AM111" s="228">
        <v>6.6</v>
      </c>
      <c r="AN111" s="228">
        <v>0.3</v>
      </c>
      <c r="AO111" s="229">
        <v>1.6899999999999998E-2</v>
      </c>
      <c r="AP111" s="228">
        <v>408</v>
      </c>
      <c r="AQ111" s="228">
        <v>411.71</v>
      </c>
      <c r="AR111" s="228">
        <v>0</v>
      </c>
      <c r="AS111" s="228">
        <v>926</v>
      </c>
      <c r="AT111" s="230">
        <v>1131</v>
      </c>
      <c r="AU111" s="228">
        <v>-206</v>
      </c>
      <c r="AV111" s="229">
        <v>-0.1817</v>
      </c>
      <c r="AW111" s="228">
        <v>886</v>
      </c>
      <c r="AX111" s="230">
        <v>1078</v>
      </c>
      <c r="AY111" s="228">
        <v>-192</v>
      </c>
      <c r="AZ111" s="229">
        <v>-0.17780000000000001</v>
      </c>
      <c r="BA111" s="228">
        <v>38</v>
      </c>
      <c r="BB111" s="228">
        <v>46</v>
      </c>
      <c r="BC111" s="228">
        <v>-9</v>
      </c>
      <c r="BD111" s="229">
        <v>-0.18729999999999999</v>
      </c>
      <c r="BE111" s="228">
        <v>2</v>
      </c>
      <c r="BF111" s="228">
        <v>7</v>
      </c>
      <c r="BG111" s="228">
        <v>-5</v>
      </c>
      <c r="BH111" s="229">
        <v>-0.71909999999999996</v>
      </c>
      <c r="BI111" s="228">
        <v>912</v>
      </c>
      <c r="BJ111" s="230">
        <v>1329</v>
      </c>
      <c r="BK111" s="228">
        <v>-417</v>
      </c>
      <c r="BL111" s="229">
        <v>-0.31369999999999998</v>
      </c>
      <c r="BM111" s="228">
        <v>587</v>
      </c>
      <c r="BN111" s="228">
        <v>814</v>
      </c>
      <c r="BO111" s="228">
        <v>-227</v>
      </c>
      <c r="BP111" s="229">
        <v>-0.2787</v>
      </c>
      <c r="BQ111" s="230">
        <v>2426</v>
      </c>
      <c r="BR111" s="230">
        <v>3275</v>
      </c>
      <c r="BS111" s="228">
        <v>-850</v>
      </c>
      <c r="BT111" s="229">
        <v>-0.25940000000000002</v>
      </c>
      <c r="BU111" s="230">
        <v>15128662</v>
      </c>
      <c r="BV111" s="230">
        <v>18925294</v>
      </c>
      <c r="BW111" s="230">
        <v>-3796632</v>
      </c>
      <c r="BX111" s="229">
        <v>-0.2006</v>
      </c>
      <c r="BY111" s="230">
        <v>8301</v>
      </c>
      <c r="BZ111" s="230">
        <v>8162</v>
      </c>
      <c r="CA111" s="228">
        <v>139</v>
      </c>
      <c r="CB111" s="229">
        <v>1.7000000000000001E-2</v>
      </c>
      <c r="CC111" s="230">
        <v>8180</v>
      </c>
      <c r="CD111" s="230">
        <v>8061</v>
      </c>
      <c r="CE111" s="228">
        <v>119</v>
      </c>
      <c r="CF111" s="229">
        <v>1.4800000000000001E-2</v>
      </c>
      <c r="CG111" s="228">
        <v>108</v>
      </c>
      <c r="CH111" s="228">
        <v>88</v>
      </c>
      <c r="CI111" s="228">
        <v>19</v>
      </c>
      <c r="CJ111" s="229">
        <v>0.2185</v>
      </c>
      <c r="CK111" s="228">
        <v>13</v>
      </c>
      <c r="CL111" s="228">
        <v>12</v>
      </c>
      <c r="CM111" s="228">
        <v>1</v>
      </c>
      <c r="CN111" s="229">
        <v>4.6699999999999998E-2</v>
      </c>
      <c r="CO111" s="230">
        <v>1242</v>
      </c>
      <c r="CP111" s="230">
        <v>1191</v>
      </c>
      <c r="CQ111" s="228">
        <v>51</v>
      </c>
      <c r="CR111" s="229">
        <v>4.2900000000000001E-2</v>
      </c>
      <c r="CS111" s="228">
        <v>808</v>
      </c>
      <c r="CT111" s="228">
        <v>831</v>
      </c>
      <c r="CU111" s="228">
        <v>-23</v>
      </c>
      <c r="CV111" s="229">
        <v>-2.76E-2</v>
      </c>
      <c r="CW111" s="230">
        <v>10351</v>
      </c>
      <c r="CX111" s="230">
        <v>10184</v>
      </c>
      <c r="CY111" s="228">
        <v>167</v>
      </c>
      <c r="CZ111" s="229">
        <v>1.6400000000000001E-2</v>
      </c>
      <c r="DA111" s="228">
        <v>20.09</v>
      </c>
      <c r="DB111" s="228">
        <v>22.64</v>
      </c>
      <c r="DC111" s="228">
        <v>-2.5499999999999998</v>
      </c>
      <c r="DD111" s="228">
        <v>-2.5499999999999998</v>
      </c>
      <c r="DE111" s="228">
        <v>25.39</v>
      </c>
      <c r="DF111" s="228">
        <v>25.42</v>
      </c>
      <c r="DG111" s="228">
        <v>-5.3</v>
      </c>
      <c r="DH111" s="228">
        <v>-0.03</v>
      </c>
      <c r="DI111" s="228">
        <v>19.920000000000002</v>
      </c>
      <c r="DJ111" s="228">
        <v>22.06</v>
      </c>
      <c r="DK111" s="228">
        <v>-2.14</v>
      </c>
      <c r="DL111" s="228">
        <v>-2.14</v>
      </c>
      <c r="DM111" s="228">
        <v>20.34</v>
      </c>
      <c r="DN111" s="228">
        <v>23.58</v>
      </c>
      <c r="DO111" s="228">
        <v>-3.24</v>
      </c>
      <c r="DP111" s="228">
        <v>-3.24</v>
      </c>
      <c r="DQ111" s="228">
        <v>0.65</v>
      </c>
      <c r="DR111" s="228">
        <v>0.7</v>
      </c>
      <c r="DS111" s="228">
        <v>-0.05</v>
      </c>
      <c r="DT111" s="229">
        <v>-7.1400000000000005E-2</v>
      </c>
      <c r="DU111" s="228">
        <v>440</v>
      </c>
      <c r="DV111" s="228">
        <v>400</v>
      </c>
      <c r="DW111" s="228">
        <v>0.64</v>
      </c>
      <c r="DX111" s="228">
        <v>0.61</v>
      </c>
      <c r="DY111" s="228">
        <v>0.03</v>
      </c>
      <c r="DZ111" s="229">
        <v>4.9200000000000001E-2</v>
      </c>
      <c r="EA111" s="229">
        <v>1.4500000000000001E-2</v>
      </c>
      <c r="EB111" s="230">
        <v>2460000</v>
      </c>
      <c r="EC111" s="229">
        <v>7.1999999999999998E-3</v>
      </c>
      <c r="ED111" s="229">
        <v>1.4500000000000001E-2</v>
      </c>
      <c r="EE111" s="228">
        <v>3.71</v>
      </c>
      <c r="EF111" s="229">
        <v>9.1000000000000004E-3</v>
      </c>
      <c r="EG111" s="230">
        <v>10765936</v>
      </c>
      <c r="EH111" s="230">
        <v>13546762</v>
      </c>
      <c r="EI111" s="229">
        <v>-0.20530000000000001</v>
      </c>
      <c r="EJ111" s="229">
        <v>0.71160000000000001</v>
      </c>
      <c r="EK111" s="228">
        <v>943.99</v>
      </c>
      <c r="EL111" s="228">
        <v>585.6</v>
      </c>
      <c r="EM111" s="228">
        <v>923.59</v>
      </c>
      <c r="EN111" s="228">
        <v>98.03</v>
      </c>
      <c r="EO111" s="231">
        <v>2453.1799999999998</v>
      </c>
      <c r="EP111" s="231">
        <v>3333.41</v>
      </c>
      <c r="EQ111" s="228">
        <v>-880.23</v>
      </c>
      <c r="ER111" s="229">
        <v>-0.2641</v>
      </c>
      <c r="ES111" s="231">
        <v>1317.31</v>
      </c>
      <c r="ET111" s="228">
        <v>805.32</v>
      </c>
      <c r="EU111" s="231">
        <v>8301.61</v>
      </c>
      <c r="EV111" s="231">
        <v>781025350</v>
      </c>
      <c r="EW111" s="231">
        <v>10424.24</v>
      </c>
      <c r="EX111" s="231">
        <v>10179.69</v>
      </c>
      <c r="EY111" s="228">
        <v>244.55</v>
      </c>
      <c r="EZ111" s="229">
        <v>2.4E-2</v>
      </c>
      <c r="FA111" s="229">
        <v>0.32390000000000002</v>
      </c>
      <c r="FB111" s="227" t="s">
        <v>555</v>
      </c>
      <c r="FC111">
        <f t="shared" si="1"/>
        <v>121</v>
      </c>
    </row>
    <row r="112" spans="1:159" ht="17.25" hidden="1" thickBot="1" x14ac:dyDescent="0.3">
      <c r="A112" s="226">
        <v>46086</v>
      </c>
      <c r="B112" s="227" t="s">
        <v>221</v>
      </c>
      <c r="C112" s="227" t="s">
        <v>577</v>
      </c>
      <c r="D112" s="228">
        <v>425</v>
      </c>
      <c r="E112" s="228">
        <v>25</v>
      </c>
      <c r="F112" s="228">
        <v>721.2</v>
      </c>
      <c r="G112" s="228">
        <v>739.4</v>
      </c>
      <c r="H112" s="228">
        <v>-18.2</v>
      </c>
      <c r="I112" s="229">
        <v>-2.46E-2</v>
      </c>
      <c r="J112" s="228">
        <v>717.5</v>
      </c>
      <c r="K112" s="228">
        <v>736.15</v>
      </c>
      <c r="L112" s="228">
        <v>-18.649999999999999</v>
      </c>
      <c r="M112" s="229">
        <v>-2.53E-2</v>
      </c>
      <c r="N112" s="228">
        <v>721.2</v>
      </c>
      <c r="O112" s="228">
        <v>739.4</v>
      </c>
      <c r="P112" s="228">
        <v>-18.2</v>
      </c>
      <c r="Q112" s="229">
        <v>-2.46E-2</v>
      </c>
      <c r="R112" s="228">
        <v>724.8</v>
      </c>
      <c r="S112" s="228">
        <v>740.95</v>
      </c>
      <c r="T112" s="228">
        <v>-16.149999999999999</v>
      </c>
      <c r="U112" s="229">
        <v>-2.18E-2</v>
      </c>
      <c r="V112" s="228">
        <v>730.15</v>
      </c>
      <c r="W112" s="228">
        <v>743</v>
      </c>
      <c r="X112" s="228">
        <v>-12.85</v>
      </c>
      <c r="Y112" s="229">
        <v>-1.7299999999999999E-2</v>
      </c>
      <c r="Z112" s="228">
        <v>3.7</v>
      </c>
      <c r="AA112" s="228">
        <v>3.25</v>
      </c>
      <c r="AB112" s="228">
        <v>0.45</v>
      </c>
      <c r="AC112" s="229">
        <v>5.1999999999999998E-3</v>
      </c>
      <c r="AD112" s="228">
        <v>3.7</v>
      </c>
      <c r="AE112" s="228">
        <v>3.25</v>
      </c>
      <c r="AF112" s="228">
        <v>0.45</v>
      </c>
      <c r="AG112" s="229">
        <v>5.1999999999999998E-3</v>
      </c>
      <c r="AH112" s="228">
        <v>7.3</v>
      </c>
      <c r="AI112" s="228">
        <v>4.8</v>
      </c>
      <c r="AJ112" s="228">
        <v>2.5</v>
      </c>
      <c r="AK112" s="229">
        <v>1.0200000000000001E-2</v>
      </c>
      <c r="AL112" s="228">
        <v>12.65</v>
      </c>
      <c r="AM112" s="228">
        <v>6.85</v>
      </c>
      <c r="AN112" s="228">
        <v>5.8</v>
      </c>
      <c r="AO112" s="229">
        <v>1.7600000000000001E-2</v>
      </c>
      <c r="AP112" s="228">
        <v>726.57</v>
      </c>
      <c r="AQ112" s="228">
        <v>729.42</v>
      </c>
      <c r="AR112" s="228">
        <v>0</v>
      </c>
      <c r="AS112" s="228">
        <v>128</v>
      </c>
      <c r="AT112" s="228">
        <v>98</v>
      </c>
      <c r="AU112" s="228">
        <v>30</v>
      </c>
      <c r="AV112" s="229">
        <v>0.30249999999999999</v>
      </c>
      <c r="AW112" s="228">
        <v>118</v>
      </c>
      <c r="AX112" s="228">
        <v>91</v>
      </c>
      <c r="AY112" s="228">
        <v>27</v>
      </c>
      <c r="AZ112" s="229">
        <v>0.29920000000000002</v>
      </c>
      <c r="BA112" s="228">
        <v>9</v>
      </c>
      <c r="BB112" s="228">
        <v>6</v>
      </c>
      <c r="BC112" s="228">
        <v>3</v>
      </c>
      <c r="BD112" s="229">
        <v>0.38679999999999998</v>
      </c>
      <c r="BE112" s="228">
        <v>1</v>
      </c>
      <c r="BF112" s="228">
        <v>1</v>
      </c>
      <c r="BG112" s="228">
        <v>0</v>
      </c>
      <c r="BH112" s="229">
        <v>5.8799999999999998E-2</v>
      </c>
      <c r="BI112" s="228">
        <v>270</v>
      </c>
      <c r="BJ112" s="228">
        <v>228</v>
      </c>
      <c r="BK112" s="228">
        <v>42</v>
      </c>
      <c r="BL112" s="229">
        <v>0.18379999999999999</v>
      </c>
      <c r="BM112" s="228">
        <v>107</v>
      </c>
      <c r="BN112" s="228">
        <v>132</v>
      </c>
      <c r="BO112" s="228">
        <v>-25</v>
      </c>
      <c r="BP112" s="229">
        <v>-0.1883</v>
      </c>
      <c r="BQ112" s="228">
        <v>505</v>
      </c>
      <c r="BR112" s="228">
        <v>459</v>
      </c>
      <c r="BS112" s="228">
        <v>47</v>
      </c>
      <c r="BT112" s="229">
        <v>0.1022</v>
      </c>
      <c r="BU112" s="230">
        <v>2429466</v>
      </c>
      <c r="BV112" s="230">
        <v>1831262</v>
      </c>
      <c r="BW112" s="230">
        <v>598204</v>
      </c>
      <c r="BX112" s="229">
        <v>0.32669999999999999</v>
      </c>
      <c r="BY112" s="228">
        <v>480</v>
      </c>
      <c r="BZ112" s="228">
        <v>449</v>
      </c>
      <c r="CA112" s="228">
        <v>31</v>
      </c>
      <c r="CB112" s="229">
        <v>6.9199999999999998E-2</v>
      </c>
      <c r="CC112" s="228">
        <v>442</v>
      </c>
      <c r="CD112" s="228">
        <v>415</v>
      </c>
      <c r="CE112" s="228">
        <v>27</v>
      </c>
      <c r="CF112" s="229">
        <v>6.5199999999999994E-2</v>
      </c>
      <c r="CG112" s="228">
        <v>35</v>
      </c>
      <c r="CH112" s="228">
        <v>32</v>
      </c>
      <c r="CI112" s="228">
        <v>3</v>
      </c>
      <c r="CJ112" s="229">
        <v>0.10299999999999999</v>
      </c>
      <c r="CK112" s="228">
        <v>2</v>
      </c>
      <c r="CL112" s="228">
        <v>1</v>
      </c>
      <c r="CM112" s="228">
        <v>1</v>
      </c>
      <c r="CN112" s="229">
        <v>0.4773</v>
      </c>
      <c r="CO112" s="228">
        <v>313</v>
      </c>
      <c r="CP112" s="228">
        <v>260</v>
      </c>
      <c r="CQ112" s="228">
        <v>53</v>
      </c>
      <c r="CR112" s="229">
        <v>0.2054</v>
      </c>
      <c r="CS112" s="228">
        <v>188</v>
      </c>
      <c r="CT112" s="228">
        <v>179</v>
      </c>
      <c r="CU112" s="228">
        <v>9</v>
      </c>
      <c r="CV112" s="229">
        <v>4.8399999999999999E-2</v>
      </c>
      <c r="CW112" s="228">
        <v>980</v>
      </c>
      <c r="CX112" s="228">
        <v>887</v>
      </c>
      <c r="CY112" s="228">
        <v>93</v>
      </c>
      <c r="CZ112" s="229">
        <v>0.10489999999999999</v>
      </c>
      <c r="DA112" s="228">
        <v>42.88</v>
      </c>
      <c r="DB112" s="228">
        <v>46.36</v>
      </c>
      <c r="DC112" s="228">
        <v>-3.48</v>
      </c>
      <c r="DD112" s="228">
        <v>-3.48</v>
      </c>
      <c r="DE112" s="228">
        <v>44.36</v>
      </c>
      <c r="DF112" s="228">
        <v>44.34</v>
      </c>
      <c r="DG112" s="228">
        <v>-1.48</v>
      </c>
      <c r="DH112" s="228">
        <v>0.02</v>
      </c>
      <c r="DI112" s="228">
        <v>42.79</v>
      </c>
      <c r="DJ112" s="228">
        <v>46.02</v>
      </c>
      <c r="DK112" s="228">
        <v>-3.23</v>
      </c>
      <c r="DL112" s="228">
        <v>-3.23</v>
      </c>
      <c r="DM112" s="228">
        <v>43.11</v>
      </c>
      <c r="DN112" s="228">
        <v>46.96</v>
      </c>
      <c r="DO112" s="228">
        <v>-3.85</v>
      </c>
      <c r="DP112" s="228">
        <v>-3.85</v>
      </c>
      <c r="DQ112" s="228">
        <v>0.6</v>
      </c>
      <c r="DR112" s="228">
        <v>0.69</v>
      </c>
      <c r="DS112" s="228">
        <v>-0.09</v>
      </c>
      <c r="DT112" s="229">
        <v>-0.13039999999999999</v>
      </c>
      <c r="DU112" s="228">
        <v>800</v>
      </c>
      <c r="DV112" s="228">
        <v>800</v>
      </c>
      <c r="DW112" s="228">
        <v>0.4</v>
      </c>
      <c r="DX112" s="228">
        <v>0.57999999999999996</v>
      </c>
      <c r="DY112" s="228">
        <v>-0.18</v>
      </c>
      <c r="DZ112" s="229">
        <v>-0.31030000000000002</v>
      </c>
      <c r="EA112" s="229">
        <v>7.7399999999999997E-2</v>
      </c>
      <c r="EB112" s="230">
        <v>460275</v>
      </c>
      <c r="EC112" s="229">
        <v>5.0000000000000001E-3</v>
      </c>
      <c r="ED112" s="229">
        <v>7.7399999999999997E-2</v>
      </c>
      <c r="EE112" s="228">
        <v>2.85</v>
      </c>
      <c r="EF112" s="229">
        <v>3.8999999999999998E-3</v>
      </c>
      <c r="EG112" s="230">
        <v>1170649</v>
      </c>
      <c r="EH112" s="230">
        <v>659367</v>
      </c>
      <c r="EI112" s="229">
        <v>0.77539999999999998</v>
      </c>
      <c r="EJ112" s="229">
        <v>0.4819</v>
      </c>
      <c r="EK112" s="228">
        <v>306.38</v>
      </c>
      <c r="EL112" s="228">
        <v>109.69</v>
      </c>
      <c r="EM112" s="228">
        <v>129.03</v>
      </c>
      <c r="EN112" s="228">
        <v>39.26</v>
      </c>
      <c r="EO112" s="228">
        <v>545.1</v>
      </c>
      <c r="EP112" s="228">
        <v>499.11</v>
      </c>
      <c r="EQ112" s="228">
        <v>45.98</v>
      </c>
      <c r="ER112" s="229">
        <v>9.2100000000000001E-2</v>
      </c>
      <c r="ES112" s="228">
        <v>365.15</v>
      </c>
      <c r="ET112" s="228">
        <v>201.53</v>
      </c>
      <c r="EU112" s="228">
        <v>479.77</v>
      </c>
      <c r="EV112" s="231">
        <v>24589408</v>
      </c>
      <c r="EW112" s="231">
        <v>1046.44</v>
      </c>
      <c r="EX112" s="228">
        <v>960.99</v>
      </c>
      <c r="EY112" s="228">
        <v>85.45</v>
      </c>
      <c r="EZ112" s="229">
        <v>8.8900000000000007E-2</v>
      </c>
      <c r="FA112" s="229">
        <v>0.55289999999999995</v>
      </c>
      <c r="FB112" s="227" t="s">
        <v>567</v>
      </c>
      <c r="FC112">
        <f t="shared" si="1"/>
        <v>38</v>
      </c>
    </row>
    <row r="113" spans="1:159" ht="17.25" hidden="1" thickBot="1" x14ac:dyDescent="0.3">
      <c r="A113" s="226">
        <v>46086</v>
      </c>
      <c r="B113" s="227" t="s">
        <v>170</v>
      </c>
      <c r="C113" s="227" t="s">
        <v>535</v>
      </c>
      <c r="D113" s="228">
        <v>850</v>
      </c>
      <c r="E113" s="228">
        <v>25</v>
      </c>
      <c r="F113" s="231">
        <v>1050.2</v>
      </c>
      <c r="G113" s="231">
        <v>1035.7</v>
      </c>
      <c r="H113" s="228">
        <v>14.5</v>
      </c>
      <c r="I113" s="229">
        <v>1.4E-2</v>
      </c>
      <c r="J113" s="231">
        <v>1045.9000000000001</v>
      </c>
      <c r="K113" s="231">
        <v>1030.5999999999999</v>
      </c>
      <c r="L113" s="228">
        <v>15.3</v>
      </c>
      <c r="M113" s="229">
        <v>1.4800000000000001E-2</v>
      </c>
      <c r="N113" s="231">
        <v>1050.2</v>
      </c>
      <c r="O113" s="231">
        <v>1035.7</v>
      </c>
      <c r="P113" s="228">
        <v>14.5</v>
      </c>
      <c r="Q113" s="229">
        <v>1.4E-2</v>
      </c>
      <c r="R113" s="231">
        <v>1058.7</v>
      </c>
      <c r="S113" s="231">
        <v>1042.0999999999999</v>
      </c>
      <c r="T113" s="228">
        <v>16.600000000000001</v>
      </c>
      <c r="U113" s="229">
        <v>1.5900000000000001E-2</v>
      </c>
      <c r="V113" s="231">
        <v>1062.5</v>
      </c>
      <c r="W113" s="231">
        <v>1049.3</v>
      </c>
      <c r="X113" s="228">
        <v>13.2</v>
      </c>
      <c r="Y113" s="229">
        <v>1.26E-2</v>
      </c>
      <c r="Z113" s="228">
        <v>4.3</v>
      </c>
      <c r="AA113" s="228">
        <v>5.0999999999999996</v>
      </c>
      <c r="AB113" s="228">
        <v>-0.8</v>
      </c>
      <c r="AC113" s="229">
        <v>4.1000000000000003E-3</v>
      </c>
      <c r="AD113" s="228">
        <v>4.3</v>
      </c>
      <c r="AE113" s="228">
        <v>5.0999999999999996</v>
      </c>
      <c r="AF113" s="228">
        <v>-0.8</v>
      </c>
      <c r="AG113" s="229">
        <v>4.1000000000000003E-3</v>
      </c>
      <c r="AH113" s="228">
        <v>12.8</v>
      </c>
      <c r="AI113" s="228">
        <v>11.5</v>
      </c>
      <c r="AJ113" s="228">
        <v>1.3</v>
      </c>
      <c r="AK113" s="229">
        <v>1.2200000000000001E-2</v>
      </c>
      <c r="AL113" s="228">
        <v>16.600000000000001</v>
      </c>
      <c r="AM113" s="228">
        <v>18.7</v>
      </c>
      <c r="AN113" s="228">
        <v>-2.1</v>
      </c>
      <c r="AO113" s="229">
        <v>1.5900000000000001E-2</v>
      </c>
      <c r="AP113" s="231">
        <v>1050.67</v>
      </c>
      <c r="AQ113" s="231">
        <v>1056.1199999999999</v>
      </c>
      <c r="AR113" s="228">
        <v>0</v>
      </c>
      <c r="AS113" s="228">
        <v>331</v>
      </c>
      <c r="AT113" s="228">
        <v>366</v>
      </c>
      <c r="AU113" s="228">
        <v>-35</v>
      </c>
      <c r="AV113" s="229">
        <v>-9.5600000000000004E-2</v>
      </c>
      <c r="AW113" s="228">
        <v>287</v>
      </c>
      <c r="AX113" s="228">
        <v>305</v>
      </c>
      <c r="AY113" s="228">
        <v>-18</v>
      </c>
      <c r="AZ113" s="229">
        <v>-0.06</v>
      </c>
      <c r="BA113" s="228">
        <v>42</v>
      </c>
      <c r="BB113" s="228">
        <v>56</v>
      </c>
      <c r="BC113" s="228">
        <v>-14</v>
      </c>
      <c r="BD113" s="229">
        <v>-0.248</v>
      </c>
      <c r="BE113" s="228">
        <v>2</v>
      </c>
      <c r="BF113" s="228">
        <v>5</v>
      </c>
      <c r="BG113" s="228">
        <v>-3</v>
      </c>
      <c r="BH113" s="229">
        <v>-0.59619999999999995</v>
      </c>
      <c r="BI113" s="228">
        <v>744</v>
      </c>
      <c r="BJ113" s="228">
        <v>714</v>
      </c>
      <c r="BK113" s="228">
        <v>31</v>
      </c>
      <c r="BL113" s="229">
        <v>4.2799999999999998E-2</v>
      </c>
      <c r="BM113" s="228">
        <v>208</v>
      </c>
      <c r="BN113" s="228">
        <v>383</v>
      </c>
      <c r="BO113" s="228">
        <v>-175</v>
      </c>
      <c r="BP113" s="229">
        <v>-0.45689999999999997</v>
      </c>
      <c r="BQ113" s="230">
        <v>1283</v>
      </c>
      <c r="BR113" s="230">
        <v>1463</v>
      </c>
      <c r="BS113" s="228">
        <v>-180</v>
      </c>
      <c r="BT113" s="229">
        <v>-0.12280000000000001</v>
      </c>
      <c r="BU113" s="230">
        <v>977290</v>
      </c>
      <c r="BV113" s="230">
        <v>1553497</v>
      </c>
      <c r="BW113" s="230">
        <v>-576207</v>
      </c>
      <c r="BX113" s="229">
        <v>-0.37090000000000001</v>
      </c>
      <c r="BY113" s="230">
        <v>2028</v>
      </c>
      <c r="BZ113" s="230">
        <v>2024</v>
      </c>
      <c r="CA113" s="228">
        <v>5</v>
      </c>
      <c r="CB113" s="229">
        <v>2.2000000000000001E-3</v>
      </c>
      <c r="CC113" s="230">
        <v>1924</v>
      </c>
      <c r="CD113" s="230">
        <v>1935</v>
      </c>
      <c r="CE113" s="228">
        <v>-11</v>
      </c>
      <c r="CF113" s="229">
        <v>-5.7000000000000002E-3</v>
      </c>
      <c r="CG113" s="228">
        <v>97</v>
      </c>
      <c r="CH113" s="228">
        <v>82</v>
      </c>
      <c r="CI113" s="228">
        <v>15</v>
      </c>
      <c r="CJ113" s="229">
        <v>0.18870000000000001</v>
      </c>
      <c r="CK113" s="228">
        <v>7</v>
      </c>
      <c r="CL113" s="228">
        <v>7</v>
      </c>
      <c r="CM113" s="228">
        <v>0</v>
      </c>
      <c r="CN113" s="229">
        <v>2.7400000000000001E-2</v>
      </c>
      <c r="CO113" s="228">
        <v>737</v>
      </c>
      <c r="CP113" s="228">
        <v>685</v>
      </c>
      <c r="CQ113" s="228">
        <v>52</v>
      </c>
      <c r="CR113" s="229">
        <v>7.6300000000000007E-2</v>
      </c>
      <c r="CS113" s="228">
        <v>420</v>
      </c>
      <c r="CT113" s="228">
        <v>398</v>
      </c>
      <c r="CU113" s="228">
        <v>22</v>
      </c>
      <c r="CV113" s="229">
        <v>5.3999999999999999E-2</v>
      </c>
      <c r="CW113" s="230">
        <v>3185</v>
      </c>
      <c r="CX113" s="230">
        <v>3106</v>
      </c>
      <c r="CY113" s="228">
        <v>78</v>
      </c>
      <c r="CZ113" s="229">
        <v>2.52E-2</v>
      </c>
      <c r="DA113" s="228">
        <v>33.090000000000003</v>
      </c>
      <c r="DB113" s="228">
        <v>35.31</v>
      </c>
      <c r="DC113" s="228">
        <v>-2.2200000000000002</v>
      </c>
      <c r="DD113" s="228">
        <v>-2.2200000000000002</v>
      </c>
      <c r="DE113" s="228">
        <v>38.549999999999997</v>
      </c>
      <c r="DF113" s="228">
        <v>38.6</v>
      </c>
      <c r="DG113" s="228">
        <v>-5.46</v>
      </c>
      <c r="DH113" s="228">
        <v>-0.05</v>
      </c>
      <c r="DI113" s="228">
        <v>32.82</v>
      </c>
      <c r="DJ113" s="228">
        <v>35.049999999999997</v>
      </c>
      <c r="DK113" s="228">
        <v>-2.23</v>
      </c>
      <c r="DL113" s="228">
        <v>-2.23</v>
      </c>
      <c r="DM113" s="228">
        <v>34.06</v>
      </c>
      <c r="DN113" s="228">
        <v>35.799999999999997</v>
      </c>
      <c r="DO113" s="228">
        <v>-1.74</v>
      </c>
      <c r="DP113" s="228">
        <v>-1.74</v>
      </c>
      <c r="DQ113" s="228">
        <v>0.56999999999999995</v>
      </c>
      <c r="DR113" s="228">
        <v>0.57999999999999996</v>
      </c>
      <c r="DS113" s="228">
        <v>-0.01</v>
      </c>
      <c r="DT113" s="229">
        <v>-1.72E-2</v>
      </c>
      <c r="DU113" s="231">
        <v>1100</v>
      </c>
      <c r="DV113" s="231">
        <v>1000</v>
      </c>
      <c r="DW113" s="228">
        <v>0.28000000000000003</v>
      </c>
      <c r="DX113" s="228">
        <v>0.54</v>
      </c>
      <c r="DY113" s="228">
        <v>-0.26</v>
      </c>
      <c r="DZ113" s="229">
        <v>-0.48149999999999998</v>
      </c>
      <c r="EA113" s="229">
        <v>5.1299999999999998E-2</v>
      </c>
      <c r="EB113" s="230">
        <v>841500</v>
      </c>
      <c r="EC113" s="229">
        <v>8.0999999999999996E-3</v>
      </c>
      <c r="ED113" s="229">
        <v>5.1299999999999998E-2</v>
      </c>
      <c r="EE113" s="228">
        <v>5.45</v>
      </c>
      <c r="EF113" s="229">
        <v>5.1999999999999998E-3</v>
      </c>
      <c r="EG113" s="230">
        <v>443208</v>
      </c>
      <c r="EH113" s="230">
        <v>718629</v>
      </c>
      <c r="EI113" s="229">
        <v>-0.38329999999999997</v>
      </c>
      <c r="EJ113" s="229">
        <v>0.45350000000000001</v>
      </c>
      <c r="EK113" s="228">
        <v>787.77</v>
      </c>
      <c r="EL113" s="228">
        <v>204.04</v>
      </c>
      <c r="EM113" s="228">
        <v>331.3</v>
      </c>
      <c r="EN113" s="228">
        <v>43.84</v>
      </c>
      <c r="EO113" s="231">
        <v>1323.11</v>
      </c>
      <c r="EP113" s="231">
        <v>1501.03</v>
      </c>
      <c r="EQ113" s="228">
        <v>-177.92</v>
      </c>
      <c r="ER113" s="229">
        <v>-0.11849999999999999</v>
      </c>
      <c r="ES113" s="228">
        <v>764.72</v>
      </c>
      <c r="ET113" s="228">
        <v>411.95</v>
      </c>
      <c r="EU113" s="231">
        <v>2028.92</v>
      </c>
      <c r="EV113" s="231">
        <v>58629477</v>
      </c>
      <c r="EW113" s="231">
        <v>3205.6</v>
      </c>
      <c r="EX113" s="231">
        <v>3097.03</v>
      </c>
      <c r="EY113" s="228">
        <v>108.57</v>
      </c>
      <c r="EZ113" s="229">
        <v>3.5099999999999999E-2</v>
      </c>
      <c r="FA113" s="229">
        <v>0.51719999999999999</v>
      </c>
      <c r="FB113" s="227" t="s">
        <v>555</v>
      </c>
      <c r="FC113">
        <f t="shared" si="1"/>
        <v>104</v>
      </c>
    </row>
    <row r="114" spans="1:159" ht="17.25" hidden="1" thickBot="1" x14ac:dyDescent="0.3">
      <c r="A114" s="226">
        <v>46086</v>
      </c>
      <c r="B114" s="227" t="s">
        <v>175</v>
      </c>
      <c r="C114" s="227" t="s">
        <v>248</v>
      </c>
      <c r="D114" s="228">
        <v>1000</v>
      </c>
      <c r="E114" s="228">
        <v>25</v>
      </c>
      <c r="F114" s="228">
        <v>523.65</v>
      </c>
      <c r="G114" s="228">
        <v>518.85</v>
      </c>
      <c r="H114" s="228">
        <v>4.8</v>
      </c>
      <c r="I114" s="229">
        <v>9.2999999999999992E-3</v>
      </c>
      <c r="J114" s="228">
        <v>521.4</v>
      </c>
      <c r="K114" s="228">
        <v>518</v>
      </c>
      <c r="L114" s="228">
        <v>3.4</v>
      </c>
      <c r="M114" s="229">
        <v>6.6E-3</v>
      </c>
      <c r="N114" s="228">
        <v>523.65</v>
      </c>
      <c r="O114" s="228">
        <v>518.85</v>
      </c>
      <c r="P114" s="228">
        <v>4.8</v>
      </c>
      <c r="Q114" s="229">
        <v>9.2999999999999992E-3</v>
      </c>
      <c r="R114" s="228">
        <v>527.15</v>
      </c>
      <c r="S114" s="228">
        <v>522.04999999999995</v>
      </c>
      <c r="T114" s="228">
        <v>5.0999999999999996</v>
      </c>
      <c r="U114" s="229">
        <v>9.7999999999999997E-3</v>
      </c>
      <c r="V114" s="228">
        <v>525.5</v>
      </c>
      <c r="W114" s="228">
        <v>528</v>
      </c>
      <c r="X114" s="228">
        <v>-2.5</v>
      </c>
      <c r="Y114" s="229">
        <v>-4.7000000000000002E-3</v>
      </c>
      <c r="Z114" s="228">
        <v>2.25</v>
      </c>
      <c r="AA114" s="228">
        <v>0.85</v>
      </c>
      <c r="AB114" s="228">
        <v>1.4</v>
      </c>
      <c r="AC114" s="229">
        <v>4.3E-3</v>
      </c>
      <c r="AD114" s="228">
        <v>2.25</v>
      </c>
      <c r="AE114" s="228">
        <v>0.85</v>
      </c>
      <c r="AF114" s="228">
        <v>1.4</v>
      </c>
      <c r="AG114" s="229">
        <v>4.3E-3</v>
      </c>
      <c r="AH114" s="228">
        <v>5.75</v>
      </c>
      <c r="AI114" s="228">
        <v>4.05</v>
      </c>
      <c r="AJ114" s="228">
        <v>1.7</v>
      </c>
      <c r="AK114" s="229">
        <v>1.0999999999999999E-2</v>
      </c>
      <c r="AL114" s="228">
        <v>4.0999999999999996</v>
      </c>
      <c r="AM114" s="228">
        <v>10</v>
      </c>
      <c r="AN114" s="228">
        <v>-5.9</v>
      </c>
      <c r="AO114" s="229">
        <v>7.9000000000000008E-3</v>
      </c>
      <c r="AP114" s="228">
        <v>519.61</v>
      </c>
      <c r="AQ114" s="228">
        <v>522.88</v>
      </c>
      <c r="AR114" s="228">
        <v>0</v>
      </c>
      <c r="AS114" s="228">
        <v>523</v>
      </c>
      <c r="AT114" s="228">
        <v>173</v>
      </c>
      <c r="AU114" s="228">
        <v>350</v>
      </c>
      <c r="AV114" s="229">
        <v>2.0266999999999999</v>
      </c>
      <c r="AW114" s="228">
        <v>162</v>
      </c>
      <c r="AX114" s="228">
        <v>159</v>
      </c>
      <c r="AY114" s="228">
        <v>3</v>
      </c>
      <c r="AZ114" s="229">
        <v>2.0799999999999999E-2</v>
      </c>
      <c r="BA114" s="228">
        <v>361</v>
      </c>
      <c r="BB114" s="228">
        <v>12</v>
      </c>
      <c r="BC114" s="228">
        <v>349</v>
      </c>
      <c r="BD114" s="229">
        <v>28.9391</v>
      </c>
      <c r="BE114" s="228">
        <v>0</v>
      </c>
      <c r="BF114" s="228">
        <v>2</v>
      </c>
      <c r="BG114" s="228">
        <v>-2</v>
      </c>
      <c r="BH114" s="229">
        <v>-0.79490000000000005</v>
      </c>
      <c r="BI114" s="228">
        <v>178</v>
      </c>
      <c r="BJ114" s="228">
        <v>318</v>
      </c>
      <c r="BK114" s="228">
        <v>-141</v>
      </c>
      <c r="BL114" s="229">
        <v>-0.44219999999999998</v>
      </c>
      <c r="BM114" s="228">
        <v>112</v>
      </c>
      <c r="BN114" s="228">
        <v>195</v>
      </c>
      <c r="BO114" s="228">
        <v>-83</v>
      </c>
      <c r="BP114" s="229">
        <v>-0.42630000000000001</v>
      </c>
      <c r="BQ114" s="228">
        <v>812</v>
      </c>
      <c r="BR114" s="228">
        <v>686</v>
      </c>
      <c r="BS114" s="228">
        <v>126</v>
      </c>
      <c r="BT114" s="229">
        <v>0.18429999999999999</v>
      </c>
      <c r="BU114" s="230">
        <v>764567</v>
      </c>
      <c r="BV114" s="230">
        <v>1861522</v>
      </c>
      <c r="BW114" s="230">
        <v>-1096955</v>
      </c>
      <c r="BX114" s="229">
        <v>-0.58930000000000005</v>
      </c>
      <c r="BY114" s="230">
        <v>1679</v>
      </c>
      <c r="BZ114" s="230">
        <v>1661</v>
      </c>
      <c r="CA114" s="228">
        <v>17</v>
      </c>
      <c r="CB114" s="229">
        <v>1.0500000000000001E-2</v>
      </c>
      <c r="CC114" s="230">
        <v>1461</v>
      </c>
      <c r="CD114" s="230">
        <v>1461</v>
      </c>
      <c r="CE114" s="228">
        <v>0</v>
      </c>
      <c r="CF114" s="229">
        <v>0</v>
      </c>
      <c r="CG114" s="228">
        <v>215</v>
      </c>
      <c r="CH114" s="228">
        <v>198</v>
      </c>
      <c r="CI114" s="228">
        <v>17</v>
      </c>
      <c r="CJ114" s="229">
        <v>8.7300000000000003E-2</v>
      </c>
      <c r="CK114" s="228">
        <v>3</v>
      </c>
      <c r="CL114" s="228">
        <v>3</v>
      </c>
      <c r="CM114" s="228">
        <v>0</v>
      </c>
      <c r="CN114" s="229">
        <v>7.5499999999999998E-2</v>
      </c>
      <c r="CO114" s="228">
        <v>332</v>
      </c>
      <c r="CP114" s="228">
        <v>332</v>
      </c>
      <c r="CQ114" s="228">
        <v>0</v>
      </c>
      <c r="CR114" s="229">
        <v>8.9999999999999998E-4</v>
      </c>
      <c r="CS114" s="228">
        <v>303</v>
      </c>
      <c r="CT114" s="228">
        <v>297</v>
      </c>
      <c r="CU114" s="228">
        <v>6</v>
      </c>
      <c r="CV114" s="229">
        <v>1.8700000000000001E-2</v>
      </c>
      <c r="CW114" s="230">
        <v>2314</v>
      </c>
      <c r="CX114" s="230">
        <v>2290</v>
      </c>
      <c r="CY114" s="228">
        <v>23</v>
      </c>
      <c r="CZ114" s="229">
        <v>1.0200000000000001E-2</v>
      </c>
      <c r="DA114" s="228">
        <v>25.26</v>
      </c>
      <c r="DB114" s="228">
        <v>27.14</v>
      </c>
      <c r="DC114" s="228">
        <v>-1.88</v>
      </c>
      <c r="DD114" s="228">
        <v>-1.88</v>
      </c>
      <c r="DE114" s="228">
        <v>31.6</v>
      </c>
      <c r="DF114" s="228">
        <v>31.66</v>
      </c>
      <c r="DG114" s="228">
        <v>-6.34</v>
      </c>
      <c r="DH114" s="228">
        <v>-0.06</v>
      </c>
      <c r="DI114" s="228">
        <v>24.13</v>
      </c>
      <c r="DJ114" s="228">
        <v>26.12</v>
      </c>
      <c r="DK114" s="228">
        <v>-1.99</v>
      </c>
      <c r="DL114" s="228">
        <v>-1.99</v>
      </c>
      <c r="DM114" s="228">
        <v>27.05</v>
      </c>
      <c r="DN114" s="228">
        <v>28.8</v>
      </c>
      <c r="DO114" s="228">
        <v>-1.75</v>
      </c>
      <c r="DP114" s="228">
        <v>-1.75</v>
      </c>
      <c r="DQ114" s="228">
        <v>0.91</v>
      </c>
      <c r="DR114" s="228">
        <v>0.9</v>
      </c>
      <c r="DS114" s="228">
        <v>0.01</v>
      </c>
      <c r="DT114" s="229">
        <v>1.11E-2</v>
      </c>
      <c r="DU114" s="228">
        <v>550</v>
      </c>
      <c r="DV114" s="228">
        <v>500</v>
      </c>
      <c r="DW114" s="228">
        <v>0.63</v>
      </c>
      <c r="DX114" s="228">
        <v>0.61</v>
      </c>
      <c r="DY114" s="228">
        <v>0.02</v>
      </c>
      <c r="DZ114" s="229">
        <v>3.2800000000000003E-2</v>
      </c>
      <c r="EA114" s="229">
        <v>0.13</v>
      </c>
      <c r="EB114" s="230">
        <v>3834000</v>
      </c>
      <c r="EC114" s="229">
        <v>6.7000000000000002E-3</v>
      </c>
      <c r="ED114" s="229">
        <v>0.13</v>
      </c>
      <c r="EE114" s="228">
        <v>3.27</v>
      </c>
      <c r="EF114" s="229">
        <v>6.3E-3</v>
      </c>
      <c r="EG114" s="230">
        <v>347592</v>
      </c>
      <c r="EH114" s="230">
        <v>900166</v>
      </c>
      <c r="EI114" s="229">
        <v>-0.6139</v>
      </c>
      <c r="EJ114" s="229">
        <v>0.4546</v>
      </c>
      <c r="EK114" s="228">
        <v>184.81</v>
      </c>
      <c r="EL114" s="228">
        <v>109.78</v>
      </c>
      <c r="EM114" s="228">
        <v>521.24</v>
      </c>
      <c r="EN114" s="228">
        <v>42.03</v>
      </c>
      <c r="EO114" s="228">
        <v>815.83</v>
      </c>
      <c r="EP114" s="228">
        <v>696.08</v>
      </c>
      <c r="EQ114" s="228">
        <v>119.74</v>
      </c>
      <c r="ER114" s="229">
        <v>0.17199999999999999</v>
      </c>
      <c r="ES114" s="228">
        <v>347.73</v>
      </c>
      <c r="ET114" s="228">
        <v>306.05</v>
      </c>
      <c r="EU114" s="231">
        <v>1680.22</v>
      </c>
      <c r="EV114" s="231">
        <v>45183075</v>
      </c>
      <c r="EW114" s="231">
        <v>2333.9899999999998</v>
      </c>
      <c r="EX114" s="231">
        <v>2295.59</v>
      </c>
      <c r="EY114" s="228">
        <v>38.4</v>
      </c>
      <c r="EZ114" s="229">
        <v>1.67E-2</v>
      </c>
      <c r="FA114" s="229">
        <v>0.97799999999999998</v>
      </c>
      <c r="FB114" s="227" t="s">
        <v>555</v>
      </c>
      <c r="FC114">
        <f t="shared" si="1"/>
        <v>218</v>
      </c>
    </row>
    <row r="115" spans="1:159" ht="17.25" hidden="1" thickBot="1" x14ac:dyDescent="0.3">
      <c r="A115" s="226">
        <v>46086</v>
      </c>
      <c r="B115" s="227" t="s">
        <v>175</v>
      </c>
      <c r="C115" s="227" t="s">
        <v>607</v>
      </c>
      <c r="D115" s="228">
        <v>700</v>
      </c>
      <c r="E115" s="228">
        <v>25</v>
      </c>
      <c r="F115" s="228">
        <v>832.2</v>
      </c>
      <c r="G115" s="228">
        <v>827</v>
      </c>
      <c r="H115" s="228">
        <v>5.2</v>
      </c>
      <c r="I115" s="229">
        <v>6.3E-3</v>
      </c>
      <c r="J115" s="228">
        <v>832.95</v>
      </c>
      <c r="K115" s="228">
        <v>828.05</v>
      </c>
      <c r="L115" s="228">
        <v>4.9000000000000004</v>
      </c>
      <c r="M115" s="229">
        <v>5.8999999999999999E-3</v>
      </c>
      <c r="N115" s="228">
        <v>832.2</v>
      </c>
      <c r="O115" s="228">
        <v>827</v>
      </c>
      <c r="P115" s="228">
        <v>5.2</v>
      </c>
      <c r="Q115" s="229">
        <v>6.3E-3</v>
      </c>
      <c r="R115" s="228">
        <v>838</v>
      </c>
      <c r="S115" s="228">
        <v>831.85</v>
      </c>
      <c r="T115" s="228">
        <v>6.15</v>
      </c>
      <c r="U115" s="229">
        <v>7.4000000000000003E-3</v>
      </c>
      <c r="V115" s="228">
        <v>842.9</v>
      </c>
      <c r="W115" s="228">
        <v>837.05</v>
      </c>
      <c r="X115" s="228">
        <v>5.85</v>
      </c>
      <c r="Y115" s="229">
        <v>7.0000000000000001E-3</v>
      </c>
      <c r="Z115" s="228">
        <v>-0.75</v>
      </c>
      <c r="AA115" s="228">
        <v>-1.05</v>
      </c>
      <c r="AB115" s="228">
        <v>0.3</v>
      </c>
      <c r="AC115" s="229">
        <v>-8.9999999999999998E-4</v>
      </c>
      <c r="AD115" s="228">
        <v>-0.75</v>
      </c>
      <c r="AE115" s="228">
        <v>-1.05</v>
      </c>
      <c r="AF115" s="228">
        <v>0.3</v>
      </c>
      <c r="AG115" s="229">
        <v>-8.9999999999999998E-4</v>
      </c>
      <c r="AH115" s="228">
        <v>5.05</v>
      </c>
      <c r="AI115" s="228">
        <v>3.8</v>
      </c>
      <c r="AJ115" s="228">
        <v>1.25</v>
      </c>
      <c r="AK115" s="229">
        <v>6.1000000000000004E-3</v>
      </c>
      <c r="AL115" s="228">
        <v>9.9499999999999993</v>
      </c>
      <c r="AM115" s="228">
        <v>9</v>
      </c>
      <c r="AN115" s="228">
        <v>0.95</v>
      </c>
      <c r="AO115" s="229">
        <v>1.1900000000000001E-2</v>
      </c>
      <c r="AP115" s="228">
        <v>827.51</v>
      </c>
      <c r="AQ115" s="228">
        <v>832.32</v>
      </c>
      <c r="AR115" s="228">
        <v>0</v>
      </c>
      <c r="AS115" s="228">
        <v>131</v>
      </c>
      <c r="AT115" s="228">
        <v>150</v>
      </c>
      <c r="AU115" s="228">
        <v>-19</v>
      </c>
      <c r="AV115" s="229">
        <v>-0.1265</v>
      </c>
      <c r="AW115" s="228">
        <v>117</v>
      </c>
      <c r="AX115" s="228">
        <v>139</v>
      </c>
      <c r="AY115" s="228">
        <v>-22</v>
      </c>
      <c r="AZ115" s="229">
        <v>-0.1603</v>
      </c>
      <c r="BA115" s="228">
        <v>13</v>
      </c>
      <c r="BB115" s="228">
        <v>10</v>
      </c>
      <c r="BC115" s="228">
        <v>3</v>
      </c>
      <c r="BD115" s="229">
        <v>0.28649999999999998</v>
      </c>
      <c r="BE115" s="228">
        <v>1</v>
      </c>
      <c r="BF115" s="228">
        <v>1</v>
      </c>
      <c r="BG115" s="228">
        <v>0</v>
      </c>
      <c r="BH115" s="229">
        <v>0.5</v>
      </c>
      <c r="BI115" s="228">
        <v>177</v>
      </c>
      <c r="BJ115" s="228">
        <v>237</v>
      </c>
      <c r="BK115" s="228">
        <v>-60</v>
      </c>
      <c r="BL115" s="229">
        <v>-0.25209999999999999</v>
      </c>
      <c r="BM115" s="228">
        <v>74</v>
      </c>
      <c r="BN115" s="228">
        <v>150</v>
      </c>
      <c r="BO115" s="228">
        <v>-76</v>
      </c>
      <c r="BP115" s="229">
        <v>-0.50780000000000003</v>
      </c>
      <c r="BQ115" s="228">
        <v>382</v>
      </c>
      <c r="BR115" s="228">
        <v>536</v>
      </c>
      <c r="BS115" s="228">
        <v>-155</v>
      </c>
      <c r="BT115" s="229">
        <v>-0.28839999999999999</v>
      </c>
      <c r="BU115" s="230">
        <v>1162524</v>
      </c>
      <c r="BV115" s="230">
        <v>1321152</v>
      </c>
      <c r="BW115" s="230">
        <v>-158628</v>
      </c>
      <c r="BX115" s="229">
        <v>-0.1201</v>
      </c>
      <c r="BY115" s="228">
        <v>857</v>
      </c>
      <c r="BZ115" s="228">
        <v>863</v>
      </c>
      <c r="CA115" s="228">
        <v>-6</v>
      </c>
      <c r="CB115" s="229">
        <v>-6.7999999999999996E-3</v>
      </c>
      <c r="CC115" s="228">
        <v>791</v>
      </c>
      <c r="CD115" s="228">
        <v>800</v>
      </c>
      <c r="CE115" s="228">
        <v>-9</v>
      </c>
      <c r="CF115" s="229">
        <v>-1.1900000000000001E-2</v>
      </c>
      <c r="CG115" s="228">
        <v>63</v>
      </c>
      <c r="CH115" s="228">
        <v>59</v>
      </c>
      <c r="CI115" s="228">
        <v>3</v>
      </c>
      <c r="CJ115" s="229">
        <v>5.3900000000000003E-2</v>
      </c>
      <c r="CK115" s="228">
        <v>3</v>
      </c>
      <c r="CL115" s="228">
        <v>3</v>
      </c>
      <c r="CM115" s="228">
        <v>0</v>
      </c>
      <c r="CN115" s="229">
        <v>0.15379999999999999</v>
      </c>
      <c r="CO115" s="228">
        <v>424</v>
      </c>
      <c r="CP115" s="228">
        <v>397</v>
      </c>
      <c r="CQ115" s="228">
        <v>28</v>
      </c>
      <c r="CR115" s="229">
        <v>6.9599999999999995E-2</v>
      </c>
      <c r="CS115" s="228">
        <v>201</v>
      </c>
      <c r="CT115" s="228">
        <v>199</v>
      </c>
      <c r="CU115" s="228">
        <v>3</v>
      </c>
      <c r="CV115" s="229">
        <v>1.26E-2</v>
      </c>
      <c r="CW115" s="230">
        <v>1483</v>
      </c>
      <c r="CX115" s="230">
        <v>1458</v>
      </c>
      <c r="CY115" s="228">
        <v>24</v>
      </c>
      <c r="CZ115" s="229">
        <v>1.67E-2</v>
      </c>
      <c r="DA115" s="228">
        <v>24.36</v>
      </c>
      <c r="DB115" s="228">
        <v>25.43</v>
      </c>
      <c r="DC115" s="228">
        <v>-1.07</v>
      </c>
      <c r="DD115" s="228">
        <v>-1.07</v>
      </c>
      <c r="DE115" s="228">
        <v>30.48</v>
      </c>
      <c r="DF115" s="228">
        <v>30.54</v>
      </c>
      <c r="DG115" s="228">
        <v>-6.12</v>
      </c>
      <c r="DH115" s="228">
        <v>-0.06</v>
      </c>
      <c r="DI115" s="228">
        <v>24.72</v>
      </c>
      <c r="DJ115" s="228">
        <v>25.44</v>
      </c>
      <c r="DK115" s="228">
        <v>-0.72</v>
      </c>
      <c r="DL115" s="228">
        <v>-0.72</v>
      </c>
      <c r="DM115" s="228">
        <v>23.5</v>
      </c>
      <c r="DN115" s="228">
        <v>25.43</v>
      </c>
      <c r="DO115" s="228">
        <v>-1.93</v>
      </c>
      <c r="DP115" s="228">
        <v>-1.93</v>
      </c>
      <c r="DQ115" s="228">
        <v>0.47</v>
      </c>
      <c r="DR115" s="228">
        <v>0.5</v>
      </c>
      <c r="DS115" s="228">
        <v>-0.03</v>
      </c>
      <c r="DT115" s="229">
        <v>-0.06</v>
      </c>
      <c r="DU115" s="228">
        <v>900</v>
      </c>
      <c r="DV115" s="228">
        <v>800</v>
      </c>
      <c r="DW115" s="228">
        <v>0.42</v>
      </c>
      <c r="DX115" s="228">
        <v>0.63</v>
      </c>
      <c r="DY115" s="228">
        <v>-0.21</v>
      </c>
      <c r="DZ115" s="229">
        <v>-0.33329999999999999</v>
      </c>
      <c r="EA115" s="229">
        <v>7.7200000000000005E-2</v>
      </c>
      <c r="EB115" s="230">
        <v>751100</v>
      </c>
      <c r="EC115" s="229">
        <v>7.0000000000000001E-3</v>
      </c>
      <c r="ED115" s="229">
        <v>7.7200000000000005E-2</v>
      </c>
      <c r="EE115" s="228">
        <v>4.8099999999999996</v>
      </c>
      <c r="EF115" s="229">
        <v>5.7999999999999996E-3</v>
      </c>
      <c r="EG115" s="230">
        <v>564729</v>
      </c>
      <c r="EH115" s="230">
        <v>687862</v>
      </c>
      <c r="EI115" s="229">
        <v>-0.17899999999999999</v>
      </c>
      <c r="EJ115" s="229">
        <v>0.48580000000000001</v>
      </c>
      <c r="EK115" s="228">
        <v>191.31</v>
      </c>
      <c r="EL115" s="228">
        <v>73.69</v>
      </c>
      <c r="EM115" s="228">
        <v>130.13999999999999</v>
      </c>
      <c r="EN115" s="228">
        <v>26.61</v>
      </c>
      <c r="EO115" s="228">
        <v>395.13</v>
      </c>
      <c r="EP115" s="228">
        <v>552.30999999999995</v>
      </c>
      <c r="EQ115" s="228">
        <v>-157.18</v>
      </c>
      <c r="ER115" s="229">
        <v>-0.28460000000000002</v>
      </c>
      <c r="ES115" s="228">
        <v>467.27</v>
      </c>
      <c r="ET115" s="228">
        <v>202.11</v>
      </c>
      <c r="EU115" s="228">
        <v>857.4</v>
      </c>
      <c r="EV115" s="231">
        <v>33206238</v>
      </c>
      <c r="EW115" s="231">
        <v>1526.77</v>
      </c>
      <c r="EX115" s="231">
        <v>1493.37</v>
      </c>
      <c r="EY115" s="228">
        <v>33.4</v>
      </c>
      <c r="EZ115" s="229">
        <v>2.24E-2</v>
      </c>
      <c r="FA115" s="229">
        <v>0.53649999999999998</v>
      </c>
      <c r="FB115" s="227" t="s">
        <v>556</v>
      </c>
      <c r="FC115">
        <f t="shared" si="1"/>
        <v>66</v>
      </c>
    </row>
    <row r="116" spans="1:159" ht="17.25" hidden="1" thickBot="1" x14ac:dyDescent="0.3">
      <c r="A116" s="226">
        <v>46086</v>
      </c>
      <c r="B116" s="227" t="s">
        <v>206</v>
      </c>
      <c r="C116" s="227" t="s">
        <v>588</v>
      </c>
      <c r="D116" s="228">
        <v>450</v>
      </c>
      <c r="E116" s="228">
        <v>25</v>
      </c>
      <c r="F116" s="228">
        <v>920.85</v>
      </c>
      <c r="G116" s="228">
        <v>917.6</v>
      </c>
      <c r="H116" s="228">
        <v>3.25</v>
      </c>
      <c r="I116" s="229">
        <v>3.5000000000000001E-3</v>
      </c>
      <c r="J116" s="228">
        <v>916.25</v>
      </c>
      <c r="K116" s="228">
        <v>912.85</v>
      </c>
      <c r="L116" s="228">
        <v>3.4</v>
      </c>
      <c r="M116" s="229">
        <v>3.7000000000000002E-3</v>
      </c>
      <c r="N116" s="228">
        <v>920.85</v>
      </c>
      <c r="O116" s="228">
        <v>917.6</v>
      </c>
      <c r="P116" s="228">
        <v>3.25</v>
      </c>
      <c r="Q116" s="229">
        <v>3.5000000000000001E-3</v>
      </c>
      <c r="R116" s="228">
        <v>927.35</v>
      </c>
      <c r="S116" s="228">
        <v>921.45</v>
      </c>
      <c r="T116" s="228">
        <v>5.9</v>
      </c>
      <c r="U116" s="229">
        <v>6.4000000000000003E-3</v>
      </c>
      <c r="V116" s="228">
        <v>935</v>
      </c>
      <c r="W116" s="228">
        <v>926.65</v>
      </c>
      <c r="X116" s="228">
        <v>8.35</v>
      </c>
      <c r="Y116" s="229">
        <v>8.9999999999999993E-3</v>
      </c>
      <c r="Z116" s="228">
        <v>4.5999999999999996</v>
      </c>
      <c r="AA116" s="228">
        <v>4.75</v>
      </c>
      <c r="AB116" s="228">
        <v>-0.15</v>
      </c>
      <c r="AC116" s="229">
        <v>5.0000000000000001E-3</v>
      </c>
      <c r="AD116" s="228">
        <v>4.5999999999999996</v>
      </c>
      <c r="AE116" s="228">
        <v>4.75</v>
      </c>
      <c r="AF116" s="228">
        <v>-0.15</v>
      </c>
      <c r="AG116" s="229">
        <v>5.0000000000000001E-3</v>
      </c>
      <c r="AH116" s="228">
        <v>11.1</v>
      </c>
      <c r="AI116" s="228">
        <v>8.6</v>
      </c>
      <c r="AJ116" s="228">
        <v>2.5</v>
      </c>
      <c r="AK116" s="229">
        <v>1.21E-2</v>
      </c>
      <c r="AL116" s="228">
        <v>18.75</v>
      </c>
      <c r="AM116" s="228">
        <v>13.8</v>
      </c>
      <c r="AN116" s="228">
        <v>4.95</v>
      </c>
      <c r="AO116" s="229">
        <v>2.0500000000000001E-2</v>
      </c>
      <c r="AP116" s="228">
        <v>919.37</v>
      </c>
      <c r="AQ116" s="228">
        <v>926.5</v>
      </c>
      <c r="AR116" s="228">
        <v>0</v>
      </c>
      <c r="AS116" s="228">
        <v>170</v>
      </c>
      <c r="AT116" s="228">
        <v>306</v>
      </c>
      <c r="AU116" s="228">
        <v>-136</v>
      </c>
      <c r="AV116" s="229">
        <v>-0.44469999999999998</v>
      </c>
      <c r="AW116" s="228">
        <v>161</v>
      </c>
      <c r="AX116" s="228">
        <v>283</v>
      </c>
      <c r="AY116" s="228">
        <v>-122</v>
      </c>
      <c r="AZ116" s="229">
        <v>-0.4299</v>
      </c>
      <c r="BA116" s="228">
        <v>8</v>
      </c>
      <c r="BB116" s="228">
        <v>20</v>
      </c>
      <c r="BC116" s="228">
        <v>-13</v>
      </c>
      <c r="BD116" s="229">
        <v>-0.62039999999999995</v>
      </c>
      <c r="BE116" s="228">
        <v>1</v>
      </c>
      <c r="BF116" s="228">
        <v>3</v>
      </c>
      <c r="BG116" s="228">
        <v>-2</v>
      </c>
      <c r="BH116" s="229">
        <v>-0.67190000000000005</v>
      </c>
      <c r="BI116" s="228">
        <v>147</v>
      </c>
      <c r="BJ116" s="228">
        <v>279</v>
      </c>
      <c r="BK116" s="228">
        <v>-131</v>
      </c>
      <c r="BL116" s="229">
        <v>-0.47139999999999999</v>
      </c>
      <c r="BM116" s="228">
        <v>176</v>
      </c>
      <c r="BN116" s="228">
        <v>400</v>
      </c>
      <c r="BO116" s="228">
        <v>-224</v>
      </c>
      <c r="BP116" s="229">
        <v>-0.55930000000000002</v>
      </c>
      <c r="BQ116" s="228">
        <v>493</v>
      </c>
      <c r="BR116" s="228">
        <v>984</v>
      </c>
      <c r="BS116" s="228">
        <v>-491</v>
      </c>
      <c r="BT116" s="229">
        <v>-0.49880000000000002</v>
      </c>
      <c r="BU116" s="230">
        <v>2062477</v>
      </c>
      <c r="BV116" s="230">
        <v>3462582</v>
      </c>
      <c r="BW116" s="230">
        <v>-1400105</v>
      </c>
      <c r="BX116" s="229">
        <v>-0.40439999999999998</v>
      </c>
      <c r="BY116" s="228">
        <v>881</v>
      </c>
      <c r="BZ116" s="228">
        <v>836</v>
      </c>
      <c r="CA116" s="228">
        <v>45</v>
      </c>
      <c r="CB116" s="229">
        <v>5.3900000000000003E-2</v>
      </c>
      <c r="CC116" s="228">
        <v>861</v>
      </c>
      <c r="CD116" s="228">
        <v>818</v>
      </c>
      <c r="CE116" s="228">
        <v>43</v>
      </c>
      <c r="CF116" s="229">
        <v>5.3100000000000001E-2</v>
      </c>
      <c r="CG116" s="228">
        <v>17</v>
      </c>
      <c r="CH116" s="228">
        <v>15</v>
      </c>
      <c r="CI116" s="228">
        <v>1</v>
      </c>
      <c r="CJ116" s="229">
        <v>9.7600000000000006E-2</v>
      </c>
      <c r="CK116" s="228">
        <v>2</v>
      </c>
      <c r="CL116" s="228">
        <v>2</v>
      </c>
      <c r="CM116" s="228">
        <v>0</v>
      </c>
      <c r="CN116" s="229">
        <v>3.5099999999999999E-2</v>
      </c>
      <c r="CO116" s="228">
        <v>184</v>
      </c>
      <c r="CP116" s="228">
        <v>161</v>
      </c>
      <c r="CQ116" s="228">
        <v>23</v>
      </c>
      <c r="CR116" s="229">
        <v>0.13969999999999999</v>
      </c>
      <c r="CS116" s="228">
        <v>218</v>
      </c>
      <c r="CT116" s="228">
        <v>178</v>
      </c>
      <c r="CU116" s="228">
        <v>40</v>
      </c>
      <c r="CV116" s="229">
        <v>0.22639999999999999</v>
      </c>
      <c r="CW116" s="230">
        <v>1282</v>
      </c>
      <c r="CX116" s="230">
        <v>1174</v>
      </c>
      <c r="CY116" s="228">
        <v>108</v>
      </c>
      <c r="CZ116" s="229">
        <v>9.1800000000000007E-2</v>
      </c>
      <c r="DA116" s="228">
        <v>38.86</v>
      </c>
      <c r="DB116" s="228">
        <v>43.18</v>
      </c>
      <c r="DC116" s="228">
        <v>-4.32</v>
      </c>
      <c r="DD116" s="228">
        <v>-4.32</v>
      </c>
      <c r="DE116" s="228">
        <v>45.16</v>
      </c>
      <c r="DF116" s="228">
        <v>45.27</v>
      </c>
      <c r="DG116" s="228">
        <v>-6.3</v>
      </c>
      <c r="DH116" s="228">
        <v>-0.11</v>
      </c>
      <c r="DI116" s="228">
        <v>38.43</v>
      </c>
      <c r="DJ116" s="228">
        <v>40.799999999999997</v>
      </c>
      <c r="DK116" s="228">
        <v>-2.37</v>
      </c>
      <c r="DL116" s="228">
        <v>-2.37</v>
      </c>
      <c r="DM116" s="228">
        <v>39.22</v>
      </c>
      <c r="DN116" s="228">
        <v>44.84</v>
      </c>
      <c r="DO116" s="228">
        <v>-5.62</v>
      </c>
      <c r="DP116" s="228">
        <v>-5.62</v>
      </c>
      <c r="DQ116" s="228">
        <v>1.19</v>
      </c>
      <c r="DR116" s="228">
        <v>1.1000000000000001</v>
      </c>
      <c r="DS116" s="228">
        <v>0.09</v>
      </c>
      <c r="DT116" s="229">
        <v>8.1799999999999998E-2</v>
      </c>
      <c r="DU116" s="231">
        <v>1100</v>
      </c>
      <c r="DV116" s="228">
        <v>940</v>
      </c>
      <c r="DW116" s="228">
        <v>1.2</v>
      </c>
      <c r="DX116" s="228">
        <v>1.44</v>
      </c>
      <c r="DY116" s="228">
        <v>-0.24</v>
      </c>
      <c r="DZ116" s="229">
        <v>-0.16669999999999999</v>
      </c>
      <c r="EA116" s="229">
        <v>2.18E-2</v>
      </c>
      <c r="EB116" s="230">
        <v>191700</v>
      </c>
      <c r="EC116" s="229">
        <v>7.1000000000000004E-3</v>
      </c>
      <c r="ED116" s="229">
        <v>2.18E-2</v>
      </c>
      <c r="EE116" s="228">
        <v>7.13</v>
      </c>
      <c r="EF116" s="229">
        <v>7.7999999999999996E-3</v>
      </c>
      <c r="EG116" s="230">
        <v>1224340</v>
      </c>
      <c r="EH116" s="230">
        <v>2008693</v>
      </c>
      <c r="EI116" s="229">
        <v>-0.39050000000000001</v>
      </c>
      <c r="EJ116" s="229">
        <v>0.59360000000000002</v>
      </c>
      <c r="EK116" s="228">
        <v>157.87</v>
      </c>
      <c r="EL116" s="228">
        <v>179.32</v>
      </c>
      <c r="EM116" s="228">
        <v>169.66</v>
      </c>
      <c r="EN116" s="228">
        <v>44.06</v>
      </c>
      <c r="EO116" s="228">
        <v>506.84</v>
      </c>
      <c r="EP116" s="231">
        <v>1016.59</v>
      </c>
      <c r="EQ116" s="228">
        <v>-509.75</v>
      </c>
      <c r="ER116" s="229">
        <v>-0.50139999999999996</v>
      </c>
      <c r="ES116" s="228">
        <v>205.65</v>
      </c>
      <c r="ET116" s="228">
        <v>223.54</v>
      </c>
      <c r="EU116" s="228">
        <v>880.8</v>
      </c>
      <c r="EV116" s="231">
        <v>42126960</v>
      </c>
      <c r="EW116" s="231">
        <v>1310</v>
      </c>
      <c r="EX116" s="231">
        <v>1198.57</v>
      </c>
      <c r="EY116" s="228">
        <v>111.43</v>
      </c>
      <c r="EZ116" s="229">
        <v>9.2999999999999999E-2</v>
      </c>
      <c r="FA116" s="229">
        <v>0.33050000000000002</v>
      </c>
      <c r="FB116" s="227" t="s">
        <v>555</v>
      </c>
      <c r="FC116">
        <f t="shared" si="1"/>
        <v>20</v>
      </c>
    </row>
    <row r="117" spans="1:159" ht="17.25" hidden="1" thickBot="1" x14ac:dyDescent="0.3">
      <c r="A117" s="226">
        <v>46086</v>
      </c>
      <c r="B117" s="227" t="s">
        <v>184</v>
      </c>
      <c r="C117" s="227" t="s">
        <v>249</v>
      </c>
      <c r="D117" s="228">
        <v>175</v>
      </c>
      <c r="E117" s="228">
        <v>25</v>
      </c>
      <c r="F117" s="231">
        <v>4039.9</v>
      </c>
      <c r="G117" s="231">
        <v>3888.8</v>
      </c>
      <c r="H117" s="228">
        <v>151.1</v>
      </c>
      <c r="I117" s="229">
        <v>3.8899999999999997E-2</v>
      </c>
      <c r="J117" s="231">
        <v>4038.7</v>
      </c>
      <c r="K117" s="231">
        <v>3882.6</v>
      </c>
      <c r="L117" s="228">
        <v>156.1</v>
      </c>
      <c r="M117" s="229">
        <v>4.02E-2</v>
      </c>
      <c r="N117" s="231">
        <v>4039.9</v>
      </c>
      <c r="O117" s="231">
        <v>3888.8</v>
      </c>
      <c r="P117" s="228">
        <v>151.1</v>
      </c>
      <c r="Q117" s="229">
        <v>3.8899999999999997E-2</v>
      </c>
      <c r="R117" s="231">
        <v>4062.7</v>
      </c>
      <c r="S117" s="231">
        <v>3913.4</v>
      </c>
      <c r="T117" s="228">
        <v>149.30000000000001</v>
      </c>
      <c r="U117" s="229">
        <v>3.8199999999999998E-2</v>
      </c>
      <c r="V117" s="231">
        <v>4077.3</v>
      </c>
      <c r="W117" s="231">
        <v>3934.2</v>
      </c>
      <c r="X117" s="228">
        <v>143.1</v>
      </c>
      <c r="Y117" s="229">
        <v>3.6400000000000002E-2</v>
      </c>
      <c r="Z117" s="228">
        <v>1.2</v>
      </c>
      <c r="AA117" s="228">
        <v>6.2</v>
      </c>
      <c r="AB117" s="228">
        <v>-5</v>
      </c>
      <c r="AC117" s="229">
        <v>2.9999999999999997E-4</v>
      </c>
      <c r="AD117" s="228">
        <v>1.2</v>
      </c>
      <c r="AE117" s="228">
        <v>6.2</v>
      </c>
      <c r="AF117" s="228">
        <v>-5</v>
      </c>
      <c r="AG117" s="229">
        <v>2.9999999999999997E-4</v>
      </c>
      <c r="AH117" s="228">
        <v>24</v>
      </c>
      <c r="AI117" s="228">
        <v>30.8</v>
      </c>
      <c r="AJ117" s="228">
        <v>-6.8</v>
      </c>
      <c r="AK117" s="229">
        <v>5.8999999999999999E-3</v>
      </c>
      <c r="AL117" s="228">
        <v>38.6</v>
      </c>
      <c r="AM117" s="228">
        <v>51.6</v>
      </c>
      <c r="AN117" s="228">
        <v>-13</v>
      </c>
      <c r="AO117" s="229">
        <v>9.5999999999999992E-3</v>
      </c>
      <c r="AP117" s="231">
        <v>4005.12</v>
      </c>
      <c r="AQ117" s="231">
        <v>4024.43</v>
      </c>
      <c r="AR117" s="228">
        <v>0</v>
      </c>
      <c r="AS117" s="230">
        <v>2569</v>
      </c>
      <c r="AT117" s="230">
        <v>2346</v>
      </c>
      <c r="AU117" s="228">
        <v>223</v>
      </c>
      <c r="AV117" s="229">
        <v>9.4899999999999998E-2</v>
      </c>
      <c r="AW117" s="230">
        <v>2452</v>
      </c>
      <c r="AX117" s="230">
        <v>2192</v>
      </c>
      <c r="AY117" s="228">
        <v>260</v>
      </c>
      <c r="AZ117" s="229">
        <v>0.1186</v>
      </c>
      <c r="BA117" s="228">
        <v>102</v>
      </c>
      <c r="BB117" s="228">
        <v>119</v>
      </c>
      <c r="BC117" s="228">
        <v>-17</v>
      </c>
      <c r="BD117" s="229">
        <v>-0.14460000000000001</v>
      </c>
      <c r="BE117" s="228">
        <v>15</v>
      </c>
      <c r="BF117" s="228">
        <v>35</v>
      </c>
      <c r="BG117" s="228">
        <v>-20</v>
      </c>
      <c r="BH117" s="229">
        <v>-0.5665</v>
      </c>
      <c r="BI117" s="230">
        <v>9216</v>
      </c>
      <c r="BJ117" s="230">
        <v>10119</v>
      </c>
      <c r="BK117" s="228">
        <v>-903</v>
      </c>
      <c r="BL117" s="229">
        <v>-8.9200000000000002E-2</v>
      </c>
      <c r="BM117" s="230">
        <v>5653</v>
      </c>
      <c r="BN117" s="230">
        <v>7232</v>
      </c>
      <c r="BO117" s="230">
        <v>-1579</v>
      </c>
      <c r="BP117" s="229">
        <v>-0.21840000000000001</v>
      </c>
      <c r="BQ117" s="230">
        <v>17438</v>
      </c>
      <c r="BR117" s="230">
        <v>19698</v>
      </c>
      <c r="BS117" s="230">
        <v>-2260</v>
      </c>
      <c r="BT117" s="229">
        <v>-0.1147</v>
      </c>
      <c r="BU117" s="230">
        <v>5190796</v>
      </c>
      <c r="BV117" s="230">
        <v>7980441</v>
      </c>
      <c r="BW117" s="230">
        <v>-2789645</v>
      </c>
      <c r="BX117" s="229">
        <v>-0.34960000000000002</v>
      </c>
      <c r="BY117" s="230">
        <v>5489</v>
      </c>
      <c r="BZ117" s="230">
        <v>5538</v>
      </c>
      <c r="CA117" s="228">
        <v>-48</v>
      </c>
      <c r="CB117" s="229">
        <v>-8.6999999999999994E-3</v>
      </c>
      <c r="CC117" s="230">
        <v>5326</v>
      </c>
      <c r="CD117" s="230">
        <v>5379</v>
      </c>
      <c r="CE117" s="228">
        <v>-53</v>
      </c>
      <c r="CF117" s="229">
        <v>-9.9000000000000008E-3</v>
      </c>
      <c r="CG117" s="228">
        <v>138</v>
      </c>
      <c r="CH117" s="228">
        <v>133</v>
      </c>
      <c r="CI117" s="228">
        <v>4</v>
      </c>
      <c r="CJ117" s="229">
        <v>3.1300000000000001E-2</v>
      </c>
      <c r="CK117" s="228">
        <v>26</v>
      </c>
      <c r="CL117" s="228">
        <v>25</v>
      </c>
      <c r="CM117" s="228">
        <v>1</v>
      </c>
      <c r="CN117" s="229">
        <v>4.2299999999999997E-2</v>
      </c>
      <c r="CO117" s="230">
        <v>4135</v>
      </c>
      <c r="CP117" s="230">
        <v>3956</v>
      </c>
      <c r="CQ117" s="228">
        <v>179</v>
      </c>
      <c r="CR117" s="229">
        <v>4.5199999999999997E-2</v>
      </c>
      <c r="CS117" s="230">
        <v>2508</v>
      </c>
      <c r="CT117" s="230">
        <v>2091</v>
      </c>
      <c r="CU117" s="228">
        <v>416</v>
      </c>
      <c r="CV117" s="229">
        <v>0.19900000000000001</v>
      </c>
      <c r="CW117" s="230">
        <v>12132</v>
      </c>
      <c r="CX117" s="230">
        <v>11585</v>
      </c>
      <c r="CY117" s="228">
        <v>547</v>
      </c>
      <c r="CZ117" s="229">
        <v>4.7199999999999999E-2</v>
      </c>
      <c r="DA117" s="228">
        <v>24.46</v>
      </c>
      <c r="DB117" s="228">
        <v>31.05</v>
      </c>
      <c r="DC117" s="228">
        <v>-6.59</v>
      </c>
      <c r="DD117" s="228">
        <v>-6.59</v>
      </c>
      <c r="DE117" s="228">
        <v>28.38</v>
      </c>
      <c r="DF117" s="228">
        <v>27.95</v>
      </c>
      <c r="DG117" s="228">
        <v>-3.92</v>
      </c>
      <c r="DH117" s="228">
        <v>0.43</v>
      </c>
      <c r="DI117" s="228">
        <v>22.3</v>
      </c>
      <c r="DJ117" s="228">
        <v>28.83</v>
      </c>
      <c r="DK117" s="228">
        <v>-6.53</v>
      </c>
      <c r="DL117" s="228">
        <v>-6.53</v>
      </c>
      <c r="DM117" s="228">
        <v>27.98</v>
      </c>
      <c r="DN117" s="228">
        <v>34.15</v>
      </c>
      <c r="DO117" s="228">
        <v>-6.17</v>
      </c>
      <c r="DP117" s="228">
        <v>-6.17</v>
      </c>
      <c r="DQ117" s="228">
        <v>0.61</v>
      </c>
      <c r="DR117" s="228">
        <v>0.53</v>
      </c>
      <c r="DS117" s="228">
        <v>0.08</v>
      </c>
      <c r="DT117" s="229">
        <v>0.15090000000000001</v>
      </c>
      <c r="DU117" s="231">
        <v>4100</v>
      </c>
      <c r="DV117" s="231">
        <v>3900</v>
      </c>
      <c r="DW117" s="228">
        <v>0.61</v>
      </c>
      <c r="DX117" s="228">
        <v>0.71</v>
      </c>
      <c r="DY117" s="228">
        <v>-0.1</v>
      </c>
      <c r="DZ117" s="229">
        <v>-0.14080000000000001</v>
      </c>
      <c r="EA117" s="229">
        <v>2.98E-2</v>
      </c>
      <c r="EB117" s="230">
        <v>392175</v>
      </c>
      <c r="EC117" s="229">
        <v>5.5999999999999999E-3</v>
      </c>
      <c r="ED117" s="229">
        <v>2.98E-2</v>
      </c>
      <c r="EE117" s="228">
        <v>19.309999999999999</v>
      </c>
      <c r="EF117" s="229">
        <v>4.7999999999999996E-3</v>
      </c>
      <c r="EG117" s="230">
        <v>2658006</v>
      </c>
      <c r="EH117" s="230">
        <v>4189866</v>
      </c>
      <c r="EI117" s="229">
        <v>-0.36559999999999998</v>
      </c>
      <c r="EJ117" s="229">
        <v>0.5121</v>
      </c>
      <c r="EK117" s="231">
        <v>9545.4699999999993</v>
      </c>
      <c r="EL117" s="231">
        <v>5407.07</v>
      </c>
      <c r="EM117" s="231">
        <v>2547.66</v>
      </c>
      <c r="EN117" s="228">
        <v>200.4</v>
      </c>
      <c r="EO117" s="231">
        <v>17500.2</v>
      </c>
      <c r="EP117" s="231">
        <v>19441.37</v>
      </c>
      <c r="EQ117" s="231">
        <v>-1941.16</v>
      </c>
      <c r="ER117" s="229">
        <v>-9.98E-2</v>
      </c>
      <c r="ES117" s="231">
        <v>4267.68</v>
      </c>
      <c r="ET117" s="231">
        <v>2435.0700000000002</v>
      </c>
      <c r="EU117" s="231">
        <v>5490.38</v>
      </c>
      <c r="EV117" s="231">
        <v>136109374</v>
      </c>
      <c r="EW117" s="231">
        <v>12193.13</v>
      </c>
      <c r="EX117" s="231">
        <v>11438.71</v>
      </c>
      <c r="EY117" s="228">
        <v>754.42</v>
      </c>
      <c r="EZ117" s="229">
        <v>6.6000000000000003E-2</v>
      </c>
      <c r="FA117" s="229">
        <v>0.22059999999999999</v>
      </c>
      <c r="FB117" s="227" t="s">
        <v>556</v>
      </c>
      <c r="FC117">
        <f t="shared" si="1"/>
        <v>163</v>
      </c>
    </row>
    <row r="118" spans="1:159" ht="17.25" hidden="1" thickBot="1" x14ac:dyDescent="0.3">
      <c r="A118" s="226">
        <v>46086</v>
      </c>
      <c r="B118" s="227" t="s">
        <v>175</v>
      </c>
      <c r="C118" s="227" t="s">
        <v>565</v>
      </c>
      <c r="D118" s="228">
        <v>2250</v>
      </c>
      <c r="E118" s="228">
        <v>25</v>
      </c>
      <c r="F118" s="228">
        <v>275.14999999999998</v>
      </c>
      <c r="G118" s="228">
        <v>268.89999999999998</v>
      </c>
      <c r="H118" s="228">
        <v>6.25</v>
      </c>
      <c r="I118" s="229">
        <v>2.3199999999999998E-2</v>
      </c>
      <c r="J118" s="228">
        <v>275.5</v>
      </c>
      <c r="K118" s="228">
        <v>271.05</v>
      </c>
      <c r="L118" s="228">
        <v>4.45</v>
      </c>
      <c r="M118" s="229">
        <v>1.6400000000000001E-2</v>
      </c>
      <c r="N118" s="228">
        <v>275.14999999999998</v>
      </c>
      <c r="O118" s="228">
        <v>268.89999999999998</v>
      </c>
      <c r="P118" s="228">
        <v>6.25</v>
      </c>
      <c r="Q118" s="229">
        <v>2.3199999999999998E-2</v>
      </c>
      <c r="R118" s="228">
        <v>274.8</v>
      </c>
      <c r="S118" s="228">
        <v>268.8</v>
      </c>
      <c r="T118" s="228">
        <v>6</v>
      </c>
      <c r="U118" s="229">
        <v>2.23E-2</v>
      </c>
      <c r="V118" s="228">
        <v>274.45</v>
      </c>
      <c r="W118" s="228">
        <v>268.8</v>
      </c>
      <c r="X118" s="228">
        <v>5.65</v>
      </c>
      <c r="Y118" s="229">
        <v>2.1000000000000001E-2</v>
      </c>
      <c r="Z118" s="228">
        <v>-0.35</v>
      </c>
      <c r="AA118" s="228">
        <v>-2.15</v>
      </c>
      <c r="AB118" s="228">
        <v>1.8</v>
      </c>
      <c r="AC118" s="229">
        <v>-1.2999999999999999E-3</v>
      </c>
      <c r="AD118" s="228">
        <v>-0.35</v>
      </c>
      <c r="AE118" s="228">
        <v>-2.15</v>
      </c>
      <c r="AF118" s="228">
        <v>1.8</v>
      </c>
      <c r="AG118" s="229">
        <v>-1.2999999999999999E-3</v>
      </c>
      <c r="AH118" s="228">
        <v>-0.7</v>
      </c>
      <c r="AI118" s="228">
        <v>-2.25</v>
      </c>
      <c r="AJ118" s="228">
        <v>1.55</v>
      </c>
      <c r="AK118" s="229">
        <v>-2.5000000000000001E-3</v>
      </c>
      <c r="AL118" s="228">
        <v>-1.05</v>
      </c>
      <c r="AM118" s="228">
        <v>-2.25</v>
      </c>
      <c r="AN118" s="228">
        <v>1.2</v>
      </c>
      <c r="AO118" s="229">
        <v>-3.8E-3</v>
      </c>
      <c r="AP118" s="228">
        <v>271.89</v>
      </c>
      <c r="AQ118" s="228">
        <v>270.89</v>
      </c>
      <c r="AR118" s="228">
        <v>0</v>
      </c>
      <c r="AS118" s="228">
        <v>300</v>
      </c>
      <c r="AT118" s="228">
        <v>451</v>
      </c>
      <c r="AU118" s="228">
        <v>-151</v>
      </c>
      <c r="AV118" s="229">
        <v>-0.3342</v>
      </c>
      <c r="AW118" s="228">
        <v>257</v>
      </c>
      <c r="AX118" s="228">
        <v>424</v>
      </c>
      <c r="AY118" s="228">
        <v>-167</v>
      </c>
      <c r="AZ118" s="229">
        <v>-0.39340000000000003</v>
      </c>
      <c r="BA118" s="228">
        <v>38</v>
      </c>
      <c r="BB118" s="228">
        <v>25</v>
      </c>
      <c r="BC118" s="228">
        <v>13</v>
      </c>
      <c r="BD118" s="229">
        <v>0.5212</v>
      </c>
      <c r="BE118" s="228">
        <v>5</v>
      </c>
      <c r="BF118" s="228">
        <v>2</v>
      </c>
      <c r="BG118" s="228">
        <v>3</v>
      </c>
      <c r="BH118" s="229">
        <v>1.3513999999999999</v>
      </c>
      <c r="BI118" s="228">
        <v>876</v>
      </c>
      <c r="BJ118" s="228">
        <v>987</v>
      </c>
      <c r="BK118" s="228">
        <v>-111</v>
      </c>
      <c r="BL118" s="229">
        <v>-0.11219999999999999</v>
      </c>
      <c r="BM118" s="228">
        <v>250</v>
      </c>
      <c r="BN118" s="228">
        <v>433</v>
      </c>
      <c r="BO118" s="228">
        <v>-183</v>
      </c>
      <c r="BP118" s="229">
        <v>-0.4224</v>
      </c>
      <c r="BQ118" s="230">
        <v>1427</v>
      </c>
      <c r="BR118" s="230">
        <v>1872</v>
      </c>
      <c r="BS118" s="228">
        <v>-445</v>
      </c>
      <c r="BT118" s="229">
        <v>-0.23749999999999999</v>
      </c>
      <c r="BU118" s="230">
        <v>3738781</v>
      </c>
      <c r="BV118" s="230">
        <v>8907487</v>
      </c>
      <c r="BW118" s="230">
        <v>-5168706</v>
      </c>
      <c r="BX118" s="229">
        <v>-0.58030000000000004</v>
      </c>
      <c r="BY118" s="230">
        <v>1646</v>
      </c>
      <c r="BZ118" s="230">
        <v>1662</v>
      </c>
      <c r="CA118" s="228">
        <v>-16</v>
      </c>
      <c r="CB118" s="229">
        <v>-9.7999999999999997E-3</v>
      </c>
      <c r="CC118" s="230">
        <v>1549</v>
      </c>
      <c r="CD118" s="230">
        <v>1577</v>
      </c>
      <c r="CE118" s="228">
        <v>-28</v>
      </c>
      <c r="CF118" s="229">
        <v>-1.78E-2</v>
      </c>
      <c r="CG118" s="228">
        <v>89</v>
      </c>
      <c r="CH118" s="228">
        <v>78</v>
      </c>
      <c r="CI118" s="228">
        <v>12</v>
      </c>
      <c r="CJ118" s="229">
        <v>0.1484</v>
      </c>
      <c r="CK118" s="228">
        <v>8</v>
      </c>
      <c r="CL118" s="228">
        <v>8</v>
      </c>
      <c r="CM118" s="228">
        <v>0</v>
      </c>
      <c r="CN118" s="229">
        <v>4.07E-2</v>
      </c>
      <c r="CO118" s="230">
        <v>1041</v>
      </c>
      <c r="CP118" s="230">
        <v>1055</v>
      </c>
      <c r="CQ118" s="228">
        <v>-14</v>
      </c>
      <c r="CR118" s="229">
        <v>-1.35E-2</v>
      </c>
      <c r="CS118" s="228">
        <v>560</v>
      </c>
      <c r="CT118" s="228">
        <v>576</v>
      </c>
      <c r="CU118" s="228">
        <v>-16</v>
      </c>
      <c r="CV118" s="229">
        <v>-2.75E-2</v>
      </c>
      <c r="CW118" s="230">
        <v>3247</v>
      </c>
      <c r="CX118" s="230">
        <v>3293</v>
      </c>
      <c r="CY118" s="228">
        <v>-46</v>
      </c>
      <c r="CZ118" s="229">
        <v>-1.41E-2</v>
      </c>
      <c r="DA118" s="228">
        <v>36.35</v>
      </c>
      <c r="DB118" s="228">
        <v>39.090000000000003</v>
      </c>
      <c r="DC118" s="228">
        <v>-2.74</v>
      </c>
      <c r="DD118" s="228">
        <v>-2.74</v>
      </c>
      <c r="DE118" s="228">
        <v>38.58</v>
      </c>
      <c r="DF118" s="228">
        <v>38.549999999999997</v>
      </c>
      <c r="DG118" s="228">
        <v>-2.23</v>
      </c>
      <c r="DH118" s="228">
        <v>0.03</v>
      </c>
      <c r="DI118" s="228">
        <v>36.5</v>
      </c>
      <c r="DJ118" s="228">
        <v>38.99</v>
      </c>
      <c r="DK118" s="228">
        <v>-2.4900000000000002</v>
      </c>
      <c r="DL118" s="228">
        <v>-2.4900000000000002</v>
      </c>
      <c r="DM118" s="228">
        <v>35.82</v>
      </c>
      <c r="DN118" s="228">
        <v>39.32</v>
      </c>
      <c r="DO118" s="228">
        <v>-3.5</v>
      </c>
      <c r="DP118" s="228">
        <v>-3.5</v>
      </c>
      <c r="DQ118" s="228">
        <v>0.54</v>
      </c>
      <c r="DR118" s="228">
        <v>0.55000000000000004</v>
      </c>
      <c r="DS118" s="228">
        <v>-0.01</v>
      </c>
      <c r="DT118" s="229">
        <v>-1.8200000000000001E-2</v>
      </c>
      <c r="DU118" s="228">
        <v>320</v>
      </c>
      <c r="DV118" s="228">
        <v>300</v>
      </c>
      <c r="DW118" s="228">
        <v>0.28999999999999998</v>
      </c>
      <c r="DX118" s="228">
        <v>0.44</v>
      </c>
      <c r="DY118" s="228">
        <v>-0.15</v>
      </c>
      <c r="DZ118" s="229">
        <v>-0.34089999999999998</v>
      </c>
      <c r="EA118" s="229">
        <v>5.8999999999999997E-2</v>
      </c>
      <c r="EB118" s="230">
        <v>3096000</v>
      </c>
      <c r="EC118" s="229">
        <v>-1.2999999999999999E-3</v>
      </c>
      <c r="ED118" s="229">
        <v>5.8999999999999997E-2</v>
      </c>
      <c r="EE118" s="228">
        <v>-1</v>
      </c>
      <c r="EF118" s="229">
        <v>-3.7000000000000002E-3</v>
      </c>
      <c r="EG118" s="230">
        <v>1446588</v>
      </c>
      <c r="EH118" s="230">
        <v>4800114</v>
      </c>
      <c r="EI118" s="229">
        <v>-0.6986</v>
      </c>
      <c r="EJ118" s="229">
        <v>0.38690000000000002</v>
      </c>
      <c r="EK118" s="228">
        <v>974.49</v>
      </c>
      <c r="EL118" s="228">
        <v>246.47</v>
      </c>
      <c r="EM118" s="228">
        <v>296.73</v>
      </c>
      <c r="EN118" s="228">
        <v>130.06</v>
      </c>
      <c r="EO118" s="231">
        <v>1517.69</v>
      </c>
      <c r="EP118" s="231">
        <v>1949.63</v>
      </c>
      <c r="EQ118" s="228">
        <v>-431.94</v>
      </c>
      <c r="ER118" s="229">
        <v>-0.2215</v>
      </c>
      <c r="ES118" s="231">
        <v>1166.3499999999999</v>
      </c>
      <c r="ET118" s="228">
        <v>565.65</v>
      </c>
      <c r="EU118" s="231">
        <v>1645.46</v>
      </c>
      <c r="EV118" s="231">
        <v>127100972</v>
      </c>
      <c r="EW118" s="231">
        <v>3377.46</v>
      </c>
      <c r="EX118" s="231">
        <v>3392.07</v>
      </c>
      <c r="EY118" s="228">
        <v>-14.61</v>
      </c>
      <c r="EZ118" s="229">
        <v>-4.3E-3</v>
      </c>
      <c r="FA118" s="229">
        <v>0.9284</v>
      </c>
      <c r="FB118" s="227" t="s">
        <v>556</v>
      </c>
      <c r="FC118">
        <f t="shared" si="1"/>
        <v>97</v>
      </c>
    </row>
    <row r="119" spans="1:159" ht="17.25" hidden="1" thickBot="1" x14ac:dyDescent="0.3">
      <c r="A119" s="226">
        <v>46086</v>
      </c>
      <c r="B119" s="227" t="s">
        <v>221</v>
      </c>
      <c r="C119" s="227" t="s">
        <v>693</v>
      </c>
      <c r="D119" s="228">
        <v>150</v>
      </c>
      <c r="E119" s="228">
        <v>25</v>
      </c>
      <c r="F119" s="231">
        <v>4316.8</v>
      </c>
      <c r="G119" s="231">
        <v>4352.6000000000004</v>
      </c>
      <c r="H119" s="228">
        <v>-35.799999999999997</v>
      </c>
      <c r="I119" s="229">
        <v>-8.2000000000000007E-3</v>
      </c>
      <c r="J119" s="231">
        <v>4306.3999999999996</v>
      </c>
      <c r="K119" s="231">
        <v>4349.3</v>
      </c>
      <c r="L119" s="228">
        <v>-42.9</v>
      </c>
      <c r="M119" s="229">
        <v>-9.9000000000000008E-3</v>
      </c>
      <c r="N119" s="231">
        <v>4316.8</v>
      </c>
      <c r="O119" s="231">
        <v>4352.6000000000004</v>
      </c>
      <c r="P119" s="228">
        <v>-35.799999999999997</v>
      </c>
      <c r="Q119" s="229">
        <v>-8.2000000000000007E-3</v>
      </c>
      <c r="R119" s="231">
        <v>4320.7</v>
      </c>
      <c r="S119" s="231">
        <v>4354.5</v>
      </c>
      <c r="T119" s="228">
        <v>-33.799999999999997</v>
      </c>
      <c r="U119" s="229">
        <v>-7.7999999999999996E-3</v>
      </c>
      <c r="V119" s="231">
        <v>4334.3999999999996</v>
      </c>
      <c r="W119" s="231">
        <v>4355</v>
      </c>
      <c r="X119" s="228">
        <v>-20.6</v>
      </c>
      <c r="Y119" s="229">
        <v>-4.7000000000000002E-3</v>
      </c>
      <c r="Z119" s="228">
        <v>10.4</v>
      </c>
      <c r="AA119" s="228">
        <v>3.3</v>
      </c>
      <c r="AB119" s="228">
        <v>7.1</v>
      </c>
      <c r="AC119" s="229">
        <v>2.3999999999999998E-3</v>
      </c>
      <c r="AD119" s="228">
        <v>10.4</v>
      </c>
      <c r="AE119" s="228">
        <v>3.3</v>
      </c>
      <c r="AF119" s="228">
        <v>7.1</v>
      </c>
      <c r="AG119" s="229">
        <v>2.3999999999999998E-3</v>
      </c>
      <c r="AH119" s="228">
        <v>14.3</v>
      </c>
      <c r="AI119" s="228">
        <v>5.2</v>
      </c>
      <c r="AJ119" s="228">
        <v>9.1</v>
      </c>
      <c r="AK119" s="229">
        <v>3.3E-3</v>
      </c>
      <c r="AL119" s="228">
        <v>28</v>
      </c>
      <c r="AM119" s="228">
        <v>5.7</v>
      </c>
      <c r="AN119" s="228">
        <v>22.3</v>
      </c>
      <c r="AO119" s="229">
        <v>6.4999999999999997E-3</v>
      </c>
      <c r="AP119" s="231">
        <v>4307.92</v>
      </c>
      <c r="AQ119" s="231">
        <v>4306.1899999999996</v>
      </c>
      <c r="AR119" s="228">
        <v>0</v>
      </c>
      <c r="AS119" s="228">
        <v>173</v>
      </c>
      <c r="AT119" s="228">
        <v>201</v>
      </c>
      <c r="AU119" s="228">
        <v>-28</v>
      </c>
      <c r="AV119" s="229">
        <v>-0.13930000000000001</v>
      </c>
      <c r="AW119" s="228">
        <v>162</v>
      </c>
      <c r="AX119" s="228">
        <v>193</v>
      </c>
      <c r="AY119" s="228">
        <v>-30</v>
      </c>
      <c r="AZ119" s="229">
        <v>-0.158</v>
      </c>
      <c r="BA119" s="228">
        <v>9</v>
      </c>
      <c r="BB119" s="228">
        <v>8</v>
      </c>
      <c r="BC119" s="228">
        <v>1</v>
      </c>
      <c r="BD119" s="229">
        <v>0.188</v>
      </c>
      <c r="BE119" s="228">
        <v>2</v>
      </c>
      <c r="BF119" s="228">
        <v>1</v>
      </c>
      <c r="BG119" s="228">
        <v>1</v>
      </c>
      <c r="BH119" s="229">
        <v>1.6</v>
      </c>
      <c r="BI119" s="228">
        <v>473</v>
      </c>
      <c r="BJ119" s="228">
        <v>332</v>
      </c>
      <c r="BK119" s="228">
        <v>142</v>
      </c>
      <c r="BL119" s="229">
        <v>0.42770000000000002</v>
      </c>
      <c r="BM119" s="228">
        <v>423</v>
      </c>
      <c r="BN119" s="228">
        <v>224</v>
      </c>
      <c r="BO119" s="228">
        <v>198</v>
      </c>
      <c r="BP119" s="229">
        <v>0.88429999999999997</v>
      </c>
      <c r="BQ119" s="230">
        <v>1069</v>
      </c>
      <c r="BR119" s="228">
        <v>757</v>
      </c>
      <c r="BS119" s="228">
        <v>312</v>
      </c>
      <c r="BT119" s="229">
        <v>0.41260000000000002</v>
      </c>
      <c r="BU119" s="230">
        <v>193854</v>
      </c>
      <c r="BV119" s="230">
        <v>193103</v>
      </c>
      <c r="BW119" s="228">
        <v>751</v>
      </c>
      <c r="BX119" s="229">
        <v>3.8999999999999998E-3</v>
      </c>
      <c r="BY119" s="230">
        <v>1413</v>
      </c>
      <c r="BZ119" s="230">
        <v>1393</v>
      </c>
      <c r="CA119" s="228">
        <v>20</v>
      </c>
      <c r="CB119" s="229">
        <v>1.4200000000000001E-2</v>
      </c>
      <c r="CC119" s="230">
        <v>1378</v>
      </c>
      <c r="CD119" s="230">
        <v>1361</v>
      </c>
      <c r="CE119" s="228">
        <v>17</v>
      </c>
      <c r="CF119" s="229">
        <v>1.2699999999999999E-2</v>
      </c>
      <c r="CG119" s="228">
        <v>33</v>
      </c>
      <c r="CH119" s="228">
        <v>31</v>
      </c>
      <c r="CI119" s="228">
        <v>2</v>
      </c>
      <c r="CJ119" s="229">
        <v>6.7699999999999996E-2</v>
      </c>
      <c r="CK119" s="228">
        <v>2</v>
      </c>
      <c r="CL119" s="228">
        <v>2</v>
      </c>
      <c r="CM119" s="228">
        <v>1</v>
      </c>
      <c r="CN119" s="229">
        <v>0.32</v>
      </c>
      <c r="CO119" s="228">
        <v>551</v>
      </c>
      <c r="CP119" s="228">
        <v>480</v>
      </c>
      <c r="CQ119" s="228">
        <v>71</v>
      </c>
      <c r="CR119" s="229">
        <v>0.1484</v>
      </c>
      <c r="CS119" s="228">
        <v>342</v>
      </c>
      <c r="CT119" s="228">
        <v>307</v>
      </c>
      <c r="CU119" s="228">
        <v>35</v>
      </c>
      <c r="CV119" s="229">
        <v>0.1129</v>
      </c>
      <c r="CW119" s="230">
        <v>2305</v>
      </c>
      <c r="CX119" s="230">
        <v>2180</v>
      </c>
      <c r="CY119" s="228">
        <v>126</v>
      </c>
      <c r="CZ119" s="229">
        <v>5.7700000000000001E-2</v>
      </c>
      <c r="DA119" s="228">
        <v>35.64</v>
      </c>
      <c r="DB119" s="228">
        <v>39.39</v>
      </c>
      <c r="DC119" s="228">
        <v>-3.75</v>
      </c>
      <c r="DD119" s="228">
        <v>-3.75</v>
      </c>
      <c r="DE119" s="228">
        <v>34.67</v>
      </c>
      <c r="DF119" s="228">
        <v>34.74</v>
      </c>
      <c r="DG119" s="228">
        <v>0.97</v>
      </c>
      <c r="DH119" s="228">
        <v>-7.0000000000000007E-2</v>
      </c>
      <c r="DI119" s="228">
        <v>36.090000000000003</v>
      </c>
      <c r="DJ119" s="228">
        <v>39.200000000000003</v>
      </c>
      <c r="DK119" s="228">
        <v>-3.11</v>
      </c>
      <c r="DL119" s="228">
        <v>-3.11</v>
      </c>
      <c r="DM119" s="228">
        <v>35.15</v>
      </c>
      <c r="DN119" s="228">
        <v>39.68</v>
      </c>
      <c r="DO119" s="228">
        <v>-4.53</v>
      </c>
      <c r="DP119" s="228">
        <v>-4.53</v>
      </c>
      <c r="DQ119" s="228">
        <v>0.62</v>
      </c>
      <c r="DR119" s="228">
        <v>0.64</v>
      </c>
      <c r="DS119" s="228">
        <v>-0.02</v>
      </c>
      <c r="DT119" s="229">
        <v>-3.1300000000000001E-2</v>
      </c>
      <c r="DU119" s="231">
        <v>5000</v>
      </c>
      <c r="DV119" s="231">
        <v>4200</v>
      </c>
      <c r="DW119" s="228">
        <v>0.89</v>
      </c>
      <c r="DX119" s="228">
        <v>0.68</v>
      </c>
      <c r="DY119" s="228">
        <v>0.21</v>
      </c>
      <c r="DZ119" s="229">
        <v>0.30880000000000002</v>
      </c>
      <c r="EA119" s="229">
        <v>2.47E-2</v>
      </c>
      <c r="EB119" s="230">
        <v>74700</v>
      </c>
      <c r="EC119" s="229">
        <v>8.9999999999999998E-4</v>
      </c>
      <c r="ED119" s="229">
        <v>2.47E-2</v>
      </c>
      <c r="EE119" s="228">
        <v>-1.73</v>
      </c>
      <c r="EF119" s="229">
        <v>-4.0000000000000002E-4</v>
      </c>
      <c r="EG119" s="230">
        <v>80723</v>
      </c>
      <c r="EH119" s="230">
        <v>84511</v>
      </c>
      <c r="EI119" s="229">
        <v>-4.48E-2</v>
      </c>
      <c r="EJ119" s="229">
        <v>0.41639999999999999</v>
      </c>
      <c r="EK119" s="228">
        <v>523.82000000000005</v>
      </c>
      <c r="EL119" s="228">
        <v>424.67</v>
      </c>
      <c r="EM119" s="228">
        <v>172.46</v>
      </c>
      <c r="EN119" s="228">
        <v>39.74</v>
      </c>
      <c r="EO119" s="231">
        <v>1120.96</v>
      </c>
      <c r="EP119" s="228">
        <v>805.66</v>
      </c>
      <c r="EQ119" s="228">
        <v>315.3</v>
      </c>
      <c r="ER119" s="229">
        <v>0.39140000000000003</v>
      </c>
      <c r="ES119" s="228">
        <v>638.9</v>
      </c>
      <c r="ET119" s="228">
        <v>356.8</v>
      </c>
      <c r="EU119" s="231">
        <v>1412.6</v>
      </c>
      <c r="EV119" s="231">
        <v>9672091</v>
      </c>
      <c r="EW119" s="231">
        <v>2408.31</v>
      </c>
      <c r="EX119" s="231">
        <v>2290.84</v>
      </c>
      <c r="EY119" s="228">
        <v>117.47</v>
      </c>
      <c r="EZ119" s="229">
        <v>5.1299999999999998E-2</v>
      </c>
      <c r="FA119" s="229">
        <v>0.55210000000000004</v>
      </c>
      <c r="FB119" s="227" t="s">
        <v>567</v>
      </c>
      <c r="FC119">
        <f t="shared" si="1"/>
        <v>35</v>
      </c>
    </row>
    <row r="120" spans="1:159" ht="17.25" hidden="1" thickBot="1" x14ac:dyDescent="0.3">
      <c r="A120" s="226">
        <v>46086</v>
      </c>
      <c r="B120" s="227" t="s">
        <v>170</v>
      </c>
      <c r="C120" s="227" t="s">
        <v>250</v>
      </c>
      <c r="D120" s="228">
        <v>425</v>
      </c>
      <c r="E120" s="228">
        <v>25</v>
      </c>
      <c r="F120" s="231">
        <v>2343.5</v>
      </c>
      <c r="G120" s="231">
        <v>2308</v>
      </c>
      <c r="H120" s="228">
        <v>35.5</v>
      </c>
      <c r="I120" s="229">
        <v>1.54E-2</v>
      </c>
      <c r="J120" s="231">
        <v>2332.9</v>
      </c>
      <c r="K120" s="231">
        <v>2304.9</v>
      </c>
      <c r="L120" s="228">
        <v>28</v>
      </c>
      <c r="M120" s="229">
        <v>1.21E-2</v>
      </c>
      <c r="N120" s="231">
        <v>2343.5</v>
      </c>
      <c r="O120" s="231">
        <v>2308</v>
      </c>
      <c r="P120" s="228">
        <v>35.5</v>
      </c>
      <c r="Q120" s="229">
        <v>1.54E-2</v>
      </c>
      <c r="R120" s="231">
        <v>2358.1999999999998</v>
      </c>
      <c r="S120" s="231">
        <v>2320.4</v>
      </c>
      <c r="T120" s="228">
        <v>37.799999999999997</v>
      </c>
      <c r="U120" s="229">
        <v>1.6299999999999999E-2</v>
      </c>
      <c r="V120" s="231">
        <v>2373.9</v>
      </c>
      <c r="W120" s="231">
        <v>2335.3000000000002</v>
      </c>
      <c r="X120" s="228">
        <v>38.6</v>
      </c>
      <c r="Y120" s="229">
        <v>1.6500000000000001E-2</v>
      </c>
      <c r="Z120" s="228">
        <v>10.6</v>
      </c>
      <c r="AA120" s="228">
        <v>3.1</v>
      </c>
      <c r="AB120" s="228">
        <v>7.5</v>
      </c>
      <c r="AC120" s="229">
        <v>4.4999999999999997E-3</v>
      </c>
      <c r="AD120" s="228">
        <v>10.6</v>
      </c>
      <c r="AE120" s="228">
        <v>3.1</v>
      </c>
      <c r="AF120" s="228">
        <v>7.5</v>
      </c>
      <c r="AG120" s="229">
        <v>4.4999999999999997E-3</v>
      </c>
      <c r="AH120" s="228">
        <v>25.3</v>
      </c>
      <c r="AI120" s="228">
        <v>15.5</v>
      </c>
      <c r="AJ120" s="228">
        <v>9.8000000000000007</v>
      </c>
      <c r="AK120" s="229">
        <v>1.0800000000000001E-2</v>
      </c>
      <c r="AL120" s="228">
        <v>41</v>
      </c>
      <c r="AM120" s="228">
        <v>30.4</v>
      </c>
      <c r="AN120" s="228">
        <v>10.6</v>
      </c>
      <c r="AO120" s="229">
        <v>1.7600000000000001E-2</v>
      </c>
      <c r="AP120" s="231">
        <v>2345.5</v>
      </c>
      <c r="AQ120" s="231">
        <v>2361.17</v>
      </c>
      <c r="AR120" s="228">
        <v>0</v>
      </c>
      <c r="AS120" s="228">
        <v>465</v>
      </c>
      <c r="AT120" s="228">
        <v>386</v>
      </c>
      <c r="AU120" s="228">
        <v>78</v>
      </c>
      <c r="AV120" s="229">
        <v>0.2031</v>
      </c>
      <c r="AW120" s="228">
        <v>430</v>
      </c>
      <c r="AX120" s="228">
        <v>361</v>
      </c>
      <c r="AY120" s="228">
        <v>68</v>
      </c>
      <c r="AZ120" s="229">
        <v>0.1895</v>
      </c>
      <c r="BA120" s="228">
        <v>32</v>
      </c>
      <c r="BB120" s="228">
        <v>24</v>
      </c>
      <c r="BC120" s="228">
        <v>7</v>
      </c>
      <c r="BD120" s="229">
        <v>0.29389999999999999</v>
      </c>
      <c r="BE120" s="228">
        <v>4</v>
      </c>
      <c r="BF120" s="228">
        <v>1</v>
      </c>
      <c r="BG120" s="228">
        <v>3</v>
      </c>
      <c r="BH120" s="229">
        <v>3.625</v>
      </c>
      <c r="BI120" s="230">
        <v>1729</v>
      </c>
      <c r="BJ120" s="228">
        <v>670</v>
      </c>
      <c r="BK120" s="230">
        <v>1059</v>
      </c>
      <c r="BL120" s="229">
        <v>1.5789</v>
      </c>
      <c r="BM120" s="228">
        <v>702</v>
      </c>
      <c r="BN120" s="228">
        <v>582</v>
      </c>
      <c r="BO120" s="228">
        <v>120</v>
      </c>
      <c r="BP120" s="229">
        <v>0.20519999999999999</v>
      </c>
      <c r="BQ120" s="230">
        <v>2896</v>
      </c>
      <c r="BR120" s="230">
        <v>1639</v>
      </c>
      <c r="BS120" s="230">
        <v>1257</v>
      </c>
      <c r="BT120" s="229">
        <v>0.76659999999999995</v>
      </c>
      <c r="BU120" s="230">
        <v>1737105</v>
      </c>
      <c r="BV120" s="230">
        <v>1384833</v>
      </c>
      <c r="BW120" s="230">
        <v>352272</v>
      </c>
      <c r="BX120" s="229">
        <v>0.25440000000000002</v>
      </c>
      <c r="BY120" s="230">
        <v>1733</v>
      </c>
      <c r="BZ120" s="230">
        <v>1734</v>
      </c>
      <c r="CA120" s="228">
        <v>-1</v>
      </c>
      <c r="CB120" s="229">
        <v>-6.9999999999999999E-4</v>
      </c>
      <c r="CC120" s="230">
        <v>1693</v>
      </c>
      <c r="CD120" s="230">
        <v>1703</v>
      </c>
      <c r="CE120" s="228">
        <v>-9</v>
      </c>
      <c r="CF120" s="229">
        <v>-5.5999999999999999E-3</v>
      </c>
      <c r="CG120" s="228">
        <v>36</v>
      </c>
      <c r="CH120" s="228">
        <v>28</v>
      </c>
      <c r="CI120" s="228">
        <v>8</v>
      </c>
      <c r="CJ120" s="229">
        <v>0.29859999999999998</v>
      </c>
      <c r="CK120" s="228">
        <v>3</v>
      </c>
      <c r="CL120" s="228">
        <v>4</v>
      </c>
      <c r="CM120" s="228">
        <v>0</v>
      </c>
      <c r="CN120" s="229">
        <v>-2.7799999999999998E-2</v>
      </c>
      <c r="CO120" s="228">
        <v>552</v>
      </c>
      <c r="CP120" s="228">
        <v>496</v>
      </c>
      <c r="CQ120" s="228">
        <v>56</v>
      </c>
      <c r="CR120" s="229">
        <v>0.1135</v>
      </c>
      <c r="CS120" s="228">
        <v>386</v>
      </c>
      <c r="CT120" s="228">
        <v>369</v>
      </c>
      <c r="CU120" s="228">
        <v>17</v>
      </c>
      <c r="CV120" s="229">
        <v>4.6800000000000001E-2</v>
      </c>
      <c r="CW120" s="230">
        <v>2671</v>
      </c>
      <c r="CX120" s="230">
        <v>2598</v>
      </c>
      <c r="CY120" s="228">
        <v>72</v>
      </c>
      <c r="CZ120" s="229">
        <v>2.7799999999999998E-2</v>
      </c>
      <c r="DA120" s="228">
        <v>22.9</v>
      </c>
      <c r="DB120" s="228">
        <v>25.32</v>
      </c>
      <c r="DC120" s="228">
        <v>-2.42</v>
      </c>
      <c r="DD120" s="228">
        <v>-2.42</v>
      </c>
      <c r="DE120" s="228">
        <v>28.5</v>
      </c>
      <c r="DF120" s="228">
        <v>28.5</v>
      </c>
      <c r="DG120" s="228">
        <v>-5.6</v>
      </c>
      <c r="DH120" s="228">
        <v>0</v>
      </c>
      <c r="DI120" s="228">
        <v>22.57</v>
      </c>
      <c r="DJ120" s="228">
        <v>24.34</v>
      </c>
      <c r="DK120" s="228">
        <v>-1.77</v>
      </c>
      <c r="DL120" s="228">
        <v>-1.77</v>
      </c>
      <c r="DM120" s="228">
        <v>23.73</v>
      </c>
      <c r="DN120" s="228">
        <v>26.45</v>
      </c>
      <c r="DO120" s="228">
        <v>-2.72</v>
      </c>
      <c r="DP120" s="228">
        <v>-2.72</v>
      </c>
      <c r="DQ120" s="228">
        <v>0.7</v>
      </c>
      <c r="DR120" s="228">
        <v>0.74</v>
      </c>
      <c r="DS120" s="228">
        <v>-0.04</v>
      </c>
      <c r="DT120" s="229">
        <v>-5.4100000000000002E-2</v>
      </c>
      <c r="DU120" s="231">
        <v>2560</v>
      </c>
      <c r="DV120" s="231">
        <v>2200</v>
      </c>
      <c r="DW120" s="228">
        <v>0.41</v>
      </c>
      <c r="DX120" s="228">
        <v>0.87</v>
      </c>
      <c r="DY120" s="228">
        <v>-0.46</v>
      </c>
      <c r="DZ120" s="229">
        <v>-0.52869999999999995</v>
      </c>
      <c r="EA120" s="229">
        <v>2.2800000000000001E-2</v>
      </c>
      <c r="EB120" s="230">
        <v>133450</v>
      </c>
      <c r="EC120" s="229">
        <v>6.3E-3</v>
      </c>
      <c r="ED120" s="229">
        <v>2.2800000000000001E-2</v>
      </c>
      <c r="EE120" s="228">
        <v>15.67</v>
      </c>
      <c r="EF120" s="229">
        <v>6.7000000000000002E-3</v>
      </c>
      <c r="EG120" s="230">
        <v>1111181</v>
      </c>
      <c r="EH120" s="230">
        <v>921998</v>
      </c>
      <c r="EI120" s="229">
        <v>0.20519999999999999</v>
      </c>
      <c r="EJ120" s="229">
        <v>0.63970000000000005</v>
      </c>
      <c r="EK120" s="231">
        <v>1806.99</v>
      </c>
      <c r="EL120" s="228">
        <v>686.32</v>
      </c>
      <c r="EM120" s="228">
        <v>465.48</v>
      </c>
      <c r="EN120" s="228">
        <v>33.119999999999997</v>
      </c>
      <c r="EO120" s="231">
        <v>2958.79</v>
      </c>
      <c r="EP120" s="231">
        <v>1628.82</v>
      </c>
      <c r="EQ120" s="231">
        <v>1329.97</v>
      </c>
      <c r="ER120" s="229">
        <v>0.8165</v>
      </c>
      <c r="ES120" s="228">
        <v>568.36</v>
      </c>
      <c r="ET120" s="228">
        <v>363.9</v>
      </c>
      <c r="EU120" s="231">
        <v>1732.99</v>
      </c>
      <c r="EV120" s="231">
        <v>36381777</v>
      </c>
      <c r="EW120" s="231">
        <v>2665.25</v>
      </c>
      <c r="EX120" s="231">
        <v>2563.02</v>
      </c>
      <c r="EY120" s="228">
        <v>102.23</v>
      </c>
      <c r="EZ120" s="229">
        <v>3.9899999999999998E-2</v>
      </c>
      <c r="FA120" s="229">
        <v>0.31319999999999998</v>
      </c>
      <c r="FB120" s="227" t="s">
        <v>556</v>
      </c>
      <c r="FC120">
        <f t="shared" si="1"/>
        <v>40</v>
      </c>
    </row>
    <row r="121" spans="1:159" ht="17.25" hidden="1" thickBot="1" x14ac:dyDescent="0.3">
      <c r="A121" s="226">
        <v>46086</v>
      </c>
      <c r="B121" s="227" t="s">
        <v>162</v>
      </c>
      <c r="C121" s="227" t="s">
        <v>251</v>
      </c>
      <c r="D121" s="228">
        <v>200</v>
      </c>
      <c r="E121" s="228">
        <v>25</v>
      </c>
      <c r="F121" s="231">
        <v>3352.8</v>
      </c>
      <c r="G121" s="231">
        <v>3278.2</v>
      </c>
      <c r="H121" s="228">
        <v>74.599999999999994</v>
      </c>
      <c r="I121" s="229">
        <v>2.2800000000000001E-2</v>
      </c>
      <c r="J121" s="231">
        <v>3348</v>
      </c>
      <c r="K121" s="231">
        <v>3264.3</v>
      </c>
      <c r="L121" s="228">
        <v>83.7</v>
      </c>
      <c r="M121" s="229">
        <v>2.5600000000000001E-2</v>
      </c>
      <c r="N121" s="231">
        <v>3352.8</v>
      </c>
      <c r="O121" s="231">
        <v>3278.2</v>
      </c>
      <c r="P121" s="228">
        <v>74.599999999999994</v>
      </c>
      <c r="Q121" s="229">
        <v>2.2800000000000001E-2</v>
      </c>
      <c r="R121" s="231">
        <v>3376.2</v>
      </c>
      <c r="S121" s="231">
        <v>3297.1</v>
      </c>
      <c r="T121" s="228">
        <v>79.099999999999994</v>
      </c>
      <c r="U121" s="229">
        <v>2.4E-2</v>
      </c>
      <c r="V121" s="231">
        <v>3397.7</v>
      </c>
      <c r="W121" s="231">
        <v>3310.6</v>
      </c>
      <c r="X121" s="228">
        <v>87.1</v>
      </c>
      <c r="Y121" s="229">
        <v>2.63E-2</v>
      </c>
      <c r="Z121" s="228">
        <v>4.8</v>
      </c>
      <c r="AA121" s="228">
        <v>13.9</v>
      </c>
      <c r="AB121" s="228">
        <v>-9.1</v>
      </c>
      <c r="AC121" s="229">
        <v>1.4E-3</v>
      </c>
      <c r="AD121" s="228">
        <v>4.8</v>
      </c>
      <c r="AE121" s="228">
        <v>13.9</v>
      </c>
      <c r="AF121" s="228">
        <v>-9.1</v>
      </c>
      <c r="AG121" s="229">
        <v>1.4E-3</v>
      </c>
      <c r="AH121" s="228">
        <v>28.2</v>
      </c>
      <c r="AI121" s="228">
        <v>32.799999999999997</v>
      </c>
      <c r="AJ121" s="228">
        <v>-4.5999999999999996</v>
      </c>
      <c r="AK121" s="229">
        <v>8.3999999999999995E-3</v>
      </c>
      <c r="AL121" s="228">
        <v>49.7</v>
      </c>
      <c r="AM121" s="228">
        <v>46.3</v>
      </c>
      <c r="AN121" s="228">
        <v>3.4</v>
      </c>
      <c r="AO121" s="229">
        <v>1.4800000000000001E-2</v>
      </c>
      <c r="AP121" s="231">
        <v>3323.13</v>
      </c>
      <c r="AQ121" s="231">
        <v>3341.28</v>
      </c>
      <c r="AR121" s="228">
        <v>0</v>
      </c>
      <c r="AS121" s="228">
        <v>779</v>
      </c>
      <c r="AT121" s="228">
        <v>835</v>
      </c>
      <c r="AU121" s="228">
        <v>-56</v>
      </c>
      <c r="AV121" s="229">
        <v>-6.6699999999999995E-2</v>
      </c>
      <c r="AW121" s="228">
        <v>742</v>
      </c>
      <c r="AX121" s="228">
        <v>766</v>
      </c>
      <c r="AY121" s="228">
        <v>-24</v>
      </c>
      <c r="AZ121" s="229">
        <v>-3.1399999999999997E-2</v>
      </c>
      <c r="BA121" s="228">
        <v>31</v>
      </c>
      <c r="BB121" s="228">
        <v>49</v>
      </c>
      <c r="BC121" s="228">
        <v>-18</v>
      </c>
      <c r="BD121" s="229">
        <v>-0.36820000000000003</v>
      </c>
      <c r="BE121" s="228">
        <v>6</v>
      </c>
      <c r="BF121" s="228">
        <v>19</v>
      </c>
      <c r="BG121" s="228">
        <v>-13</v>
      </c>
      <c r="BH121" s="229">
        <v>-0.69310000000000005</v>
      </c>
      <c r="BI121" s="230">
        <v>1946</v>
      </c>
      <c r="BJ121" s="230">
        <v>1882</v>
      </c>
      <c r="BK121" s="228">
        <v>63</v>
      </c>
      <c r="BL121" s="229">
        <v>3.3599999999999998E-2</v>
      </c>
      <c r="BM121" s="230">
        <v>1271</v>
      </c>
      <c r="BN121" s="230">
        <v>1523</v>
      </c>
      <c r="BO121" s="228">
        <v>-252</v>
      </c>
      <c r="BP121" s="229">
        <v>-0.16539999999999999</v>
      </c>
      <c r="BQ121" s="230">
        <v>3996</v>
      </c>
      <c r="BR121" s="230">
        <v>4241</v>
      </c>
      <c r="BS121" s="228">
        <v>-244</v>
      </c>
      <c r="BT121" s="229">
        <v>-5.7700000000000001E-2</v>
      </c>
      <c r="BU121" s="230">
        <v>2378494</v>
      </c>
      <c r="BV121" s="230">
        <v>4697824</v>
      </c>
      <c r="BW121" s="230">
        <v>-2319330</v>
      </c>
      <c r="BX121" s="229">
        <v>-0.49370000000000003</v>
      </c>
      <c r="BY121" s="230">
        <v>6028</v>
      </c>
      <c r="BZ121" s="230">
        <v>6195</v>
      </c>
      <c r="CA121" s="228">
        <v>-167</v>
      </c>
      <c r="CB121" s="229">
        <v>-2.7E-2</v>
      </c>
      <c r="CC121" s="230">
        <v>5910</v>
      </c>
      <c r="CD121" s="230">
        <v>6076</v>
      </c>
      <c r="CE121" s="228">
        <v>-166</v>
      </c>
      <c r="CF121" s="229">
        <v>-2.7300000000000001E-2</v>
      </c>
      <c r="CG121" s="228">
        <v>94</v>
      </c>
      <c r="CH121" s="228">
        <v>98</v>
      </c>
      <c r="CI121" s="228">
        <v>-4</v>
      </c>
      <c r="CJ121" s="229">
        <v>-3.7600000000000001E-2</v>
      </c>
      <c r="CK121" s="228">
        <v>23</v>
      </c>
      <c r="CL121" s="228">
        <v>21</v>
      </c>
      <c r="CM121" s="228">
        <v>2</v>
      </c>
      <c r="CN121" s="229">
        <v>0.1154</v>
      </c>
      <c r="CO121" s="230">
        <v>1627</v>
      </c>
      <c r="CP121" s="230">
        <v>1642</v>
      </c>
      <c r="CQ121" s="228">
        <v>-15</v>
      </c>
      <c r="CR121" s="229">
        <v>-9.2999999999999992E-3</v>
      </c>
      <c r="CS121" s="230">
        <v>1046</v>
      </c>
      <c r="CT121" s="230">
        <v>1052</v>
      </c>
      <c r="CU121" s="228">
        <v>-7</v>
      </c>
      <c r="CV121" s="229">
        <v>-6.1999999999999998E-3</v>
      </c>
      <c r="CW121" s="230">
        <v>8701</v>
      </c>
      <c r="CX121" s="230">
        <v>8890</v>
      </c>
      <c r="CY121" s="228">
        <v>-189</v>
      </c>
      <c r="CZ121" s="229">
        <v>-2.1299999999999999E-2</v>
      </c>
      <c r="DA121" s="228">
        <v>27.17</v>
      </c>
      <c r="DB121" s="228">
        <v>30.91</v>
      </c>
      <c r="DC121" s="228">
        <v>-3.74</v>
      </c>
      <c r="DD121" s="228">
        <v>-3.74</v>
      </c>
      <c r="DE121" s="228">
        <v>31.36</v>
      </c>
      <c r="DF121" s="228">
        <v>31.25</v>
      </c>
      <c r="DG121" s="228">
        <v>-4.1900000000000004</v>
      </c>
      <c r="DH121" s="228">
        <v>0.11</v>
      </c>
      <c r="DI121" s="228">
        <v>26.02</v>
      </c>
      <c r="DJ121" s="228">
        <v>29.89</v>
      </c>
      <c r="DK121" s="228">
        <v>-3.87</v>
      </c>
      <c r="DL121" s="228">
        <v>-3.87</v>
      </c>
      <c r="DM121" s="228">
        <v>28.92</v>
      </c>
      <c r="DN121" s="228">
        <v>32.17</v>
      </c>
      <c r="DO121" s="228">
        <v>-3.25</v>
      </c>
      <c r="DP121" s="228">
        <v>-3.25</v>
      </c>
      <c r="DQ121" s="228">
        <v>0.64</v>
      </c>
      <c r="DR121" s="228">
        <v>0.64</v>
      </c>
      <c r="DS121" s="228">
        <v>0</v>
      </c>
      <c r="DT121" s="229">
        <v>0</v>
      </c>
      <c r="DU121" s="231">
        <v>4000</v>
      </c>
      <c r="DV121" s="231">
        <v>3400</v>
      </c>
      <c r="DW121" s="228">
        <v>0.65</v>
      </c>
      <c r="DX121" s="228">
        <v>0.81</v>
      </c>
      <c r="DY121" s="228">
        <v>-0.16</v>
      </c>
      <c r="DZ121" s="229">
        <v>-0.19750000000000001</v>
      </c>
      <c r="EA121" s="229">
        <v>1.95E-2</v>
      </c>
      <c r="EB121" s="230">
        <v>354800</v>
      </c>
      <c r="EC121" s="229">
        <v>7.0000000000000001E-3</v>
      </c>
      <c r="ED121" s="229">
        <v>1.95E-2</v>
      </c>
      <c r="EE121" s="228">
        <v>18.149999999999999</v>
      </c>
      <c r="EF121" s="229">
        <v>5.4999999999999997E-3</v>
      </c>
      <c r="EG121" s="230">
        <v>1482197</v>
      </c>
      <c r="EH121" s="230">
        <v>2994220</v>
      </c>
      <c r="EI121" s="229">
        <v>-0.505</v>
      </c>
      <c r="EJ121" s="229">
        <v>0.62319999999999998</v>
      </c>
      <c r="EK121" s="231">
        <v>2043.41</v>
      </c>
      <c r="EL121" s="231">
        <v>1230.24</v>
      </c>
      <c r="EM121" s="228">
        <v>772.6</v>
      </c>
      <c r="EN121" s="228">
        <v>106.99</v>
      </c>
      <c r="EO121" s="231">
        <v>4046.24</v>
      </c>
      <c r="EP121" s="231">
        <v>4254.2299999999996</v>
      </c>
      <c r="EQ121" s="228">
        <v>-207.98</v>
      </c>
      <c r="ER121" s="229">
        <v>-4.8899999999999999E-2</v>
      </c>
      <c r="ES121" s="231">
        <v>1769.24</v>
      </c>
      <c r="ET121" s="231">
        <v>1041.82</v>
      </c>
      <c r="EU121" s="231">
        <v>6028.77</v>
      </c>
      <c r="EV121" s="231">
        <v>95452027</v>
      </c>
      <c r="EW121" s="231">
        <v>8839.82</v>
      </c>
      <c r="EX121" s="231">
        <v>8894.0300000000007</v>
      </c>
      <c r="EY121" s="228">
        <v>-54.21</v>
      </c>
      <c r="EZ121" s="229">
        <v>-6.1000000000000004E-3</v>
      </c>
      <c r="FA121" s="229">
        <v>0.27189999999999998</v>
      </c>
      <c r="FB121" s="227" t="s">
        <v>556</v>
      </c>
      <c r="FC121">
        <f t="shared" si="1"/>
        <v>118</v>
      </c>
    </row>
    <row r="122" spans="1:159" ht="17.25" hidden="1" thickBot="1" x14ac:dyDescent="0.3">
      <c r="A122" s="226">
        <v>46086</v>
      </c>
      <c r="B122" s="227" t="s">
        <v>175</v>
      </c>
      <c r="C122" s="227" t="s">
        <v>253</v>
      </c>
      <c r="D122" s="228">
        <v>3000</v>
      </c>
      <c r="E122" s="228">
        <v>25</v>
      </c>
      <c r="F122" s="228">
        <v>268.60000000000002</v>
      </c>
      <c r="G122" s="228">
        <v>270.55</v>
      </c>
      <c r="H122" s="228">
        <v>-1.95</v>
      </c>
      <c r="I122" s="229">
        <v>-7.1999999999999998E-3</v>
      </c>
      <c r="J122" s="228">
        <v>267.3</v>
      </c>
      <c r="K122" s="228">
        <v>269.25</v>
      </c>
      <c r="L122" s="228">
        <v>-1.95</v>
      </c>
      <c r="M122" s="229">
        <v>-7.1999999999999998E-3</v>
      </c>
      <c r="N122" s="228">
        <v>268.60000000000002</v>
      </c>
      <c r="O122" s="228">
        <v>270.55</v>
      </c>
      <c r="P122" s="228">
        <v>-1.95</v>
      </c>
      <c r="Q122" s="229">
        <v>-7.1999999999999998E-3</v>
      </c>
      <c r="R122" s="228">
        <v>270.14999999999998</v>
      </c>
      <c r="S122" s="228">
        <v>272.3</v>
      </c>
      <c r="T122" s="228">
        <v>-2.15</v>
      </c>
      <c r="U122" s="229">
        <v>-7.9000000000000008E-3</v>
      </c>
      <c r="V122" s="228">
        <v>273</v>
      </c>
      <c r="W122" s="228">
        <v>273.14999999999998</v>
      </c>
      <c r="X122" s="228">
        <v>-0.15</v>
      </c>
      <c r="Y122" s="229">
        <v>-5.0000000000000001E-4</v>
      </c>
      <c r="Z122" s="228">
        <v>1.3</v>
      </c>
      <c r="AA122" s="228">
        <v>1.3</v>
      </c>
      <c r="AB122" s="228">
        <v>0</v>
      </c>
      <c r="AC122" s="229">
        <v>4.8999999999999998E-3</v>
      </c>
      <c r="AD122" s="228">
        <v>1.3</v>
      </c>
      <c r="AE122" s="228">
        <v>1.3</v>
      </c>
      <c r="AF122" s="228">
        <v>0</v>
      </c>
      <c r="AG122" s="229">
        <v>4.8999999999999998E-3</v>
      </c>
      <c r="AH122" s="228">
        <v>2.85</v>
      </c>
      <c r="AI122" s="228">
        <v>3.05</v>
      </c>
      <c r="AJ122" s="228">
        <v>-0.2</v>
      </c>
      <c r="AK122" s="229">
        <v>1.0699999999999999E-2</v>
      </c>
      <c r="AL122" s="228">
        <v>5.7</v>
      </c>
      <c r="AM122" s="228">
        <v>3.9</v>
      </c>
      <c r="AN122" s="228">
        <v>1.8</v>
      </c>
      <c r="AO122" s="229">
        <v>2.1299999999999999E-2</v>
      </c>
      <c r="AP122" s="228">
        <v>268.45999999999998</v>
      </c>
      <c r="AQ122" s="228">
        <v>270.52999999999997</v>
      </c>
      <c r="AR122" s="228">
        <v>0</v>
      </c>
      <c r="AS122" s="228">
        <v>173</v>
      </c>
      <c r="AT122" s="228">
        <v>329</v>
      </c>
      <c r="AU122" s="228">
        <v>-157</v>
      </c>
      <c r="AV122" s="229">
        <v>-0.47570000000000001</v>
      </c>
      <c r="AW122" s="228">
        <v>161</v>
      </c>
      <c r="AX122" s="228">
        <v>315</v>
      </c>
      <c r="AY122" s="228">
        <v>-154</v>
      </c>
      <c r="AZ122" s="229">
        <v>-0.48809999999999998</v>
      </c>
      <c r="BA122" s="228">
        <v>11</v>
      </c>
      <c r="BB122" s="228">
        <v>14</v>
      </c>
      <c r="BC122" s="228">
        <v>-3</v>
      </c>
      <c r="BD122" s="229">
        <v>-0.22489999999999999</v>
      </c>
      <c r="BE122" s="228">
        <v>1</v>
      </c>
      <c r="BF122" s="228">
        <v>1</v>
      </c>
      <c r="BG122" s="228">
        <v>0</v>
      </c>
      <c r="BH122" s="229">
        <v>0.22220000000000001</v>
      </c>
      <c r="BI122" s="228">
        <v>304</v>
      </c>
      <c r="BJ122" s="228">
        <v>477</v>
      </c>
      <c r="BK122" s="228">
        <v>-173</v>
      </c>
      <c r="BL122" s="229">
        <v>-0.3619</v>
      </c>
      <c r="BM122" s="228">
        <v>129</v>
      </c>
      <c r="BN122" s="228">
        <v>326</v>
      </c>
      <c r="BO122" s="228">
        <v>-198</v>
      </c>
      <c r="BP122" s="229">
        <v>-0.60619999999999996</v>
      </c>
      <c r="BQ122" s="228">
        <v>606</v>
      </c>
      <c r="BR122" s="230">
        <v>1133</v>
      </c>
      <c r="BS122" s="228">
        <v>-527</v>
      </c>
      <c r="BT122" s="229">
        <v>-0.46539999999999998</v>
      </c>
      <c r="BU122" s="230">
        <v>3640594</v>
      </c>
      <c r="BV122" s="230">
        <v>6757142</v>
      </c>
      <c r="BW122" s="230">
        <v>-3116548</v>
      </c>
      <c r="BX122" s="229">
        <v>-0.4612</v>
      </c>
      <c r="BY122" s="230">
        <v>1380</v>
      </c>
      <c r="BZ122" s="230">
        <v>1340</v>
      </c>
      <c r="CA122" s="228">
        <v>40</v>
      </c>
      <c r="CB122" s="229">
        <v>2.98E-2</v>
      </c>
      <c r="CC122" s="230">
        <v>1362</v>
      </c>
      <c r="CD122" s="230">
        <v>1325</v>
      </c>
      <c r="CE122" s="228">
        <v>37</v>
      </c>
      <c r="CF122" s="229">
        <v>2.7699999999999999E-2</v>
      </c>
      <c r="CG122" s="228">
        <v>17</v>
      </c>
      <c r="CH122" s="228">
        <v>14</v>
      </c>
      <c r="CI122" s="228">
        <v>3</v>
      </c>
      <c r="CJ122" s="229">
        <v>0.1966</v>
      </c>
      <c r="CK122" s="228">
        <v>1</v>
      </c>
      <c r="CL122" s="228">
        <v>1</v>
      </c>
      <c r="CM122" s="228">
        <v>0</v>
      </c>
      <c r="CN122" s="229">
        <v>0.5</v>
      </c>
      <c r="CO122" s="228">
        <v>483</v>
      </c>
      <c r="CP122" s="228">
        <v>448</v>
      </c>
      <c r="CQ122" s="228">
        <v>34</v>
      </c>
      <c r="CR122" s="229">
        <v>7.6700000000000004E-2</v>
      </c>
      <c r="CS122" s="228">
        <v>373</v>
      </c>
      <c r="CT122" s="228">
        <v>346</v>
      </c>
      <c r="CU122" s="228">
        <v>27</v>
      </c>
      <c r="CV122" s="229">
        <v>7.9000000000000001E-2</v>
      </c>
      <c r="CW122" s="230">
        <v>2236</v>
      </c>
      <c r="CX122" s="230">
        <v>2134</v>
      </c>
      <c r="CY122" s="228">
        <v>102</v>
      </c>
      <c r="CZ122" s="229">
        <v>4.7699999999999999E-2</v>
      </c>
      <c r="DA122" s="228">
        <v>37.36</v>
      </c>
      <c r="DB122" s="228">
        <v>40.229999999999997</v>
      </c>
      <c r="DC122" s="228">
        <v>-2.87</v>
      </c>
      <c r="DD122" s="228">
        <v>-2.87</v>
      </c>
      <c r="DE122" s="228">
        <v>42.59</v>
      </c>
      <c r="DF122" s="228">
        <v>42.69</v>
      </c>
      <c r="DG122" s="228">
        <v>-5.23</v>
      </c>
      <c r="DH122" s="228">
        <v>-0.1</v>
      </c>
      <c r="DI122" s="228">
        <v>37.82</v>
      </c>
      <c r="DJ122" s="228">
        <v>40.19</v>
      </c>
      <c r="DK122" s="228">
        <v>-2.37</v>
      </c>
      <c r="DL122" s="228">
        <v>-2.37</v>
      </c>
      <c r="DM122" s="228">
        <v>36.29</v>
      </c>
      <c r="DN122" s="228">
        <v>40.29</v>
      </c>
      <c r="DO122" s="228">
        <v>-4</v>
      </c>
      <c r="DP122" s="228">
        <v>-4</v>
      </c>
      <c r="DQ122" s="228">
        <v>0.77</v>
      </c>
      <c r="DR122" s="228">
        <v>0.77</v>
      </c>
      <c r="DS122" s="228">
        <v>0</v>
      </c>
      <c r="DT122" s="229">
        <v>0</v>
      </c>
      <c r="DU122" s="228">
        <v>300</v>
      </c>
      <c r="DV122" s="228">
        <v>250</v>
      </c>
      <c r="DW122" s="228">
        <v>0.42</v>
      </c>
      <c r="DX122" s="228">
        <v>0.68</v>
      </c>
      <c r="DY122" s="228">
        <v>-0.26</v>
      </c>
      <c r="DZ122" s="229">
        <v>-0.38240000000000002</v>
      </c>
      <c r="EA122" s="229">
        <v>1.3299999999999999E-2</v>
      </c>
      <c r="EB122" s="230">
        <v>564000</v>
      </c>
      <c r="EC122" s="229">
        <v>5.7999999999999996E-3</v>
      </c>
      <c r="ED122" s="229">
        <v>1.3299999999999999E-2</v>
      </c>
      <c r="EE122" s="228">
        <v>2.0699999999999998</v>
      </c>
      <c r="EF122" s="229">
        <v>7.7000000000000002E-3</v>
      </c>
      <c r="EG122" s="230">
        <v>1588613</v>
      </c>
      <c r="EH122" s="230">
        <v>2924753</v>
      </c>
      <c r="EI122" s="229">
        <v>-0.45679999999999998</v>
      </c>
      <c r="EJ122" s="229">
        <v>0.43640000000000001</v>
      </c>
      <c r="EK122" s="228">
        <v>337.85</v>
      </c>
      <c r="EL122" s="228">
        <v>130.05000000000001</v>
      </c>
      <c r="EM122" s="228">
        <v>172.68</v>
      </c>
      <c r="EN122" s="228">
        <v>46.5</v>
      </c>
      <c r="EO122" s="228">
        <v>640.58000000000004</v>
      </c>
      <c r="EP122" s="231">
        <v>1203.5999999999999</v>
      </c>
      <c r="EQ122" s="228">
        <v>-563.02</v>
      </c>
      <c r="ER122" s="229">
        <v>-0.46779999999999999</v>
      </c>
      <c r="ES122" s="228">
        <v>544.25</v>
      </c>
      <c r="ET122" s="228">
        <v>382.51</v>
      </c>
      <c r="EU122" s="231">
        <v>1380.05</v>
      </c>
      <c r="EV122" s="231">
        <v>82205057</v>
      </c>
      <c r="EW122" s="231">
        <v>2306.81</v>
      </c>
      <c r="EX122" s="231">
        <v>2214.8000000000002</v>
      </c>
      <c r="EY122" s="228">
        <v>92.01</v>
      </c>
      <c r="EZ122" s="229">
        <v>4.1500000000000002E-2</v>
      </c>
      <c r="FA122" s="229">
        <v>1.0125</v>
      </c>
      <c r="FB122" s="227" t="s">
        <v>567</v>
      </c>
      <c r="FC122">
        <f t="shared" si="1"/>
        <v>18</v>
      </c>
    </row>
    <row r="123" spans="1:159" ht="17.25" hidden="1" thickBot="1" x14ac:dyDescent="0.3">
      <c r="A123" s="226">
        <v>46086</v>
      </c>
      <c r="B123" s="227" t="s">
        <v>170</v>
      </c>
      <c r="C123" s="227" t="s">
        <v>671</v>
      </c>
      <c r="D123" s="228">
        <v>225</v>
      </c>
      <c r="E123" s="228">
        <v>25</v>
      </c>
      <c r="F123" s="231">
        <v>2234</v>
      </c>
      <c r="G123" s="231">
        <v>2209</v>
      </c>
      <c r="H123" s="228">
        <v>25</v>
      </c>
      <c r="I123" s="229">
        <v>1.1299999999999999E-2</v>
      </c>
      <c r="J123" s="231">
        <v>2226.4</v>
      </c>
      <c r="K123" s="231">
        <v>2207.1999999999998</v>
      </c>
      <c r="L123" s="228">
        <v>19.2</v>
      </c>
      <c r="M123" s="229">
        <v>8.6999999999999994E-3</v>
      </c>
      <c r="N123" s="231">
        <v>2234</v>
      </c>
      <c r="O123" s="231">
        <v>2209</v>
      </c>
      <c r="P123" s="228">
        <v>25</v>
      </c>
      <c r="Q123" s="229">
        <v>1.1299999999999999E-2</v>
      </c>
      <c r="R123" s="231">
        <v>2235.1</v>
      </c>
      <c r="S123" s="231">
        <v>2211.8000000000002</v>
      </c>
      <c r="T123" s="228">
        <v>23.3</v>
      </c>
      <c r="U123" s="229">
        <v>1.0500000000000001E-2</v>
      </c>
      <c r="V123" s="231">
        <v>2222.1999999999998</v>
      </c>
      <c r="W123" s="231">
        <v>2220</v>
      </c>
      <c r="X123" s="228">
        <v>2.2000000000000002</v>
      </c>
      <c r="Y123" s="229">
        <v>1E-3</v>
      </c>
      <c r="Z123" s="228">
        <v>7.6</v>
      </c>
      <c r="AA123" s="228">
        <v>1.8</v>
      </c>
      <c r="AB123" s="228">
        <v>5.8</v>
      </c>
      <c r="AC123" s="229">
        <v>3.3999999999999998E-3</v>
      </c>
      <c r="AD123" s="228">
        <v>7.6</v>
      </c>
      <c r="AE123" s="228">
        <v>1.8</v>
      </c>
      <c r="AF123" s="228">
        <v>5.8</v>
      </c>
      <c r="AG123" s="229">
        <v>3.3999999999999998E-3</v>
      </c>
      <c r="AH123" s="228">
        <v>8.6999999999999993</v>
      </c>
      <c r="AI123" s="228">
        <v>4.5999999999999996</v>
      </c>
      <c r="AJ123" s="228">
        <v>4.0999999999999996</v>
      </c>
      <c r="AK123" s="229">
        <v>3.8999999999999998E-3</v>
      </c>
      <c r="AL123" s="228">
        <v>-4.2</v>
      </c>
      <c r="AM123" s="228">
        <v>12.8</v>
      </c>
      <c r="AN123" s="228">
        <v>-17</v>
      </c>
      <c r="AO123" s="229">
        <v>-1.9E-3</v>
      </c>
      <c r="AP123" s="231">
        <v>2226.8200000000002</v>
      </c>
      <c r="AQ123" s="231">
        <v>2232.89</v>
      </c>
      <c r="AR123" s="228">
        <v>0</v>
      </c>
      <c r="AS123" s="228">
        <v>81</v>
      </c>
      <c r="AT123" s="228">
        <v>85</v>
      </c>
      <c r="AU123" s="228">
        <v>-4</v>
      </c>
      <c r="AV123" s="229">
        <v>-4.8300000000000003E-2</v>
      </c>
      <c r="AW123" s="228">
        <v>78</v>
      </c>
      <c r="AX123" s="228">
        <v>78</v>
      </c>
      <c r="AY123" s="228">
        <v>0</v>
      </c>
      <c r="AZ123" s="229">
        <v>-3.8999999999999998E-3</v>
      </c>
      <c r="BA123" s="228">
        <v>4</v>
      </c>
      <c r="BB123" s="228">
        <v>7</v>
      </c>
      <c r="BC123" s="228">
        <v>-4</v>
      </c>
      <c r="BD123" s="229">
        <v>-0.5</v>
      </c>
      <c r="BE123" s="228">
        <v>0</v>
      </c>
      <c r="BF123" s="228">
        <v>0</v>
      </c>
      <c r="BG123" s="228">
        <v>0</v>
      </c>
      <c r="BH123" s="229">
        <v>-0.85709999999999997</v>
      </c>
      <c r="BI123" s="228">
        <v>206</v>
      </c>
      <c r="BJ123" s="228">
        <v>111</v>
      </c>
      <c r="BK123" s="228">
        <v>95</v>
      </c>
      <c r="BL123" s="229">
        <v>0.86060000000000003</v>
      </c>
      <c r="BM123" s="228">
        <v>35</v>
      </c>
      <c r="BN123" s="228">
        <v>66</v>
      </c>
      <c r="BO123" s="228">
        <v>-31</v>
      </c>
      <c r="BP123" s="229">
        <v>-0.4672</v>
      </c>
      <c r="BQ123" s="228">
        <v>322</v>
      </c>
      <c r="BR123" s="228">
        <v>262</v>
      </c>
      <c r="BS123" s="228">
        <v>60</v>
      </c>
      <c r="BT123" s="229">
        <v>0.2303</v>
      </c>
      <c r="BU123" s="230">
        <v>318474</v>
      </c>
      <c r="BV123" s="230">
        <v>695367</v>
      </c>
      <c r="BW123" s="230">
        <v>-376893</v>
      </c>
      <c r="BX123" s="229">
        <v>-0.54200000000000004</v>
      </c>
      <c r="BY123" s="228">
        <v>599</v>
      </c>
      <c r="BZ123" s="228">
        <v>603</v>
      </c>
      <c r="CA123" s="228">
        <v>-4</v>
      </c>
      <c r="CB123" s="229">
        <v>-6.7000000000000002E-3</v>
      </c>
      <c r="CC123" s="228">
        <v>588</v>
      </c>
      <c r="CD123" s="228">
        <v>592</v>
      </c>
      <c r="CE123" s="228">
        <v>-5</v>
      </c>
      <c r="CF123" s="229">
        <v>-7.7000000000000002E-3</v>
      </c>
      <c r="CG123" s="228">
        <v>10</v>
      </c>
      <c r="CH123" s="228">
        <v>10</v>
      </c>
      <c r="CI123" s="228">
        <v>1</v>
      </c>
      <c r="CJ123" s="229">
        <v>5.5800000000000002E-2</v>
      </c>
      <c r="CK123" s="228">
        <v>1</v>
      </c>
      <c r="CL123" s="228">
        <v>1</v>
      </c>
      <c r="CM123" s="228">
        <v>0</v>
      </c>
      <c r="CN123" s="229">
        <v>0</v>
      </c>
      <c r="CO123" s="228">
        <v>201</v>
      </c>
      <c r="CP123" s="228">
        <v>187</v>
      </c>
      <c r="CQ123" s="228">
        <v>14</v>
      </c>
      <c r="CR123" s="229">
        <v>7.4899999999999994E-2</v>
      </c>
      <c r="CS123" s="228">
        <v>119</v>
      </c>
      <c r="CT123" s="228">
        <v>122</v>
      </c>
      <c r="CU123" s="228">
        <v>-3</v>
      </c>
      <c r="CV123" s="229">
        <v>-2.4299999999999999E-2</v>
      </c>
      <c r="CW123" s="228">
        <v>919</v>
      </c>
      <c r="CX123" s="228">
        <v>912</v>
      </c>
      <c r="CY123" s="228">
        <v>7</v>
      </c>
      <c r="CZ123" s="229">
        <v>7.7000000000000002E-3</v>
      </c>
      <c r="DA123" s="228">
        <v>27.32</v>
      </c>
      <c r="DB123" s="228">
        <v>29.29</v>
      </c>
      <c r="DC123" s="228">
        <v>-1.97</v>
      </c>
      <c r="DD123" s="228">
        <v>-1.97</v>
      </c>
      <c r="DE123" s="228">
        <v>33.33</v>
      </c>
      <c r="DF123" s="228">
        <v>33.39</v>
      </c>
      <c r="DG123" s="228">
        <v>-6.01</v>
      </c>
      <c r="DH123" s="228">
        <v>-0.06</v>
      </c>
      <c r="DI123" s="228">
        <v>27.21</v>
      </c>
      <c r="DJ123" s="228">
        <v>29.14</v>
      </c>
      <c r="DK123" s="228">
        <v>-1.93</v>
      </c>
      <c r="DL123" s="228">
        <v>-1.93</v>
      </c>
      <c r="DM123" s="228">
        <v>28</v>
      </c>
      <c r="DN123" s="228">
        <v>29.55</v>
      </c>
      <c r="DO123" s="228">
        <v>-1.55</v>
      </c>
      <c r="DP123" s="228">
        <v>-1.55</v>
      </c>
      <c r="DQ123" s="228">
        <v>0.59</v>
      </c>
      <c r="DR123" s="228">
        <v>0.65</v>
      </c>
      <c r="DS123" s="228">
        <v>-0.06</v>
      </c>
      <c r="DT123" s="229">
        <v>-9.2299999999999993E-2</v>
      </c>
      <c r="DU123" s="231">
        <v>2400</v>
      </c>
      <c r="DV123" s="231">
        <v>2100</v>
      </c>
      <c r="DW123" s="228">
        <v>0.17</v>
      </c>
      <c r="DX123" s="228">
        <v>0.6</v>
      </c>
      <c r="DY123" s="228">
        <v>-0.43</v>
      </c>
      <c r="DZ123" s="229">
        <v>-0.7167</v>
      </c>
      <c r="EA123" s="229">
        <v>1.9699999999999999E-2</v>
      </c>
      <c r="EB123" s="230">
        <v>50400</v>
      </c>
      <c r="EC123" s="229">
        <v>5.0000000000000001E-4</v>
      </c>
      <c r="ED123" s="229">
        <v>1.9699999999999999E-2</v>
      </c>
      <c r="EE123" s="228">
        <v>6.07</v>
      </c>
      <c r="EF123" s="229">
        <v>2.7000000000000001E-3</v>
      </c>
      <c r="EG123" s="230">
        <v>171145</v>
      </c>
      <c r="EH123" s="230">
        <v>433210</v>
      </c>
      <c r="EI123" s="229">
        <v>-0.60489999999999999</v>
      </c>
      <c r="EJ123" s="229">
        <v>0.53739999999999999</v>
      </c>
      <c r="EK123" s="228">
        <v>217.94</v>
      </c>
      <c r="EL123" s="228">
        <v>34.21</v>
      </c>
      <c r="EM123" s="228">
        <v>81.03</v>
      </c>
      <c r="EN123" s="228">
        <v>42.05</v>
      </c>
      <c r="EO123" s="228">
        <v>333.17</v>
      </c>
      <c r="EP123" s="228">
        <v>266.93</v>
      </c>
      <c r="EQ123" s="228">
        <v>66.239999999999995</v>
      </c>
      <c r="ER123" s="229">
        <v>0.2482</v>
      </c>
      <c r="ES123" s="228">
        <v>208.28</v>
      </c>
      <c r="ET123" s="228">
        <v>113.31</v>
      </c>
      <c r="EU123" s="228">
        <v>599.41</v>
      </c>
      <c r="EV123" s="231">
        <v>16919681</v>
      </c>
      <c r="EW123" s="228">
        <v>920.99</v>
      </c>
      <c r="EX123" s="228">
        <v>906.62</v>
      </c>
      <c r="EY123" s="228">
        <v>14.37</v>
      </c>
      <c r="EZ123" s="229">
        <v>1.5900000000000001E-2</v>
      </c>
      <c r="FA123" s="229">
        <v>0.24310000000000001</v>
      </c>
      <c r="FB123" s="227" t="s">
        <v>556</v>
      </c>
      <c r="FC123">
        <f t="shared" si="1"/>
        <v>11</v>
      </c>
    </row>
    <row r="124" spans="1:159" ht="17.25" hidden="1" thickBot="1" x14ac:dyDescent="0.3">
      <c r="A124" s="226">
        <v>46086</v>
      </c>
      <c r="B124" s="227" t="s">
        <v>168</v>
      </c>
      <c r="C124" s="227" t="s">
        <v>254</v>
      </c>
      <c r="D124" s="228">
        <v>1200</v>
      </c>
      <c r="E124" s="228">
        <v>25</v>
      </c>
      <c r="F124" s="228">
        <v>780.35</v>
      </c>
      <c r="G124" s="228">
        <v>775.3</v>
      </c>
      <c r="H124" s="228">
        <v>5.05</v>
      </c>
      <c r="I124" s="229">
        <v>6.4999999999999997E-3</v>
      </c>
      <c r="J124" s="228">
        <v>778.85</v>
      </c>
      <c r="K124" s="228">
        <v>771.85</v>
      </c>
      <c r="L124" s="228">
        <v>7</v>
      </c>
      <c r="M124" s="229">
        <v>9.1000000000000004E-3</v>
      </c>
      <c r="N124" s="228">
        <v>780.35</v>
      </c>
      <c r="O124" s="228">
        <v>775.3</v>
      </c>
      <c r="P124" s="228">
        <v>5.05</v>
      </c>
      <c r="Q124" s="229">
        <v>6.4999999999999997E-3</v>
      </c>
      <c r="R124" s="228">
        <v>783.8</v>
      </c>
      <c r="S124" s="228">
        <v>779.75</v>
      </c>
      <c r="T124" s="228">
        <v>4.05</v>
      </c>
      <c r="U124" s="229">
        <v>5.1999999999999998E-3</v>
      </c>
      <c r="V124" s="228">
        <v>788.4</v>
      </c>
      <c r="W124" s="228">
        <v>780.75</v>
      </c>
      <c r="X124" s="228">
        <v>7.65</v>
      </c>
      <c r="Y124" s="229">
        <v>9.7999999999999997E-3</v>
      </c>
      <c r="Z124" s="228">
        <v>1.5</v>
      </c>
      <c r="AA124" s="228">
        <v>3.45</v>
      </c>
      <c r="AB124" s="228">
        <v>-1.95</v>
      </c>
      <c r="AC124" s="229">
        <v>1.9E-3</v>
      </c>
      <c r="AD124" s="228">
        <v>1.5</v>
      </c>
      <c r="AE124" s="228">
        <v>3.45</v>
      </c>
      <c r="AF124" s="228">
        <v>-1.95</v>
      </c>
      <c r="AG124" s="229">
        <v>1.9E-3</v>
      </c>
      <c r="AH124" s="228">
        <v>4.95</v>
      </c>
      <c r="AI124" s="228">
        <v>7.9</v>
      </c>
      <c r="AJ124" s="228">
        <v>-2.95</v>
      </c>
      <c r="AK124" s="229">
        <v>6.4000000000000003E-3</v>
      </c>
      <c r="AL124" s="228">
        <v>9.5500000000000007</v>
      </c>
      <c r="AM124" s="228">
        <v>8.9</v>
      </c>
      <c r="AN124" s="228">
        <v>0.65</v>
      </c>
      <c r="AO124" s="229">
        <v>1.23E-2</v>
      </c>
      <c r="AP124" s="228">
        <v>777.63</v>
      </c>
      <c r="AQ124" s="228">
        <v>783.73</v>
      </c>
      <c r="AR124" s="228">
        <v>0</v>
      </c>
      <c r="AS124" s="228">
        <v>110</v>
      </c>
      <c r="AT124" s="228">
        <v>181</v>
      </c>
      <c r="AU124" s="228">
        <v>-72</v>
      </c>
      <c r="AV124" s="229">
        <v>-0.39489999999999997</v>
      </c>
      <c r="AW124" s="228">
        <v>108</v>
      </c>
      <c r="AX124" s="228">
        <v>176</v>
      </c>
      <c r="AY124" s="228">
        <v>-68</v>
      </c>
      <c r="AZ124" s="229">
        <v>-0.38819999999999999</v>
      </c>
      <c r="BA124" s="228">
        <v>2</v>
      </c>
      <c r="BB124" s="228">
        <v>4</v>
      </c>
      <c r="BC124" s="228">
        <v>-3</v>
      </c>
      <c r="BD124" s="229">
        <v>-0.60419999999999996</v>
      </c>
      <c r="BE124" s="228">
        <v>0</v>
      </c>
      <c r="BF124" s="228">
        <v>1</v>
      </c>
      <c r="BG124" s="228">
        <v>0</v>
      </c>
      <c r="BH124" s="229">
        <v>-0.83330000000000004</v>
      </c>
      <c r="BI124" s="228">
        <v>204</v>
      </c>
      <c r="BJ124" s="228">
        <v>262</v>
      </c>
      <c r="BK124" s="228">
        <v>-58</v>
      </c>
      <c r="BL124" s="229">
        <v>-0.2213</v>
      </c>
      <c r="BM124" s="228">
        <v>83</v>
      </c>
      <c r="BN124" s="228">
        <v>218</v>
      </c>
      <c r="BO124" s="228">
        <v>-134</v>
      </c>
      <c r="BP124" s="229">
        <v>-0.6169</v>
      </c>
      <c r="BQ124" s="228">
        <v>397</v>
      </c>
      <c r="BR124" s="228">
        <v>661</v>
      </c>
      <c r="BS124" s="228">
        <v>-264</v>
      </c>
      <c r="BT124" s="229">
        <v>-0.39939999999999998</v>
      </c>
      <c r="BU124" s="230">
        <v>1033664</v>
      </c>
      <c r="BV124" s="230">
        <v>1207587</v>
      </c>
      <c r="BW124" s="230">
        <v>-173923</v>
      </c>
      <c r="BX124" s="229">
        <v>-0.14399999999999999</v>
      </c>
      <c r="BY124" s="230">
        <v>2091</v>
      </c>
      <c r="BZ124" s="230">
        <v>2106</v>
      </c>
      <c r="CA124" s="228">
        <v>-15</v>
      </c>
      <c r="CB124" s="229">
        <v>-7.0000000000000001E-3</v>
      </c>
      <c r="CC124" s="230">
        <v>2086</v>
      </c>
      <c r="CD124" s="230">
        <v>2100</v>
      </c>
      <c r="CE124" s="228">
        <v>-14</v>
      </c>
      <c r="CF124" s="229">
        <v>-6.6E-3</v>
      </c>
      <c r="CG124" s="228">
        <v>5</v>
      </c>
      <c r="CH124" s="228">
        <v>6</v>
      </c>
      <c r="CI124" s="228">
        <v>-1</v>
      </c>
      <c r="CJ124" s="229">
        <v>-0.16669999999999999</v>
      </c>
      <c r="CK124" s="228">
        <v>1</v>
      </c>
      <c r="CL124" s="228">
        <v>1</v>
      </c>
      <c r="CM124" s="228">
        <v>0</v>
      </c>
      <c r="CN124" s="229">
        <v>0.125</v>
      </c>
      <c r="CO124" s="228">
        <v>361</v>
      </c>
      <c r="CP124" s="228">
        <v>352</v>
      </c>
      <c r="CQ124" s="228">
        <v>9</v>
      </c>
      <c r="CR124" s="229">
        <v>2.6599999999999999E-2</v>
      </c>
      <c r="CS124" s="228">
        <v>167</v>
      </c>
      <c r="CT124" s="228">
        <v>162</v>
      </c>
      <c r="CU124" s="228">
        <v>5</v>
      </c>
      <c r="CV124" s="229">
        <v>3.2399999999999998E-2</v>
      </c>
      <c r="CW124" s="230">
        <v>2620</v>
      </c>
      <c r="CX124" s="230">
        <v>2620</v>
      </c>
      <c r="CY124" s="228">
        <v>0</v>
      </c>
      <c r="CZ124" s="229">
        <v>0</v>
      </c>
      <c r="DA124" s="228">
        <v>20.3</v>
      </c>
      <c r="DB124" s="228">
        <v>21.95</v>
      </c>
      <c r="DC124" s="228">
        <v>-1.65</v>
      </c>
      <c r="DD124" s="228">
        <v>-1.65</v>
      </c>
      <c r="DE124" s="228">
        <v>24.22</v>
      </c>
      <c r="DF124" s="228">
        <v>24.25</v>
      </c>
      <c r="DG124" s="228">
        <v>-3.92</v>
      </c>
      <c r="DH124" s="228">
        <v>-0.03</v>
      </c>
      <c r="DI124" s="228">
        <v>20.02</v>
      </c>
      <c r="DJ124" s="228">
        <v>21.84</v>
      </c>
      <c r="DK124" s="228">
        <v>-1.82</v>
      </c>
      <c r="DL124" s="228">
        <v>-1.82</v>
      </c>
      <c r="DM124" s="228">
        <v>20.98</v>
      </c>
      <c r="DN124" s="228">
        <v>22.08</v>
      </c>
      <c r="DO124" s="228">
        <v>-1.1000000000000001</v>
      </c>
      <c r="DP124" s="228">
        <v>-1.1000000000000001</v>
      </c>
      <c r="DQ124" s="228">
        <v>0.46</v>
      </c>
      <c r="DR124" s="228">
        <v>0.46</v>
      </c>
      <c r="DS124" s="228">
        <v>0</v>
      </c>
      <c r="DT124" s="229">
        <v>0</v>
      </c>
      <c r="DU124" s="228">
        <v>860</v>
      </c>
      <c r="DV124" s="228">
        <v>750</v>
      </c>
      <c r="DW124" s="228">
        <v>0.41</v>
      </c>
      <c r="DX124" s="228">
        <v>0.83</v>
      </c>
      <c r="DY124" s="228">
        <v>-0.42</v>
      </c>
      <c r="DZ124" s="229">
        <v>-0.50600000000000001</v>
      </c>
      <c r="EA124" s="229">
        <v>2.5999999999999999E-3</v>
      </c>
      <c r="EB124" s="230">
        <v>81600</v>
      </c>
      <c r="EC124" s="229">
        <v>4.4000000000000003E-3</v>
      </c>
      <c r="ED124" s="229">
        <v>2.5999999999999999E-3</v>
      </c>
      <c r="EE124" s="228">
        <v>6.1</v>
      </c>
      <c r="EF124" s="229">
        <v>7.7999999999999996E-3</v>
      </c>
      <c r="EG124" s="230">
        <v>656108</v>
      </c>
      <c r="EH124" s="230">
        <v>728723</v>
      </c>
      <c r="EI124" s="229">
        <v>-9.9599999999999994E-2</v>
      </c>
      <c r="EJ124" s="229">
        <v>0.63470000000000004</v>
      </c>
      <c r="EK124" s="228">
        <v>215.37</v>
      </c>
      <c r="EL124" s="228">
        <v>81.510000000000005</v>
      </c>
      <c r="EM124" s="228">
        <v>109.38</v>
      </c>
      <c r="EN124" s="228">
        <v>18.28</v>
      </c>
      <c r="EO124" s="228">
        <v>406.27</v>
      </c>
      <c r="EP124" s="228">
        <v>672.97</v>
      </c>
      <c r="EQ124" s="228">
        <v>-266.7</v>
      </c>
      <c r="ER124" s="229">
        <v>-0.39629999999999999</v>
      </c>
      <c r="ES124" s="228">
        <v>382.22</v>
      </c>
      <c r="ET124" s="228">
        <v>163.52000000000001</v>
      </c>
      <c r="EU124" s="231">
        <v>2091.52</v>
      </c>
      <c r="EV124" s="231">
        <v>79442217</v>
      </c>
      <c r="EW124" s="231">
        <v>2637.26</v>
      </c>
      <c r="EX124" s="231">
        <v>2624.22</v>
      </c>
      <c r="EY124" s="228">
        <v>13.04</v>
      </c>
      <c r="EZ124" s="229">
        <v>5.0000000000000001E-3</v>
      </c>
      <c r="FA124" s="229">
        <v>0.42259999999999998</v>
      </c>
      <c r="FB124" s="227" t="s">
        <v>556</v>
      </c>
      <c r="FC124">
        <f t="shared" si="1"/>
        <v>5</v>
      </c>
    </row>
    <row r="125" spans="1:159" ht="17.25" hidden="1" thickBot="1" x14ac:dyDescent="0.3">
      <c r="A125" s="226">
        <v>46086</v>
      </c>
      <c r="B125" s="227" t="s">
        <v>162</v>
      </c>
      <c r="C125" s="227" t="s">
        <v>255</v>
      </c>
      <c r="D125" s="228">
        <v>50</v>
      </c>
      <c r="E125" s="228">
        <v>25</v>
      </c>
      <c r="F125" s="231">
        <v>14439</v>
      </c>
      <c r="G125" s="231">
        <v>14185</v>
      </c>
      <c r="H125" s="228">
        <v>254</v>
      </c>
      <c r="I125" s="229">
        <v>1.7899999999999999E-2</v>
      </c>
      <c r="J125" s="231">
        <v>14415</v>
      </c>
      <c r="K125" s="231">
        <v>14158</v>
      </c>
      <c r="L125" s="228">
        <v>257</v>
      </c>
      <c r="M125" s="229">
        <v>1.8200000000000001E-2</v>
      </c>
      <c r="N125" s="231">
        <v>14439</v>
      </c>
      <c r="O125" s="231">
        <v>14185</v>
      </c>
      <c r="P125" s="228">
        <v>254</v>
      </c>
      <c r="Q125" s="229">
        <v>1.7899999999999999E-2</v>
      </c>
      <c r="R125" s="231">
        <v>14526</v>
      </c>
      <c r="S125" s="231">
        <v>14272</v>
      </c>
      <c r="T125" s="228">
        <v>254</v>
      </c>
      <c r="U125" s="229">
        <v>1.78E-2</v>
      </c>
      <c r="V125" s="231">
        <v>14628</v>
      </c>
      <c r="W125" s="231">
        <v>14346</v>
      </c>
      <c r="X125" s="228">
        <v>282</v>
      </c>
      <c r="Y125" s="229">
        <v>1.9699999999999999E-2</v>
      </c>
      <c r="Z125" s="228">
        <v>24</v>
      </c>
      <c r="AA125" s="228">
        <v>27</v>
      </c>
      <c r="AB125" s="228">
        <v>-3</v>
      </c>
      <c r="AC125" s="229">
        <v>1.6999999999999999E-3</v>
      </c>
      <c r="AD125" s="228">
        <v>24</v>
      </c>
      <c r="AE125" s="228">
        <v>27</v>
      </c>
      <c r="AF125" s="228">
        <v>-3</v>
      </c>
      <c r="AG125" s="229">
        <v>1.6999999999999999E-3</v>
      </c>
      <c r="AH125" s="228">
        <v>111</v>
      </c>
      <c r="AI125" s="228">
        <v>114</v>
      </c>
      <c r="AJ125" s="228">
        <v>-3</v>
      </c>
      <c r="AK125" s="229">
        <v>7.7000000000000002E-3</v>
      </c>
      <c r="AL125" s="228">
        <v>213</v>
      </c>
      <c r="AM125" s="228">
        <v>188</v>
      </c>
      <c r="AN125" s="228">
        <v>25</v>
      </c>
      <c r="AO125" s="229">
        <v>1.4800000000000001E-2</v>
      </c>
      <c r="AP125" s="231">
        <v>14332.14</v>
      </c>
      <c r="AQ125" s="231">
        <v>14412.85</v>
      </c>
      <c r="AR125" s="228">
        <v>0</v>
      </c>
      <c r="AS125" s="228">
        <v>617</v>
      </c>
      <c r="AT125" s="228">
        <v>880</v>
      </c>
      <c r="AU125" s="228">
        <v>-264</v>
      </c>
      <c r="AV125" s="229">
        <v>-0.29949999999999999</v>
      </c>
      <c r="AW125" s="228">
        <v>586</v>
      </c>
      <c r="AX125" s="228">
        <v>841</v>
      </c>
      <c r="AY125" s="228">
        <v>-255</v>
      </c>
      <c r="AZ125" s="229">
        <v>-0.30330000000000001</v>
      </c>
      <c r="BA125" s="228">
        <v>27</v>
      </c>
      <c r="BB125" s="228">
        <v>31</v>
      </c>
      <c r="BC125" s="228">
        <v>-4</v>
      </c>
      <c r="BD125" s="229">
        <v>-0.12970000000000001</v>
      </c>
      <c r="BE125" s="228">
        <v>4</v>
      </c>
      <c r="BF125" s="228">
        <v>8</v>
      </c>
      <c r="BG125" s="228">
        <v>-5</v>
      </c>
      <c r="BH125" s="229">
        <v>-0.53849999999999998</v>
      </c>
      <c r="BI125" s="230">
        <v>3290</v>
      </c>
      <c r="BJ125" s="230">
        <v>5059</v>
      </c>
      <c r="BK125" s="230">
        <v>-1768</v>
      </c>
      <c r="BL125" s="229">
        <v>-0.34960000000000002</v>
      </c>
      <c r="BM125" s="230">
        <v>1993</v>
      </c>
      <c r="BN125" s="230">
        <v>4044</v>
      </c>
      <c r="BO125" s="230">
        <v>-2051</v>
      </c>
      <c r="BP125" s="229">
        <v>-0.5071</v>
      </c>
      <c r="BQ125" s="230">
        <v>5900</v>
      </c>
      <c r="BR125" s="230">
        <v>9983</v>
      </c>
      <c r="BS125" s="230">
        <v>-4083</v>
      </c>
      <c r="BT125" s="229">
        <v>-0.40899999999999997</v>
      </c>
      <c r="BU125" s="230">
        <v>468924</v>
      </c>
      <c r="BV125" s="230">
        <v>734531</v>
      </c>
      <c r="BW125" s="230">
        <v>-265607</v>
      </c>
      <c r="BX125" s="229">
        <v>-0.36159999999999998</v>
      </c>
      <c r="BY125" s="230">
        <v>4060</v>
      </c>
      <c r="BZ125" s="230">
        <v>4087</v>
      </c>
      <c r="CA125" s="228">
        <v>-27</v>
      </c>
      <c r="CB125" s="229">
        <v>-6.4999999999999997E-3</v>
      </c>
      <c r="CC125" s="230">
        <v>3993</v>
      </c>
      <c r="CD125" s="230">
        <v>4025</v>
      </c>
      <c r="CE125" s="228">
        <v>-32</v>
      </c>
      <c r="CF125" s="229">
        <v>-7.9000000000000008E-3</v>
      </c>
      <c r="CG125" s="228">
        <v>55</v>
      </c>
      <c r="CH125" s="228">
        <v>51</v>
      </c>
      <c r="CI125" s="228">
        <v>4</v>
      </c>
      <c r="CJ125" s="229">
        <v>8.3599999999999994E-2</v>
      </c>
      <c r="CK125" s="228">
        <v>12</v>
      </c>
      <c r="CL125" s="228">
        <v>11</v>
      </c>
      <c r="CM125" s="228">
        <v>1</v>
      </c>
      <c r="CN125" s="229">
        <v>9.0300000000000005E-2</v>
      </c>
      <c r="CO125" s="230">
        <v>2372</v>
      </c>
      <c r="CP125" s="230">
        <v>2296</v>
      </c>
      <c r="CQ125" s="228">
        <v>75</v>
      </c>
      <c r="CR125" s="229">
        <v>3.2800000000000003E-2</v>
      </c>
      <c r="CS125" s="230">
        <v>1201</v>
      </c>
      <c r="CT125" s="230">
        <v>1180</v>
      </c>
      <c r="CU125" s="228">
        <v>21</v>
      </c>
      <c r="CV125" s="229">
        <v>1.78E-2</v>
      </c>
      <c r="CW125" s="230">
        <v>7633</v>
      </c>
      <c r="CX125" s="230">
        <v>7563</v>
      </c>
      <c r="CY125" s="228">
        <v>70</v>
      </c>
      <c r="CZ125" s="229">
        <v>9.1999999999999998E-3</v>
      </c>
      <c r="DA125" s="228">
        <v>22.97</v>
      </c>
      <c r="DB125" s="228">
        <v>26.51</v>
      </c>
      <c r="DC125" s="228">
        <v>-3.54</v>
      </c>
      <c r="DD125" s="228">
        <v>-3.54</v>
      </c>
      <c r="DE125" s="228">
        <v>25.32</v>
      </c>
      <c r="DF125" s="228">
        <v>25.26</v>
      </c>
      <c r="DG125" s="228">
        <v>-2.35</v>
      </c>
      <c r="DH125" s="228">
        <v>0.06</v>
      </c>
      <c r="DI125" s="228">
        <v>21.81</v>
      </c>
      <c r="DJ125" s="228">
        <v>24.77</v>
      </c>
      <c r="DK125" s="228">
        <v>-2.96</v>
      </c>
      <c r="DL125" s="228">
        <v>-2.96</v>
      </c>
      <c r="DM125" s="228">
        <v>24.87</v>
      </c>
      <c r="DN125" s="228">
        <v>28.68</v>
      </c>
      <c r="DO125" s="228">
        <v>-3.81</v>
      </c>
      <c r="DP125" s="228">
        <v>-3.81</v>
      </c>
      <c r="DQ125" s="228">
        <v>0.51</v>
      </c>
      <c r="DR125" s="228">
        <v>0.51</v>
      </c>
      <c r="DS125" s="228">
        <v>0</v>
      </c>
      <c r="DT125" s="229">
        <v>0</v>
      </c>
      <c r="DU125" s="231">
        <v>14500</v>
      </c>
      <c r="DV125" s="231">
        <v>14000</v>
      </c>
      <c r="DW125" s="228">
        <v>0.61</v>
      </c>
      <c r="DX125" s="228">
        <v>0.8</v>
      </c>
      <c r="DY125" s="228">
        <v>-0.19</v>
      </c>
      <c r="DZ125" s="229">
        <v>-0.23749999999999999</v>
      </c>
      <c r="EA125" s="229">
        <v>1.66E-2</v>
      </c>
      <c r="EB125" s="230">
        <v>43050</v>
      </c>
      <c r="EC125" s="229">
        <v>6.0000000000000001E-3</v>
      </c>
      <c r="ED125" s="229">
        <v>1.66E-2</v>
      </c>
      <c r="EE125" s="228">
        <v>80.709999999999994</v>
      </c>
      <c r="EF125" s="229">
        <v>5.5999999999999999E-3</v>
      </c>
      <c r="EG125" s="230">
        <v>279290</v>
      </c>
      <c r="EH125" s="230">
        <v>430176</v>
      </c>
      <c r="EI125" s="229">
        <v>-0.3508</v>
      </c>
      <c r="EJ125" s="229">
        <v>0.59560000000000002</v>
      </c>
      <c r="EK125" s="231">
        <v>3418.96</v>
      </c>
      <c r="EL125" s="231">
        <v>1945.88</v>
      </c>
      <c r="EM125" s="228">
        <v>612.16999999999996</v>
      </c>
      <c r="EN125" s="228">
        <v>91.36</v>
      </c>
      <c r="EO125" s="231">
        <v>5977.01</v>
      </c>
      <c r="EP125" s="231">
        <v>10005.66</v>
      </c>
      <c r="EQ125" s="231">
        <v>-4028.65</v>
      </c>
      <c r="ER125" s="229">
        <v>-0.40260000000000001</v>
      </c>
      <c r="ES125" s="231">
        <v>2510.16</v>
      </c>
      <c r="ET125" s="231">
        <v>1171.72</v>
      </c>
      <c r="EU125" s="231">
        <v>4060.59</v>
      </c>
      <c r="EV125" s="231">
        <v>17687048</v>
      </c>
      <c r="EW125" s="231">
        <v>7742.48</v>
      </c>
      <c r="EX125" s="231">
        <v>7600.77</v>
      </c>
      <c r="EY125" s="228">
        <v>141.71</v>
      </c>
      <c r="EZ125" s="229">
        <v>1.8599999999999998E-2</v>
      </c>
      <c r="FA125" s="229">
        <v>0.2989</v>
      </c>
      <c r="FB125" s="227" t="s">
        <v>556</v>
      </c>
      <c r="FC125">
        <f t="shared" si="1"/>
        <v>67</v>
      </c>
    </row>
    <row r="126" spans="1:159" ht="17.25" hidden="1" thickBot="1" x14ac:dyDescent="0.3">
      <c r="A126" s="226">
        <v>46086</v>
      </c>
      <c r="B126" s="227" t="s">
        <v>170</v>
      </c>
      <c r="C126" s="227" t="s">
        <v>603</v>
      </c>
      <c r="D126" s="228">
        <v>525</v>
      </c>
      <c r="E126" s="228">
        <v>25</v>
      </c>
      <c r="F126" s="231">
        <v>1063</v>
      </c>
      <c r="G126" s="231">
        <v>1058.5</v>
      </c>
      <c r="H126" s="228">
        <v>4.5</v>
      </c>
      <c r="I126" s="229">
        <v>4.3E-3</v>
      </c>
      <c r="J126" s="231">
        <v>1058.2</v>
      </c>
      <c r="K126" s="231">
        <v>1053.7</v>
      </c>
      <c r="L126" s="228">
        <v>4.5</v>
      </c>
      <c r="M126" s="229">
        <v>4.3E-3</v>
      </c>
      <c r="N126" s="231">
        <v>1063</v>
      </c>
      <c r="O126" s="231">
        <v>1058.5</v>
      </c>
      <c r="P126" s="228">
        <v>4.5</v>
      </c>
      <c r="Q126" s="229">
        <v>4.3E-3</v>
      </c>
      <c r="R126" s="231">
        <v>1069.3</v>
      </c>
      <c r="S126" s="231">
        <v>1065.0999999999999</v>
      </c>
      <c r="T126" s="228">
        <v>4.2</v>
      </c>
      <c r="U126" s="229">
        <v>3.8999999999999998E-3</v>
      </c>
      <c r="V126" s="231">
        <v>1065.3</v>
      </c>
      <c r="W126" s="231">
        <v>1069.5</v>
      </c>
      <c r="X126" s="228">
        <v>-4.2</v>
      </c>
      <c r="Y126" s="229">
        <v>-3.8999999999999998E-3</v>
      </c>
      <c r="Z126" s="228">
        <v>4.8</v>
      </c>
      <c r="AA126" s="228">
        <v>4.8</v>
      </c>
      <c r="AB126" s="228">
        <v>0</v>
      </c>
      <c r="AC126" s="229">
        <v>4.4999999999999997E-3</v>
      </c>
      <c r="AD126" s="228">
        <v>4.8</v>
      </c>
      <c r="AE126" s="228">
        <v>4.8</v>
      </c>
      <c r="AF126" s="228">
        <v>0</v>
      </c>
      <c r="AG126" s="229">
        <v>4.4999999999999997E-3</v>
      </c>
      <c r="AH126" s="228">
        <v>11.1</v>
      </c>
      <c r="AI126" s="228">
        <v>11.4</v>
      </c>
      <c r="AJ126" s="228">
        <v>-0.3</v>
      </c>
      <c r="AK126" s="229">
        <v>1.0500000000000001E-2</v>
      </c>
      <c r="AL126" s="228">
        <v>7.1</v>
      </c>
      <c r="AM126" s="228">
        <v>15.8</v>
      </c>
      <c r="AN126" s="228">
        <v>-8.6999999999999993</v>
      </c>
      <c r="AO126" s="229">
        <v>6.7000000000000002E-3</v>
      </c>
      <c r="AP126" s="231">
        <v>1052.26</v>
      </c>
      <c r="AQ126" s="231">
        <v>1058.03</v>
      </c>
      <c r="AR126" s="228">
        <v>0</v>
      </c>
      <c r="AS126" s="228">
        <v>200</v>
      </c>
      <c r="AT126" s="228">
        <v>221</v>
      </c>
      <c r="AU126" s="228">
        <v>-21</v>
      </c>
      <c r="AV126" s="229">
        <v>-9.7100000000000006E-2</v>
      </c>
      <c r="AW126" s="228">
        <v>192</v>
      </c>
      <c r="AX126" s="228">
        <v>215</v>
      </c>
      <c r="AY126" s="228">
        <v>-23</v>
      </c>
      <c r="AZ126" s="229">
        <v>-0.1076</v>
      </c>
      <c r="BA126" s="228">
        <v>7</v>
      </c>
      <c r="BB126" s="228">
        <v>4</v>
      </c>
      <c r="BC126" s="228">
        <v>3</v>
      </c>
      <c r="BD126" s="229">
        <v>0.67110000000000003</v>
      </c>
      <c r="BE126" s="228">
        <v>1</v>
      </c>
      <c r="BF126" s="228">
        <v>2</v>
      </c>
      <c r="BG126" s="228">
        <v>-1</v>
      </c>
      <c r="BH126" s="229">
        <v>-0.7</v>
      </c>
      <c r="BI126" s="228">
        <v>361</v>
      </c>
      <c r="BJ126" s="228">
        <v>283</v>
      </c>
      <c r="BK126" s="228">
        <v>78</v>
      </c>
      <c r="BL126" s="229">
        <v>0.27650000000000002</v>
      </c>
      <c r="BM126" s="228">
        <v>416</v>
      </c>
      <c r="BN126" s="228">
        <v>201</v>
      </c>
      <c r="BO126" s="228">
        <v>215</v>
      </c>
      <c r="BP126" s="229">
        <v>1.0686</v>
      </c>
      <c r="BQ126" s="228">
        <v>976</v>
      </c>
      <c r="BR126" s="228">
        <v>705</v>
      </c>
      <c r="BS126" s="228">
        <v>271</v>
      </c>
      <c r="BT126" s="229">
        <v>0.3851</v>
      </c>
      <c r="BU126" s="230">
        <v>3014237</v>
      </c>
      <c r="BV126" s="230">
        <v>3491758</v>
      </c>
      <c r="BW126" s="230">
        <v>-477521</v>
      </c>
      <c r="BX126" s="229">
        <v>-0.1368</v>
      </c>
      <c r="BY126" s="230">
        <v>1426</v>
      </c>
      <c r="BZ126" s="230">
        <v>1415</v>
      </c>
      <c r="CA126" s="228">
        <v>11</v>
      </c>
      <c r="CB126" s="229">
        <v>7.9000000000000008E-3</v>
      </c>
      <c r="CC126" s="230">
        <v>1409</v>
      </c>
      <c r="CD126" s="230">
        <v>1399</v>
      </c>
      <c r="CE126" s="228">
        <v>10</v>
      </c>
      <c r="CF126" s="229">
        <v>7.1000000000000004E-3</v>
      </c>
      <c r="CG126" s="228">
        <v>15</v>
      </c>
      <c r="CH126" s="228">
        <v>14</v>
      </c>
      <c r="CI126" s="228">
        <v>1</v>
      </c>
      <c r="CJ126" s="229">
        <v>7.6899999999999996E-2</v>
      </c>
      <c r="CK126" s="228">
        <v>2</v>
      </c>
      <c r="CL126" s="228">
        <v>2</v>
      </c>
      <c r="CM126" s="228">
        <v>0</v>
      </c>
      <c r="CN126" s="229">
        <v>2.7799999999999998E-2</v>
      </c>
      <c r="CO126" s="228">
        <v>248</v>
      </c>
      <c r="CP126" s="228">
        <v>214</v>
      </c>
      <c r="CQ126" s="228">
        <v>34</v>
      </c>
      <c r="CR126" s="229">
        <v>0.15920000000000001</v>
      </c>
      <c r="CS126" s="228">
        <v>196</v>
      </c>
      <c r="CT126" s="228">
        <v>168</v>
      </c>
      <c r="CU126" s="228">
        <v>28</v>
      </c>
      <c r="CV126" s="229">
        <v>0.1663</v>
      </c>
      <c r="CW126" s="230">
        <v>1869</v>
      </c>
      <c r="CX126" s="230">
        <v>1796</v>
      </c>
      <c r="CY126" s="228">
        <v>73</v>
      </c>
      <c r="CZ126" s="229">
        <v>4.07E-2</v>
      </c>
      <c r="DA126" s="228">
        <v>28</v>
      </c>
      <c r="DB126" s="228">
        <v>30.52</v>
      </c>
      <c r="DC126" s="228">
        <v>-2.52</v>
      </c>
      <c r="DD126" s="228">
        <v>-2.52</v>
      </c>
      <c r="DE126" s="228">
        <v>37.22</v>
      </c>
      <c r="DF126" s="228">
        <v>37.31</v>
      </c>
      <c r="DG126" s="228">
        <v>-9.2200000000000006</v>
      </c>
      <c r="DH126" s="228">
        <v>-0.09</v>
      </c>
      <c r="DI126" s="228">
        <v>26.84</v>
      </c>
      <c r="DJ126" s="228">
        <v>29.76</v>
      </c>
      <c r="DK126" s="228">
        <v>-2.92</v>
      </c>
      <c r="DL126" s="228">
        <v>-2.92</v>
      </c>
      <c r="DM126" s="228">
        <v>29</v>
      </c>
      <c r="DN126" s="228">
        <v>31.6</v>
      </c>
      <c r="DO126" s="228">
        <v>-2.6</v>
      </c>
      <c r="DP126" s="228">
        <v>-2.6</v>
      </c>
      <c r="DQ126" s="228">
        <v>0.79</v>
      </c>
      <c r="DR126" s="228">
        <v>0.78</v>
      </c>
      <c r="DS126" s="228">
        <v>0.01</v>
      </c>
      <c r="DT126" s="229">
        <v>1.2800000000000001E-2</v>
      </c>
      <c r="DU126" s="231">
        <v>1100</v>
      </c>
      <c r="DV126" s="231">
        <v>1100</v>
      </c>
      <c r="DW126" s="228">
        <v>1.1499999999999999</v>
      </c>
      <c r="DX126" s="228">
        <v>0.71</v>
      </c>
      <c r="DY126" s="228">
        <v>0.44</v>
      </c>
      <c r="DZ126" s="229">
        <v>0.61970000000000003</v>
      </c>
      <c r="EA126" s="229">
        <v>1.1900000000000001E-2</v>
      </c>
      <c r="EB126" s="230">
        <v>148575</v>
      </c>
      <c r="EC126" s="229">
        <v>5.8999999999999999E-3</v>
      </c>
      <c r="ED126" s="229">
        <v>1.1900000000000001E-2</v>
      </c>
      <c r="EE126" s="228">
        <v>5.77</v>
      </c>
      <c r="EF126" s="229">
        <v>5.4999999999999997E-3</v>
      </c>
      <c r="EG126" s="230">
        <v>1852171</v>
      </c>
      <c r="EH126" s="230">
        <v>2290074</v>
      </c>
      <c r="EI126" s="229">
        <v>-0.19120000000000001</v>
      </c>
      <c r="EJ126" s="229">
        <v>0.61450000000000005</v>
      </c>
      <c r="EK126" s="228">
        <v>376.3</v>
      </c>
      <c r="EL126" s="228">
        <v>409.73</v>
      </c>
      <c r="EM126" s="228">
        <v>197.7</v>
      </c>
      <c r="EN126" s="228">
        <v>41.32</v>
      </c>
      <c r="EO126" s="228">
        <v>983.74</v>
      </c>
      <c r="EP126" s="228">
        <v>719.15</v>
      </c>
      <c r="EQ126" s="228">
        <v>264.58999999999997</v>
      </c>
      <c r="ER126" s="229">
        <v>0.3679</v>
      </c>
      <c r="ES126" s="228">
        <v>259.77999999999997</v>
      </c>
      <c r="ET126" s="228">
        <v>194.58</v>
      </c>
      <c r="EU126" s="231">
        <v>1425.81</v>
      </c>
      <c r="EV126" s="231">
        <v>111218809</v>
      </c>
      <c r="EW126" s="231">
        <v>1880.16</v>
      </c>
      <c r="EX126" s="231">
        <v>1801.56</v>
      </c>
      <c r="EY126" s="228">
        <v>78.599999999999994</v>
      </c>
      <c r="EZ126" s="229">
        <v>4.36E-2</v>
      </c>
      <c r="FA126" s="229">
        <v>0.15809999999999999</v>
      </c>
      <c r="FB126" s="227" t="s">
        <v>555</v>
      </c>
      <c r="FC126">
        <f t="shared" si="1"/>
        <v>17</v>
      </c>
    </row>
    <row r="127" spans="1:159" ht="17.25" hidden="1" thickBot="1" x14ac:dyDescent="0.3">
      <c r="A127" s="226">
        <v>46086</v>
      </c>
      <c r="B127" s="227" t="s">
        <v>215</v>
      </c>
      <c r="C127" s="227" t="s">
        <v>672</v>
      </c>
      <c r="D127" s="228">
        <v>200</v>
      </c>
      <c r="E127" s="228">
        <v>25</v>
      </c>
      <c r="F127" s="231">
        <v>2359.4</v>
      </c>
      <c r="G127" s="231">
        <v>2172.4</v>
      </c>
      <c r="H127" s="228">
        <v>187</v>
      </c>
      <c r="I127" s="229">
        <v>8.6099999999999996E-2</v>
      </c>
      <c r="J127" s="231">
        <v>2352.5</v>
      </c>
      <c r="K127" s="231">
        <v>2165.4</v>
      </c>
      <c r="L127" s="228">
        <v>187.1</v>
      </c>
      <c r="M127" s="229">
        <v>8.6400000000000005E-2</v>
      </c>
      <c r="N127" s="231">
        <v>2359.4</v>
      </c>
      <c r="O127" s="231">
        <v>2172.4</v>
      </c>
      <c r="P127" s="228">
        <v>187</v>
      </c>
      <c r="Q127" s="229">
        <v>8.6099999999999996E-2</v>
      </c>
      <c r="R127" s="231">
        <v>2371.8000000000002</v>
      </c>
      <c r="S127" s="231">
        <v>2184.5</v>
      </c>
      <c r="T127" s="228">
        <v>187.3</v>
      </c>
      <c r="U127" s="229">
        <v>8.5699999999999998E-2</v>
      </c>
      <c r="V127" s="231">
        <v>2369.4</v>
      </c>
      <c r="W127" s="231">
        <v>2196.6999999999998</v>
      </c>
      <c r="X127" s="228">
        <v>172.7</v>
      </c>
      <c r="Y127" s="229">
        <v>7.8600000000000003E-2</v>
      </c>
      <c r="Z127" s="228">
        <v>6.9</v>
      </c>
      <c r="AA127" s="228">
        <v>7</v>
      </c>
      <c r="AB127" s="228">
        <v>-0.1</v>
      </c>
      <c r="AC127" s="229">
        <v>2.8999999999999998E-3</v>
      </c>
      <c r="AD127" s="228">
        <v>6.9</v>
      </c>
      <c r="AE127" s="228">
        <v>7</v>
      </c>
      <c r="AF127" s="228">
        <v>-0.1</v>
      </c>
      <c r="AG127" s="229">
        <v>2.8999999999999998E-3</v>
      </c>
      <c r="AH127" s="228">
        <v>19.3</v>
      </c>
      <c r="AI127" s="228">
        <v>19.100000000000001</v>
      </c>
      <c r="AJ127" s="228">
        <v>0.2</v>
      </c>
      <c r="AK127" s="229">
        <v>8.2000000000000007E-3</v>
      </c>
      <c r="AL127" s="228">
        <v>16.899999999999999</v>
      </c>
      <c r="AM127" s="228">
        <v>31.3</v>
      </c>
      <c r="AN127" s="228">
        <v>-14.4</v>
      </c>
      <c r="AO127" s="229">
        <v>7.1999999999999998E-3</v>
      </c>
      <c r="AP127" s="231">
        <v>2331.14</v>
      </c>
      <c r="AQ127" s="231">
        <v>2331.5300000000002</v>
      </c>
      <c r="AR127" s="228">
        <v>0</v>
      </c>
      <c r="AS127" s="230">
        <v>1259</v>
      </c>
      <c r="AT127" s="228">
        <v>218</v>
      </c>
      <c r="AU127" s="230">
        <v>1041</v>
      </c>
      <c r="AV127" s="229">
        <v>4.7801</v>
      </c>
      <c r="AW127" s="230">
        <v>1166</v>
      </c>
      <c r="AX127" s="228">
        <v>192</v>
      </c>
      <c r="AY127" s="228">
        <v>974</v>
      </c>
      <c r="AZ127" s="229">
        <v>5.0804999999999998</v>
      </c>
      <c r="BA127" s="228">
        <v>79</v>
      </c>
      <c r="BB127" s="228">
        <v>24</v>
      </c>
      <c r="BC127" s="228">
        <v>54</v>
      </c>
      <c r="BD127" s="229">
        <v>2.2216</v>
      </c>
      <c r="BE127" s="228">
        <v>14</v>
      </c>
      <c r="BF127" s="228">
        <v>2</v>
      </c>
      <c r="BG127" s="228">
        <v>12</v>
      </c>
      <c r="BH127" s="229">
        <v>8.125</v>
      </c>
      <c r="BI127" s="230">
        <v>8491</v>
      </c>
      <c r="BJ127" s="228">
        <v>568</v>
      </c>
      <c r="BK127" s="230">
        <v>7922</v>
      </c>
      <c r="BL127" s="229">
        <v>13.938499999999999</v>
      </c>
      <c r="BM127" s="230">
        <v>1978</v>
      </c>
      <c r="BN127" s="228">
        <v>308</v>
      </c>
      <c r="BO127" s="230">
        <v>1670</v>
      </c>
      <c r="BP127" s="229">
        <v>5.42</v>
      </c>
      <c r="BQ127" s="230">
        <v>11727</v>
      </c>
      <c r="BR127" s="230">
        <v>1094</v>
      </c>
      <c r="BS127" s="230">
        <v>10633</v>
      </c>
      <c r="BT127" s="229">
        <v>9.7173999999999996</v>
      </c>
      <c r="BU127" s="230">
        <v>10431885</v>
      </c>
      <c r="BV127" s="230">
        <v>1035168</v>
      </c>
      <c r="BW127" s="230">
        <v>9396717</v>
      </c>
      <c r="BX127" s="229">
        <v>9.0775000000000006</v>
      </c>
      <c r="BY127" s="230">
        <v>1020</v>
      </c>
      <c r="BZ127" s="230">
        <v>1032</v>
      </c>
      <c r="CA127" s="228">
        <v>-13</v>
      </c>
      <c r="CB127" s="229">
        <v>-1.21E-2</v>
      </c>
      <c r="CC127" s="228">
        <v>964</v>
      </c>
      <c r="CD127" s="228">
        <v>977</v>
      </c>
      <c r="CE127" s="228">
        <v>-13</v>
      </c>
      <c r="CF127" s="229">
        <v>-1.35E-2</v>
      </c>
      <c r="CG127" s="228">
        <v>51</v>
      </c>
      <c r="CH127" s="228">
        <v>51</v>
      </c>
      <c r="CI127" s="228">
        <v>-1</v>
      </c>
      <c r="CJ127" s="229">
        <v>-1.2800000000000001E-2</v>
      </c>
      <c r="CK127" s="228">
        <v>5</v>
      </c>
      <c r="CL127" s="228">
        <v>4</v>
      </c>
      <c r="CM127" s="228">
        <v>1</v>
      </c>
      <c r="CN127" s="229">
        <v>0.37330000000000002</v>
      </c>
      <c r="CO127" s="228">
        <v>744</v>
      </c>
      <c r="CP127" s="228">
        <v>451</v>
      </c>
      <c r="CQ127" s="228">
        <v>293</v>
      </c>
      <c r="CR127" s="229">
        <v>0.6502</v>
      </c>
      <c r="CS127" s="228">
        <v>395</v>
      </c>
      <c r="CT127" s="228">
        <v>277</v>
      </c>
      <c r="CU127" s="228">
        <v>118</v>
      </c>
      <c r="CV127" s="229">
        <v>0.4259</v>
      </c>
      <c r="CW127" s="230">
        <v>2158</v>
      </c>
      <c r="CX127" s="230">
        <v>1760</v>
      </c>
      <c r="CY127" s="228">
        <v>399</v>
      </c>
      <c r="CZ127" s="229">
        <v>0.22639999999999999</v>
      </c>
      <c r="DA127" s="228">
        <v>41.77</v>
      </c>
      <c r="DB127" s="228">
        <v>38.36</v>
      </c>
      <c r="DC127" s="228">
        <v>3.41</v>
      </c>
      <c r="DD127" s="228">
        <v>3.41</v>
      </c>
      <c r="DE127" s="228">
        <v>53.71</v>
      </c>
      <c r="DF127" s="228">
        <v>52.67</v>
      </c>
      <c r="DG127" s="228">
        <v>-11.94</v>
      </c>
      <c r="DH127" s="228">
        <v>1.04</v>
      </c>
      <c r="DI127" s="228">
        <v>41.61</v>
      </c>
      <c r="DJ127" s="228">
        <v>38.200000000000003</v>
      </c>
      <c r="DK127" s="228">
        <v>3.41</v>
      </c>
      <c r="DL127" s="228">
        <v>3.41</v>
      </c>
      <c r="DM127" s="228">
        <v>42.44</v>
      </c>
      <c r="DN127" s="228">
        <v>38.65</v>
      </c>
      <c r="DO127" s="228">
        <v>3.79</v>
      </c>
      <c r="DP127" s="228">
        <v>3.79</v>
      </c>
      <c r="DQ127" s="228">
        <v>0.53</v>
      </c>
      <c r="DR127" s="228">
        <v>0.61</v>
      </c>
      <c r="DS127" s="228">
        <v>-0.08</v>
      </c>
      <c r="DT127" s="229">
        <v>-0.13109999999999999</v>
      </c>
      <c r="DU127" s="231">
        <v>2500</v>
      </c>
      <c r="DV127" s="231">
        <v>2200</v>
      </c>
      <c r="DW127" s="228">
        <v>0.23</v>
      </c>
      <c r="DX127" s="228">
        <v>0.54</v>
      </c>
      <c r="DY127" s="228">
        <v>-0.31</v>
      </c>
      <c r="DZ127" s="229">
        <v>-0.57410000000000005</v>
      </c>
      <c r="EA127" s="229">
        <v>5.4600000000000003E-2</v>
      </c>
      <c r="EB127" s="230">
        <v>233200</v>
      </c>
      <c r="EC127" s="229">
        <v>5.3E-3</v>
      </c>
      <c r="ED127" s="229">
        <v>5.4600000000000003E-2</v>
      </c>
      <c r="EE127" s="228">
        <v>0.39</v>
      </c>
      <c r="EF127" s="229">
        <v>2.0000000000000001E-4</v>
      </c>
      <c r="EG127" s="230">
        <v>1393988</v>
      </c>
      <c r="EH127" s="230">
        <v>287731</v>
      </c>
      <c r="EI127" s="229">
        <v>3.8448000000000002</v>
      </c>
      <c r="EJ127" s="229">
        <v>0.1336</v>
      </c>
      <c r="EK127" s="231">
        <v>8991.75</v>
      </c>
      <c r="EL127" s="231">
        <v>1932.9</v>
      </c>
      <c r="EM127" s="231">
        <v>1243.83</v>
      </c>
      <c r="EN127" s="228">
        <v>38.729999999999997</v>
      </c>
      <c r="EO127" s="231">
        <v>12168.49</v>
      </c>
      <c r="EP127" s="231">
        <v>1061.5899999999999</v>
      </c>
      <c r="EQ127" s="231">
        <v>11106.89</v>
      </c>
      <c r="ER127" s="229">
        <v>10.4625</v>
      </c>
      <c r="ES127" s="228">
        <v>777.27</v>
      </c>
      <c r="ET127" s="228">
        <v>377.46</v>
      </c>
      <c r="EU127" s="231">
        <v>1020.07</v>
      </c>
      <c r="EV127" s="231">
        <v>11364224</v>
      </c>
      <c r="EW127" s="231">
        <v>2174.79</v>
      </c>
      <c r="EX127" s="231">
        <v>1676.13</v>
      </c>
      <c r="EY127" s="228">
        <v>498.66</v>
      </c>
      <c r="EZ127" s="229">
        <v>0.29749999999999999</v>
      </c>
      <c r="FA127" s="229">
        <v>0.80500000000000005</v>
      </c>
      <c r="FB127" s="227" t="s">
        <v>556</v>
      </c>
      <c r="FC127">
        <f t="shared" si="1"/>
        <v>56</v>
      </c>
    </row>
    <row r="128" spans="1:159" ht="17.25" hidden="1" thickBot="1" x14ac:dyDescent="0.3">
      <c r="A128" s="226">
        <v>46086</v>
      </c>
      <c r="B128" s="227" t="s">
        <v>175</v>
      </c>
      <c r="C128" s="227" t="s">
        <v>517</v>
      </c>
      <c r="D128" s="228">
        <v>625</v>
      </c>
      <c r="E128" s="228">
        <v>25</v>
      </c>
      <c r="F128" s="231">
        <v>2561</v>
      </c>
      <c r="G128" s="231">
        <v>2488.9</v>
      </c>
      <c r="H128" s="228">
        <v>72.099999999999994</v>
      </c>
      <c r="I128" s="229">
        <v>2.9000000000000001E-2</v>
      </c>
      <c r="J128" s="231">
        <v>2553.5</v>
      </c>
      <c r="K128" s="231">
        <v>2478.5</v>
      </c>
      <c r="L128" s="228">
        <v>75</v>
      </c>
      <c r="M128" s="229">
        <v>3.0300000000000001E-2</v>
      </c>
      <c r="N128" s="231">
        <v>2561</v>
      </c>
      <c r="O128" s="231">
        <v>2488.9</v>
      </c>
      <c r="P128" s="228">
        <v>72.099999999999994</v>
      </c>
      <c r="Q128" s="229">
        <v>2.9000000000000001E-2</v>
      </c>
      <c r="R128" s="231">
        <v>2576.6</v>
      </c>
      <c r="S128" s="231">
        <v>2504.3000000000002</v>
      </c>
      <c r="T128" s="228">
        <v>72.3</v>
      </c>
      <c r="U128" s="229">
        <v>2.8899999999999999E-2</v>
      </c>
      <c r="V128" s="231">
        <v>2589.3000000000002</v>
      </c>
      <c r="W128" s="231">
        <v>2516.6</v>
      </c>
      <c r="X128" s="228">
        <v>72.7</v>
      </c>
      <c r="Y128" s="229">
        <v>2.8899999999999999E-2</v>
      </c>
      <c r="Z128" s="228">
        <v>7.5</v>
      </c>
      <c r="AA128" s="228">
        <v>10.4</v>
      </c>
      <c r="AB128" s="228">
        <v>-2.9</v>
      </c>
      <c r="AC128" s="229">
        <v>2.8999999999999998E-3</v>
      </c>
      <c r="AD128" s="228">
        <v>7.5</v>
      </c>
      <c r="AE128" s="228">
        <v>10.4</v>
      </c>
      <c r="AF128" s="228">
        <v>-2.9</v>
      </c>
      <c r="AG128" s="229">
        <v>2.8999999999999998E-3</v>
      </c>
      <c r="AH128" s="228">
        <v>23.1</v>
      </c>
      <c r="AI128" s="228">
        <v>25.8</v>
      </c>
      <c r="AJ128" s="228">
        <v>-2.7</v>
      </c>
      <c r="AK128" s="229">
        <v>8.9999999999999993E-3</v>
      </c>
      <c r="AL128" s="228">
        <v>35.799999999999997</v>
      </c>
      <c r="AM128" s="228">
        <v>38.1</v>
      </c>
      <c r="AN128" s="228">
        <v>-2.2999999999999998</v>
      </c>
      <c r="AO128" s="229">
        <v>1.4E-2</v>
      </c>
      <c r="AP128" s="231">
        <v>2552.37</v>
      </c>
      <c r="AQ128" s="231">
        <v>2567.15</v>
      </c>
      <c r="AR128" s="228">
        <v>0</v>
      </c>
      <c r="AS128" s="230">
        <v>1528</v>
      </c>
      <c r="AT128" s="230">
        <v>1381</v>
      </c>
      <c r="AU128" s="228">
        <v>146</v>
      </c>
      <c r="AV128" s="229">
        <v>0.106</v>
      </c>
      <c r="AW128" s="230">
        <v>1414</v>
      </c>
      <c r="AX128" s="230">
        <v>1303</v>
      </c>
      <c r="AY128" s="228">
        <v>111</v>
      </c>
      <c r="AZ128" s="229">
        <v>8.5099999999999995E-2</v>
      </c>
      <c r="BA128" s="228">
        <v>87</v>
      </c>
      <c r="BB128" s="228">
        <v>66</v>
      </c>
      <c r="BC128" s="228">
        <v>21</v>
      </c>
      <c r="BD128" s="229">
        <v>0.3155</v>
      </c>
      <c r="BE128" s="228">
        <v>27</v>
      </c>
      <c r="BF128" s="228">
        <v>12</v>
      </c>
      <c r="BG128" s="228">
        <v>15</v>
      </c>
      <c r="BH128" s="229">
        <v>1.2104999999999999</v>
      </c>
      <c r="BI128" s="230">
        <v>4445</v>
      </c>
      <c r="BJ128" s="230">
        <v>2911</v>
      </c>
      <c r="BK128" s="230">
        <v>1534</v>
      </c>
      <c r="BL128" s="229">
        <v>0.52710000000000001</v>
      </c>
      <c r="BM128" s="230">
        <v>1869</v>
      </c>
      <c r="BN128" s="230">
        <v>2219</v>
      </c>
      <c r="BO128" s="228">
        <v>-350</v>
      </c>
      <c r="BP128" s="229">
        <v>-0.15790000000000001</v>
      </c>
      <c r="BQ128" s="230">
        <v>7842</v>
      </c>
      <c r="BR128" s="230">
        <v>6512</v>
      </c>
      <c r="BS128" s="230">
        <v>1330</v>
      </c>
      <c r="BT128" s="229">
        <v>0.20430000000000001</v>
      </c>
      <c r="BU128" s="230">
        <v>4104296</v>
      </c>
      <c r="BV128" s="230">
        <v>3157277</v>
      </c>
      <c r="BW128" s="230">
        <v>947019</v>
      </c>
      <c r="BX128" s="229">
        <v>0.2999</v>
      </c>
      <c r="BY128" s="230">
        <v>3218</v>
      </c>
      <c r="BZ128" s="230">
        <v>3270</v>
      </c>
      <c r="CA128" s="228">
        <v>-51</v>
      </c>
      <c r="CB128" s="229">
        <v>-1.5699999999999999E-2</v>
      </c>
      <c r="CC128" s="230">
        <v>3063</v>
      </c>
      <c r="CD128" s="230">
        <v>3110</v>
      </c>
      <c r="CE128" s="228">
        <v>-47</v>
      </c>
      <c r="CF128" s="229">
        <v>-1.52E-2</v>
      </c>
      <c r="CG128" s="228">
        <v>126</v>
      </c>
      <c r="CH128" s="228">
        <v>130</v>
      </c>
      <c r="CI128" s="228">
        <v>-4</v>
      </c>
      <c r="CJ128" s="229">
        <v>-2.9499999999999998E-2</v>
      </c>
      <c r="CK128" s="228">
        <v>29</v>
      </c>
      <c r="CL128" s="228">
        <v>29</v>
      </c>
      <c r="CM128" s="228">
        <v>0</v>
      </c>
      <c r="CN128" s="229">
        <v>-1.09E-2</v>
      </c>
      <c r="CO128" s="230">
        <v>1685</v>
      </c>
      <c r="CP128" s="230">
        <v>1759</v>
      </c>
      <c r="CQ128" s="228">
        <v>-74</v>
      </c>
      <c r="CR128" s="229">
        <v>-4.2200000000000001E-2</v>
      </c>
      <c r="CS128" s="230">
        <v>1317</v>
      </c>
      <c r="CT128" s="230">
        <v>1282</v>
      </c>
      <c r="CU128" s="228">
        <v>35</v>
      </c>
      <c r="CV128" s="229">
        <v>2.7400000000000001E-2</v>
      </c>
      <c r="CW128" s="230">
        <v>6220</v>
      </c>
      <c r="CX128" s="230">
        <v>6310</v>
      </c>
      <c r="CY128" s="228">
        <v>-91</v>
      </c>
      <c r="CZ128" s="229">
        <v>-1.44E-2</v>
      </c>
      <c r="DA128" s="228">
        <v>40.5</v>
      </c>
      <c r="DB128" s="228">
        <v>43.89</v>
      </c>
      <c r="DC128" s="228">
        <v>-3.39</v>
      </c>
      <c r="DD128" s="228">
        <v>-3.39</v>
      </c>
      <c r="DE128" s="228">
        <v>50</v>
      </c>
      <c r="DF128" s="228">
        <v>49.96</v>
      </c>
      <c r="DG128" s="228">
        <v>-9.5</v>
      </c>
      <c r="DH128" s="228">
        <v>0.04</v>
      </c>
      <c r="DI128" s="228">
        <v>39.69</v>
      </c>
      <c r="DJ128" s="228">
        <v>42.81</v>
      </c>
      <c r="DK128" s="228">
        <v>-3.12</v>
      </c>
      <c r="DL128" s="228">
        <v>-3.12</v>
      </c>
      <c r="DM128" s="228">
        <v>42.42</v>
      </c>
      <c r="DN128" s="228">
        <v>45.32</v>
      </c>
      <c r="DO128" s="228">
        <v>-2.9</v>
      </c>
      <c r="DP128" s="228">
        <v>-2.9</v>
      </c>
      <c r="DQ128" s="228">
        <v>0.78</v>
      </c>
      <c r="DR128" s="228">
        <v>0.73</v>
      </c>
      <c r="DS128" s="228">
        <v>0.05</v>
      </c>
      <c r="DT128" s="229">
        <v>6.8500000000000005E-2</v>
      </c>
      <c r="DU128" s="231">
        <v>2500</v>
      </c>
      <c r="DV128" s="231">
        <v>2400</v>
      </c>
      <c r="DW128" s="228">
        <v>0.42</v>
      </c>
      <c r="DX128" s="228">
        <v>0.76</v>
      </c>
      <c r="DY128" s="228">
        <v>-0.34</v>
      </c>
      <c r="DZ128" s="229">
        <v>-0.44740000000000002</v>
      </c>
      <c r="EA128" s="229">
        <v>4.8300000000000003E-2</v>
      </c>
      <c r="EB128" s="230">
        <v>623125</v>
      </c>
      <c r="EC128" s="229">
        <v>6.1000000000000004E-3</v>
      </c>
      <c r="ED128" s="229">
        <v>4.8300000000000003E-2</v>
      </c>
      <c r="EE128" s="228">
        <v>14.78</v>
      </c>
      <c r="EF128" s="229">
        <v>5.7999999999999996E-3</v>
      </c>
      <c r="EG128" s="230">
        <v>1884266</v>
      </c>
      <c r="EH128" s="230">
        <v>1066918</v>
      </c>
      <c r="EI128" s="229">
        <v>0.7661</v>
      </c>
      <c r="EJ128" s="229">
        <v>0.45910000000000001</v>
      </c>
      <c r="EK128" s="231">
        <v>4707.45</v>
      </c>
      <c r="EL128" s="231">
        <v>1809.01</v>
      </c>
      <c r="EM128" s="231">
        <v>1523.61</v>
      </c>
      <c r="EN128" s="228">
        <v>93.77</v>
      </c>
      <c r="EO128" s="231">
        <v>8040.07</v>
      </c>
      <c r="EP128" s="231">
        <v>6478.83</v>
      </c>
      <c r="EQ128" s="231">
        <v>1561.24</v>
      </c>
      <c r="ER128" s="229">
        <v>0.24099999999999999</v>
      </c>
      <c r="ES128" s="231">
        <v>1706.18</v>
      </c>
      <c r="ET128" s="231">
        <v>1190.6600000000001</v>
      </c>
      <c r="EU128" s="231">
        <v>3219.31</v>
      </c>
      <c r="EV128" s="231">
        <v>38177110</v>
      </c>
      <c r="EW128" s="231">
        <v>6116.15</v>
      </c>
      <c r="EX128" s="231">
        <v>6100.15</v>
      </c>
      <c r="EY128" s="228">
        <v>16</v>
      </c>
      <c r="EZ128" s="229">
        <v>2.5999999999999999E-3</v>
      </c>
      <c r="FA128" s="229">
        <v>0.63619999999999999</v>
      </c>
      <c r="FB128" s="227" t="s">
        <v>556</v>
      </c>
      <c r="FC128">
        <f t="shared" si="1"/>
        <v>155</v>
      </c>
    </row>
    <row r="129" spans="1:159" ht="17.25" hidden="1" thickBot="1" x14ac:dyDescent="0.3">
      <c r="A129" s="226">
        <v>46086</v>
      </c>
      <c r="B129" s="227" t="s">
        <v>175</v>
      </c>
      <c r="C129" s="227" t="s">
        <v>257</v>
      </c>
      <c r="D129" s="228">
        <v>400</v>
      </c>
      <c r="E129" s="228">
        <v>25</v>
      </c>
      <c r="F129" s="231">
        <v>1753.3</v>
      </c>
      <c r="G129" s="231">
        <v>1752</v>
      </c>
      <c r="H129" s="228">
        <v>1.3</v>
      </c>
      <c r="I129" s="229">
        <v>6.9999999999999999E-4</v>
      </c>
      <c r="J129" s="231">
        <v>1748.6</v>
      </c>
      <c r="K129" s="231">
        <v>1747.8</v>
      </c>
      <c r="L129" s="228">
        <v>0.8</v>
      </c>
      <c r="M129" s="229">
        <v>5.0000000000000001E-4</v>
      </c>
      <c r="N129" s="231">
        <v>1753.3</v>
      </c>
      <c r="O129" s="231">
        <v>1752</v>
      </c>
      <c r="P129" s="228">
        <v>1.3</v>
      </c>
      <c r="Q129" s="229">
        <v>6.9999999999999999E-4</v>
      </c>
      <c r="R129" s="231">
        <v>1761.5</v>
      </c>
      <c r="S129" s="231">
        <v>1762.2</v>
      </c>
      <c r="T129" s="228">
        <v>-0.7</v>
      </c>
      <c r="U129" s="229">
        <v>-4.0000000000000002E-4</v>
      </c>
      <c r="V129" s="231">
        <v>1775</v>
      </c>
      <c r="W129" s="231">
        <v>1760</v>
      </c>
      <c r="X129" s="228">
        <v>15</v>
      </c>
      <c r="Y129" s="229">
        <v>8.5000000000000006E-3</v>
      </c>
      <c r="Z129" s="228">
        <v>4.7</v>
      </c>
      <c r="AA129" s="228">
        <v>4.2</v>
      </c>
      <c r="AB129" s="228">
        <v>0.5</v>
      </c>
      <c r="AC129" s="229">
        <v>2.7000000000000001E-3</v>
      </c>
      <c r="AD129" s="228">
        <v>4.7</v>
      </c>
      <c r="AE129" s="228">
        <v>4.2</v>
      </c>
      <c r="AF129" s="228">
        <v>0.5</v>
      </c>
      <c r="AG129" s="229">
        <v>2.7000000000000001E-3</v>
      </c>
      <c r="AH129" s="228">
        <v>12.9</v>
      </c>
      <c r="AI129" s="228">
        <v>14.4</v>
      </c>
      <c r="AJ129" s="228">
        <v>-1.5</v>
      </c>
      <c r="AK129" s="229">
        <v>7.4000000000000003E-3</v>
      </c>
      <c r="AL129" s="228">
        <v>26.4</v>
      </c>
      <c r="AM129" s="228">
        <v>12.2</v>
      </c>
      <c r="AN129" s="228">
        <v>14.2</v>
      </c>
      <c r="AO129" s="229">
        <v>1.5100000000000001E-2</v>
      </c>
      <c r="AP129" s="231">
        <v>1743.25</v>
      </c>
      <c r="AQ129" s="231">
        <v>1749.1</v>
      </c>
      <c r="AR129" s="228">
        <v>0</v>
      </c>
      <c r="AS129" s="228">
        <v>180</v>
      </c>
      <c r="AT129" s="228">
        <v>172</v>
      </c>
      <c r="AU129" s="228">
        <v>9</v>
      </c>
      <c r="AV129" s="229">
        <v>5.0700000000000002E-2</v>
      </c>
      <c r="AW129" s="228">
        <v>178</v>
      </c>
      <c r="AX129" s="228">
        <v>167</v>
      </c>
      <c r="AY129" s="228">
        <v>11</v>
      </c>
      <c r="AZ129" s="229">
        <v>6.7599999999999993E-2</v>
      </c>
      <c r="BA129" s="228">
        <v>2</v>
      </c>
      <c r="BB129" s="228">
        <v>4</v>
      </c>
      <c r="BC129" s="228">
        <v>-3</v>
      </c>
      <c r="BD129" s="229">
        <v>-0.60319999999999996</v>
      </c>
      <c r="BE129" s="228">
        <v>0</v>
      </c>
      <c r="BF129" s="228">
        <v>0</v>
      </c>
      <c r="BG129" s="228">
        <v>0</v>
      </c>
      <c r="BH129" s="229">
        <v>0.5</v>
      </c>
      <c r="BI129" s="228">
        <v>108</v>
      </c>
      <c r="BJ129" s="228">
        <v>127</v>
      </c>
      <c r="BK129" s="228">
        <v>-19</v>
      </c>
      <c r="BL129" s="229">
        <v>-0.15240000000000001</v>
      </c>
      <c r="BM129" s="228">
        <v>56</v>
      </c>
      <c r="BN129" s="228">
        <v>113</v>
      </c>
      <c r="BO129" s="228">
        <v>-57</v>
      </c>
      <c r="BP129" s="229">
        <v>-0.50470000000000004</v>
      </c>
      <c r="BQ129" s="228">
        <v>344</v>
      </c>
      <c r="BR129" s="228">
        <v>412</v>
      </c>
      <c r="BS129" s="228">
        <v>-68</v>
      </c>
      <c r="BT129" s="229">
        <v>-0.1643</v>
      </c>
      <c r="BU129" s="230">
        <v>868405</v>
      </c>
      <c r="BV129" s="230">
        <v>683970</v>
      </c>
      <c r="BW129" s="230">
        <v>184435</v>
      </c>
      <c r="BX129" s="229">
        <v>0.2697</v>
      </c>
      <c r="BY129" s="230">
        <v>1514</v>
      </c>
      <c r="BZ129" s="230">
        <v>1530</v>
      </c>
      <c r="CA129" s="228">
        <v>-16</v>
      </c>
      <c r="CB129" s="229">
        <v>-1.03E-2</v>
      </c>
      <c r="CC129" s="230">
        <v>1509</v>
      </c>
      <c r="CD129" s="230">
        <v>1525</v>
      </c>
      <c r="CE129" s="228">
        <v>-16</v>
      </c>
      <c r="CF129" s="229">
        <v>-1.06E-2</v>
      </c>
      <c r="CG129" s="228">
        <v>5</v>
      </c>
      <c r="CH129" s="228">
        <v>4</v>
      </c>
      <c r="CI129" s="228">
        <v>0</v>
      </c>
      <c r="CJ129" s="229">
        <v>7.9399999999999998E-2</v>
      </c>
      <c r="CK129" s="228">
        <v>0</v>
      </c>
      <c r="CL129" s="228">
        <v>0</v>
      </c>
      <c r="CM129" s="228">
        <v>0</v>
      </c>
      <c r="CN129" s="229">
        <v>0</v>
      </c>
      <c r="CO129" s="228">
        <v>124</v>
      </c>
      <c r="CP129" s="228">
        <v>100</v>
      </c>
      <c r="CQ129" s="228">
        <v>24</v>
      </c>
      <c r="CR129" s="229">
        <v>0.24590000000000001</v>
      </c>
      <c r="CS129" s="228">
        <v>88</v>
      </c>
      <c r="CT129" s="228">
        <v>83</v>
      </c>
      <c r="CU129" s="228">
        <v>5</v>
      </c>
      <c r="CV129" s="229">
        <v>5.6500000000000002E-2</v>
      </c>
      <c r="CW129" s="230">
        <v>1726</v>
      </c>
      <c r="CX129" s="230">
        <v>1712</v>
      </c>
      <c r="CY129" s="228">
        <v>13</v>
      </c>
      <c r="CZ129" s="229">
        <v>7.7999999999999996E-3</v>
      </c>
      <c r="DA129" s="228">
        <v>26.33</v>
      </c>
      <c r="DB129" s="228">
        <v>28.2</v>
      </c>
      <c r="DC129" s="228">
        <v>-1.87</v>
      </c>
      <c r="DD129" s="228">
        <v>-1.87</v>
      </c>
      <c r="DE129" s="228">
        <v>29.57</v>
      </c>
      <c r="DF129" s="228">
        <v>29.65</v>
      </c>
      <c r="DG129" s="228">
        <v>-3.24</v>
      </c>
      <c r="DH129" s="228">
        <v>-0.08</v>
      </c>
      <c r="DI129" s="228">
        <v>25.46</v>
      </c>
      <c r="DJ129" s="228">
        <v>27.32</v>
      </c>
      <c r="DK129" s="228">
        <v>-1.86</v>
      </c>
      <c r="DL129" s="228">
        <v>-1.86</v>
      </c>
      <c r="DM129" s="228">
        <v>28.02</v>
      </c>
      <c r="DN129" s="228">
        <v>29.18</v>
      </c>
      <c r="DO129" s="228">
        <v>-1.1599999999999999</v>
      </c>
      <c r="DP129" s="228">
        <v>-1.1599999999999999</v>
      </c>
      <c r="DQ129" s="228">
        <v>0.71</v>
      </c>
      <c r="DR129" s="228">
        <v>0.84</v>
      </c>
      <c r="DS129" s="228">
        <v>-0.13</v>
      </c>
      <c r="DT129" s="229">
        <v>-0.15479999999999999</v>
      </c>
      <c r="DU129" s="231">
        <v>1900</v>
      </c>
      <c r="DV129" s="231">
        <v>1800</v>
      </c>
      <c r="DW129" s="228">
        <v>0.52</v>
      </c>
      <c r="DX129" s="228">
        <v>0.89</v>
      </c>
      <c r="DY129" s="228">
        <v>-0.37</v>
      </c>
      <c r="DZ129" s="229">
        <v>-0.41570000000000001</v>
      </c>
      <c r="EA129" s="229">
        <v>3.3E-3</v>
      </c>
      <c r="EB129" s="230">
        <v>26800</v>
      </c>
      <c r="EC129" s="229">
        <v>4.7000000000000002E-3</v>
      </c>
      <c r="ED129" s="229">
        <v>3.3E-3</v>
      </c>
      <c r="EE129" s="228">
        <v>5.85</v>
      </c>
      <c r="EF129" s="229">
        <v>3.3999999999999998E-3</v>
      </c>
      <c r="EG129" s="230">
        <v>553450</v>
      </c>
      <c r="EH129" s="230">
        <v>378352</v>
      </c>
      <c r="EI129" s="229">
        <v>0.46279999999999999</v>
      </c>
      <c r="EJ129" s="229">
        <v>0.63729999999999998</v>
      </c>
      <c r="EK129" s="228">
        <v>114.82</v>
      </c>
      <c r="EL129" s="228">
        <v>56.49</v>
      </c>
      <c r="EM129" s="228">
        <v>179.36</v>
      </c>
      <c r="EN129" s="228">
        <v>17.510000000000002</v>
      </c>
      <c r="EO129" s="228">
        <v>350.66</v>
      </c>
      <c r="EP129" s="228">
        <v>421.65</v>
      </c>
      <c r="EQ129" s="228">
        <v>-70.989999999999995</v>
      </c>
      <c r="ER129" s="229">
        <v>-0.16839999999999999</v>
      </c>
      <c r="ES129" s="228">
        <v>133.75</v>
      </c>
      <c r="ET129" s="228">
        <v>87.95</v>
      </c>
      <c r="EU129" s="231">
        <v>1513.9</v>
      </c>
      <c r="EV129" s="231">
        <v>33919851</v>
      </c>
      <c r="EW129" s="231">
        <v>1735.59</v>
      </c>
      <c r="EX129" s="231">
        <v>1719.7</v>
      </c>
      <c r="EY129" s="228">
        <v>15.89</v>
      </c>
      <c r="EZ129" s="229">
        <v>9.1999999999999998E-3</v>
      </c>
      <c r="FA129" s="229">
        <v>0.29020000000000001</v>
      </c>
      <c r="FB129" s="227" t="s">
        <v>556</v>
      </c>
      <c r="FC129">
        <f t="shared" si="1"/>
        <v>5</v>
      </c>
    </row>
    <row r="130" spans="1:159" ht="17.25" hidden="1" thickBot="1" x14ac:dyDescent="0.3">
      <c r="A130" s="226">
        <v>46086</v>
      </c>
      <c r="B130" s="227" t="s">
        <v>181</v>
      </c>
      <c r="C130" s="227" t="s">
        <v>563</v>
      </c>
      <c r="D130" s="228">
        <v>120</v>
      </c>
      <c r="E130" s="228">
        <v>25</v>
      </c>
      <c r="F130" s="231">
        <v>13298.85</v>
      </c>
      <c r="G130" s="231">
        <v>13070.65</v>
      </c>
      <c r="H130" s="228">
        <v>228.2</v>
      </c>
      <c r="I130" s="229">
        <v>1.7500000000000002E-2</v>
      </c>
      <c r="J130" s="231">
        <v>13260.5</v>
      </c>
      <c r="K130" s="231">
        <v>13034.35</v>
      </c>
      <c r="L130" s="228">
        <v>226.15</v>
      </c>
      <c r="M130" s="229">
        <v>1.7399999999999999E-2</v>
      </c>
      <c r="N130" s="231">
        <v>13298.85</v>
      </c>
      <c r="O130" s="231">
        <v>13070.65</v>
      </c>
      <c r="P130" s="228">
        <v>228.2</v>
      </c>
      <c r="Q130" s="229">
        <v>1.7500000000000002E-2</v>
      </c>
      <c r="R130" s="231">
        <v>13358.65</v>
      </c>
      <c r="S130" s="231">
        <v>13137.75</v>
      </c>
      <c r="T130" s="228">
        <v>220.9</v>
      </c>
      <c r="U130" s="229">
        <v>1.6799999999999999E-2</v>
      </c>
      <c r="V130" s="231">
        <v>13413.05</v>
      </c>
      <c r="W130" s="231">
        <v>13202.05</v>
      </c>
      <c r="X130" s="228">
        <v>211</v>
      </c>
      <c r="Y130" s="229">
        <v>1.6E-2</v>
      </c>
      <c r="Z130" s="228">
        <v>38.35</v>
      </c>
      <c r="AA130" s="228">
        <v>36.299999999999997</v>
      </c>
      <c r="AB130" s="228">
        <v>2.0499999999999998</v>
      </c>
      <c r="AC130" s="229">
        <v>2.8999999999999998E-3</v>
      </c>
      <c r="AD130" s="228">
        <v>38.35</v>
      </c>
      <c r="AE130" s="228">
        <v>36.299999999999997</v>
      </c>
      <c r="AF130" s="228">
        <v>2.0499999999999998</v>
      </c>
      <c r="AG130" s="229">
        <v>2.8999999999999998E-3</v>
      </c>
      <c r="AH130" s="228">
        <v>98.15</v>
      </c>
      <c r="AI130" s="228">
        <v>103.4</v>
      </c>
      <c r="AJ130" s="228">
        <v>-5.25</v>
      </c>
      <c r="AK130" s="229">
        <v>7.4000000000000003E-3</v>
      </c>
      <c r="AL130" s="228">
        <v>152.55000000000001</v>
      </c>
      <c r="AM130" s="228">
        <v>167.7</v>
      </c>
      <c r="AN130" s="228">
        <v>-15.15</v>
      </c>
      <c r="AO130" s="229">
        <v>1.15E-2</v>
      </c>
      <c r="AP130" s="231">
        <v>13207.9</v>
      </c>
      <c r="AQ130" s="231">
        <v>13286.29</v>
      </c>
      <c r="AR130" s="228">
        <v>0</v>
      </c>
      <c r="AS130" s="230">
        <v>1225</v>
      </c>
      <c r="AT130" s="230">
        <v>1362</v>
      </c>
      <c r="AU130" s="228">
        <v>-137</v>
      </c>
      <c r="AV130" s="229">
        <v>-0.1004</v>
      </c>
      <c r="AW130" s="230">
        <v>1146</v>
      </c>
      <c r="AX130" s="230">
        <v>1285</v>
      </c>
      <c r="AY130" s="228">
        <v>-139</v>
      </c>
      <c r="AZ130" s="229">
        <v>-0.1084</v>
      </c>
      <c r="BA130" s="228">
        <v>69</v>
      </c>
      <c r="BB130" s="228">
        <v>64</v>
      </c>
      <c r="BC130" s="228">
        <v>5</v>
      </c>
      <c r="BD130" s="229">
        <v>8.0199999999999994E-2</v>
      </c>
      <c r="BE130" s="228">
        <v>10</v>
      </c>
      <c r="BF130" s="228">
        <v>13</v>
      </c>
      <c r="BG130" s="228">
        <v>-3</v>
      </c>
      <c r="BH130" s="229">
        <v>-0.2</v>
      </c>
      <c r="BI130" s="230">
        <v>15640</v>
      </c>
      <c r="BJ130" s="230">
        <v>20535</v>
      </c>
      <c r="BK130" s="230">
        <v>-4895</v>
      </c>
      <c r="BL130" s="229">
        <v>-0.2384</v>
      </c>
      <c r="BM130" s="230">
        <v>15602</v>
      </c>
      <c r="BN130" s="230">
        <v>20190</v>
      </c>
      <c r="BO130" s="230">
        <v>-4588</v>
      </c>
      <c r="BP130" s="229">
        <v>-0.22720000000000001</v>
      </c>
      <c r="BQ130" s="230">
        <v>32467</v>
      </c>
      <c r="BR130" s="230">
        <v>42086</v>
      </c>
      <c r="BS130" s="230">
        <v>-9620</v>
      </c>
      <c r="BT130" s="229">
        <v>-0.2286</v>
      </c>
      <c r="BU130" s="228">
        <v>0</v>
      </c>
      <c r="BV130" s="228">
        <v>0</v>
      </c>
      <c r="BW130" s="228">
        <v>0</v>
      </c>
      <c r="BX130" s="229">
        <v>0</v>
      </c>
      <c r="BY130" s="230">
        <v>3400</v>
      </c>
      <c r="BZ130" s="230">
        <v>3430</v>
      </c>
      <c r="CA130" s="228">
        <v>-30</v>
      </c>
      <c r="CB130" s="229">
        <v>-8.8999999999999999E-3</v>
      </c>
      <c r="CC130" s="230">
        <v>3292</v>
      </c>
      <c r="CD130" s="230">
        <v>3327</v>
      </c>
      <c r="CE130" s="228">
        <v>-35</v>
      </c>
      <c r="CF130" s="229">
        <v>-1.0500000000000001E-2</v>
      </c>
      <c r="CG130" s="228">
        <v>96</v>
      </c>
      <c r="CH130" s="228">
        <v>94</v>
      </c>
      <c r="CI130" s="228">
        <v>3</v>
      </c>
      <c r="CJ130" s="229">
        <v>2.9000000000000001E-2</v>
      </c>
      <c r="CK130" s="228">
        <v>12</v>
      </c>
      <c r="CL130" s="228">
        <v>10</v>
      </c>
      <c r="CM130" s="228">
        <v>2</v>
      </c>
      <c r="CN130" s="229">
        <v>0.1774</v>
      </c>
      <c r="CO130" s="230">
        <v>7421</v>
      </c>
      <c r="CP130" s="230">
        <v>7175</v>
      </c>
      <c r="CQ130" s="228">
        <v>246</v>
      </c>
      <c r="CR130" s="229">
        <v>3.4299999999999997E-2</v>
      </c>
      <c r="CS130" s="230">
        <v>7199</v>
      </c>
      <c r="CT130" s="230">
        <v>6814</v>
      </c>
      <c r="CU130" s="228">
        <v>385</v>
      </c>
      <c r="CV130" s="229">
        <v>5.6500000000000002E-2</v>
      </c>
      <c r="CW130" s="230">
        <v>18020</v>
      </c>
      <c r="CX130" s="230">
        <v>17419</v>
      </c>
      <c r="CY130" s="228">
        <v>601</v>
      </c>
      <c r="CZ130" s="229">
        <v>3.4500000000000003E-2</v>
      </c>
      <c r="DA130" s="228">
        <v>24.28</v>
      </c>
      <c r="DB130" s="228">
        <v>26.67</v>
      </c>
      <c r="DC130" s="228">
        <v>-2.39</v>
      </c>
      <c r="DD130" s="228">
        <v>-2.39</v>
      </c>
      <c r="DE130" s="228">
        <v>22.26</v>
      </c>
      <c r="DF130" s="228">
        <v>22.19</v>
      </c>
      <c r="DG130" s="228">
        <v>2.02</v>
      </c>
      <c r="DH130" s="228">
        <v>7.0000000000000007E-2</v>
      </c>
      <c r="DI130" s="228">
        <v>21.67</v>
      </c>
      <c r="DJ130" s="228">
        <v>24.12</v>
      </c>
      <c r="DK130" s="228">
        <v>-2.4500000000000002</v>
      </c>
      <c r="DL130" s="228">
        <v>-2.4500000000000002</v>
      </c>
      <c r="DM130" s="228">
        <v>26.9</v>
      </c>
      <c r="DN130" s="228">
        <v>29.28</v>
      </c>
      <c r="DO130" s="228">
        <v>-2.38</v>
      </c>
      <c r="DP130" s="228">
        <v>-2.38</v>
      </c>
      <c r="DQ130" s="228">
        <v>0.97</v>
      </c>
      <c r="DR130" s="228">
        <v>0.95</v>
      </c>
      <c r="DS130" s="228">
        <v>0.02</v>
      </c>
      <c r="DT130" s="229">
        <v>2.1100000000000001E-2</v>
      </c>
      <c r="DU130" s="231">
        <v>14700</v>
      </c>
      <c r="DV130" s="231">
        <v>12000</v>
      </c>
      <c r="DW130" s="228">
        <v>1</v>
      </c>
      <c r="DX130" s="228">
        <v>0.98</v>
      </c>
      <c r="DY130" s="228">
        <v>0.02</v>
      </c>
      <c r="DZ130" s="229">
        <v>2.0400000000000001E-2</v>
      </c>
      <c r="EA130" s="229">
        <v>3.1699999999999999E-2</v>
      </c>
      <c r="EB130" s="230">
        <v>77760</v>
      </c>
      <c r="EC130" s="229">
        <v>4.4999999999999997E-3</v>
      </c>
      <c r="ED130" s="229">
        <v>3.1699999999999999E-2</v>
      </c>
      <c r="EE130" s="228">
        <v>78.39</v>
      </c>
      <c r="EF130" s="229">
        <v>5.8999999999999999E-3</v>
      </c>
      <c r="EG130" s="228">
        <v>0</v>
      </c>
      <c r="EH130" s="228">
        <v>0</v>
      </c>
      <c r="EI130" s="229">
        <v>0</v>
      </c>
      <c r="EJ130" s="229">
        <v>0</v>
      </c>
      <c r="EK130" s="231">
        <v>16269.86</v>
      </c>
      <c r="EL130" s="231">
        <v>15219.34</v>
      </c>
      <c r="EM130" s="231">
        <v>1217.1199999999999</v>
      </c>
      <c r="EN130" s="228">
        <v>0</v>
      </c>
      <c r="EO130" s="231">
        <v>32706.33</v>
      </c>
      <c r="EP130" s="231">
        <v>42335.99</v>
      </c>
      <c r="EQ130" s="231">
        <v>-9629.67</v>
      </c>
      <c r="ER130" s="229">
        <v>-0.22750000000000001</v>
      </c>
      <c r="ES130" s="231">
        <v>7778.78</v>
      </c>
      <c r="ET130" s="231">
        <v>6892.18</v>
      </c>
      <c r="EU130" s="231">
        <v>3400.2</v>
      </c>
      <c r="EV130" s="228">
        <v>0</v>
      </c>
      <c r="EW130" s="231">
        <v>18071.169999999998</v>
      </c>
      <c r="EX130" s="231">
        <v>17428.86</v>
      </c>
      <c r="EY130" s="228">
        <v>642.30999999999995</v>
      </c>
      <c r="EZ130" s="229">
        <v>3.6900000000000002E-2</v>
      </c>
      <c r="FA130" s="229">
        <v>0</v>
      </c>
      <c r="FB130" s="227" t="s">
        <v>556</v>
      </c>
      <c r="FC130">
        <f t="shared" si="1"/>
        <v>108</v>
      </c>
    </row>
    <row r="131" spans="1:159" ht="17.25" hidden="1" thickBot="1" x14ac:dyDescent="0.3">
      <c r="A131" s="226">
        <v>46086</v>
      </c>
      <c r="B131" s="227" t="s">
        <v>162</v>
      </c>
      <c r="C131" s="227" t="s">
        <v>559</v>
      </c>
      <c r="D131" s="228">
        <v>6150</v>
      </c>
      <c r="E131" s="228">
        <v>25</v>
      </c>
      <c r="F131" s="228">
        <v>126.52</v>
      </c>
      <c r="G131" s="228">
        <v>123.44</v>
      </c>
      <c r="H131" s="228">
        <v>3.08</v>
      </c>
      <c r="I131" s="229">
        <v>2.5000000000000001E-2</v>
      </c>
      <c r="J131" s="228">
        <v>126.34</v>
      </c>
      <c r="K131" s="228">
        <v>122.88</v>
      </c>
      <c r="L131" s="228">
        <v>3.46</v>
      </c>
      <c r="M131" s="229">
        <v>2.8199999999999999E-2</v>
      </c>
      <c r="N131" s="228">
        <v>126.52</v>
      </c>
      <c r="O131" s="228">
        <v>123.44</v>
      </c>
      <c r="P131" s="228">
        <v>3.08</v>
      </c>
      <c r="Q131" s="229">
        <v>2.5000000000000001E-2</v>
      </c>
      <c r="R131" s="228">
        <v>127.37</v>
      </c>
      <c r="S131" s="228">
        <v>124.01</v>
      </c>
      <c r="T131" s="228">
        <v>3.36</v>
      </c>
      <c r="U131" s="229">
        <v>2.7099999999999999E-2</v>
      </c>
      <c r="V131" s="228">
        <v>128.04</v>
      </c>
      <c r="W131" s="228">
        <v>125.04</v>
      </c>
      <c r="X131" s="228">
        <v>3</v>
      </c>
      <c r="Y131" s="229">
        <v>2.4E-2</v>
      </c>
      <c r="Z131" s="228">
        <v>0.18</v>
      </c>
      <c r="AA131" s="228">
        <v>0.56000000000000005</v>
      </c>
      <c r="AB131" s="228">
        <v>-0.38</v>
      </c>
      <c r="AC131" s="229">
        <v>1.4E-3</v>
      </c>
      <c r="AD131" s="228">
        <v>0.18</v>
      </c>
      <c r="AE131" s="228">
        <v>0.56000000000000005</v>
      </c>
      <c r="AF131" s="228">
        <v>-0.38</v>
      </c>
      <c r="AG131" s="229">
        <v>1.4E-3</v>
      </c>
      <c r="AH131" s="228">
        <v>1.03</v>
      </c>
      <c r="AI131" s="228">
        <v>1.1299999999999999</v>
      </c>
      <c r="AJ131" s="228">
        <v>-0.1</v>
      </c>
      <c r="AK131" s="229">
        <v>8.2000000000000007E-3</v>
      </c>
      <c r="AL131" s="228">
        <v>1.7</v>
      </c>
      <c r="AM131" s="228">
        <v>2.16</v>
      </c>
      <c r="AN131" s="228">
        <v>-0.46</v>
      </c>
      <c r="AO131" s="229">
        <v>1.35E-2</v>
      </c>
      <c r="AP131" s="228">
        <v>125.6</v>
      </c>
      <c r="AQ131" s="228">
        <v>126.35</v>
      </c>
      <c r="AR131" s="228">
        <v>0</v>
      </c>
      <c r="AS131" s="228">
        <v>445</v>
      </c>
      <c r="AT131" s="228">
        <v>344</v>
      </c>
      <c r="AU131" s="228">
        <v>101</v>
      </c>
      <c r="AV131" s="229">
        <v>0.29399999999999998</v>
      </c>
      <c r="AW131" s="228">
        <v>412</v>
      </c>
      <c r="AX131" s="228">
        <v>320</v>
      </c>
      <c r="AY131" s="228">
        <v>92</v>
      </c>
      <c r="AZ131" s="229">
        <v>0.2873</v>
      </c>
      <c r="BA131" s="228">
        <v>29</v>
      </c>
      <c r="BB131" s="228">
        <v>17</v>
      </c>
      <c r="BC131" s="228">
        <v>12</v>
      </c>
      <c r="BD131" s="229">
        <v>0.71230000000000004</v>
      </c>
      <c r="BE131" s="228">
        <v>4</v>
      </c>
      <c r="BF131" s="228">
        <v>7</v>
      </c>
      <c r="BG131" s="228">
        <v>-3</v>
      </c>
      <c r="BH131" s="229">
        <v>-0.45350000000000001</v>
      </c>
      <c r="BI131" s="228">
        <v>659</v>
      </c>
      <c r="BJ131" s="228">
        <v>489</v>
      </c>
      <c r="BK131" s="228">
        <v>170</v>
      </c>
      <c r="BL131" s="229">
        <v>0.34739999999999999</v>
      </c>
      <c r="BM131" s="228">
        <v>196</v>
      </c>
      <c r="BN131" s="228">
        <v>382</v>
      </c>
      <c r="BO131" s="228">
        <v>-186</v>
      </c>
      <c r="BP131" s="229">
        <v>-0.48749999999999999</v>
      </c>
      <c r="BQ131" s="230">
        <v>1300</v>
      </c>
      <c r="BR131" s="230">
        <v>1215</v>
      </c>
      <c r="BS131" s="228">
        <v>85</v>
      </c>
      <c r="BT131" s="229">
        <v>6.9800000000000001E-2</v>
      </c>
      <c r="BU131" s="230">
        <v>24147092</v>
      </c>
      <c r="BV131" s="230">
        <v>17400513</v>
      </c>
      <c r="BW131" s="230">
        <v>6746579</v>
      </c>
      <c r="BX131" s="229">
        <v>0.38769999999999999</v>
      </c>
      <c r="BY131" s="230">
        <v>1764</v>
      </c>
      <c r="BZ131" s="230">
        <v>1811</v>
      </c>
      <c r="CA131" s="228">
        <v>-47</v>
      </c>
      <c r="CB131" s="229">
        <v>-2.6200000000000001E-2</v>
      </c>
      <c r="CC131" s="230">
        <v>1727</v>
      </c>
      <c r="CD131" s="230">
        <v>1778</v>
      </c>
      <c r="CE131" s="228">
        <v>-51</v>
      </c>
      <c r="CF131" s="229">
        <v>-2.87E-2</v>
      </c>
      <c r="CG131" s="228">
        <v>26</v>
      </c>
      <c r="CH131" s="228">
        <v>23</v>
      </c>
      <c r="CI131" s="228">
        <v>3</v>
      </c>
      <c r="CJ131" s="229">
        <v>0.1119</v>
      </c>
      <c r="CK131" s="228">
        <v>11</v>
      </c>
      <c r="CL131" s="228">
        <v>10</v>
      </c>
      <c r="CM131" s="228">
        <v>1</v>
      </c>
      <c r="CN131" s="229">
        <v>0.1111</v>
      </c>
      <c r="CO131" s="228">
        <v>532</v>
      </c>
      <c r="CP131" s="228">
        <v>496</v>
      </c>
      <c r="CQ131" s="228">
        <v>36</v>
      </c>
      <c r="CR131" s="229">
        <v>7.2700000000000001E-2</v>
      </c>
      <c r="CS131" s="228">
        <v>337</v>
      </c>
      <c r="CT131" s="228">
        <v>316</v>
      </c>
      <c r="CU131" s="228">
        <v>21</v>
      </c>
      <c r="CV131" s="229">
        <v>6.6699999999999995E-2</v>
      </c>
      <c r="CW131" s="230">
        <v>2633</v>
      </c>
      <c r="CX131" s="230">
        <v>2623</v>
      </c>
      <c r="CY131" s="228">
        <v>10</v>
      </c>
      <c r="CZ131" s="229">
        <v>3.7000000000000002E-3</v>
      </c>
      <c r="DA131" s="228">
        <v>33.909999999999997</v>
      </c>
      <c r="DB131" s="228">
        <v>38.56</v>
      </c>
      <c r="DC131" s="228">
        <v>-4.6500000000000004</v>
      </c>
      <c r="DD131" s="228">
        <v>-4.6500000000000004</v>
      </c>
      <c r="DE131" s="228">
        <v>39.42</v>
      </c>
      <c r="DF131" s="228">
        <v>39.380000000000003</v>
      </c>
      <c r="DG131" s="228">
        <v>-5.51</v>
      </c>
      <c r="DH131" s="228">
        <v>0.04</v>
      </c>
      <c r="DI131" s="228">
        <v>32.97</v>
      </c>
      <c r="DJ131" s="228">
        <v>36.93</v>
      </c>
      <c r="DK131" s="228">
        <v>-3.96</v>
      </c>
      <c r="DL131" s="228">
        <v>-3.96</v>
      </c>
      <c r="DM131" s="228">
        <v>37.090000000000003</v>
      </c>
      <c r="DN131" s="228">
        <v>40.65</v>
      </c>
      <c r="DO131" s="228">
        <v>-3.56</v>
      </c>
      <c r="DP131" s="228">
        <v>-3.56</v>
      </c>
      <c r="DQ131" s="228">
        <v>0.63</v>
      </c>
      <c r="DR131" s="228">
        <v>0.64</v>
      </c>
      <c r="DS131" s="228">
        <v>-0.01</v>
      </c>
      <c r="DT131" s="229">
        <v>-1.5599999999999999E-2</v>
      </c>
      <c r="DU131" s="228">
        <v>140</v>
      </c>
      <c r="DV131" s="228">
        <v>125</v>
      </c>
      <c r="DW131" s="228">
        <v>0.3</v>
      </c>
      <c r="DX131" s="228">
        <v>0.78</v>
      </c>
      <c r="DY131" s="228">
        <v>-0.48</v>
      </c>
      <c r="DZ131" s="229">
        <v>-0.61539999999999995</v>
      </c>
      <c r="EA131" s="229">
        <v>2.06E-2</v>
      </c>
      <c r="EB131" s="230">
        <v>2589150</v>
      </c>
      <c r="EC131" s="229">
        <v>6.7000000000000002E-3</v>
      </c>
      <c r="ED131" s="229">
        <v>2.06E-2</v>
      </c>
      <c r="EE131" s="228">
        <v>0.75</v>
      </c>
      <c r="EF131" s="229">
        <v>6.0000000000000001E-3</v>
      </c>
      <c r="EG131" s="230">
        <v>10783689</v>
      </c>
      <c r="EH131" s="230">
        <v>7508274</v>
      </c>
      <c r="EI131" s="229">
        <v>0.43619999999999998</v>
      </c>
      <c r="EJ131" s="229">
        <v>0.4466</v>
      </c>
      <c r="EK131" s="228">
        <v>705.32</v>
      </c>
      <c r="EL131" s="228">
        <v>190.23</v>
      </c>
      <c r="EM131" s="228">
        <v>442.21</v>
      </c>
      <c r="EN131" s="228">
        <v>41.8</v>
      </c>
      <c r="EO131" s="231">
        <v>1337.76</v>
      </c>
      <c r="EP131" s="231">
        <v>1226.8399999999999</v>
      </c>
      <c r="EQ131" s="228">
        <v>110.92</v>
      </c>
      <c r="ER131" s="229">
        <v>9.0399999999999994E-2</v>
      </c>
      <c r="ES131" s="228">
        <v>573.67999999999995</v>
      </c>
      <c r="ET131" s="228">
        <v>326.52999999999997</v>
      </c>
      <c r="EU131" s="231">
        <v>1764.17</v>
      </c>
      <c r="EV131" s="231">
        <v>606151620</v>
      </c>
      <c r="EW131" s="231">
        <v>2664.39</v>
      </c>
      <c r="EX131" s="231">
        <v>2611.27</v>
      </c>
      <c r="EY131" s="228">
        <v>53.12</v>
      </c>
      <c r="EZ131" s="229">
        <v>2.0299999999999999E-2</v>
      </c>
      <c r="FA131" s="229">
        <v>0.34329999999999999</v>
      </c>
      <c r="FB131" s="227" t="s">
        <v>556</v>
      </c>
      <c r="FC131">
        <f t="shared" ref="FC131:FC147" si="2">BY131-CC131</f>
        <v>37</v>
      </c>
    </row>
    <row r="132" spans="1:159" ht="17.25" hidden="1" thickBot="1" x14ac:dyDescent="0.3">
      <c r="A132" s="226">
        <v>46086</v>
      </c>
      <c r="B132" s="227" t="s">
        <v>221</v>
      </c>
      <c r="C132" s="227" t="s">
        <v>487</v>
      </c>
      <c r="D132" s="228">
        <v>275</v>
      </c>
      <c r="E132" s="228">
        <v>25</v>
      </c>
      <c r="F132" s="231">
        <v>2242.4</v>
      </c>
      <c r="G132" s="231">
        <v>2277.3000000000002</v>
      </c>
      <c r="H132" s="228">
        <v>-34.9</v>
      </c>
      <c r="I132" s="229">
        <v>-1.5299999999999999E-2</v>
      </c>
      <c r="J132" s="231">
        <v>2231.6</v>
      </c>
      <c r="K132" s="231">
        <v>2267.1999999999998</v>
      </c>
      <c r="L132" s="228">
        <v>-35.6</v>
      </c>
      <c r="M132" s="229">
        <v>-1.5699999999999999E-2</v>
      </c>
      <c r="N132" s="231">
        <v>2242.4</v>
      </c>
      <c r="O132" s="231">
        <v>2277.3000000000002</v>
      </c>
      <c r="P132" s="228">
        <v>-34.9</v>
      </c>
      <c r="Q132" s="229">
        <v>-1.5299999999999999E-2</v>
      </c>
      <c r="R132" s="231">
        <v>2254.1999999999998</v>
      </c>
      <c r="S132" s="231">
        <v>2289.1999999999998</v>
      </c>
      <c r="T132" s="228">
        <v>-35</v>
      </c>
      <c r="U132" s="229">
        <v>-1.5299999999999999E-2</v>
      </c>
      <c r="V132" s="231">
        <v>2268.6</v>
      </c>
      <c r="W132" s="231">
        <v>2307.3000000000002</v>
      </c>
      <c r="X132" s="228">
        <v>-38.700000000000003</v>
      </c>
      <c r="Y132" s="229">
        <v>-1.6799999999999999E-2</v>
      </c>
      <c r="Z132" s="228">
        <v>10.8</v>
      </c>
      <c r="AA132" s="228">
        <v>10.1</v>
      </c>
      <c r="AB132" s="228">
        <v>0.7</v>
      </c>
      <c r="AC132" s="229">
        <v>4.7999999999999996E-3</v>
      </c>
      <c r="AD132" s="228">
        <v>10.8</v>
      </c>
      <c r="AE132" s="228">
        <v>10.1</v>
      </c>
      <c r="AF132" s="228">
        <v>0.7</v>
      </c>
      <c r="AG132" s="229">
        <v>4.7999999999999996E-3</v>
      </c>
      <c r="AH132" s="228">
        <v>22.6</v>
      </c>
      <c r="AI132" s="228">
        <v>22</v>
      </c>
      <c r="AJ132" s="228">
        <v>0.6</v>
      </c>
      <c r="AK132" s="229">
        <v>1.01E-2</v>
      </c>
      <c r="AL132" s="228">
        <v>37</v>
      </c>
      <c r="AM132" s="228">
        <v>40.1</v>
      </c>
      <c r="AN132" s="228">
        <v>-3.1</v>
      </c>
      <c r="AO132" s="229">
        <v>1.66E-2</v>
      </c>
      <c r="AP132" s="231">
        <v>2237.7199999999998</v>
      </c>
      <c r="AQ132" s="231">
        <v>2251.0300000000002</v>
      </c>
      <c r="AR132" s="228">
        <v>0</v>
      </c>
      <c r="AS132" s="228">
        <v>201</v>
      </c>
      <c r="AT132" s="228">
        <v>176</v>
      </c>
      <c r="AU132" s="228">
        <v>25</v>
      </c>
      <c r="AV132" s="229">
        <v>0.1399</v>
      </c>
      <c r="AW132" s="228">
        <v>191</v>
      </c>
      <c r="AX132" s="228">
        <v>169</v>
      </c>
      <c r="AY132" s="228">
        <v>22</v>
      </c>
      <c r="AZ132" s="229">
        <v>0.12770000000000001</v>
      </c>
      <c r="BA132" s="228">
        <v>9</v>
      </c>
      <c r="BB132" s="228">
        <v>7</v>
      </c>
      <c r="BC132" s="228">
        <v>2</v>
      </c>
      <c r="BD132" s="229">
        <v>0.34820000000000001</v>
      </c>
      <c r="BE132" s="228">
        <v>1</v>
      </c>
      <c r="BF132" s="228">
        <v>0</v>
      </c>
      <c r="BG132" s="228">
        <v>1</v>
      </c>
      <c r="BH132" s="229">
        <v>1.5713999999999999</v>
      </c>
      <c r="BI132" s="228">
        <v>219</v>
      </c>
      <c r="BJ132" s="228">
        <v>328</v>
      </c>
      <c r="BK132" s="228">
        <v>-109</v>
      </c>
      <c r="BL132" s="229">
        <v>-0.33360000000000001</v>
      </c>
      <c r="BM132" s="228">
        <v>124</v>
      </c>
      <c r="BN132" s="228">
        <v>148</v>
      </c>
      <c r="BO132" s="228">
        <v>-23</v>
      </c>
      <c r="BP132" s="229">
        <v>-0.1575</v>
      </c>
      <c r="BQ132" s="228">
        <v>544</v>
      </c>
      <c r="BR132" s="228">
        <v>652</v>
      </c>
      <c r="BS132" s="228">
        <v>-108</v>
      </c>
      <c r="BT132" s="229">
        <v>-0.16569999999999999</v>
      </c>
      <c r="BU132" s="230">
        <v>760689</v>
      </c>
      <c r="BV132" s="230">
        <v>700841</v>
      </c>
      <c r="BW132" s="230">
        <v>59848</v>
      </c>
      <c r="BX132" s="229">
        <v>8.5400000000000004E-2</v>
      </c>
      <c r="BY132" s="230">
        <v>1222</v>
      </c>
      <c r="BZ132" s="230">
        <v>1175</v>
      </c>
      <c r="CA132" s="228">
        <v>47</v>
      </c>
      <c r="CB132" s="229">
        <v>0.04</v>
      </c>
      <c r="CC132" s="230">
        <v>1201</v>
      </c>
      <c r="CD132" s="230">
        <v>1156</v>
      </c>
      <c r="CE132" s="228">
        <v>45</v>
      </c>
      <c r="CF132" s="229">
        <v>3.8800000000000001E-2</v>
      </c>
      <c r="CG132" s="228">
        <v>20</v>
      </c>
      <c r="CH132" s="228">
        <v>18</v>
      </c>
      <c r="CI132" s="228">
        <v>1</v>
      </c>
      <c r="CJ132" s="229">
        <v>7.3300000000000004E-2</v>
      </c>
      <c r="CK132" s="228">
        <v>2</v>
      </c>
      <c r="CL132" s="228">
        <v>1</v>
      </c>
      <c r="CM132" s="228">
        <v>1</v>
      </c>
      <c r="CN132" s="229">
        <v>0.875</v>
      </c>
      <c r="CO132" s="228">
        <v>247</v>
      </c>
      <c r="CP132" s="228">
        <v>231</v>
      </c>
      <c r="CQ132" s="228">
        <v>16</v>
      </c>
      <c r="CR132" s="229">
        <v>6.8099999999999994E-2</v>
      </c>
      <c r="CS132" s="228">
        <v>144</v>
      </c>
      <c r="CT132" s="228">
        <v>154</v>
      </c>
      <c r="CU132" s="228">
        <v>-11</v>
      </c>
      <c r="CV132" s="229">
        <v>-6.9500000000000006E-2</v>
      </c>
      <c r="CW132" s="230">
        <v>1613</v>
      </c>
      <c r="CX132" s="230">
        <v>1560</v>
      </c>
      <c r="CY132" s="228">
        <v>52</v>
      </c>
      <c r="CZ132" s="229">
        <v>3.3399999999999999E-2</v>
      </c>
      <c r="DA132" s="228">
        <v>36.729999999999997</v>
      </c>
      <c r="DB132" s="228">
        <v>39.01</v>
      </c>
      <c r="DC132" s="228">
        <v>-2.2799999999999998</v>
      </c>
      <c r="DD132" s="228">
        <v>-2.2799999999999998</v>
      </c>
      <c r="DE132" s="228">
        <v>35.51</v>
      </c>
      <c r="DF132" s="228">
        <v>35.53</v>
      </c>
      <c r="DG132" s="228">
        <v>1.22</v>
      </c>
      <c r="DH132" s="228">
        <v>-0.02</v>
      </c>
      <c r="DI132" s="228">
        <v>35.79</v>
      </c>
      <c r="DJ132" s="228">
        <v>38.090000000000003</v>
      </c>
      <c r="DK132" s="228">
        <v>-2.2999999999999998</v>
      </c>
      <c r="DL132" s="228">
        <v>-2.2999999999999998</v>
      </c>
      <c r="DM132" s="228">
        <v>38.380000000000003</v>
      </c>
      <c r="DN132" s="228">
        <v>41.06</v>
      </c>
      <c r="DO132" s="228">
        <v>-2.68</v>
      </c>
      <c r="DP132" s="228">
        <v>-2.68</v>
      </c>
      <c r="DQ132" s="228">
        <v>0.57999999999999996</v>
      </c>
      <c r="DR132" s="228">
        <v>0.67</v>
      </c>
      <c r="DS132" s="228">
        <v>-0.09</v>
      </c>
      <c r="DT132" s="229">
        <v>-0.1343</v>
      </c>
      <c r="DU132" s="231">
        <v>2300</v>
      </c>
      <c r="DV132" s="231">
        <v>2200</v>
      </c>
      <c r="DW132" s="228">
        <v>0.56999999999999995</v>
      </c>
      <c r="DX132" s="228">
        <v>0.45</v>
      </c>
      <c r="DY132" s="228">
        <v>0.12</v>
      </c>
      <c r="DZ132" s="229">
        <v>0.26669999999999999</v>
      </c>
      <c r="EA132" s="229">
        <v>1.78E-2</v>
      </c>
      <c r="EB132" s="230">
        <v>86900</v>
      </c>
      <c r="EC132" s="229">
        <v>5.3E-3</v>
      </c>
      <c r="ED132" s="229">
        <v>1.78E-2</v>
      </c>
      <c r="EE132" s="228">
        <v>13.31</v>
      </c>
      <c r="EF132" s="229">
        <v>5.8999999999999999E-3</v>
      </c>
      <c r="EG132" s="230">
        <v>435783</v>
      </c>
      <c r="EH132" s="230">
        <v>322022</v>
      </c>
      <c r="EI132" s="229">
        <v>0.3533</v>
      </c>
      <c r="EJ132" s="229">
        <v>0.57289999999999996</v>
      </c>
      <c r="EK132" s="228">
        <v>238.65</v>
      </c>
      <c r="EL132" s="228">
        <v>122.17</v>
      </c>
      <c r="EM132" s="228">
        <v>200.68</v>
      </c>
      <c r="EN132" s="228">
        <v>30.2</v>
      </c>
      <c r="EO132" s="228">
        <v>561.49</v>
      </c>
      <c r="EP132" s="228">
        <v>683.32</v>
      </c>
      <c r="EQ132" s="228">
        <v>-121.82</v>
      </c>
      <c r="ER132" s="229">
        <v>-0.17829999999999999</v>
      </c>
      <c r="ES132" s="228">
        <v>271.77999999999997</v>
      </c>
      <c r="ET132" s="228">
        <v>143.44</v>
      </c>
      <c r="EU132" s="231">
        <v>1222.3499999999999</v>
      </c>
      <c r="EV132" s="231">
        <v>17093933</v>
      </c>
      <c r="EW132" s="231">
        <v>1637.57</v>
      </c>
      <c r="EX132" s="231">
        <v>1602.83</v>
      </c>
      <c r="EY132" s="228">
        <v>34.74</v>
      </c>
      <c r="EZ132" s="229">
        <v>2.1700000000000001E-2</v>
      </c>
      <c r="FA132" s="229">
        <v>0.42070000000000002</v>
      </c>
      <c r="FB132" s="227" t="s">
        <v>567</v>
      </c>
      <c r="FC132">
        <f t="shared" si="2"/>
        <v>21</v>
      </c>
    </row>
    <row r="133" spans="1:159" ht="17.25" hidden="1" thickBot="1" x14ac:dyDescent="0.3">
      <c r="A133" s="226">
        <v>46086</v>
      </c>
      <c r="B133" s="227" t="s">
        <v>175</v>
      </c>
      <c r="C133" s="227" t="s">
        <v>262</v>
      </c>
      <c r="D133" s="228">
        <v>275</v>
      </c>
      <c r="E133" s="228">
        <v>25</v>
      </c>
      <c r="F133" s="231">
        <v>3318.5</v>
      </c>
      <c r="G133" s="231">
        <v>3354.7</v>
      </c>
      <c r="H133" s="228">
        <v>-36.200000000000003</v>
      </c>
      <c r="I133" s="229">
        <v>-1.0800000000000001E-2</v>
      </c>
      <c r="J133" s="231">
        <v>3306.4</v>
      </c>
      <c r="K133" s="231">
        <v>3339.9</v>
      </c>
      <c r="L133" s="228">
        <v>-33.5</v>
      </c>
      <c r="M133" s="229">
        <v>-0.01</v>
      </c>
      <c r="N133" s="231">
        <v>3318.5</v>
      </c>
      <c r="O133" s="231">
        <v>3354.7</v>
      </c>
      <c r="P133" s="228">
        <v>-36.200000000000003</v>
      </c>
      <c r="Q133" s="229">
        <v>-1.0800000000000001E-2</v>
      </c>
      <c r="R133" s="231">
        <v>3320.1</v>
      </c>
      <c r="S133" s="231">
        <v>3353.1</v>
      </c>
      <c r="T133" s="228">
        <v>-33</v>
      </c>
      <c r="U133" s="229">
        <v>-9.7999999999999997E-3</v>
      </c>
      <c r="V133" s="231">
        <v>3313.7</v>
      </c>
      <c r="W133" s="231">
        <v>3361.1</v>
      </c>
      <c r="X133" s="228">
        <v>-47.4</v>
      </c>
      <c r="Y133" s="229">
        <v>-1.41E-2</v>
      </c>
      <c r="Z133" s="228">
        <v>12.1</v>
      </c>
      <c r="AA133" s="228">
        <v>14.8</v>
      </c>
      <c r="AB133" s="228">
        <v>-2.7</v>
      </c>
      <c r="AC133" s="229">
        <v>3.7000000000000002E-3</v>
      </c>
      <c r="AD133" s="228">
        <v>12.1</v>
      </c>
      <c r="AE133" s="228">
        <v>14.8</v>
      </c>
      <c r="AF133" s="228">
        <v>-2.7</v>
      </c>
      <c r="AG133" s="229">
        <v>3.7000000000000002E-3</v>
      </c>
      <c r="AH133" s="228">
        <v>13.7</v>
      </c>
      <c r="AI133" s="228">
        <v>13.2</v>
      </c>
      <c r="AJ133" s="228">
        <v>0.5</v>
      </c>
      <c r="AK133" s="229">
        <v>4.1000000000000003E-3</v>
      </c>
      <c r="AL133" s="228">
        <v>7.3</v>
      </c>
      <c r="AM133" s="228">
        <v>21.2</v>
      </c>
      <c r="AN133" s="228">
        <v>-13.9</v>
      </c>
      <c r="AO133" s="229">
        <v>2.2000000000000001E-3</v>
      </c>
      <c r="AP133" s="231">
        <v>3302.97</v>
      </c>
      <c r="AQ133" s="231">
        <v>3311.69</v>
      </c>
      <c r="AR133" s="228">
        <v>0</v>
      </c>
      <c r="AS133" s="228">
        <v>550</v>
      </c>
      <c r="AT133" s="228">
        <v>506</v>
      </c>
      <c r="AU133" s="228">
        <v>44</v>
      </c>
      <c r="AV133" s="229">
        <v>8.7300000000000003E-2</v>
      </c>
      <c r="AW133" s="228">
        <v>525</v>
      </c>
      <c r="AX133" s="228">
        <v>483</v>
      </c>
      <c r="AY133" s="228">
        <v>42</v>
      </c>
      <c r="AZ133" s="229">
        <v>8.6199999999999999E-2</v>
      </c>
      <c r="BA133" s="228">
        <v>21</v>
      </c>
      <c r="BB133" s="228">
        <v>19</v>
      </c>
      <c r="BC133" s="228">
        <v>1</v>
      </c>
      <c r="BD133" s="229">
        <v>6.5699999999999995E-2</v>
      </c>
      <c r="BE133" s="228">
        <v>5</v>
      </c>
      <c r="BF133" s="228">
        <v>3</v>
      </c>
      <c r="BG133" s="228">
        <v>1</v>
      </c>
      <c r="BH133" s="229">
        <v>0.38890000000000002</v>
      </c>
      <c r="BI133" s="230">
        <v>1510</v>
      </c>
      <c r="BJ133" s="230">
        <v>1374</v>
      </c>
      <c r="BK133" s="228">
        <v>135</v>
      </c>
      <c r="BL133" s="229">
        <v>9.8500000000000004E-2</v>
      </c>
      <c r="BM133" s="228">
        <v>855</v>
      </c>
      <c r="BN133" s="228">
        <v>842</v>
      </c>
      <c r="BO133" s="228">
        <v>13</v>
      </c>
      <c r="BP133" s="229">
        <v>1.4800000000000001E-2</v>
      </c>
      <c r="BQ133" s="230">
        <v>2914</v>
      </c>
      <c r="BR133" s="230">
        <v>2722</v>
      </c>
      <c r="BS133" s="228">
        <v>192</v>
      </c>
      <c r="BT133" s="229">
        <v>7.0499999999999993E-2</v>
      </c>
      <c r="BU133" s="230">
        <v>981029</v>
      </c>
      <c r="BV133" s="230">
        <v>774718</v>
      </c>
      <c r="BW133" s="230">
        <v>206311</v>
      </c>
      <c r="BX133" s="229">
        <v>0.26629999999999998</v>
      </c>
      <c r="BY133" s="230">
        <v>1416</v>
      </c>
      <c r="BZ133" s="230">
        <v>1454</v>
      </c>
      <c r="CA133" s="228">
        <v>-38</v>
      </c>
      <c r="CB133" s="229">
        <v>-2.6200000000000001E-2</v>
      </c>
      <c r="CC133" s="230">
        <v>1361</v>
      </c>
      <c r="CD133" s="230">
        <v>1403</v>
      </c>
      <c r="CE133" s="228">
        <v>-42</v>
      </c>
      <c r="CF133" s="229">
        <v>-2.98E-2</v>
      </c>
      <c r="CG133" s="228">
        <v>49</v>
      </c>
      <c r="CH133" s="228">
        <v>47</v>
      </c>
      <c r="CI133" s="228">
        <v>2</v>
      </c>
      <c r="CJ133" s="229">
        <v>3.4700000000000002E-2</v>
      </c>
      <c r="CK133" s="228">
        <v>5</v>
      </c>
      <c r="CL133" s="228">
        <v>3</v>
      </c>
      <c r="CM133" s="228">
        <v>2</v>
      </c>
      <c r="CN133" s="229">
        <v>0.59460000000000002</v>
      </c>
      <c r="CO133" s="230">
        <v>1314</v>
      </c>
      <c r="CP133" s="230">
        <v>1227</v>
      </c>
      <c r="CQ133" s="228">
        <v>87</v>
      </c>
      <c r="CR133" s="229">
        <v>7.1099999999999997E-2</v>
      </c>
      <c r="CS133" s="228">
        <v>579</v>
      </c>
      <c r="CT133" s="228">
        <v>546</v>
      </c>
      <c r="CU133" s="228">
        <v>33</v>
      </c>
      <c r="CV133" s="229">
        <v>0.06</v>
      </c>
      <c r="CW133" s="230">
        <v>3309</v>
      </c>
      <c r="CX133" s="230">
        <v>3227</v>
      </c>
      <c r="CY133" s="228">
        <v>82</v>
      </c>
      <c r="CZ133" s="229">
        <v>2.5399999999999999E-2</v>
      </c>
      <c r="DA133" s="228">
        <v>35.549999999999997</v>
      </c>
      <c r="DB133" s="228">
        <v>38.07</v>
      </c>
      <c r="DC133" s="228">
        <v>-2.52</v>
      </c>
      <c r="DD133" s="228">
        <v>-2.52</v>
      </c>
      <c r="DE133" s="228">
        <v>42.14</v>
      </c>
      <c r="DF133" s="228">
        <v>42.22</v>
      </c>
      <c r="DG133" s="228">
        <v>-6.59</v>
      </c>
      <c r="DH133" s="228">
        <v>-0.08</v>
      </c>
      <c r="DI133" s="228">
        <v>35.119999999999997</v>
      </c>
      <c r="DJ133" s="228">
        <v>37.78</v>
      </c>
      <c r="DK133" s="228">
        <v>-2.66</v>
      </c>
      <c r="DL133" s="228">
        <v>-2.66</v>
      </c>
      <c r="DM133" s="228">
        <v>36.31</v>
      </c>
      <c r="DN133" s="228">
        <v>38.549999999999997</v>
      </c>
      <c r="DO133" s="228">
        <v>-2.2400000000000002</v>
      </c>
      <c r="DP133" s="228">
        <v>-2.2400000000000002</v>
      </c>
      <c r="DQ133" s="228">
        <v>0.44</v>
      </c>
      <c r="DR133" s="228">
        <v>0.45</v>
      </c>
      <c r="DS133" s="228">
        <v>-0.01</v>
      </c>
      <c r="DT133" s="229">
        <v>-2.2200000000000001E-2</v>
      </c>
      <c r="DU133" s="231">
        <v>4000</v>
      </c>
      <c r="DV133" s="231">
        <v>3400</v>
      </c>
      <c r="DW133" s="228">
        <v>0.56999999999999995</v>
      </c>
      <c r="DX133" s="228">
        <v>0.61</v>
      </c>
      <c r="DY133" s="228">
        <v>-0.04</v>
      </c>
      <c r="DZ133" s="229">
        <v>-6.5600000000000006E-2</v>
      </c>
      <c r="EA133" s="229">
        <v>3.8399999999999997E-2</v>
      </c>
      <c r="EB133" s="230">
        <v>152900</v>
      </c>
      <c r="EC133" s="229">
        <v>5.0000000000000001E-4</v>
      </c>
      <c r="ED133" s="229">
        <v>3.8399999999999997E-2</v>
      </c>
      <c r="EE133" s="228">
        <v>8.7200000000000006</v>
      </c>
      <c r="EF133" s="229">
        <v>2.5999999999999999E-3</v>
      </c>
      <c r="EG133" s="230">
        <v>445010</v>
      </c>
      <c r="EH133" s="230">
        <v>340007</v>
      </c>
      <c r="EI133" s="229">
        <v>0.30880000000000002</v>
      </c>
      <c r="EJ133" s="229">
        <v>0.4536</v>
      </c>
      <c r="EK133" s="231">
        <v>1645.12</v>
      </c>
      <c r="EL133" s="228">
        <v>847.91</v>
      </c>
      <c r="EM133" s="228">
        <v>547.32000000000005</v>
      </c>
      <c r="EN133" s="228">
        <v>65.88</v>
      </c>
      <c r="EO133" s="231">
        <v>3040.35</v>
      </c>
      <c r="EP133" s="231">
        <v>2901.65</v>
      </c>
      <c r="EQ133" s="228">
        <v>138.69999999999999</v>
      </c>
      <c r="ER133" s="229">
        <v>4.7800000000000002E-2</v>
      </c>
      <c r="ES133" s="231">
        <v>1496.3</v>
      </c>
      <c r="ET133" s="228">
        <v>581.99</v>
      </c>
      <c r="EU133" s="231">
        <v>1415.53</v>
      </c>
      <c r="EV133" s="231">
        <v>14790848</v>
      </c>
      <c r="EW133" s="231">
        <v>3493.82</v>
      </c>
      <c r="EX133" s="231">
        <v>3425.32</v>
      </c>
      <c r="EY133" s="228">
        <v>68.5</v>
      </c>
      <c r="EZ133" s="229">
        <v>0.02</v>
      </c>
      <c r="FA133" s="229">
        <v>0.67410000000000003</v>
      </c>
      <c r="FB133" s="227" t="s">
        <v>568</v>
      </c>
      <c r="FC133">
        <f t="shared" si="2"/>
        <v>55</v>
      </c>
    </row>
    <row r="134" spans="1:159" ht="17.25" hidden="1" thickBot="1" x14ac:dyDescent="0.3">
      <c r="A134" s="226">
        <v>46086</v>
      </c>
      <c r="B134" s="227" t="s">
        <v>227</v>
      </c>
      <c r="C134" s="227" t="s">
        <v>263</v>
      </c>
      <c r="D134" s="228">
        <v>3750</v>
      </c>
      <c r="E134" s="228">
        <v>25</v>
      </c>
      <c r="F134" s="228">
        <v>396.65</v>
      </c>
      <c r="G134" s="228">
        <v>374.4</v>
      </c>
      <c r="H134" s="228">
        <v>22.25</v>
      </c>
      <c r="I134" s="229">
        <v>5.9400000000000001E-2</v>
      </c>
      <c r="J134" s="228">
        <v>395.95</v>
      </c>
      <c r="K134" s="228">
        <v>373.5</v>
      </c>
      <c r="L134" s="228">
        <v>22.45</v>
      </c>
      <c r="M134" s="229">
        <v>6.0100000000000001E-2</v>
      </c>
      <c r="N134" s="228">
        <v>396.65</v>
      </c>
      <c r="O134" s="228">
        <v>374.4</v>
      </c>
      <c r="P134" s="228">
        <v>22.25</v>
      </c>
      <c r="Q134" s="229">
        <v>5.9400000000000001E-2</v>
      </c>
      <c r="R134" s="228">
        <v>398.9</v>
      </c>
      <c r="S134" s="228">
        <v>376.5</v>
      </c>
      <c r="T134" s="228">
        <v>22.4</v>
      </c>
      <c r="U134" s="229">
        <v>5.9499999999999997E-2</v>
      </c>
      <c r="V134" s="228">
        <v>401.05</v>
      </c>
      <c r="W134" s="228">
        <v>377.25</v>
      </c>
      <c r="X134" s="228">
        <v>23.8</v>
      </c>
      <c r="Y134" s="229">
        <v>6.3100000000000003E-2</v>
      </c>
      <c r="Z134" s="228">
        <v>0.7</v>
      </c>
      <c r="AA134" s="228">
        <v>0.9</v>
      </c>
      <c r="AB134" s="228">
        <v>-0.2</v>
      </c>
      <c r="AC134" s="229">
        <v>1.8E-3</v>
      </c>
      <c r="AD134" s="228">
        <v>0.7</v>
      </c>
      <c r="AE134" s="228">
        <v>0.9</v>
      </c>
      <c r="AF134" s="228">
        <v>-0.2</v>
      </c>
      <c r="AG134" s="229">
        <v>1.8E-3</v>
      </c>
      <c r="AH134" s="228">
        <v>2.95</v>
      </c>
      <c r="AI134" s="228">
        <v>3</v>
      </c>
      <c r="AJ134" s="228">
        <v>-0.05</v>
      </c>
      <c r="AK134" s="229">
        <v>7.4999999999999997E-3</v>
      </c>
      <c r="AL134" s="228">
        <v>5.0999999999999996</v>
      </c>
      <c r="AM134" s="228">
        <v>3.75</v>
      </c>
      <c r="AN134" s="228">
        <v>1.35</v>
      </c>
      <c r="AO134" s="229">
        <v>1.29E-2</v>
      </c>
      <c r="AP134" s="228">
        <v>396.29</v>
      </c>
      <c r="AQ134" s="228">
        <v>395.59</v>
      </c>
      <c r="AR134" s="228">
        <v>0</v>
      </c>
      <c r="AS134" s="230">
        <v>3030</v>
      </c>
      <c r="AT134" s="230">
        <v>1604</v>
      </c>
      <c r="AU134" s="230">
        <v>1426</v>
      </c>
      <c r="AV134" s="229">
        <v>0.88859999999999995</v>
      </c>
      <c r="AW134" s="230">
        <v>2412</v>
      </c>
      <c r="AX134" s="230">
        <v>1532</v>
      </c>
      <c r="AY134" s="228">
        <v>880</v>
      </c>
      <c r="AZ134" s="229">
        <v>0.57420000000000004</v>
      </c>
      <c r="BA134" s="228">
        <v>512</v>
      </c>
      <c r="BB134" s="228">
        <v>59</v>
      </c>
      <c r="BC134" s="228">
        <v>452</v>
      </c>
      <c r="BD134" s="229">
        <v>7.6</v>
      </c>
      <c r="BE134" s="228">
        <v>107</v>
      </c>
      <c r="BF134" s="228">
        <v>13</v>
      </c>
      <c r="BG134" s="228">
        <v>94</v>
      </c>
      <c r="BH134" s="229">
        <v>7.2413999999999996</v>
      </c>
      <c r="BI134" s="230">
        <v>8502</v>
      </c>
      <c r="BJ134" s="230">
        <v>3240</v>
      </c>
      <c r="BK134" s="230">
        <v>5262</v>
      </c>
      <c r="BL134" s="229">
        <v>1.6237999999999999</v>
      </c>
      <c r="BM134" s="230">
        <v>3422</v>
      </c>
      <c r="BN134" s="230">
        <v>1654</v>
      </c>
      <c r="BO134" s="230">
        <v>1768</v>
      </c>
      <c r="BP134" s="229">
        <v>1.0690999999999999</v>
      </c>
      <c r="BQ134" s="230">
        <v>14954</v>
      </c>
      <c r="BR134" s="230">
        <v>6498</v>
      </c>
      <c r="BS134" s="230">
        <v>8455</v>
      </c>
      <c r="BT134" s="229">
        <v>1.3010999999999999</v>
      </c>
      <c r="BU134" s="230">
        <v>49649613</v>
      </c>
      <c r="BV134" s="230">
        <v>27233322</v>
      </c>
      <c r="BW134" s="230">
        <v>22416291</v>
      </c>
      <c r="BX134" s="229">
        <v>0.82310000000000005</v>
      </c>
      <c r="BY134" s="230">
        <v>2345</v>
      </c>
      <c r="BZ134" s="230">
        <v>2295</v>
      </c>
      <c r="CA134" s="228">
        <v>51</v>
      </c>
      <c r="CB134" s="229">
        <v>2.1999999999999999E-2</v>
      </c>
      <c r="CC134" s="230">
        <v>1922</v>
      </c>
      <c r="CD134" s="230">
        <v>2043</v>
      </c>
      <c r="CE134" s="228">
        <v>-121</v>
      </c>
      <c r="CF134" s="229">
        <v>-5.9200000000000003E-2</v>
      </c>
      <c r="CG134" s="228">
        <v>240</v>
      </c>
      <c r="CH134" s="228">
        <v>147</v>
      </c>
      <c r="CI134" s="228">
        <v>93</v>
      </c>
      <c r="CJ134" s="229">
        <v>0.62760000000000005</v>
      </c>
      <c r="CK134" s="228">
        <v>183</v>
      </c>
      <c r="CL134" s="228">
        <v>104</v>
      </c>
      <c r="CM134" s="228">
        <v>79</v>
      </c>
      <c r="CN134" s="229">
        <v>0.75639999999999996</v>
      </c>
      <c r="CO134" s="230">
        <v>1303</v>
      </c>
      <c r="CP134" s="230">
        <v>1028</v>
      </c>
      <c r="CQ134" s="228">
        <v>274</v>
      </c>
      <c r="CR134" s="229">
        <v>0.26669999999999999</v>
      </c>
      <c r="CS134" s="230">
        <v>1060</v>
      </c>
      <c r="CT134" s="228">
        <v>866</v>
      </c>
      <c r="CU134" s="228">
        <v>194</v>
      </c>
      <c r="CV134" s="229">
        <v>0.22439999999999999</v>
      </c>
      <c r="CW134" s="230">
        <v>4708</v>
      </c>
      <c r="CX134" s="230">
        <v>4189</v>
      </c>
      <c r="CY134" s="228">
        <v>519</v>
      </c>
      <c r="CZ134" s="229">
        <v>0.1239</v>
      </c>
      <c r="DA134" s="228">
        <v>42.54</v>
      </c>
      <c r="DB134" s="228">
        <v>42.15</v>
      </c>
      <c r="DC134" s="228">
        <v>0.39</v>
      </c>
      <c r="DD134" s="228">
        <v>0.39</v>
      </c>
      <c r="DE134" s="228">
        <v>51.4</v>
      </c>
      <c r="DF134" s="228">
        <v>50.91</v>
      </c>
      <c r="DG134" s="228">
        <v>-8.86</v>
      </c>
      <c r="DH134" s="228">
        <v>0.49</v>
      </c>
      <c r="DI134" s="228">
        <v>42.14</v>
      </c>
      <c r="DJ134" s="228">
        <v>41.49</v>
      </c>
      <c r="DK134" s="228">
        <v>0.65</v>
      </c>
      <c r="DL134" s="228">
        <v>0.65</v>
      </c>
      <c r="DM134" s="228">
        <v>43.53</v>
      </c>
      <c r="DN134" s="228">
        <v>43.45</v>
      </c>
      <c r="DO134" s="228">
        <v>0.08</v>
      </c>
      <c r="DP134" s="228">
        <v>0.08</v>
      </c>
      <c r="DQ134" s="228">
        <v>0.81</v>
      </c>
      <c r="DR134" s="228">
        <v>0.84</v>
      </c>
      <c r="DS134" s="228">
        <v>-0.03</v>
      </c>
      <c r="DT134" s="229">
        <v>-3.5700000000000003E-2</v>
      </c>
      <c r="DU134" s="228">
        <v>400</v>
      </c>
      <c r="DV134" s="228">
        <v>350</v>
      </c>
      <c r="DW134" s="228">
        <v>0.4</v>
      </c>
      <c r="DX134" s="228">
        <v>0.51</v>
      </c>
      <c r="DY134" s="228">
        <v>-0.11</v>
      </c>
      <c r="DZ134" s="229">
        <v>-0.2157</v>
      </c>
      <c r="EA134" s="229">
        <v>0.18049999999999999</v>
      </c>
      <c r="EB134" s="230">
        <v>6348750</v>
      </c>
      <c r="EC134" s="229">
        <v>5.7000000000000002E-3</v>
      </c>
      <c r="ED134" s="229">
        <v>0.18049999999999999</v>
      </c>
      <c r="EE134" s="228">
        <v>-0.7</v>
      </c>
      <c r="EF134" s="229">
        <v>-1.8E-3</v>
      </c>
      <c r="EG134" s="230">
        <v>11865729</v>
      </c>
      <c r="EH134" s="230">
        <v>12039966</v>
      </c>
      <c r="EI134" s="229">
        <v>-1.4500000000000001E-2</v>
      </c>
      <c r="EJ134" s="229">
        <v>0.23899999999999999</v>
      </c>
      <c r="EK134" s="231">
        <v>9114.48</v>
      </c>
      <c r="EL134" s="231">
        <v>3298.03</v>
      </c>
      <c r="EM134" s="231">
        <v>3028.15</v>
      </c>
      <c r="EN134" s="228">
        <v>62.33</v>
      </c>
      <c r="EO134" s="231">
        <v>15440.65</v>
      </c>
      <c r="EP134" s="231">
        <v>6211.31</v>
      </c>
      <c r="EQ134" s="231">
        <v>9229.35</v>
      </c>
      <c r="ER134" s="229">
        <v>1.4859</v>
      </c>
      <c r="ES134" s="231">
        <v>1301.18</v>
      </c>
      <c r="ET134" s="228">
        <v>959.58</v>
      </c>
      <c r="EU134" s="231">
        <v>2348.64</v>
      </c>
      <c r="EV134" s="231">
        <v>134225816</v>
      </c>
      <c r="EW134" s="231">
        <v>4609.3999999999996</v>
      </c>
      <c r="EX134" s="231">
        <v>3903.97</v>
      </c>
      <c r="EY134" s="228">
        <v>705.43</v>
      </c>
      <c r="EZ134" s="229">
        <v>0.1807</v>
      </c>
      <c r="FA134" s="229">
        <v>0.88419999999999999</v>
      </c>
      <c r="FB134" s="227" t="s">
        <v>555</v>
      </c>
      <c r="FC134">
        <f t="shared" si="2"/>
        <v>423</v>
      </c>
    </row>
    <row r="135" spans="1:159" ht="17.25" hidden="1" thickBot="1" x14ac:dyDescent="0.3">
      <c r="A135" s="226">
        <v>46086</v>
      </c>
      <c r="B135" s="227" t="s">
        <v>615</v>
      </c>
      <c r="C135" s="227" t="s">
        <v>264</v>
      </c>
      <c r="D135" s="228">
        <v>375</v>
      </c>
      <c r="E135" s="228">
        <v>25</v>
      </c>
      <c r="F135" s="231">
        <v>1016.8</v>
      </c>
      <c r="G135" s="231">
        <v>1002.4</v>
      </c>
      <c r="H135" s="228">
        <v>14.4</v>
      </c>
      <c r="I135" s="229">
        <v>1.44E-2</v>
      </c>
      <c r="J135" s="231">
        <v>1015.3</v>
      </c>
      <c r="K135" s="228">
        <v>999.7</v>
      </c>
      <c r="L135" s="228">
        <v>15.6</v>
      </c>
      <c r="M135" s="229">
        <v>1.5599999999999999E-2</v>
      </c>
      <c r="N135" s="231">
        <v>1016.8</v>
      </c>
      <c r="O135" s="231">
        <v>1002.4</v>
      </c>
      <c r="P135" s="228">
        <v>14.4</v>
      </c>
      <c r="Q135" s="229">
        <v>1.44E-2</v>
      </c>
      <c r="R135" s="231">
        <v>1017.7</v>
      </c>
      <c r="S135" s="231">
        <v>1004.5</v>
      </c>
      <c r="T135" s="228">
        <v>13.2</v>
      </c>
      <c r="U135" s="229">
        <v>1.3100000000000001E-2</v>
      </c>
      <c r="V135" s="231">
        <v>1016.1</v>
      </c>
      <c r="W135" s="231">
        <v>1007.4</v>
      </c>
      <c r="X135" s="228">
        <v>8.6999999999999993</v>
      </c>
      <c r="Y135" s="229">
        <v>8.6E-3</v>
      </c>
      <c r="Z135" s="228">
        <v>1.5</v>
      </c>
      <c r="AA135" s="228">
        <v>2.7</v>
      </c>
      <c r="AB135" s="228">
        <v>-1.2</v>
      </c>
      <c r="AC135" s="229">
        <v>1.5E-3</v>
      </c>
      <c r="AD135" s="228">
        <v>1.5</v>
      </c>
      <c r="AE135" s="228">
        <v>2.7</v>
      </c>
      <c r="AF135" s="228">
        <v>-1.2</v>
      </c>
      <c r="AG135" s="229">
        <v>1.5E-3</v>
      </c>
      <c r="AH135" s="228">
        <v>2.4</v>
      </c>
      <c r="AI135" s="228">
        <v>4.8</v>
      </c>
      <c r="AJ135" s="228">
        <v>-2.4</v>
      </c>
      <c r="AK135" s="229">
        <v>2.3999999999999998E-3</v>
      </c>
      <c r="AL135" s="228">
        <v>0.8</v>
      </c>
      <c r="AM135" s="228">
        <v>7.7</v>
      </c>
      <c r="AN135" s="228">
        <v>-6.9</v>
      </c>
      <c r="AO135" s="229">
        <v>8.0000000000000004E-4</v>
      </c>
      <c r="AP135" s="231">
        <v>1011.12</v>
      </c>
      <c r="AQ135" s="231">
        <v>1012.13</v>
      </c>
      <c r="AR135" s="228">
        <v>0</v>
      </c>
      <c r="AS135" s="228">
        <v>159</v>
      </c>
      <c r="AT135" s="228">
        <v>148</v>
      </c>
      <c r="AU135" s="228">
        <v>11</v>
      </c>
      <c r="AV135" s="229">
        <v>7.6799999999999993E-2</v>
      </c>
      <c r="AW135" s="228">
        <v>153</v>
      </c>
      <c r="AX135" s="228">
        <v>141</v>
      </c>
      <c r="AY135" s="228">
        <v>13</v>
      </c>
      <c r="AZ135" s="229">
        <v>0.09</v>
      </c>
      <c r="BA135" s="228">
        <v>5</v>
      </c>
      <c r="BB135" s="228">
        <v>5</v>
      </c>
      <c r="BC135" s="228">
        <v>0</v>
      </c>
      <c r="BD135" s="229">
        <v>2.86E-2</v>
      </c>
      <c r="BE135" s="228">
        <v>0</v>
      </c>
      <c r="BF135" s="228">
        <v>2</v>
      </c>
      <c r="BG135" s="228">
        <v>-1</v>
      </c>
      <c r="BH135" s="229">
        <v>-0.74509999999999998</v>
      </c>
      <c r="BI135" s="228">
        <v>181</v>
      </c>
      <c r="BJ135" s="228">
        <v>224</v>
      </c>
      <c r="BK135" s="228">
        <v>-44</v>
      </c>
      <c r="BL135" s="229">
        <v>-0.1943</v>
      </c>
      <c r="BM135" s="228">
        <v>38</v>
      </c>
      <c r="BN135" s="228">
        <v>107</v>
      </c>
      <c r="BO135" s="228">
        <v>-69</v>
      </c>
      <c r="BP135" s="229">
        <v>-0.64649999999999996</v>
      </c>
      <c r="BQ135" s="228">
        <v>378</v>
      </c>
      <c r="BR135" s="228">
        <v>479</v>
      </c>
      <c r="BS135" s="228">
        <v>-102</v>
      </c>
      <c r="BT135" s="229">
        <v>-0.21190000000000001</v>
      </c>
      <c r="BU135" s="230">
        <v>2540177</v>
      </c>
      <c r="BV135" s="230">
        <v>1822888</v>
      </c>
      <c r="BW135" s="230">
        <v>717289</v>
      </c>
      <c r="BX135" s="229">
        <v>0.39350000000000002</v>
      </c>
      <c r="BY135" s="230">
        <v>1140</v>
      </c>
      <c r="BZ135" s="230">
        <v>1163</v>
      </c>
      <c r="CA135" s="228">
        <v>-23</v>
      </c>
      <c r="CB135" s="229">
        <v>-1.9699999999999999E-2</v>
      </c>
      <c r="CC135" s="230">
        <v>1120</v>
      </c>
      <c r="CD135" s="230">
        <v>1142</v>
      </c>
      <c r="CE135" s="228">
        <v>-22</v>
      </c>
      <c r="CF135" s="229">
        <v>-1.95E-2</v>
      </c>
      <c r="CG135" s="228">
        <v>19</v>
      </c>
      <c r="CH135" s="228">
        <v>20</v>
      </c>
      <c r="CI135" s="228">
        <v>-1</v>
      </c>
      <c r="CJ135" s="229">
        <v>-3.1199999999999999E-2</v>
      </c>
      <c r="CK135" s="228">
        <v>2</v>
      </c>
      <c r="CL135" s="228">
        <v>2</v>
      </c>
      <c r="CM135" s="228">
        <v>0</v>
      </c>
      <c r="CN135" s="229">
        <v>2.0400000000000001E-2</v>
      </c>
      <c r="CO135" s="228">
        <v>282</v>
      </c>
      <c r="CP135" s="228">
        <v>277</v>
      </c>
      <c r="CQ135" s="228">
        <v>5</v>
      </c>
      <c r="CR135" s="229">
        <v>1.72E-2</v>
      </c>
      <c r="CS135" s="228">
        <v>140</v>
      </c>
      <c r="CT135" s="228">
        <v>138</v>
      </c>
      <c r="CU135" s="228">
        <v>2</v>
      </c>
      <c r="CV135" s="229">
        <v>1.1299999999999999E-2</v>
      </c>
      <c r="CW135" s="230">
        <v>1562</v>
      </c>
      <c r="CX135" s="230">
        <v>1579</v>
      </c>
      <c r="CY135" s="228">
        <v>-17</v>
      </c>
      <c r="CZ135" s="229">
        <v>-1.0500000000000001E-2</v>
      </c>
      <c r="DA135" s="228">
        <v>33.22</v>
      </c>
      <c r="DB135" s="228">
        <v>36.94</v>
      </c>
      <c r="DC135" s="228">
        <v>-3.72</v>
      </c>
      <c r="DD135" s="228">
        <v>-3.72</v>
      </c>
      <c r="DE135" s="228">
        <v>36.33</v>
      </c>
      <c r="DF135" s="228">
        <v>36.36</v>
      </c>
      <c r="DG135" s="228">
        <v>-3.11</v>
      </c>
      <c r="DH135" s="228">
        <v>-0.03</v>
      </c>
      <c r="DI135" s="228">
        <v>32.85</v>
      </c>
      <c r="DJ135" s="228">
        <v>36.380000000000003</v>
      </c>
      <c r="DK135" s="228">
        <v>-3.53</v>
      </c>
      <c r="DL135" s="228">
        <v>-3.53</v>
      </c>
      <c r="DM135" s="228">
        <v>35</v>
      </c>
      <c r="DN135" s="228">
        <v>38.11</v>
      </c>
      <c r="DO135" s="228">
        <v>-3.11</v>
      </c>
      <c r="DP135" s="228">
        <v>-3.11</v>
      </c>
      <c r="DQ135" s="228">
        <v>0.5</v>
      </c>
      <c r="DR135" s="228">
        <v>0.5</v>
      </c>
      <c r="DS135" s="228">
        <v>0</v>
      </c>
      <c r="DT135" s="229">
        <v>0</v>
      </c>
      <c r="DU135" s="231">
        <v>1100</v>
      </c>
      <c r="DV135" s="231">
        <v>1000</v>
      </c>
      <c r="DW135" s="228">
        <v>0.21</v>
      </c>
      <c r="DX135" s="228">
        <v>0.48</v>
      </c>
      <c r="DY135" s="228">
        <v>-0.27</v>
      </c>
      <c r="DZ135" s="229">
        <v>-0.5625</v>
      </c>
      <c r="EA135" s="229">
        <v>1.83E-2</v>
      </c>
      <c r="EB135" s="230">
        <v>210750</v>
      </c>
      <c r="EC135" s="229">
        <v>8.9999999999999998E-4</v>
      </c>
      <c r="ED135" s="229">
        <v>1.83E-2</v>
      </c>
      <c r="EE135" s="228">
        <v>1.01</v>
      </c>
      <c r="EF135" s="229">
        <v>1E-3</v>
      </c>
      <c r="EG135" s="230">
        <v>1609396</v>
      </c>
      <c r="EH135" s="230">
        <v>1034435</v>
      </c>
      <c r="EI135" s="229">
        <v>0.55579999999999996</v>
      </c>
      <c r="EJ135" s="229">
        <v>0.63360000000000005</v>
      </c>
      <c r="EK135" s="228">
        <v>193.75</v>
      </c>
      <c r="EL135" s="228">
        <v>37.11</v>
      </c>
      <c r="EM135" s="228">
        <v>158.46</v>
      </c>
      <c r="EN135" s="228">
        <v>35.03</v>
      </c>
      <c r="EO135" s="228">
        <v>389.32</v>
      </c>
      <c r="EP135" s="228">
        <v>496.53</v>
      </c>
      <c r="EQ135" s="228">
        <v>-107.21</v>
      </c>
      <c r="ER135" s="229">
        <v>-0.21590000000000001</v>
      </c>
      <c r="ES135" s="228">
        <v>316.41000000000003</v>
      </c>
      <c r="ET135" s="228">
        <v>141.22</v>
      </c>
      <c r="EU135" s="231">
        <v>1140.48</v>
      </c>
      <c r="EV135" s="231">
        <v>45110207</v>
      </c>
      <c r="EW135" s="231">
        <v>1598.11</v>
      </c>
      <c r="EX135" s="231">
        <v>1598.35</v>
      </c>
      <c r="EY135" s="228">
        <v>-0.24</v>
      </c>
      <c r="EZ135" s="229">
        <v>-2.0000000000000001E-4</v>
      </c>
      <c r="FA135" s="229">
        <v>0.34060000000000001</v>
      </c>
      <c r="FB135" s="227" t="s">
        <v>556</v>
      </c>
      <c r="FC135">
        <f t="shared" si="2"/>
        <v>20</v>
      </c>
    </row>
    <row r="136" spans="1:159" ht="17.25" hidden="1" thickBot="1" x14ac:dyDescent="0.3">
      <c r="A136" s="226">
        <v>46086</v>
      </c>
      <c r="B136" s="227" t="s">
        <v>206</v>
      </c>
      <c r="C136" s="227" t="s">
        <v>550</v>
      </c>
      <c r="D136" s="228">
        <v>6500</v>
      </c>
      <c r="E136" s="228">
        <v>25</v>
      </c>
      <c r="F136" s="228">
        <v>87.21</v>
      </c>
      <c r="G136" s="228">
        <v>85.72</v>
      </c>
      <c r="H136" s="228">
        <v>1.49</v>
      </c>
      <c r="I136" s="229">
        <v>1.7399999999999999E-2</v>
      </c>
      <c r="J136" s="228">
        <v>86.85</v>
      </c>
      <c r="K136" s="228">
        <v>85.63</v>
      </c>
      <c r="L136" s="228">
        <v>1.22</v>
      </c>
      <c r="M136" s="229">
        <v>1.4200000000000001E-2</v>
      </c>
      <c r="N136" s="228">
        <v>87.21</v>
      </c>
      <c r="O136" s="228">
        <v>85.72</v>
      </c>
      <c r="P136" s="228">
        <v>1.49</v>
      </c>
      <c r="Q136" s="229">
        <v>1.7399999999999999E-2</v>
      </c>
      <c r="R136" s="228">
        <v>87.71</v>
      </c>
      <c r="S136" s="228">
        <v>86.21</v>
      </c>
      <c r="T136" s="228">
        <v>1.5</v>
      </c>
      <c r="U136" s="229">
        <v>1.7399999999999999E-2</v>
      </c>
      <c r="V136" s="228">
        <v>88.31</v>
      </c>
      <c r="W136" s="228">
        <v>86.67</v>
      </c>
      <c r="X136" s="228">
        <v>1.64</v>
      </c>
      <c r="Y136" s="229">
        <v>1.89E-2</v>
      </c>
      <c r="Z136" s="228">
        <v>0.36</v>
      </c>
      <c r="AA136" s="228">
        <v>0.09</v>
      </c>
      <c r="AB136" s="228">
        <v>0.27</v>
      </c>
      <c r="AC136" s="229">
        <v>4.1000000000000003E-3</v>
      </c>
      <c r="AD136" s="228">
        <v>0.36</v>
      </c>
      <c r="AE136" s="228">
        <v>0.09</v>
      </c>
      <c r="AF136" s="228">
        <v>0.27</v>
      </c>
      <c r="AG136" s="229">
        <v>4.1000000000000003E-3</v>
      </c>
      <c r="AH136" s="228">
        <v>0.86</v>
      </c>
      <c r="AI136" s="228">
        <v>0.57999999999999996</v>
      </c>
      <c r="AJ136" s="228">
        <v>0.28000000000000003</v>
      </c>
      <c r="AK136" s="229">
        <v>9.9000000000000008E-3</v>
      </c>
      <c r="AL136" s="228">
        <v>1.46</v>
      </c>
      <c r="AM136" s="228">
        <v>1.04</v>
      </c>
      <c r="AN136" s="228">
        <v>0.42</v>
      </c>
      <c r="AO136" s="229">
        <v>1.6799999999999999E-2</v>
      </c>
      <c r="AP136" s="228">
        <v>86.33</v>
      </c>
      <c r="AQ136" s="228">
        <v>86.85</v>
      </c>
      <c r="AR136" s="228">
        <v>0</v>
      </c>
      <c r="AS136" s="228">
        <v>104</v>
      </c>
      <c r="AT136" s="228">
        <v>144</v>
      </c>
      <c r="AU136" s="228">
        <v>-40</v>
      </c>
      <c r="AV136" s="229">
        <v>-0.27560000000000001</v>
      </c>
      <c r="AW136" s="228">
        <v>92</v>
      </c>
      <c r="AX136" s="228">
        <v>131</v>
      </c>
      <c r="AY136" s="228">
        <v>-38</v>
      </c>
      <c r="AZ136" s="229">
        <v>-0.29480000000000001</v>
      </c>
      <c r="BA136" s="228">
        <v>8</v>
      </c>
      <c r="BB136" s="228">
        <v>11</v>
      </c>
      <c r="BC136" s="228">
        <v>-2</v>
      </c>
      <c r="BD136" s="229">
        <v>-0.224</v>
      </c>
      <c r="BE136" s="228">
        <v>4</v>
      </c>
      <c r="BF136" s="228">
        <v>2</v>
      </c>
      <c r="BG136" s="228">
        <v>1</v>
      </c>
      <c r="BH136" s="229">
        <v>0.56100000000000005</v>
      </c>
      <c r="BI136" s="228">
        <v>127</v>
      </c>
      <c r="BJ136" s="228">
        <v>154</v>
      </c>
      <c r="BK136" s="228">
        <v>-27</v>
      </c>
      <c r="BL136" s="229">
        <v>-0.17519999999999999</v>
      </c>
      <c r="BM136" s="228">
        <v>76</v>
      </c>
      <c r="BN136" s="228">
        <v>101</v>
      </c>
      <c r="BO136" s="228">
        <v>-25</v>
      </c>
      <c r="BP136" s="229">
        <v>-0.2492</v>
      </c>
      <c r="BQ136" s="228">
        <v>307</v>
      </c>
      <c r="BR136" s="228">
        <v>399</v>
      </c>
      <c r="BS136" s="228">
        <v>-92</v>
      </c>
      <c r="BT136" s="229">
        <v>-0.2301</v>
      </c>
      <c r="BU136" s="230">
        <v>11408001</v>
      </c>
      <c r="BV136" s="230">
        <v>15217180</v>
      </c>
      <c r="BW136" s="230">
        <v>-3809179</v>
      </c>
      <c r="BX136" s="229">
        <v>-0.25030000000000002</v>
      </c>
      <c r="BY136" s="228">
        <v>777</v>
      </c>
      <c r="BZ136" s="228">
        <v>777</v>
      </c>
      <c r="CA136" s="228">
        <v>0</v>
      </c>
      <c r="CB136" s="229">
        <v>-1E-4</v>
      </c>
      <c r="CC136" s="228">
        <v>750</v>
      </c>
      <c r="CD136" s="228">
        <v>752</v>
      </c>
      <c r="CE136" s="228">
        <v>-2</v>
      </c>
      <c r="CF136" s="229">
        <v>-2.5000000000000001E-3</v>
      </c>
      <c r="CG136" s="228">
        <v>21</v>
      </c>
      <c r="CH136" s="228">
        <v>20</v>
      </c>
      <c r="CI136" s="228">
        <v>1</v>
      </c>
      <c r="CJ136" s="229">
        <v>5.9700000000000003E-2</v>
      </c>
      <c r="CK136" s="228">
        <v>5</v>
      </c>
      <c r="CL136" s="228">
        <v>5</v>
      </c>
      <c r="CM136" s="228">
        <v>1</v>
      </c>
      <c r="CN136" s="229">
        <v>0.13250000000000001</v>
      </c>
      <c r="CO136" s="228">
        <v>277</v>
      </c>
      <c r="CP136" s="228">
        <v>258</v>
      </c>
      <c r="CQ136" s="228">
        <v>20</v>
      </c>
      <c r="CR136" s="229">
        <v>7.6799999999999993E-2</v>
      </c>
      <c r="CS136" s="228">
        <v>161</v>
      </c>
      <c r="CT136" s="228">
        <v>156</v>
      </c>
      <c r="CU136" s="228">
        <v>5</v>
      </c>
      <c r="CV136" s="229">
        <v>3.49E-2</v>
      </c>
      <c r="CW136" s="230">
        <v>1215</v>
      </c>
      <c r="CX136" s="230">
        <v>1190</v>
      </c>
      <c r="CY136" s="228">
        <v>25</v>
      </c>
      <c r="CZ136" s="229">
        <v>2.12E-2</v>
      </c>
      <c r="DA136" s="228">
        <v>40.729999999999997</v>
      </c>
      <c r="DB136" s="228">
        <v>45.14</v>
      </c>
      <c r="DC136" s="228">
        <v>-4.41</v>
      </c>
      <c r="DD136" s="228">
        <v>-4.41</v>
      </c>
      <c r="DE136" s="228">
        <v>49.9</v>
      </c>
      <c r="DF136" s="228">
        <v>49.97</v>
      </c>
      <c r="DG136" s="228">
        <v>-9.17</v>
      </c>
      <c r="DH136" s="228">
        <v>-7.0000000000000007E-2</v>
      </c>
      <c r="DI136" s="228">
        <v>40.340000000000003</v>
      </c>
      <c r="DJ136" s="228">
        <v>45.03</v>
      </c>
      <c r="DK136" s="228">
        <v>-4.6900000000000004</v>
      </c>
      <c r="DL136" s="228">
        <v>-4.6900000000000004</v>
      </c>
      <c r="DM136" s="228">
        <v>41.38</v>
      </c>
      <c r="DN136" s="228">
        <v>45.3</v>
      </c>
      <c r="DO136" s="228">
        <v>-3.92</v>
      </c>
      <c r="DP136" s="228">
        <v>-3.92</v>
      </c>
      <c r="DQ136" s="228">
        <v>0.57999999999999996</v>
      </c>
      <c r="DR136" s="228">
        <v>0.6</v>
      </c>
      <c r="DS136" s="228">
        <v>-0.02</v>
      </c>
      <c r="DT136" s="229">
        <v>-3.3300000000000003E-2</v>
      </c>
      <c r="DU136" s="228">
        <v>100</v>
      </c>
      <c r="DV136" s="228">
        <v>90</v>
      </c>
      <c r="DW136" s="228">
        <v>0.59</v>
      </c>
      <c r="DX136" s="228">
        <v>0.65</v>
      </c>
      <c r="DY136" s="228">
        <v>-0.06</v>
      </c>
      <c r="DZ136" s="229">
        <v>-9.2299999999999993E-2</v>
      </c>
      <c r="EA136" s="229">
        <v>3.4099999999999998E-2</v>
      </c>
      <c r="EB136" s="230">
        <v>2827500</v>
      </c>
      <c r="EC136" s="229">
        <v>5.7000000000000002E-3</v>
      </c>
      <c r="ED136" s="229">
        <v>3.4099999999999998E-2</v>
      </c>
      <c r="EE136" s="228">
        <v>0.52</v>
      </c>
      <c r="EF136" s="229">
        <v>6.0000000000000001E-3</v>
      </c>
      <c r="EG136" s="230">
        <v>2895097</v>
      </c>
      <c r="EH136" s="230">
        <v>4867523</v>
      </c>
      <c r="EI136" s="229">
        <v>-0.4052</v>
      </c>
      <c r="EJ136" s="229">
        <v>0.25380000000000003</v>
      </c>
      <c r="EK136" s="228">
        <v>138.26</v>
      </c>
      <c r="EL136" s="228">
        <v>74.69</v>
      </c>
      <c r="EM136" s="228">
        <v>103.18</v>
      </c>
      <c r="EN136" s="228">
        <v>18.690000000000001</v>
      </c>
      <c r="EO136" s="228">
        <v>316.14</v>
      </c>
      <c r="EP136" s="228">
        <v>414.12</v>
      </c>
      <c r="EQ136" s="228">
        <v>-97.98</v>
      </c>
      <c r="ER136" s="229">
        <v>-0.2366</v>
      </c>
      <c r="ES136" s="228">
        <v>311.91000000000003</v>
      </c>
      <c r="ET136" s="228">
        <v>171.81</v>
      </c>
      <c r="EU136" s="228">
        <v>776.74</v>
      </c>
      <c r="EV136" s="231">
        <v>154894704</v>
      </c>
      <c r="EW136" s="231">
        <v>1260.46</v>
      </c>
      <c r="EX136" s="231">
        <v>1222.48</v>
      </c>
      <c r="EY136" s="228">
        <v>37.979999999999997</v>
      </c>
      <c r="EZ136" s="229">
        <v>3.1099999999999999E-2</v>
      </c>
      <c r="FA136" s="229">
        <v>0.89949999999999997</v>
      </c>
      <c r="FB136" s="227" t="s">
        <v>556</v>
      </c>
      <c r="FC136">
        <f t="shared" si="2"/>
        <v>27</v>
      </c>
    </row>
    <row r="137" spans="1:159" ht="17.25" hidden="1" thickBot="1" x14ac:dyDescent="0.3">
      <c r="A137" s="226">
        <v>46086</v>
      </c>
      <c r="B137" s="227" t="s">
        <v>168</v>
      </c>
      <c r="C137" s="227" t="s">
        <v>265</v>
      </c>
      <c r="D137" s="228">
        <v>500</v>
      </c>
      <c r="E137" s="228">
        <v>25</v>
      </c>
      <c r="F137" s="231">
        <v>1256.3</v>
      </c>
      <c r="G137" s="231">
        <v>1250.7</v>
      </c>
      <c r="H137" s="228">
        <v>5.6</v>
      </c>
      <c r="I137" s="229">
        <v>4.4999999999999997E-3</v>
      </c>
      <c r="J137" s="231">
        <v>1250.9000000000001</v>
      </c>
      <c r="K137" s="231">
        <v>1245.3</v>
      </c>
      <c r="L137" s="228">
        <v>5.6</v>
      </c>
      <c r="M137" s="229">
        <v>4.4999999999999997E-3</v>
      </c>
      <c r="N137" s="231">
        <v>1256.3</v>
      </c>
      <c r="O137" s="231">
        <v>1250.7</v>
      </c>
      <c r="P137" s="228">
        <v>5.6</v>
      </c>
      <c r="Q137" s="229">
        <v>4.4999999999999997E-3</v>
      </c>
      <c r="R137" s="231">
        <v>1263.7</v>
      </c>
      <c r="S137" s="231">
        <v>1259.4000000000001</v>
      </c>
      <c r="T137" s="228">
        <v>4.3</v>
      </c>
      <c r="U137" s="229">
        <v>3.3999999999999998E-3</v>
      </c>
      <c r="V137" s="231">
        <v>1265</v>
      </c>
      <c r="W137" s="231">
        <v>1267.9000000000001</v>
      </c>
      <c r="X137" s="228">
        <v>-2.9</v>
      </c>
      <c r="Y137" s="229">
        <v>-2.3E-3</v>
      </c>
      <c r="Z137" s="228">
        <v>5.4</v>
      </c>
      <c r="AA137" s="228">
        <v>5.4</v>
      </c>
      <c r="AB137" s="228">
        <v>0</v>
      </c>
      <c r="AC137" s="229">
        <v>4.3E-3</v>
      </c>
      <c r="AD137" s="228">
        <v>5.4</v>
      </c>
      <c r="AE137" s="228">
        <v>5.4</v>
      </c>
      <c r="AF137" s="228">
        <v>0</v>
      </c>
      <c r="AG137" s="229">
        <v>4.3E-3</v>
      </c>
      <c r="AH137" s="228">
        <v>12.8</v>
      </c>
      <c r="AI137" s="228">
        <v>14.1</v>
      </c>
      <c r="AJ137" s="228">
        <v>-1.3</v>
      </c>
      <c r="AK137" s="229">
        <v>1.0200000000000001E-2</v>
      </c>
      <c r="AL137" s="228">
        <v>14.1</v>
      </c>
      <c r="AM137" s="228">
        <v>22.6</v>
      </c>
      <c r="AN137" s="228">
        <v>-8.5</v>
      </c>
      <c r="AO137" s="229">
        <v>1.1299999999999999E-2</v>
      </c>
      <c r="AP137" s="231">
        <v>1247.1199999999999</v>
      </c>
      <c r="AQ137" s="231">
        <v>1252.27</v>
      </c>
      <c r="AR137" s="228">
        <v>0</v>
      </c>
      <c r="AS137" s="228">
        <v>169</v>
      </c>
      <c r="AT137" s="228">
        <v>204</v>
      </c>
      <c r="AU137" s="228">
        <v>-35</v>
      </c>
      <c r="AV137" s="229">
        <v>-0.1704</v>
      </c>
      <c r="AW137" s="228">
        <v>162</v>
      </c>
      <c r="AX137" s="228">
        <v>193</v>
      </c>
      <c r="AY137" s="228">
        <v>-32</v>
      </c>
      <c r="AZ137" s="229">
        <v>-0.1643</v>
      </c>
      <c r="BA137" s="228">
        <v>7</v>
      </c>
      <c r="BB137" s="228">
        <v>8</v>
      </c>
      <c r="BC137" s="228">
        <v>-2</v>
      </c>
      <c r="BD137" s="229">
        <v>-0.1852</v>
      </c>
      <c r="BE137" s="228">
        <v>0</v>
      </c>
      <c r="BF137" s="228">
        <v>2</v>
      </c>
      <c r="BG137" s="228">
        <v>-1</v>
      </c>
      <c r="BH137" s="229">
        <v>-0.84</v>
      </c>
      <c r="BI137" s="228">
        <v>325</v>
      </c>
      <c r="BJ137" s="228">
        <v>356</v>
      </c>
      <c r="BK137" s="228">
        <v>-31</v>
      </c>
      <c r="BL137" s="229">
        <v>-8.6099999999999996E-2</v>
      </c>
      <c r="BM137" s="228">
        <v>200</v>
      </c>
      <c r="BN137" s="228">
        <v>168</v>
      </c>
      <c r="BO137" s="228">
        <v>32</v>
      </c>
      <c r="BP137" s="229">
        <v>0.19159999999999999</v>
      </c>
      <c r="BQ137" s="228">
        <v>694</v>
      </c>
      <c r="BR137" s="228">
        <v>727</v>
      </c>
      <c r="BS137" s="228">
        <v>-33</v>
      </c>
      <c r="BT137" s="229">
        <v>-4.5600000000000002E-2</v>
      </c>
      <c r="BU137" s="230">
        <v>954545</v>
      </c>
      <c r="BV137" s="230">
        <v>1131275</v>
      </c>
      <c r="BW137" s="230">
        <v>-176730</v>
      </c>
      <c r="BX137" s="229">
        <v>-0.15620000000000001</v>
      </c>
      <c r="BY137" s="230">
        <v>2060</v>
      </c>
      <c r="BZ137" s="230">
        <v>2075</v>
      </c>
      <c r="CA137" s="228">
        <v>-15</v>
      </c>
      <c r="CB137" s="229">
        <v>-7.1999999999999998E-3</v>
      </c>
      <c r="CC137" s="230">
        <v>2042</v>
      </c>
      <c r="CD137" s="230">
        <v>2058</v>
      </c>
      <c r="CE137" s="228">
        <v>-16</v>
      </c>
      <c r="CF137" s="229">
        <v>-7.7000000000000002E-3</v>
      </c>
      <c r="CG137" s="228">
        <v>14</v>
      </c>
      <c r="CH137" s="228">
        <v>14</v>
      </c>
      <c r="CI137" s="228">
        <v>1</v>
      </c>
      <c r="CJ137" s="229">
        <v>5.9900000000000002E-2</v>
      </c>
      <c r="CK137" s="228">
        <v>3</v>
      </c>
      <c r="CL137" s="228">
        <v>3</v>
      </c>
      <c r="CM137" s="228">
        <v>0</v>
      </c>
      <c r="CN137" s="229">
        <v>4.8800000000000003E-2</v>
      </c>
      <c r="CO137" s="228">
        <v>339</v>
      </c>
      <c r="CP137" s="228">
        <v>318</v>
      </c>
      <c r="CQ137" s="228">
        <v>21</v>
      </c>
      <c r="CR137" s="229">
        <v>6.6000000000000003E-2</v>
      </c>
      <c r="CS137" s="228">
        <v>182</v>
      </c>
      <c r="CT137" s="228">
        <v>160</v>
      </c>
      <c r="CU137" s="228">
        <v>22</v>
      </c>
      <c r="CV137" s="229">
        <v>0.13980000000000001</v>
      </c>
      <c r="CW137" s="230">
        <v>2581</v>
      </c>
      <c r="CX137" s="230">
        <v>2552</v>
      </c>
      <c r="CY137" s="228">
        <v>28</v>
      </c>
      <c r="CZ137" s="229">
        <v>1.11E-2</v>
      </c>
      <c r="DA137" s="228">
        <v>20.45</v>
      </c>
      <c r="DB137" s="228">
        <v>22.19</v>
      </c>
      <c r="DC137" s="228">
        <v>-1.74</v>
      </c>
      <c r="DD137" s="228">
        <v>-1.74</v>
      </c>
      <c r="DE137" s="228">
        <v>23.33</v>
      </c>
      <c r="DF137" s="228">
        <v>23.38</v>
      </c>
      <c r="DG137" s="228">
        <v>-2.88</v>
      </c>
      <c r="DH137" s="228">
        <v>-0.05</v>
      </c>
      <c r="DI137" s="228">
        <v>19.559999999999999</v>
      </c>
      <c r="DJ137" s="228">
        <v>21.87</v>
      </c>
      <c r="DK137" s="228">
        <v>-2.31</v>
      </c>
      <c r="DL137" s="228">
        <v>-2.31</v>
      </c>
      <c r="DM137" s="228">
        <v>21.89</v>
      </c>
      <c r="DN137" s="228">
        <v>22.88</v>
      </c>
      <c r="DO137" s="228">
        <v>-0.99</v>
      </c>
      <c r="DP137" s="228">
        <v>-0.99</v>
      </c>
      <c r="DQ137" s="228">
        <v>0.54</v>
      </c>
      <c r="DR137" s="228">
        <v>0.5</v>
      </c>
      <c r="DS137" s="228">
        <v>0.04</v>
      </c>
      <c r="DT137" s="229">
        <v>0.08</v>
      </c>
      <c r="DU137" s="231">
        <v>1280</v>
      </c>
      <c r="DV137" s="231">
        <v>1200</v>
      </c>
      <c r="DW137" s="228">
        <v>0.61</v>
      </c>
      <c r="DX137" s="228">
        <v>0.47</v>
      </c>
      <c r="DY137" s="228">
        <v>0.14000000000000001</v>
      </c>
      <c r="DZ137" s="229">
        <v>0.2979</v>
      </c>
      <c r="EA137" s="229">
        <v>8.3000000000000001E-3</v>
      </c>
      <c r="EB137" s="230">
        <v>129000</v>
      </c>
      <c r="EC137" s="229">
        <v>5.8999999999999999E-3</v>
      </c>
      <c r="ED137" s="229">
        <v>8.3000000000000001E-3</v>
      </c>
      <c r="EE137" s="228">
        <v>5.15</v>
      </c>
      <c r="EF137" s="229">
        <v>4.1000000000000003E-3</v>
      </c>
      <c r="EG137" s="230">
        <v>522307</v>
      </c>
      <c r="EH137" s="230">
        <v>679653</v>
      </c>
      <c r="EI137" s="229">
        <v>-0.23150000000000001</v>
      </c>
      <c r="EJ137" s="229">
        <v>0.54720000000000002</v>
      </c>
      <c r="EK137" s="228">
        <v>342.29</v>
      </c>
      <c r="EL137" s="228">
        <v>195.36</v>
      </c>
      <c r="EM137" s="228">
        <v>167.64</v>
      </c>
      <c r="EN137" s="228">
        <v>26.92</v>
      </c>
      <c r="EO137" s="228">
        <v>705.3</v>
      </c>
      <c r="EP137" s="228">
        <v>745.61</v>
      </c>
      <c r="EQ137" s="228">
        <v>-40.32</v>
      </c>
      <c r="ER137" s="229">
        <v>-5.4100000000000002E-2</v>
      </c>
      <c r="ES137" s="228">
        <v>359.17</v>
      </c>
      <c r="ET137" s="228">
        <v>178.81</v>
      </c>
      <c r="EU137" s="231">
        <v>2059.7399999999998</v>
      </c>
      <c r="EV137" s="231">
        <v>71801274</v>
      </c>
      <c r="EW137" s="231">
        <v>2597.73</v>
      </c>
      <c r="EX137" s="231">
        <v>2561.5</v>
      </c>
      <c r="EY137" s="228">
        <v>36.229999999999997</v>
      </c>
      <c r="EZ137" s="229">
        <v>1.41E-2</v>
      </c>
      <c r="FA137" s="229">
        <v>0.28610000000000002</v>
      </c>
      <c r="FB137" s="227" t="s">
        <v>556</v>
      </c>
      <c r="FC137">
        <f t="shared" si="2"/>
        <v>18</v>
      </c>
    </row>
    <row r="138" spans="1:159" ht="17.25" hidden="1" thickBot="1" x14ac:dyDescent="0.3">
      <c r="A138" s="226">
        <v>46086</v>
      </c>
      <c r="B138" s="227" t="s">
        <v>161</v>
      </c>
      <c r="C138" s="227" t="s">
        <v>585</v>
      </c>
      <c r="D138" s="228">
        <v>6400</v>
      </c>
      <c r="E138" s="228">
        <v>25</v>
      </c>
      <c r="F138" s="228">
        <v>74.489999999999995</v>
      </c>
      <c r="G138" s="228">
        <v>72.45</v>
      </c>
      <c r="H138" s="228">
        <v>2.04</v>
      </c>
      <c r="I138" s="229">
        <v>2.8199999999999999E-2</v>
      </c>
      <c r="J138" s="228">
        <v>74.150000000000006</v>
      </c>
      <c r="K138" s="228">
        <v>72.23</v>
      </c>
      <c r="L138" s="228">
        <v>1.92</v>
      </c>
      <c r="M138" s="229">
        <v>2.6599999999999999E-2</v>
      </c>
      <c r="N138" s="228">
        <v>74.489999999999995</v>
      </c>
      <c r="O138" s="228">
        <v>72.45</v>
      </c>
      <c r="P138" s="228">
        <v>2.04</v>
      </c>
      <c r="Q138" s="229">
        <v>2.8199999999999999E-2</v>
      </c>
      <c r="R138" s="228">
        <v>75.09</v>
      </c>
      <c r="S138" s="228">
        <v>72.86</v>
      </c>
      <c r="T138" s="228">
        <v>2.23</v>
      </c>
      <c r="U138" s="229">
        <v>3.0599999999999999E-2</v>
      </c>
      <c r="V138" s="228">
        <v>75.36</v>
      </c>
      <c r="W138" s="228">
        <v>73.31</v>
      </c>
      <c r="X138" s="228">
        <v>2.0499999999999998</v>
      </c>
      <c r="Y138" s="229">
        <v>2.8000000000000001E-2</v>
      </c>
      <c r="Z138" s="228">
        <v>0.34</v>
      </c>
      <c r="AA138" s="228">
        <v>0.22</v>
      </c>
      <c r="AB138" s="228">
        <v>0.12</v>
      </c>
      <c r="AC138" s="229">
        <v>4.5999999999999999E-3</v>
      </c>
      <c r="AD138" s="228">
        <v>0.34</v>
      </c>
      <c r="AE138" s="228">
        <v>0.22</v>
      </c>
      <c r="AF138" s="228">
        <v>0.12</v>
      </c>
      <c r="AG138" s="229">
        <v>4.5999999999999999E-3</v>
      </c>
      <c r="AH138" s="228">
        <v>0.94</v>
      </c>
      <c r="AI138" s="228">
        <v>0.63</v>
      </c>
      <c r="AJ138" s="228">
        <v>0.31</v>
      </c>
      <c r="AK138" s="229">
        <v>1.2699999999999999E-2</v>
      </c>
      <c r="AL138" s="228">
        <v>1.21</v>
      </c>
      <c r="AM138" s="228">
        <v>1.08</v>
      </c>
      <c r="AN138" s="228">
        <v>0.13</v>
      </c>
      <c r="AO138" s="229">
        <v>1.6299999999999999E-2</v>
      </c>
      <c r="AP138" s="228">
        <v>74.209999999999994</v>
      </c>
      <c r="AQ138" s="228">
        <v>74.66</v>
      </c>
      <c r="AR138" s="228">
        <v>0</v>
      </c>
      <c r="AS138" s="228">
        <v>113</v>
      </c>
      <c r="AT138" s="228">
        <v>96</v>
      </c>
      <c r="AU138" s="228">
        <v>17</v>
      </c>
      <c r="AV138" s="229">
        <v>0.17480000000000001</v>
      </c>
      <c r="AW138" s="228">
        <v>106</v>
      </c>
      <c r="AX138" s="228">
        <v>86</v>
      </c>
      <c r="AY138" s="228">
        <v>21</v>
      </c>
      <c r="AZ138" s="229">
        <v>0.24</v>
      </c>
      <c r="BA138" s="228">
        <v>6</v>
      </c>
      <c r="BB138" s="228">
        <v>10</v>
      </c>
      <c r="BC138" s="228">
        <v>-4</v>
      </c>
      <c r="BD138" s="229">
        <v>-0.38919999999999999</v>
      </c>
      <c r="BE138" s="228">
        <v>1</v>
      </c>
      <c r="BF138" s="228">
        <v>1</v>
      </c>
      <c r="BG138" s="228">
        <v>0</v>
      </c>
      <c r="BH138" s="229">
        <v>0</v>
      </c>
      <c r="BI138" s="228">
        <v>152</v>
      </c>
      <c r="BJ138" s="228">
        <v>184</v>
      </c>
      <c r="BK138" s="228">
        <v>-31</v>
      </c>
      <c r="BL138" s="229">
        <v>-0.1711</v>
      </c>
      <c r="BM138" s="228">
        <v>99</v>
      </c>
      <c r="BN138" s="228">
        <v>134</v>
      </c>
      <c r="BO138" s="228">
        <v>-35</v>
      </c>
      <c r="BP138" s="229">
        <v>-0.2586</v>
      </c>
      <c r="BQ138" s="228">
        <v>365</v>
      </c>
      <c r="BR138" s="228">
        <v>414</v>
      </c>
      <c r="BS138" s="228">
        <v>-49</v>
      </c>
      <c r="BT138" s="229">
        <v>-0.1191</v>
      </c>
      <c r="BU138" s="230">
        <v>16240290</v>
      </c>
      <c r="BV138" s="230">
        <v>19728663</v>
      </c>
      <c r="BW138" s="230">
        <v>-3488373</v>
      </c>
      <c r="BX138" s="229">
        <v>-0.17680000000000001</v>
      </c>
      <c r="BY138" s="228">
        <v>553</v>
      </c>
      <c r="BZ138" s="228">
        <v>544</v>
      </c>
      <c r="CA138" s="228">
        <v>9</v>
      </c>
      <c r="CB138" s="229">
        <v>1.72E-2</v>
      </c>
      <c r="CC138" s="228">
        <v>532</v>
      </c>
      <c r="CD138" s="228">
        <v>522</v>
      </c>
      <c r="CE138" s="228">
        <v>9</v>
      </c>
      <c r="CF138" s="229">
        <v>1.7999999999999999E-2</v>
      </c>
      <c r="CG138" s="228">
        <v>20</v>
      </c>
      <c r="CH138" s="228">
        <v>20</v>
      </c>
      <c r="CI138" s="228">
        <v>0</v>
      </c>
      <c r="CJ138" s="229">
        <v>-1.89E-2</v>
      </c>
      <c r="CK138" s="228">
        <v>2</v>
      </c>
      <c r="CL138" s="228">
        <v>1</v>
      </c>
      <c r="CM138" s="228">
        <v>0</v>
      </c>
      <c r="CN138" s="229">
        <v>0.28000000000000003</v>
      </c>
      <c r="CO138" s="228">
        <v>252</v>
      </c>
      <c r="CP138" s="228">
        <v>262</v>
      </c>
      <c r="CQ138" s="228">
        <v>-10</v>
      </c>
      <c r="CR138" s="229">
        <v>-3.9399999999999998E-2</v>
      </c>
      <c r="CS138" s="228">
        <v>152</v>
      </c>
      <c r="CT138" s="228">
        <v>149</v>
      </c>
      <c r="CU138" s="228">
        <v>3</v>
      </c>
      <c r="CV138" s="229">
        <v>1.95E-2</v>
      </c>
      <c r="CW138" s="228">
        <v>957</v>
      </c>
      <c r="CX138" s="228">
        <v>956</v>
      </c>
      <c r="CY138" s="228">
        <v>2</v>
      </c>
      <c r="CZ138" s="229">
        <v>2E-3</v>
      </c>
      <c r="DA138" s="228">
        <v>29.06</v>
      </c>
      <c r="DB138" s="228">
        <v>32.21</v>
      </c>
      <c r="DC138" s="228">
        <v>-3.15</v>
      </c>
      <c r="DD138" s="228">
        <v>-3.15</v>
      </c>
      <c r="DE138" s="228">
        <v>35.549999999999997</v>
      </c>
      <c r="DF138" s="228">
        <v>35.44</v>
      </c>
      <c r="DG138" s="228">
        <v>-6.49</v>
      </c>
      <c r="DH138" s="228">
        <v>0.11</v>
      </c>
      <c r="DI138" s="228">
        <v>27.96</v>
      </c>
      <c r="DJ138" s="228">
        <v>31.33</v>
      </c>
      <c r="DK138" s="228">
        <v>-3.37</v>
      </c>
      <c r="DL138" s="228">
        <v>-3.37</v>
      </c>
      <c r="DM138" s="228">
        <v>30.74</v>
      </c>
      <c r="DN138" s="228">
        <v>33.409999999999997</v>
      </c>
      <c r="DO138" s="228">
        <v>-2.67</v>
      </c>
      <c r="DP138" s="228">
        <v>-2.67</v>
      </c>
      <c r="DQ138" s="228">
        <v>0.6</v>
      </c>
      <c r="DR138" s="228">
        <v>0.56999999999999995</v>
      </c>
      <c r="DS138" s="228">
        <v>0.03</v>
      </c>
      <c r="DT138" s="229">
        <v>5.2600000000000001E-2</v>
      </c>
      <c r="DU138" s="228">
        <v>80</v>
      </c>
      <c r="DV138" s="228">
        <v>75</v>
      </c>
      <c r="DW138" s="228">
        <v>0.65</v>
      </c>
      <c r="DX138" s="228">
        <v>0.73</v>
      </c>
      <c r="DY138" s="228">
        <v>-0.08</v>
      </c>
      <c r="DZ138" s="229">
        <v>-0.1096</v>
      </c>
      <c r="EA138" s="229">
        <v>3.8600000000000002E-2</v>
      </c>
      <c r="EB138" s="230">
        <v>2873600</v>
      </c>
      <c r="EC138" s="229">
        <v>8.0999999999999996E-3</v>
      </c>
      <c r="ED138" s="229">
        <v>3.8600000000000002E-2</v>
      </c>
      <c r="EE138" s="228">
        <v>0.45</v>
      </c>
      <c r="EF138" s="229">
        <v>6.1000000000000004E-3</v>
      </c>
      <c r="EG138" s="230">
        <v>8423277</v>
      </c>
      <c r="EH138" s="230">
        <v>10439034</v>
      </c>
      <c r="EI138" s="229">
        <v>-0.19309999999999999</v>
      </c>
      <c r="EJ138" s="229">
        <v>0.51870000000000005</v>
      </c>
      <c r="EK138" s="228">
        <v>161.87</v>
      </c>
      <c r="EL138" s="228">
        <v>95.22</v>
      </c>
      <c r="EM138" s="228">
        <v>112.7</v>
      </c>
      <c r="EN138" s="228">
        <v>20.54</v>
      </c>
      <c r="EO138" s="228">
        <v>369.79</v>
      </c>
      <c r="EP138" s="228">
        <v>414.93</v>
      </c>
      <c r="EQ138" s="228">
        <v>-45.15</v>
      </c>
      <c r="ER138" s="229">
        <v>-0.10879999999999999</v>
      </c>
      <c r="ES138" s="228">
        <v>270.48</v>
      </c>
      <c r="ET138" s="228">
        <v>147.66999999999999</v>
      </c>
      <c r="EU138" s="228">
        <v>553.24</v>
      </c>
      <c r="EV138" s="231">
        <v>491233252</v>
      </c>
      <c r="EW138" s="228">
        <v>971.39</v>
      </c>
      <c r="EX138" s="228">
        <v>954.99</v>
      </c>
      <c r="EY138" s="228">
        <v>16.399999999999999</v>
      </c>
      <c r="EZ138" s="229">
        <v>1.72E-2</v>
      </c>
      <c r="FA138" s="229">
        <v>0.26169999999999999</v>
      </c>
      <c r="FB138" s="227" t="s">
        <v>555</v>
      </c>
      <c r="FC138">
        <f t="shared" si="2"/>
        <v>21</v>
      </c>
    </row>
    <row r="139" spans="1:159" ht="17.25" hidden="1" thickBot="1" x14ac:dyDescent="0.3">
      <c r="A139" s="226">
        <v>46086</v>
      </c>
      <c r="B139" s="227" t="s">
        <v>181</v>
      </c>
      <c r="C139" s="227" t="s">
        <v>266</v>
      </c>
      <c r="D139" s="228">
        <v>65</v>
      </c>
      <c r="E139" s="228">
        <v>25</v>
      </c>
      <c r="F139" s="231">
        <v>24854.3</v>
      </c>
      <c r="G139" s="231">
        <v>24584.7</v>
      </c>
      <c r="H139" s="228">
        <v>269.60000000000002</v>
      </c>
      <c r="I139" s="229">
        <v>1.0999999999999999E-2</v>
      </c>
      <c r="J139" s="231">
        <v>24765.9</v>
      </c>
      <c r="K139" s="231">
        <v>24480.5</v>
      </c>
      <c r="L139" s="228">
        <v>285.39999999999998</v>
      </c>
      <c r="M139" s="229">
        <v>1.17E-2</v>
      </c>
      <c r="N139" s="231">
        <v>24854.3</v>
      </c>
      <c r="O139" s="231">
        <v>24584.7</v>
      </c>
      <c r="P139" s="228">
        <v>269.60000000000002</v>
      </c>
      <c r="Q139" s="229">
        <v>1.0999999999999999E-2</v>
      </c>
      <c r="R139" s="231">
        <v>25010</v>
      </c>
      <c r="S139" s="231">
        <v>24741</v>
      </c>
      <c r="T139" s="228">
        <v>269</v>
      </c>
      <c r="U139" s="229">
        <v>1.09E-2</v>
      </c>
      <c r="V139" s="231">
        <v>25118.5</v>
      </c>
      <c r="W139" s="231">
        <v>24863.599999999999</v>
      </c>
      <c r="X139" s="228">
        <v>254.9</v>
      </c>
      <c r="Y139" s="229">
        <v>1.03E-2</v>
      </c>
      <c r="Z139" s="228">
        <v>88.4</v>
      </c>
      <c r="AA139" s="228">
        <v>104.2</v>
      </c>
      <c r="AB139" s="228">
        <v>-15.8</v>
      </c>
      <c r="AC139" s="229">
        <v>3.5999999999999999E-3</v>
      </c>
      <c r="AD139" s="228">
        <v>88.4</v>
      </c>
      <c r="AE139" s="228">
        <v>104.2</v>
      </c>
      <c r="AF139" s="228">
        <v>-15.8</v>
      </c>
      <c r="AG139" s="229">
        <v>3.5999999999999999E-3</v>
      </c>
      <c r="AH139" s="228">
        <v>244.1</v>
      </c>
      <c r="AI139" s="228">
        <v>260.5</v>
      </c>
      <c r="AJ139" s="228">
        <v>-16.399999999999999</v>
      </c>
      <c r="AK139" s="229">
        <v>9.9000000000000008E-3</v>
      </c>
      <c r="AL139" s="228">
        <v>352.6</v>
      </c>
      <c r="AM139" s="228">
        <v>383.1</v>
      </c>
      <c r="AN139" s="228">
        <v>-30.5</v>
      </c>
      <c r="AO139" s="229">
        <v>1.4200000000000001E-2</v>
      </c>
      <c r="AP139" s="231">
        <v>24762.82</v>
      </c>
      <c r="AQ139" s="231">
        <v>24913.41</v>
      </c>
      <c r="AR139" s="228">
        <v>0</v>
      </c>
      <c r="AS139" s="230">
        <v>21531</v>
      </c>
      <c r="AT139" s="230">
        <v>30784</v>
      </c>
      <c r="AU139" s="230">
        <v>-9253</v>
      </c>
      <c r="AV139" s="229">
        <v>-0.30059999999999998</v>
      </c>
      <c r="AW139" s="230">
        <v>18970</v>
      </c>
      <c r="AX139" s="230">
        <v>26221</v>
      </c>
      <c r="AY139" s="230">
        <v>-7250</v>
      </c>
      <c r="AZ139" s="229">
        <v>-0.27650000000000002</v>
      </c>
      <c r="BA139" s="230">
        <v>1526</v>
      </c>
      <c r="BB139" s="230">
        <v>3114</v>
      </c>
      <c r="BC139" s="230">
        <v>-1587</v>
      </c>
      <c r="BD139" s="229">
        <v>-0.50980000000000003</v>
      </c>
      <c r="BE139" s="230">
        <v>1034</v>
      </c>
      <c r="BF139" s="230">
        <v>1449</v>
      </c>
      <c r="BG139" s="228">
        <v>-415</v>
      </c>
      <c r="BH139" s="229">
        <v>-0.2863</v>
      </c>
      <c r="BI139" s="230">
        <v>5480706</v>
      </c>
      <c r="BJ139" s="230">
        <v>4802319</v>
      </c>
      <c r="BK139" s="230">
        <v>678387</v>
      </c>
      <c r="BL139" s="229">
        <v>0.14130000000000001</v>
      </c>
      <c r="BM139" s="230">
        <v>4383157</v>
      </c>
      <c r="BN139" s="230">
        <v>3670112</v>
      </c>
      <c r="BO139" s="230">
        <v>713045</v>
      </c>
      <c r="BP139" s="229">
        <v>0.1943</v>
      </c>
      <c r="BQ139" s="230">
        <v>9885394</v>
      </c>
      <c r="BR139" s="230">
        <v>8503214</v>
      </c>
      <c r="BS139" s="230">
        <v>1382180</v>
      </c>
      <c r="BT139" s="229">
        <v>0.16250000000000001</v>
      </c>
      <c r="BU139" s="228">
        <v>0</v>
      </c>
      <c r="BV139" s="228">
        <v>0</v>
      </c>
      <c r="BW139" s="228">
        <v>0</v>
      </c>
      <c r="BX139" s="229">
        <v>0</v>
      </c>
      <c r="BY139" s="230">
        <v>44413</v>
      </c>
      <c r="BZ139" s="230">
        <v>44587</v>
      </c>
      <c r="CA139" s="228">
        <v>-174</v>
      </c>
      <c r="CB139" s="229">
        <v>-3.8999999999999998E-3</v>
      </c>
      <c r="CC139" s="230">
        <v>38437</v>
      </c>
      <c r="CD139" s="230">
        <v>39010</v>
      </c>
      <c r="CE139" s="228">
        <v>-573</v>
      </c>
      <c r="CF139" s="229">
        <v>-1.47E-2</v>
      </c>
      <c r="CG139" s="230">
        <v>4034</v>
      </c>
      <c r="CH139" s="230">
        <v>3847</v>
      </c>
      <c r="CI139" s="228">
        <v>187</v>
      </c>
      <c r="CJ139" s="229">
        <v>4.8500000000000001E-2</v>
      </c>
      <c r="CK139" s="230">
        <v>1943</v>
      </c>
      <c r="CL139" s="230">
        <v>1730</v>
      </c>
      <c r="CM139" s="228">
        <v>213</v>
      </c>
      <c r="CN139" s="229">
        <v>0.1231</v>
      </c>
      <c r="CO139" s="230">
        <v>501858</v>
      </c>
      <c r="CP139" s="230">
        <v>444713</v>
      </c>
      <c r="CQ139" s="230">
        <v>57145</v>
      </c>
      <c r="CR139" s="229">
        <v>0.1285</v>
      </c>
      <c r="CS139" s="230">
        <v>509338</v>
      </c>
      <c r="CT139" s="230">
        <v>422888</v>
      </c>
      <c r="CU139" s="230">
        <v>86450</v>
      </c>
      <c r="CV139" s="229">
        <v>0.2044</v>
      </c>
      <c r="CW139" s="230">
        <v>1055609</v>
      </c>
      <c r="CX139" s="230">
        <v>912188</v>
      </c>
      <c r="CY139" s="230">
        <v>143421</v>
      </c>
      <c r="CZ139" s="229">
        <v>0.15720000000000001</v>
      </c>
      <c r="DA139" s="228">
        <v>17.45</v>
      </c>
      <c r="DB139" s="228">
        <v>24.9</v>
      </c>
      <c r="DC139" s="228">
        <v>-7.45</v>
      </c>
      <c r="DD139" s="228">
        <v>-7.45</v>
      </c>
      <c r="DE139" s="228">
        <v>14.61</v>
      </c>
      <c r="DF139" s="228">
        <v>14.57</v>
      </c>
      <c r="DG139" s="228">
        <v>2.84</v>
      </c>
      <c r="DH139" s="228">
        <v>0.04</v>
      </c>
      <c r="DI139" s="228">
        <v>15.84</v>
      </c>
      <c r="DJ139" s="228">
        <v>22.61</v>
      </c>
      <c r="DK139" s="228">
        <v>-6.77</v>
      </c>
      <c r="DL139" s="228">
        <v>-6.77</v>
      </c>
      <c r="DM139" s="228">
        <v>19.41</v>
      </c>
      <c r="DN139" s="228">
        <v>27.9</v>
      </c>
      <c r="DO139" s="228">
        <v>-8.49</v>
      </c>
      <c r="DP139" s="228">
        <v>-8.49</v>
      </c>
      <c r="DQ139" s="228">
        <v>1.01</v>
      </c>
      <c r="DR139" s="228">
        <v>0.95</v>
      </c>
      <c r="DS139" s="228">
        <v>0.06</v>
      </c>
      <c r="DT139" s="229">
        <v>6.3200000000000006E-2</v>
      </c>
      <c r="DU139" s="231">
        <v>26000</v>
      </c>
      <c r="DV139" s="231">
        <v>22750</v>
      </c>
      <c r="DW139" s="228">
        <v>0.8</v>
      </c>
      <c r="DX139" s="228">
        <v>0.76</v>
      </c>
      <c r="DY139" s="228">
        <v>0.04</v>
      </c>
      <c r="DZ139" s="229">
        <v>5.2600000000000001E-2</v>
      </c>
      <c r="EA139" s="229">
        <v>0.1346</v>
      </c>
      <c r="EB139" s="230">
        <v>2243930</v>
      </c>
      <c r="EC139" s="229">
        <v>6.3E-3</v>
      </c>
      <c r="ED139" s="229">
        <v>0.1346</v>
      </c>
      <c r="EE139" s="228">
        <v>150.59</v>
      </c>
      <c r="EF139" s="229">
        <v>6.1000000000000004E-3</v>
      </c>
      <c r="EG139" s="228">
        <v>0</v>
      </c>
      <c r="EH139" s="228">
        <v>0</v>
      </c>
      <c r="EI139" s="229">
        <v>0</v>
      </c>
      <c r="EJ139" s="229">
        <v>0</v>
      </c>
      <c r="EK139" s="231">
        <v>5573077.2000000002</v>
      </c>
      <c r="EL139" s="231">
        <v>4284981.53</v>
      </c>
      <c r="EM139" s="231">
        <v>21470.6</v>
      </c>
      <c r="EN139" s="231">
        <v>1320.84</v>
      </c>
      <c r="EO139" s="231">
        <v>9879529.3300000001</v>
      </c>
      <c r="EP139" s="231">
        <v>8511723.5199999996</v>
      </c>
      <c r="EQ139" s="231">
        <v>1367805.81</v>
      </c>
      <c r="ER139" s="229">
        <v>0.16070000000000001</v>
      </c>
      <c r="ES139" s="231">
        <v>520160.74</v>
      </c>
      <c r="ET139" s="231">
        <v>496373.99</v>
      </c>
      <c r="EU139" s="231">
        <v>44459.25</v>
      </c>
      <c r="EV139" s="228">
        <v>0</v>
      </c>
      <c r="EW139" s="231">
        <v>1060993.98</v>
      </c>
      <c r="EX139" s="231">
        <v>919787.48</v>
      </c>
      <c r="EY139" s="231">
        <v>141206.5</v>
      </c>
      <c r="EZ139" s="229">
        <v>0.1535</v>
      </c>
      <c r="FA139" s="229">
        <v>0</v>
      </c>
      <c r="FB139" s="227" t="s">
        <v>556</v>
      </c>
      <c r="FC139">
        <f t="shared" si="2"/>
        <v>5976</v>
      </c>
    </row>
    <row r="140" spans="1:159" ht="17.25" thickBot="1" x14ac:dyDescent="0.3">
      <c r="A140" s="226">
        <v>46086</v>
      </c>
      <c r="B140" s="227" t="s">
        <v>181</v>
      </c>
      <c r="C140" s="227" t="s">
        <v>566</v>
      </c>
      <c r="D140" s="228">
        <v>25</v>
      </c>
      <c r="E140" s="228">
        <v>25</v>
      </c>
      <c r="F140" s="231">
        <v>67928.399999999994</v>
      </c>
      <c r="G140" s="231">
        <v>67008.800000000003</v>
      </c>
      <c r="H140" s="228">
        <v>919.6</v>
      </c>
      <c r="I140" s="229">
        <v>1.37E-2</v>
      </c>
      <c r="J140" s="231">
        <v>67722.2</v>
      </c>
      <c r="K140" s="231">
        <v>66799.399999999994</v>
      </c>
      <c r="L140" s="228">
        <v>922.8</v>
      </c>
      <c r="M140" s="229">
        <v>1.38E-2</v>
      </c>
      <c r="N140" s="231">
        <v>67928.399999999994</v>
      </c>
      <c r="O140" s="231">
        <v>67008.800000000003</v>
      </c>
      <c r="P140" s="228">
        <v>919.6</v>
      </c>
      <c r="Q140" s="229">
        <v>1.37E-2</v>
      </c>
      <c r="R140" s="231">
        <v>68223.399999999994</v>
      </c>
      <c r="S140" s="231">
        <v>67325.8</v>
      </c>
      <c r="T140" s="228">
        <v>897.6</v>
      </c>
      <c r="U140" s="229">
        <v>1.3299999999999999E-2</v>
      </c>
      <c r="V140" s="231">
        <v>70946.8</v>
      </c>
      <c r="W140" s="231">
        <v>70946.8</v>
      </c>
      <c r="X140" s="228">
        <v>0</v>
      </c>
      <c r="Y140" s="229">
        <v>0</v>
      </c>
      <c r="Z140" s="228">
        <v>206.2</v>
      </c>
      <c r="AA140" s="228">
        <v>209.4</v>
      </c>
      <c r="AB140" s="228">
        <v>-3.2</v>
      </c>
      <c r="AC140" s="229">
        <v>3.0000000000000001E-3</v>
      </c>
      <c r="AD140" s="228">
        <v>206.2</v>
      </c>
      <c r="AE140" s="228">
        <v>209.4</v>
      </c>
      <c r="AF140" s="228">
        <v>-3.2</v>
      </c>
      <c r="AG140" s="229">
        <v>3.0000000000000001E-3</v>
      </c>
      <c r="AH140" s="228">
        <v>501.2</v>
      </c>
      <c r="AI140" s="228">
        <v>526.4</v>
      </c>
      <c r="AJ140" s="228">
        <v>-25.2</v>
      </c>
      <c r="AK140" s="229">
        <v>7.4000000000000003E-3</v>
      </c>
      <c r="AL140" s="231">
        <v>3224.6</v>
      </c>
      <c r="AM140" s="231">
        <v>4147.3999999999996</v>
      </c>
      <c r="AN140" s="228">
        <v>-922.8</v>
      </c>
      <c r="AO140" s="229">
        <v>4.7600000000000003E-2</v>
      </c>
      <c r="AP140" s="231">
        <v>67573.81</v>
      </c>
      <c r="AQ140" s="231">
        <v>67823.59</v>
      </c>
      <c r="AR140" s="228">
        <v>0</v>
      </c>
      <c r="AS140" s="228">
        <v>68</v>
      </c>
      <c r="AT140" s="228">
        <v>81</v>
      </c>
      <c r="AU140" s="228">
        <v>-13</v>
      </c>
      <c r="AV140" s="229">
        <v>-0.1593</v>
      </c>
      <c r="AW140" s="228">
        <v>61</v>
      </c>
      <c r="AX140" s="228">
        <v>73</v>
      </c>
      <c r="AY140" s="228">
        <v>-12</v>
      </c>
      <c r="AZ140" s="229">
        <v>-0.16009999999999999</v>
      </c>
      <c r="BA140" s="228">
        <v>7</v>
      </c>
      <c r="BB140" s="228">
        <v>8</v>
      </c>
      <c r="BC140" s="228">
        <v>-1</v>
      </c>
      <c r="BD140" s="229">
        <v>-0.1522</v>
      </c>
      <c r="BE140" s="228">
        <v>0</v>
      </c>
      <c r="BF140" s="228">
        <v>0</v>
      </c>
      <c r="BG140" s="228">
        <v>0</v>
      </c>
      <c r="BH140" s="229">
        <v>0</v>
      </c>
      <c r="BI140" s="228">
        <v>39</v>
      </c>
      <c r="BJ140" s="228">
        <v>87</v>
      </c>
      <c r="BK140" s="228">
        <v>-48</v>
      </c>
      <c r="BL140" s="229">
        <v>-0.54790000000000005</v>
      </c>
      <c r="BM140" s="228">
        <v>17</v>
      </c>
      <c r="BN140" s="228">
        <v>5</v>
      </c>
      <c r="BO140" s="228">
        <v>12</v>
      </c>
      <c r="BP140" s="229">
        <v>2.6071</v>
      </c>
      <c r="BQ140" s="228">
        <v>124</v>
      </c>
      <c r="BR140" s="228">
        <v>173</v>
      </c>
      <c r="BS140" s="228">
        <v>-48</v>
      </c>
      <c r="BT140" s="229">
        <v>-0.27850000000000003</v>
      </c>
      <c r="BU140" s="228">
        <v>0</v>
      </c>
      <c r="BV140" s="228">
        <v>0</v>
      </c>
      <c r="BW140" s="228">
        <v>0</v>
      </c>
      <c r="BX140" s="229">
        <v>0</v>
      </c>
      <c r="BY140" s="228">
        <v>118</v>
      </c>
      <c r="BZ140" s="228">
        <v>125</v>
      </c>
      <c r="CA140" s="228">
        <v>-7</v>
      </c>
      <c r="CB140" s="229">
        <v>-5.45E-2</v>
      </c>
      <c r="CC140" s="228">
        <v>106</v>
      </c>
      <c r="CD140" s="228">
        <v>113</v>
      </c>
      <c r="CE140" s="228">
        <v>-7</v>
      </c>
      <c r="CF140" s="229">
        <v>-6.4500000000000002E-2</v>
      </c>
      <c r="CG140" s="228">
        <v>12</v>
      </c>
      <c r="CH140" s="228">
        <v>11</v>
      </c>
      <c r="CI140" s="228">
        <v>1</v>
      </c>
      <c r="CJ140" s="229">
        <v>4.5499999999999999E-2</v>
      </c>
      <c r="CK140" s="228">
        <v>0</v>
      </c>
      <c r="CL140" s="228">
        <v>0</v>
      </c>
      <c r="CM140" s="228">
        <v>0</v>
      </c>
      <c r="CN140" s="229">
        <v>0</v>
      </c>
      <c r="CO140" s="228">
        <v>50</v>
      </c>
      <c r="CP140" s="228">
        <v>41</v>
      </c>
      <c r="CQ140" s="228">
        <v>8</v>
      </c>
      <c r="CR140" s="229">
        <v>0.19670000000000001</v>
      </c>
      <c r="CS140" s="228">
        <v>19</v>
      </c>
      <c r="CT140" s="228">
        <v>12</v>
      </c>
      <c r="CU140" s="228">
        <v>8</v>
      </c>
      <c r="CV140" s="229">
        <v>0.67649999999999999</v>
      </c>
      <c r="CW140" s="228">
        <v>187</v>
      </c>
      <c r="CX140" s="228">
        <v>178</v>
      </c>
      <c r="CY140" s="228">
        <v>9</v>
      </c>
      <c r="CZ140" s="229">
        <v>5.16E-2</v>
      </c>
      <c r="DA140" s="228">
        <v>18.420000000000002</v>
      </c>
      <c r="DB140" s="228">
        <v>20.04</v>
      </c>
      <c r="DC140" s="228">
        <v>-1.62</v>
      </c>
      <c r="DD140" s="228">
        <v>-1.62</v>
      </c>
      <c r="DE140" s="228">
        <v>20.27</v>
      </c>
      <c r="DF140" s="228">
        <v>20.239999999999998</v>
      </c>
      <c r="DG140" s="228">
        <v>-1.85</v>
      </c>
      <c r="DH140" s="228">
        <v>0.03</v>
      </c>
      <c r="DI140" s="228">
        <v>17.64</v>
      </c>
      <c r="DJ140" s="228">
        <v>19.989999999999998</v>
      </c>
      <c r="DK140" s="228">
        <v>-2.35</v>
      </c>
      <c r="DL140" s="228">
        <v>-2.35</v>
      </c>
      <c r="DM140" s="228">
        <v>20.21</v>
      </c>
      <c r="DN140" s="228">
        <v>20.89</v>
      </c>
      <c r="DO140" s="228">
        <v>-0.68</v>
      </c>
      <c r="DP140" s="228">
        <v>-0.68</v>
      </c>
      <c r="DQ140" s="228">
        <v>0.39</v>
      </c>
      <c r="DR140" s="228">
        <v>0.28000000000000003</v>
      </c>
      <c r="DS140" s="228">
        <v>0.11</v>
      </c>
      <c r="DT140" s="229">
        <v>0.39290000000000003</v>
      </c>
      <c r="DU140" s="231">
        <v>71000</v>
      </c>
      <c r="DV140" s="231">
        <v>66800</v>
      </c>
      <c r="DW140" s="228">
        <v>0.44</v>
      </c>
      <c r="DX140" s="228">
        <v>0.05</v>
      </c>
      <c r="DY140" s="228">
        <v>0.39</v>
      </c>
      <c r="DZ140" s="229">
        <v>7.8</v>
      </c>
      <c r="EA140" s="229">
        <v>0.1009</v>
      </c>
      <c r="EB140" s="230">
        <v>1675</v>
      </c>
      <c r="EC140" s="229">
        <v>4.3E-3</v>
      </c>
      <c r="ED140" s="229">
        <v>0.1009</v>
      </c>
      <c r="EE140" s="228">
        <v>249.78</v>
      </c>
      <c r="EF140" s="229">
        <v>3.7000000000000002E-3</v>
      </c>
      <c r="EG140" s="228">
        <v>0</v>
      </c>
      <c r="EH140" s="228">
        <v>0</v>
      </c>
      <c r="EI140" s="229">
        <v>0</v>
      </c>
      <c r="EJ140" s="229">
        <v>0</v>
      </c>
      <c r="EK140" s="228">
        <v>40.31</v>
      </c>
      <c r="EL140" s="228">
        <v>16.989999999999998</v>
      </c>
      <c r="EM140" s="228">
        <v>67.77</v>
      </c>
      <c r="EN140" s="228">
        <v>0</v>
      </c>
      <c r="EO140" s="228">
        <v>125.07</v>
      </c>
      <c r="EP140" s="228">
        <v>173.87</v>
      </c>
      <c r="EQ140" s="228">
        <v>-48.8</v>
      </c>
      <c r="ER140" s="229">
        <v>-0.28070000000000001</v>
      </c>
      <c r="ES140" s="228">
        <v>50.6</v>
      </c>
      <c r="ET140" s="228">
        <v>19.190000000000001</v>
      </c>
      <c r="EU140" s="228">
        <v>117.91</v>
      </c>
      <c r="EV140" s="228">
        <v>0</v>
      </c>
      <c r="EW140" s="228">
        <v>187.71</v>
      </c>
      <c r="EX140" s="228">
        <v>176.75</v>
      </c>
      <c r="EY140" s="228">
        <v>10.96</v>
      </c>
      <c r="EZ140" s="229">
        <v>6.2E-2</v>
      </c>
      <c r="FA140" s="229">
        <v>0</v>
      </c>
      <c r="FB140" s="227" t="s">
        <v>556</v>
      </c>
      <c r="FC140">
        <f t="shared" si="2"/>
        <v>12</v>
      </c>
    </row>
    <row r="141" spans="1:159" ht="17.25" thickBot="1" x14ac:dyDescent="0.3">
      <c r="A141" s="226">
        <v>46086</v>
      </c>
      <c r="B141" s="227" t="s">
        <v>227</v>
      </c>
      <c r="C141" s="227" t="s">
        <v>267</v>
      </c>
      <c r="D141" s="228">
        <v>6750</v>
      </c>
      <c r="E141" s="228">
        <v>25</v>
      </c>
      <c r="F141" s="228">
        <v>78.69</v>
      </c>
      <c r="G141" s="228">
        <v>76.95</v>
      </c>
      <c r="H141" s="228">
        <v>1.74</v>
      </c>
      <c r="I141" s="229">
        <v>2.2599999999999999E-2</v>
      </c>
      <c r="J141" s="228">
        <v>78.44</v>
      </c>
      <c r="K141" s="228">
        <v>76.709999999999994</v>
      </c>
      <c r="L141" s="228">
        <v>1.73</v>
      </c>
      <c r="M141" s="229">
        <v>2.2599999999999999E-2</v>
      </c>
      <c r="N141" s="228">
        <v>78.69</v>
      </c>
      <c r="O141" s="228">
        <v>76.95</v>
      </c>
      <c r="P141" s="228">
        <v>1.74</v>
      </c>
      <c r="Q141" s="229">
        <v>2.2599999999999999E-2</v>
      </c>
      <c r="R141" s="228">
        <v>79.23</v>
      </c>
      <c r="S141" s="228">
        <v>77.430000000000007</v>
      </c>
      <c r="T141" s="228">
        <v>1.8</v>
      </c>
      <c r="U141" s="229">
        <v>2.3199999999999998E-2</v>
      </c>
      <c r="V141" s="228">
        <v>79.81</v>
      </c>
      <c r="W141" s="228">
        <v>77.95</v>
      </c>
      <c r="X141" s="228">
        <v>1.86</v>
      </c>
      <c r="Y141" s="229">
        <v>2.3900000000000001E-2</v>
      </c>
      <c r="Z141" s="228">
        <v>0.25</v>
      </c>
      <c r="AA141" s="228">
        <v>0.24</v>
      </c>
      <c r="AB141" s="228">
        <v>0.01</v>
      </c>
      <c r="AC141" s="229">
        <v>3.2000000000000002E-3</v>
      </c>
      <c r="AD141" s="228">
        <v>0.25</v>
      </c>
      <c r="AE141" s="228">
        <v>0.24</v>
      </c>
      <c r="AF141" s="228">
        <v>0.01</v>
      </c>
      <c r="AG141" s="229">
        <v>3.2000000000000002E-3</v>
      </c>
      <c r="AH141" s="228">
        <v>0.79</v>
      </c>
      <c r="AI141" s="228">
        <v>0.72</v>
      </c>
      <c r="AJ141" s="228">
        <v>7.0000000000000007E-2</v>
      </c>
      <c r="AK141" s="229">
        <v>1.01E-2</v>
      </c>
      <c r="AL141" s="228">
        <v>1.37</v>
      </c>
      <c r="AM141" s="228">
        <v>1.24</v>
      </c>
      <c r="AN141" s="228">
        <v>0.13</v>
      </c>
      <c r="AO141" s="229">
        <v>1.7500000000000002E-2</v>
      </c>
      <c r="AP141" s="228">
        <v>78.59</v>
      </c>
      <c r="AQ141" s="228">
        <v>79.17</v>
      </c>
      <c r="AR141" s="228">
        <v>0</v>
      </c>
      <c r="AS141" s="228">
        <v>260</v>
      </c>
      <c r="AT141" s="228">
        <v>280</v>
      </c>
      <c r="AU141" s="228">
        <v>-19</v>
      </c>
      <c r="AV141" s="229">
        <v>-6.9400000000000003E-2</v>
      </c>
      <c r="AW141" s="228">
        <v>236</v>
      </c>
      <c r="AX141" s="228">
        <v>260</v>
      </c>
      <c r="AY141" s="228">
        <v>-24</v>
      </c>
      <c r="AZ141" s="229">
        <v>-9.0999999999999998E-2</v>
      </c>
      <c r="BA141" s="228">
        <v>21</v>
      </c>
      <c r="BB141" s="228">
        <v>15</v>
      </c>
      <c r="BC141" s="228">
        <v>6</v>
      </c>
      <c r="BD141" s="229">
        <v>0.36969999999999997</v>
      </c>
      <c r="BE141" s="228">
        <v>3</v>
      </c>
      <c r="BF141" s="228">
        <v>5</v>
      </c>
      <c r="BG141" s="228">
        <v>-1</v>
      </c>
      <c r="BH141" s="229">
        <v>-0.28089999999999998</v>
      </c>
      <c r="BI141" s="228">
        <v>517</v>
      </c>
      <c r="BJ141" s="228">
        <v>532</v>
      </c>
      <c r="BK141" s="228">
        <v>-15</v>
      </c>
      <c r="BL141" s="229">
        <v>-2.7400000000000001E-2</v>
      </c>
      <c r="BM141" s="228">
        <v>185</v>
      </c>
      <c r="BN141" s="228">
        <v>253</v>
      </c>
      <c r="BO141" s="228">
        <v>-68</v>
      </c>
      <c r="BP141" s="229">
        <v>-0.26869999999999999</v>
      </c>
      <c r="BQ141" s="228">
        <v>962</v>
      </c>
      <c r="BR141" s="230">
        <v>1064</v>
      </c>
      <c r="BS141" s="228">
        <v>-102</v>
      </c>
      <c r="BT141" s="229">
        <v>-9.5799999999999996E-2</v>
      </c>
      <c r="BU141" s="230">
        <v>23022233</v>
      </c>
      <c r="BV141" s="230">
        <v>33303298</v>
      </c>
      <c r="BW141" s="230">
        <v>-10281065</v>
      </c>
      <c r="BX141" s="229">
        <v>-0.30869999999999997</v>
      </c>
      <c r="BY141" s="230">
        <v>2724</v>
      </c>
      <c r="BZ141" s="230">
        <v>2717</v>
      </c>
      <c r="CA141" s="228">
        <v>7</v>
      </c>
      <c r="CB141" s="229">
        <v>2.5999999999999999E-3</v>
      </c>
      <c r="CC141" s="230">
        <v>2634</v>
      </c>
      <c r="CD141" s="230">
        <v>2630</v>
      </c>
      <c r="CE141" s="228">
        <v>4</v>
      </c>
      <c r="CF141" s="229">
        <v>1.5E-3</v>
      </c>
      <c r="CG141" s="228">
        <v>65</v>
      </c>
      <c r="CH141" s="228">
        <v>63</v>
      </c>
      <c r="CI141" s="228">
        <v>2</v>
      </c>
      <c r="CJ141" s="229">
        <v>3.6299999999999999E-2</v>
      </c>
      <c r="CK141" s="228">
        <v>24</v>
      </c>
      <c r="CL141" s="228">
        <v>24</v>
      </c>
      <c r="CM141" s="228">
        <v>1</v>
      </c>
      <c r="CN141" s="229">
        <v>3.15E-2</v>
      </c>
      <c r="CO141" s="228">
        <v>588</v>
      </c>
      <c r="CP141" s="228">
        <v>556</v>
      </c>
      <c r="CQ141" s="228">
        <v>32</v>
      </c>
      <c r="CR141" s="229">
        <v>5.8400000000000001E-2</v>
      </c>
      <c r="CS141" s="228">
        <v>334</v>
      </c>
      <c r="CT141" s="228">
        <v>328</v>
      </c>
      <c r="CU141" s="228">
        <v>6</v>
      </c>
      <c r="CV141" s="229">
        <v>1.7500000000000002E-2</v>
      </c>
      <c r="CW141" s="230">
        <v>3645</v>
      </c>
      <c r="CX141" s="230">
        <v>3600</v>
      </c>
      <c r="CY141" s="228">
        <v>45</v>
      </c>
      <c r="CZ141" s="229">
        <v>1.26E-2</v>
      </c>
      <c r="DA141" s="228">
        <v>34.369999999999997</v>
      </c>
      <c r="DB141" s="228">
        <v>37</v>
      </c>
      <c r="DC141" s="228">
        <v>-2.63</v>
      </c>
      <c r="DD141" s="228">
        <v>-2.63</v>
      </c>
      <c r="DE141" s="228">
        <v>38.93</v>
      </c>
      <c r="DF141" s="228">
        <v>38.909999999999997</v>
      </c>
      <c r="DG141" s="228">
        <v>-4.5599999999999996</v>
      </c>
      <c r="DH141" s="228">
        <v>0.02</v>
      </c>
      <c r="DI141" s="228">
        <v>34.159999999999997</v>
      </c>
      <c r="DJ141" s="228">
        <v>36.79</v>
      </c>
      <c r="DK141" s="228">
        <v>-2.63</v>
      </c>
      <c r="DL141" s="228">
        <v>-2.63</v>
      </c>
      <c r="DM141" s="228">
        <v>34.950000000000003</v>
      </c>
      <c r="DN141" s="228">
        <v>37.450000000000003</v>
      </c>
      <c r="DO141" s="228">
        <v>-2.5</v>
      </c>
      <c r="DP141" s="228">
        <v>-2.5</v>
      </c>
      <c r="DQ141" s="228">
        <v>0.56999999999999995</v>
      </c>
      <c r="DR141" s="228">
        <v>0.59</v>
      </c>
      <c r="DS141" s="228">
        <v>-0.02</v>
      </c>
      <c r="DT141" s="229">
        <v>-3.39E-2</v>
      </c>
      <c r="DU141" s="228">
        <v>85</v>
      </c>
      <c r="DV141" s="228">
        <v>70</v>
      </c>
      <c r="DW141" s="228">
        <v>0.36</v>
      </c>
      <c r="DX141" s="228">
        <v>0.48</v>
      </c>
      <c r="DY141" s="228">
        <v>-0.12</v>
      </c>
      <c r="DZ141" s="229">
        <v>-0.25</v>
      </c>
      <c r="EA141" s="229">
        <v>3.2899999999999999E-2</v>
      </c>
      <c r="EB141" s="230">
        <v>11002500</v>
      </c>
      <c r="EC141" s="229">
        <v>6.8999999999999999E-3</v>
      </c>
      <c r="ED141" s="229">
        <v>3.2899999999999999E-2</v>
      </c>
      <c r="EE141" s="228">
        <v>0.57999999999999996</v>
      </c>
      <c r="EF141" s="229">
        <v>7.4000000000000003E-3</v>
      </c>
      <c r="EG141" s="230">
        <v>7193213</v>
      </c>
      <c r="EH141" s="230">
        <v>13220148</v>
      </c>
      <c r="EI141" s="229">
        <v>-0.45590000000000003</v>
      </c>
      <c r="EJ141" s="229">
        <v>0.31240000000000001</v>
      </c>
      <c r="EK141" s="228">
        <v>552.30999999999995</v>
      </c>
      <c r="EL141" s="228">
        <v>179.76</v>
      </c>
      <c r="EM141" s="228">
        <v>260.02999999999997</v>
      </c>
      <c r="EN141" s="228">
        <v>60.83</v>
      </c>
      <c r="EO141" s="228">
        <v>992.1</v>
      </c>
      <c r="EP141" s="231">
        <v>1093.98</v>
      </c>
      <c r="EQ141" s="228">
        <v>-101.88</v>
      </c>
      <c r="ER141" s="229">
        <v>-9.3100000000000002E-2</v>
      </c>
      <c r="ES141" s="228">
        <v>628.83000000000004</v>
      </c>
      <c r="ET141" s="228">
        <v>329.2</v>
      </c>
      <c r="EU141" s="231">
        <v>2724.46</v>
      </c>
      <c r="EV141" s="231">
        <v>517037525</v>
      </c>
      <c r="EW141" s="231">
        <v>3682.5</v>
      </c>
      <c r="EX141" s="231">
        <v>3575.6</v>
      </c>
      <c r="EY141" s="228">
        <v>106.9</v>
      </c>
      <c r="EZ141" s="229">
        <v>2.9899999999999999E-2</v>
      </c>
      <c r="FA141" s="229">
        <v>0.89600000000000002</v>
      </c>
      <c r="FB141" s="227" t="s">
        <v>555</v>
      </c>
      <c r="FC141">
        <f t="shared" si="2"/>
        <v>90</v>
      </c>
    </row>
    <row r="142" spans="1:159" ht="17.25" thickBot="1" x14ac:dyDescent="0.3">
      <c r="A142" s="226">
        <v>46086</v>
      </c>
      <c r="B142" s="227" t="s">
        <v>161</v>
      </c>
      <c r="C142" s="227" t="s">
        <v>268</v>
      </c>
      <c r="D142" s="228">
        <v>1500</v>
      </c>
      <c r="E142" s="228">
        <v>25</v>
      </c>
      <c r="F142" s="228">
        <v>378.65</v>
      </c>
      <c r="G142" s="228">
        <v>366.95</v>
      </c>
      <c r="H142" s="228">
        <v>11.7</v>
      </c>
      <c r="I142" s="229">
        <v>3.1899999999999998E-2</v>
      </c>
      <c r="J142" s="228">
        <v>378.05</v>
      </c>
      <c r="K142" s="228">
        <v>365.8</v>
      </c>
      <c r="L142" s="228">
        <v>12.25</v>
      </c>
      <c r="M142" s="229">
        <v>3.3500000000000002E-2</v>
      </c>
      <c r="N142" s="228">
        <v>378.65</v>
      </c>
      <c r="O142" s="228">
        <v>366.95</v>
      </c>
      <c r="P142" s="228">
        <v>11.7</v>
      </c>
      <c r="Q142" s="229">
        <v>3.1899999999999998E-2</v>
      </c>
      <c r="R142" s="228">
        <v>381.2</v>
      </c>
      <c r="S142" s="228">
        <v>369.25</v>
      </c>
      <c r="T142" s="228">
        <v>11.95</v>
      </c>
      <c r="U142" s="229">
        <v>3.2399999999999998E-2</v>
      </c>
      <c r="V142" s="228">
        <v>383.5</v>
      </c>
      <c r="W142" s="228">
        <v>371.4</v>
      </c>
      <c r="X142" s="228">
        <v>12.1</v>
      </c>
      <c r="Y142" s="229">
        <v>3.2599999999999997E-2</v>
      </c>
      <c r="Z142" s="228">
        <v>0.6</v>
      </c>
      <c r="AA142" s="228">
        <v>1.1499999999999999</v>
      </c>
      <c r="AB142" s="228">
        <v>-0.55000000000000004</v>
      </c>
      <c r="AC142" s="229">
        <v>1.6000000000000001E-3</v>
      </c>
      <c r="AD142" s="228">
        <v>0.6</v>
      </c>
      <c r="AE142" s="228">
        <v>1.1499999999999999</v>
      </c>
      <c r="AF142" s="228">
        <v>-0.55000000000000004</v>
      </c>
      <c r="AG142" s="229">
        <v>1.6000000000000001E-3</v>
      </c>
      <c r="AH142" s="228">
        <v>3.15</v>
      </c>
      <c r="AI142" s="228">
        <v>3.45</v>
      </c>
      <c r="AJ142" s="228">
        <v>-0.3</v>
      </c>
      <c r="AK142" s="229">
        <v>8.3000000000000001E-3</v>
      </c>
      <c r="AL142" s="228">
        <v>5.45</v>
      </c>
      <c r="AM142" s="228">
        <v>5.6</v>
      </c>
      <c r="AN142" s="228">
        <v>-0.15</v>
      </c>
      <c r="AO142" s="229">
        <v>1.44E-2</v>
      </c>
      <c r="AP142" s="228">
        <v>376.54</v>
      </c>
      <c r="AQ142" s="228">
        <v>379.06</v>
      </c>
      <c r="AR142" s="228">
        <v>0</v>
      </c>
      <c r="AS142" s="228">
        <v>651</v>
      </c>
      <c r="AT142" s="228">
        <v>514</v>
      </c>
      <c r="AU142" s="228">
        <v>137</v>
      </c>
      <c r="AV142" s="229">
        <v>0.26569999999999999</v>
      </c>
      <c r="AW142" s="228">
        <v>624</v>
      </c>
      <c r="AX142" s="228">
        <v>482</v>
      </c>
      <c r="AY142" s="228">
        <v>142</v>
      </c>
      <c r="AZ142" s="229">
        <v>0.29509999999999997</v>
      </c>
      <c r="BA142" s="228">
        <v>25</v>
      </c>
      <c r="BB142" s="228">
        <v>28</v>
      </c>
      <c r="BC142" s="228">
        <v>-4</v>
      </c>
      <c r="BD142" s="229">
        <v>-0.1268</v>
      </c>
      <c r="BE142" s="228">
        <v>3</v>
      </c>
      <c r="BF142" s="228">
        <v>5</v>
      </c>
      <c r="BG142" s="228">
        <v>-2</v>
      </c>
      <c r="BH142" s="229">
        <v>-0.40239999999999998</v>
      </c>
      <c r="BI142" s="230">
        <v>2755</v>
      </c>
      <c r="BJ142" s="230">
        <v>2355</v>
      </c>
      <c r="BK142" s="228">
        <v>401</v>
      </c>
      <c r="BL142" s="229">
        <v>0.17030000000000001</v>
      </c>
      <c r="BM142" s="230">
        <v>1278</v>
      </c>
      <c r="BN142" s="228">
        <v>951</v>
      </c>
      <c r="BO142" s="228">
        <v>328</v>
      </c>
      <c r="BP142" s="229">
        <v>0.34449999999999997</v>
      </c>
      <c r="BQ142" s="230">
        <v>4685</v>
      </c>
      <c r="BR142" s="230">
        <v>3820</v>
      </c>
      <c r="BS142" s="228">
        <v>865</v>
      </c>
      <c r="BT142" s="229">
        <v>0.22650000000000001</v>
      </c>
      <c r="BU142" s="230">
        <v>18171650</v>
      </c>
      <c r="BV142" s="230">
        <v>11976698</v>
      </c>
      <c r="BW142" s="230">
        <v>6194952</v>
      </c>
      <c r="BX142" s="229">
        <v>0.51729999999999998</v>
      </c>
      <c r="BY142" s="230">
        <v>3788</v>
      </c>
      <c r="BZ142" s="230">
        <v>3792</v>
      </c>
      <c r="CA142" s="228">
        <v>-5</v>
      </c>
      <c r="CB142" s="229">
        <v>-1.1999999999999999E-3</v>
      </c>
      <c r="CC142" s="230">
        <v>3727</v>
      </c>
      <c r="CD142" s="230">
        <v>3736</v>
      </c>
      <c r="CE142" s="228">
        <v>-9</v>
      </c>
      <c r="CF142" s="229">
        <v>-2.3E-3</v>
      </c>
      <c r="CG142" s="228">
        <v>49</v>
      </c>
      <c r="CH142" s="228">
        <v>46</v>
      </c>
      <c r="CI142" s="228">
        <v>3</v>
      </c>
      <c r="CJ142" s="229">
        <v>7.0900000000000005E-2</v>
      </c>
      <c r="CK142" s="228">
        <v>12</v>
      </c>
      <c r="CL142" s="228">
        <v>11</v>
      </c>
      <c r="CM142" s="228">
        <v>1</v>
      </c>
      <c r="CN142" s="229">
        <v>5.5599999999999997E-2</v>
      </c>
      <c r="CO142" s="230">
        <v>2193</v>
      </c>
      <c r="CP142" s="230">
        <v>2004</v>
      </c>
      <c r="CQ142" s="228">
        <v>189</v>
      </c>
      <c r="CR142" s="229">
        <v>9.4600000000000004E-2</v>
      </c>
      <c r="CS142" s="228">
        <v>848</v>
      </c>
      <c r="CT142" s="228">
        <v>729</v>
      </c>
      <c r="CU142" s="228">
        <v>119</v>
      </c>
      <c r="CV142" s="229">
        <v>0.1633</v>
      </c>
      <c r="CW142" s="230">
        <v>6829</v>
      </c>
      <c r="CX142" s="230">
        <v>6525</v>
      </c>
      <c r="CY142" s="228">
        <v>304</v>
      </c>
      <c r="CZ142" s="229">
        <v>4.6600000000000003E-2</v>
      </c>
      <c r="DA142" s="228">
        <v>19.5</v>
      </c>
      <c r="DB142" s="228">
        <v>21.88</v>
      </c>
      <c r="DC142" s="228">
        <v>-2.38</v>
      </c>
      <c r="DD142" s="228">
        <v>-2.38</v>
      </c>
      <c r="DE142" s="228">
        <v>27.78</v>
      </c>
      <c r="DF142" s="228">
        <v>27.49</v>
      </c>
      <c r="DG142" s="228">
        <v>-8.2799999999999994</v>
      </c>
      <c r="DH142" s="228">
        <v>0.28999999999999998</v>
      </c>
      <c r="DI142" s="228">
        <v>18.57</v>
      </c>
      <c r="DJ142" s="228">
        <v>21.03</v>
      </c>
      <c r="DK142" s="228">
        <v>-2.46</v>
      </c>
      <c r="DL142" s="228">
        <v>-2.46</v>
      </c>
      <c r="DM142" s="228">
        <v>21.51</v>
      </c>
      <c r="DN142" s="228">
        <v>23.98</v>
      </c>
      <c r="DO142" s="228">
        <v>-2.4700000000000002</v>
      </c>
      <c r="DP142" s="228">
        <v>-2.4700000000000002</v>
      </c>
      <c r="DQ142" s="228">
        <v>0.39</v>
      </c>
      <c r="DR142" s="228">
        <v>0.36</v>
      </c>
      <c r="DS142" s="228">
        <v>0.03</v>
      </c>
      <c r="DT142" s="229">
        <v>8.3299999999999999E-2</v>
      </c>
      <c r="DU142" s="228">
        <v>400</v>
      </c>
      <c r="DV142" s="228">
        <v>360</v>
      </c>
      <c r="DW142" s="228">
        <v>0.46</v>
      </c>
      <c r="DX142" s="228">
        <v>0.4</v>
      </c>
      <c r="DY142" s="228">
        <v>0.06</v>
      </c>
      <c r="DZ142" s="229">
        <v>0.15</v>
      </c>
      <c r="EA142" s="229">
        <v>1.6E-2</v>
      </c>
      <c r="EB142" s="230">
        <v>1503000</v>
      </c>
      <c r="EC142" s="229">
        <v>6.7000000000000002E-3</v>
      </c>
      <c r="ED142" s="229">
        <v>1.6E-2</v>
      </c>
      <c r="EE142" s="228">
        <v>2.52</v>
      </c>
      <c r="EF142" s="229">
        <v>6.7000000000000002E-3</v>
      </c>
      <c r="EG142" s="230">
        <v>11899311</v>
      </c>
      <c r="EH142" s="230">
        <v>7148862</v>
      </c>
      <c r="EI142" s="229">
        <v>0.66449999999999998</v>
      </c>
      <c r="EJ142" s="229">
        <v>0.65480000000000005</v>
      </c>
      <c r="EK142" s="231">
        <v>2847.63</v>
      </c>
      <c r="EL142" s="231">
        <v>1254.52</v>
      </c>
      <c r="EM142" s="228">
        <v>647.64</v>
      </c>
      <c r="EN142" s="228">
        <v>77.400000000000006</v>
      </c>
      <c r="EO142" s="231">
        <v>4749.78</v>
      </c>
      <c r="EP142" s="231">
        <v>3816.25</v>
      </c>
      <c r="EQ142" s="228">
        <v>933.54</v>
      </c>
      <c r="ER142" s="229">
        <v>0.24460000000000001</v>
      </c>
      <c r="ES142" s="231">
        <v>2253.85</v>
      </c>
      <c r="ET142" s="228">
        <v>815.13</v>
      </c>
      <c r="EU142" s="231">
        <v>3788.25</v>
      </c>
      <c r="EV142" s="231">
        <v>474131988</v>
      </c>
      <c r="EW142" s="231">
        <v>6857.24</v>
      </c>
      <c r="EX142" s="231">
        <v>6431.68</v>
      </c>
      <c r="EY142" s="228">
        <v>425.56</v>
      </c>
      <c r="EZ142" s="229">
        <v>6.6199999999999995E-2</v>
      </c>
      <c r="FA142" s="229">
        <v>0.38040000000000002</v>
      </c>
      <c r="FB142" s="227" t="s">
        <v>556</v>
      </c>
      <c r="FC142">
        <f t="shared" si="2"/>
        <v>61</v>
      </c>
    </row>
    <row r="143" spans="1:159" ht="17.25" thickBot="1" x14ac:dyDescent="0.3">
      <c r="A143" s="226">
        <v>46086</v>
      </c>
      <c r="B143" s="227" t="s">
        <v>175</v>
      </c>
      <c r="C143" s="227" t="s">
        <v>684</v>
      </c>
      <c r="D143" s="228">
        <v>500</v>
      </c>
      <c r="E143" s="228">
        <v>25</v>
      </c>
      <c r="F143" s="231">
        <v>1231.8</v>
      </c>
      <c r="G143" s="231">
        <v>1192.5999999999999</v>
      </c>
      <c r="H143" s="228">
        <v>39.200000000000003</v>
      </c>
      <c r="I143" s="229">
        <v>3.2899999999999999E-2</v>
      </c>
      <c r="J143" s="231">
        <v>1238.0999999999999</v>
      </c>
      <c r="K143" s="231">
        <v>1196.5</v>
      </c>
      <c r="L143" s="228">
        <v>41.6</v>
      </c>
      <c r="M143" s="229">
        <v>3.4799999999999998E-2</v>
      </c>
      <c r="N143" s="231">
        <v>1231.8</v>
      </c>
      <c r="O143" s="231">
        <v>1192.5999999999999</v>
      </c>
      <c r="P143" s="228">
        <v>39.200000000000003</v>
      </c>
      <c r="Q143" s="229">
        <v>3.2899999999999999E-2</v>
      </c>
      <c r="R143" s="231">
        <v>1227.7</v>
      </c>
      <c r="S143" s="231">
        <v>1190.5999999999999</v>
      </c>
      <c r="T143" s="228">
        <v>37.1</v>
      </c>
      <c r="U143" s="229">
        <v>3.1199999999999999E-2</v>
      </c>
      <c r="V143" s="231">
        <v>1202</v>
      </c>
      <c r="W143" s="231">
        <v>1206.2</v>
      </c>
      <c r="X143" s="228">
        <v>-4.2</v>
      </c>
      <c r="Y143" s="229">
        <v>-3.5000000000000001E-3</v>
      </c>
      <c r="Z143" s="228">
        <v>-6.3</v>
      </c>
      <c r="AA143" s="228">
        <v>-3.9</v>
      </c>
      <c r="AB143" s="228">
        <v>-2.4</v>
      </c>
      <c r="AC143" s="229">
        <v>-5.1000000000000004E-3</v>
      </c>
      <c r="AD143" s="228">
        <v>-6.3</v>
      </c>
      <c r="AE143" s="228">
        <v>-3.9</v>
      </c>
      <c r="AF143" s="228">
        <v>-2.4</v>
      </c>
      <c r="AG143" s="229">
        <v>-5.1000000000000004E-3</v>
      </c>
      <c r="AH143" s="228">
        <v>-10.4</v>
      </c>
      <c r="AI143" s="228">
        <v>-5.9</v>
      </c>
      <c r="AJ143" s="228">
        <v>-4.5</v>
      </c>
      <c r="AK143" s="229">
        <v>-8.3999999999999995E-3</v>
      </c>
      <c r="AL143" s="228">
        <v>-36.1</v>
      </c>
      <c r="AM143" s="228">
        <v>9.6999999999999993</v>
      </c>
      <c r="AN143" s="228">
        <v>-45.8</v>
      </c>
      <c r="AO143" s="229">
        <v>-2.92E-2</v>
      </c>
      <c r="AP143" s="231">
        <v>1218.43</v>
      </c>
      <c r="AQ143" s="231">
        <v>1209.6099999999999</v>
      </c>
      <c r="AR143" s="228">
        <v>0</v>
      </c>
      <c r="AS143" s="228">
        <v>101</v>
      </c>
      <c r="AT143" s="228">
        <v>161</v>
      </c>
      <c r="AU143" s="228">
        <v>-60</v>
      </c>
      <c r="AV143" s="229">
        <v>-0.37080000000000002</v>
      </c>
      <c r="AW143" s="228">
        <v>90</v>
      </c>
      <c r="AX143" s="228">
        <v>145</v>
      </c>
      <c r="AY143" s="228">
        <v>-56</v>
      </c>
      <c r="AZ143" s="229">
        <v>-0.38350000000000001</v>
      </c>
      <c r="BA143" s="228">
        <v>11</v>
      </c>
      <c r="BB143" s="228">
        <v>15</v>
      </c>
      <c r="BC143" s="228">
        <v>-4</v>
      </c>
      <c r="BD143" s="229">
        <v>-0.24490000000000001</v>
      </c>
      <c r="BE143" s="228">
        <v>0</v>
      </c>
      <c r="BF143" s="228">
        <v>0</v>
      </c>
      <c r="BG143" s="228">
        <v>0</v>
      </c>
      <c r="BH143" s="229">
        <v>-0.66669999999999996</v>
      </c>
      <c r="BI143" s="228">
        <v>117</v>
      </c>
      <c r="BJ143" s="228">
        <v>91</v>
      </c>
      <c r="BK143" s="228">
        <v>27</v>
      </c>
      <c r="BL143" s="229">
        <v>0.29659999999999997</v>
      </c>
      <c r="BM143" s="228">
        <v>25</v>
      </c>
      <c r="BN143" s="228">
        <v>62</v>
      </c>
      <c r="BO143" s="228">
        <v>-37</v>
      </c>
      <c r="BP143" s="229">
        <v>-0.60140000000000005</v>
      </c>
      <c r="BQ143" s="228">
        <v>243</v>
      </c>
      <c r="BR143" s="228">
        <v>313</v>
      </c>
      <c r="BS143" s="228">
        <v>-70</v>
      </c>
      <c r="BT143" s="229">
        <v>-0.22339999999999999</v>
      </c>
      <c r="BU143" s="230">
        <v>383558</v>
      </c>
      <c r="BV143" s="230">
        <v>774191</v>
      </c>
      <c r="BW143" s="230">
        <v>-390633</v>
      </c>
      <c r="BX143" s="229">
        <v>-0.50460000000000005</v>
      </c>
      <c r="BY143" s="228">
        <v>255</v>
      </c>
      <c r="BZ143" s="228">
        <v>243</v>
      </c>
      <c r="CA143" s="228">
        <v>12</v>
      </c>
      <c r="CB143" s="229">
        <v>5.0700000000000002E-2</v>
      </c>
      <c r="CC143" s="228">
        <v>240</v>
      </c>
      <c r="CD143" s="228">
        <v>231</v>
      </c>
      <c r="CE143" s="228">
        <v>9</v>
      </c>
      <c r="CF143" s="229">
        <v>3.8100000000000002E-2</v>
      </c>
      <c r="CG143" s="228">
        <v>15</v>
      </c>
      <c r="CH143" s="228">
        <v>12</v>
      </c>
      <c r="CI143" s="228">
        <v>3</v>
      </c>
      <c r="CJ143" s="229">
        <v>0.29630000000000001</v>
      </c>
      <c r="CK143" s="228">
        <v>0</v>
      </c>
      <c r="CL143" s="228">
        <v>0</v>
      </c>
      <c r="CM143" s="228">
        <v>0</v>
      </c>
      <c r="CN143" s="229">
        <v>0.16669999999999999</v>
      </c>
      <c r="CO143" s="228">
        <v>95</v>
      </c>
      <c r="CP143" s="228">
        <v>94</v>
      </c>
      <c r="CQ143" s="228">
        <v>1</v>
      </c>
      <c r="CR143" s="229">
        <v>7.7999999999999996E-3</v>
      </c>
      <c r="CS143" s="228">
        <v>62</v>
      </c>
      <c r="CT143" s="228">
        <v>62</v>
      </c>
      <c r="CU143" s="228">
        <v>-1</v>
      </c>
      <c r="CV143" s="229">
        <v>-8.8999999999999999E-3</v>
      </c>
      <c r="CW143" s="228">
        <v>412</v>
      </c>
      <c r="CX143" s="228">
        <v>400</v>
      </c>
      <c r="CY143" s="228">
        <v>13</v>
      </c>
      <c r="CZ143" s="229">
        <v>3.1300000000000001E-2</v>
      </c>
      <c r="DA143" s="228">
        <v>35.409999999999997</v>
      </c>
      <c r="DB143" s="228">
        <v>38.97</v>
      </c>
      <c r="DC143" s="228">
        <v>-3.56</v>
      </c>
      <c r="DD143" s="228">
        <v>-3.56</v>
      </c>
      <c r="DE143" s="228">
        <v>48.86</v>
      </c>
      <c r="DF143" s="228">
        <v>48.79</v>
      </c>
      <c r="DG143" s="228">
        <v>-13.45</v>
      </c>
      <c r="DH143" s="228">
        <v>7.0000000000000007E-2</v>
      </c>
      <c r="DI143" s="228">
        <v>34.53</v>
      </c>
      <c r="DJ143" s="228">
        <v>38.07</v>
      </c>
      <c r="DK143" s="228">
        <v>-3.54</v>
      </c>
      <c r="DL143" s="228">
        <v>-3.54</v>
      </c>
      <c r="DM143" s="228">
        <v>39.58</v>
      </c>
      <c r="DN143" s="228">
        <v>40.28</v>
      </c>
      <c r="DO143" s="228">
        <v>-0.7</v>
      </c>
      <c r="DP143" s="228">
        <v>-0.7</v>
      </c>
      <c r="DQ143" s="228">
        <v>0.65</v>
      </c>
      <c r="DR143" s="228">
        <v>0.66</v>
      </c>
      <c r="DS143" s="228">
        <v>-0.01</v>
      </c>
      <c r="DT143" s="229">
        <v>-1.52E-2</v>
      </c>
      <c r="DU143" s="231">
        <v>1300</v>
      </c>
      <c r="DV143" s="231">
        <v>1200</v>
      </c>
      <c r="DW143" s="228">
        <v>0.21</v>
      </c>
      <c r="DX143" s="228">
        <v>0.68</v>
      </c>
      <c r="DY143" s="228">
        <v>-0.47</v>
      </c>
      <c r="DZ143" s="229">
        <v>-0.69120000000000004</v>
      </c>
      <c r="EA143" s="229">
        <v>6.08E-2</v>
      </c>
      <c r="EB143" s="230">
        <v>97500</v>
      </c>
      <c r="EC143" s="229">
        <v>-3.3E-3</v>
      </c>
      <c r="ED143" s="229">
        <v>6.08E-2</v>
      </c>
      <c r="EE143" s="228">
        <v>-8.82</v>
      </c>
      <c r="EF143" s="229">
        <v>-7.1999999999999998E-3</v>
      </c>
      <c r="EG143" s="230">
        <v>173528</v>
      </c>
      <c r="EH143" s="230">
        <v>378593</v>
      </c>
      <c r="EI143" s="229">
        <v>-0.54169999999999996</v>
      </c>
      <c r="EJ143" s="229">
        <v>0.45240000000000002</v>
      </c>
      <c r="EK143" s="228">
        <v>125.91</v>
      </c>
      <c r="EL143" s="228">
        <v>23.37</v>
      </c>
      <c r="EM143" s="228">
        <v>99.89</v>
      </c>
      <c r="EN143" s="228">
        <v>19.649999999999999</v>
      </c>
      <c r="EO143" s="228">
        <v>249.17</v>
      </c>
      <c r="EP143" s="228">
        <v>311.32</v>
      </c>
      <c r="EQ143" s="228">
        <v>-62.14</v>
      </c>
      <c r="ER143" s="229">
        <v>-0.1996</v>
      </c>
      <c r="ES143" s="228">
        <v>102.51</v>
      </c>
      <c r="ET143" s="228">
        <v>61.12</v>
      </c>
      <c r="EU143" s="228">
        <v>255.41</v>
      </c>
      <c r="EV143" s="231">
        <v>12267678</v>
      </c>
      <c r="EW143" s="228">
        <v>419.04</v>
      </c>
      <c r="EX143" s="228">
        <v>398.52</v>
      </c>
      <c r="EY143" s="228">
        <v>20.52</v>
      </c>
      <c r="EZ143" s="229">
        <v>5.1499999999999997E-2</v>
      </c>
      <c r="FA143" s="229">
        <v>0.27289999999999998</v>
      </c>
      <c r="FB143" s="227" t="s">
        <v>555</v>
      </c>
      <c r="FC143">
        <f t="shared" si="2"/>
        <v>15</v>
      </c>
    </row>
    <row r="144" spans="1:159" ht="17.25" thickBot="1" x14ac:dyDescent="0.3">
      <c r="A144" s="226">
        <v>46086</v>
      </c>
      <c r="B144" s="227" t="s">
        <v>615</v>
      </c>
      <c r="C144" s="227" t="s">
        <v>613</v>
      </c>
      <c r="D144" s="228">
        <v>3125</v>
      </c>
      <c r="E144" s="228">
        <v>25</v>
      </c>
      <c r="F144" s="228">
        <v>261.3</v>
      </c>
      <c r="G144" s="228">
        <v>256.25</v>
      </c>
      <c r="H144" s="228">
        <v>5.05</v>
      </c>
      <c r="I144" s="229">
        <v>1.9699999999999999E-2</v>
      </c>
      <c r="J144" s="228">
        <v>260.8</v>
      </c>
      <c r="K144" s="228">
        <v>255.7</v>
      </c>
      <c r="L144" s="228">
        <v>5.0999999999999996</v>
      </c>
      <c r="M144" s="229">
        <v>1.9900000000000001E-2</v>
      </c>
      <c r="N144" s="228">
        <v>261.3</v>
      </c>
      <c r="O144" s="228">
        <v>256.25</v>
      </c>
      <c r="P144" s="228">
        <v>5.05</v>
      </c>
      <c r="Q144" s="229">
        <v>1.9699999999999999E-2</v>
      </c>
      <c r="R144" s="228">
        <v>262.2</v>
      </c>
      <c r="S144" s="228">
        <v>257.45</v>
      </c>
      <c r="T144" s="228">
        <v>4.75</v>
      </c>
      <c r="U144" s="229">
        <v>1.8499999999999999E-2</v>
      </c>
      <c r="V144" s="228">
        <v>258.5</v>
      </c>
      <c r="W144" s="228">
        <v>258.5</v>
      </c>
      <c r="X144" s="228">
        <v>0</v>
      </c>
      <c r="Y144" s="229">
        <v>0</v>
      </c>
      <c r="Z144" s="228">
        <v>0.5</v>
      </c>
      <c r="AA144" s="228">
        <v>0.55000000000000004</v>
      </c>
      <c r="AB144" s="228">
        <v>-0.05</v>
      </c>
      <c r="AC144" s="229">
        <v>1.9E-3</v>
      </c>
      <c r="AD144" s="228">
        <v>0.5</v>
      </c>
      <c r="AE144" s="228">
        <v>0.55000000000000004</v>
      </c>
      <c r="AF144" s="228">
        <v>-0.05</v>
      </c>
      <c r="AG144" s="229">
        <v>1.9E-3</v>
      </c>
      <c r="AH144" s="228">
        <v>1.4</v>
      </c>
      <c r="AI144" s="228">
        <v>1.75</v>
      </c>
      <c r="AJ144" s="228">
        <v>-0.35</v>
      </c>
      <c r="AK144" s="229">
        <v>5.4000000000000003E-3</v>
      </c>
      <c r="AL144" s="228">
        <v>-2.2999999999999998</v>
      </c>
      <c r="AM144" s="228">
        <v>2.8</v>
      </c>
      <c r="AN144" s="228">
        <v>-5.0999999999999996</v>
      </c>
      <c r="AO144" s="229">
        <v>-8.8000000000000005E-3</v>
      </c>
      <c r="AP144" s="228">
        <v>258.48</v>
      </c>
      <c r="AQ144" s="228">
        <v>260.35000000000002</v>
      </c>
      <c r="AR144" s="228">
        <v>0</v>
      </c>
      <c r="AS144" s="228">
        <v>115</v>
      </c>
      <c r="AT144" s="228">
        <v>147</v>
      </c>
      <c r="AU144" s="228">
        <v>-32</v>
      </c>
      <c r="AV144" s="229">
        <v>-0.21740000000000001</v>
      </c>
      <c r="AW144" s="228">
        <v>109</v>
      </c>
      <c r="AX144" s="228">
        <v>140</v>
      </c>
      <c r="AY144" s="228">
        <v>-31</v>
      </c>
      <c r="AZ144" s="229">
        <v>-0.2205</v>
      </c>
      <c r="BA144" s="228">
        <v>6</v>
      </c>
      <c r="BB144" s="228">
        <v>7</v>
      </c>
      <c r="BC144" s="228">
        <v>-1</v>
      </c>
      <c r="BD144" s="229">
        <v>-9.2999999999999999E-2</v>
      </c>
      <c r="BE144" s="228">
        <v>0</v>
      </c>
      <c r="BF144" s="228">
        <v>1</v>
      </c>
      <c r="BG144" s="228">
        <v>-1</v>
      </c>
      <c r="BH144" s="229">
        <v>-1</v>
      </c>
      <c r="BI144" s="228">
        <v>113</v>
      </c>
      <c r="BJ144" s="228">
        <v>172</v>
      </c>
      <c r="BK144" s="228">
        <v>-59</v>
      </c>
      <c r="BL144" s="229">
        <v>-0.34470000000000001</v>
      </c>
      <c r="BM144" s="228">
        <v>38</v>
      </c>
      <c r="BN144" s="228">
        <v>108</v>
      </c>
      <c r="BO144" s="228">
        <v>-70</v>
      </c>
      <c r="BP144" s="229">
        <v>-0.64429999999999998</v>
      </c>
      <c r="BQ144" s="228">
        <v>266</v>
      </c>
      <c r="BR144" s="228">
        <v>427</v>
      </c>
      <c r="BS144" s="228">
        <v>-161</v>
      </c>
      <c r="BT144" s="229">
        <v>-0.37659999999999999</v>
      </c>
      <c r="BU144" s="230">
        <v>3369234</v>
      </c>
      <c r="BV144" s="230">
        <v>4009624</v>
      </c>
      <c r="BW144" s="230">
        <v>-640390</v>
      </c>
      <c r="BX144" s="229">
        <v>-0.15970000000000001</v>
      </c>
      <c r="BY144" s="230">
        <v>1182</v>
      </c>
      <c r="BZ144" s="230">
        <v>1185</v>
      </c>
      <c r="CA144" s="228">
        <v>-3</v>
      </c>
      <c r="CB144" s="229">
        <v>-2.5000000000000001E-3</v>
      </c>
      <c r="CC144" s="230">
        <v>1168</v>
      </c>
      <c r="CD144" s="230">
        <v>1172</v>
      </c>
      <c r="CE144" s="228">
        <v>-3</v>
      </c>
      <c r="CF144" s="229">
        <v>-2.8999999999999998E-3</v>
      </c>
      <c r="CG144" s="228">
        <v>13</v>
      </c>
      <c r="CH144" s="228">
        <v>13</v>
      </c>
      <c r="CI144" s="228">
        <v>0</v>
      </c>
      <c r="CJ144" s="229">
        <v>3.7699999999999997E-2</v>
      </c>
      <c r="CK144" s="228">
        <v>1</v>
      </c>
      <c r="CL144" s="228">
        <v>1</v>
      </c>
      <c r="CM144" s="228">
        <v>0</v>
      </c>
      <c r="CN144" s="229">
        <v>0</v>
      </c>
      <c r="CO144" s="228">
        <v>184</v>
      </c>
      <c r="CP144" s="228">
        <v>170</v>
      </c>
      <c r="CQ144" s="228">
        <v>14</v>
      </c>
      <c r="CR144" s="229">
        <v>8.1500000000000003E-2</v>
      </c>
      <c r="CS144" s="228">
        <v>106</v>
      </c>
      <c r="CT144" s="228">
        <v>104</v>
      </c>
      <c r="CU144" s="228">
        <v>1</v>
      </c>
      <c r="CV144" s="229">
        <v>1.09E-2</v>
      </c>
      <c r="CW144" s="230">
        <v>1472</v>
      </c>
      <c r="CX144" s="230">
        <v>1460</v>
      </c>
      <c r="CY144" s="228">
        <v>12</v>
      </c>
      <c r="CZ144" s="229">
        <v>8.3000000000000001E-3</v>
      </c>
      <c r="DA144" s="228">
        <v>30.68</v>
      </c>
      <c r="DB144" s="228">
        <v>34.14</v>
      </c>
      <c r="DC144" s="228">
        <v>-3.46</v>
      </c>
      <c r="DD144" s="228">
        <v>-3.46</v>
      </c>
      <c r="DE144" s="228">
        <v>35.75</v>
      </c>
      <c r="DF144" s="228">
        <v>35.729999999999997</v>
      </c>
      <c r="DG144" s="228">
        <v>-5.07</v>
      </c>
      <c r="DH144" s="228">
        <v>0.02</v>
      </c>
      <c r="DI144" s="228">
        <v>29.96</v>
      </c>
      <c r="DJ144" s="228">
        <v>33.64</v>
      </c>
      <c r="DK144" s="228">
        <v>-3.68</v>
      </c>
      <c r="DL144" s="228">
        <v>-3.68</v>
      </c>
      <c r="DM144" s="228">
        <v>32.799999999999997</v>
      </c>
      <c r="DN144" s="228">
        <v>34.94</v>
      </c>
      <c r="DO144" s="228">
        <v>-2.14</v>
      </c>
      <c r="DP144" s="228">
        <v>-2.14</v>
      </c>
      <c r="DQ144" s="228">
        <v>0.56999999999999995</v>
      </c>
      <c r="DR144" s="228">
        <v>0.61</v>
      </c>
      <c r="DS144" s="228">
        <v>-0.04</v>
      </c>
      <c r="DT144" s="229">
        <v>-6.5600000000000006E-2</v>
      </c>
      <c r="DU144" s="228">
        <v>280</v>
      </c>
      <c r="DV144" s="228">
        <v>260</v>
      </c>
      <c r="DW144" s="228">
        <v>0.34</v>
      </c>
      <c r="DX144" s="228">
        <v>0.63</v>
      </c>
      <c r="DY144" s="228">
        <v>-0.28999999999999998</v>
      </c>
      <c r="DZ144" s="229">
        <v>-0.46029999999999999</v>
      </c>
      <c r="EA144" s="229">
        <v>1.1900000000000001E-2</v>
      </c>
      <c r="EB144" s="230">
        <v>518750</v>
      </c>
      <c r="EC144" s="229">
        <v>3.3999999999999998E-3</v>
      </c>
      <c r="ED144" s="229">
        <v>1.1900000000000001E-2</v>
      </c>
      <c r="EE144" s="228">
        <v>1.87</v>
      </c>
      <c r="EF144" s="229">
        <v>7.1999999999999998E-3</v>
      </c>
      <c r="EG144" s="230">
        <v>1758924</v>
      </c>
      <c r="EH144" s="230">
        <v>2048385</v>
      </c>
      <c r="EI144" s="229">
        <v>-0.14130000000000001</v>
      </c>
      <c r="EJ144" s="229">
        <v>0.52210000000000001</v>
      </c>
      <c r="EK144" s="228">
        <v>118.71</v>
      </c>
      <c r="EL144" s="228">
        <v>37.409999999999997</v>
      </c>
      <c r="EM144" s="228">
        <v>114.02</v>
      </c>
      <c r="EN144" s="228">
        <v>18.149999999999999</v>
      </c>
      <c r="EO144" s="228">
        <v>270.13</v>
      </c>
      <c r="EP144" s="228">
        <v>428.09</v>
      </c>
      <c r="EQ144" s="228">
        <v>-157.96</v>
      </c>
      <c r="ER144" s="229">
        <v>-0.36899999999999999</v>
      </c>
      <c r="ES144" s="228">
        <v>195.13</v>
      </c>
      <c r="ET144" s="228">
        <v>103.12</v>
      </c>
      <c r="EU144" s="231">
        <v>1182.18</v>
      </c>
      <c r="EV144" s="231">
        <v>205483040</v>
      </c>
      <c r="EW144" s="231">
        <v>1480.43</v>
      </c>
      <c r="EX144" s="231">
        <v>1444.71</v>
      </c>
      <c r="EY144" s="228">
        <v>35.72</v>
      </c>
      <c r="EZ144" s="229">
        <v>2.47E-2</v>
      </c>
      <c r="FA144" s="229">
        <v>0.2742</v>
      </c>
      <c r="FB144" s="227" t="s">
        <v>556</v>
      </c>
      <c r="FC144">
        <f t="shared" si="2"/>
        <v>14</v>
      </c>
    </row>
    <row r="145" spans="1:159" ht="17.25" thickBot="1" x14ac:dyDescent="0.3">
      <c r="A145" s="226">
        <v>46086</v>
      </c>
      <c r="B145" s="227" t="s">
        <v>206</v>
      </c>
      <c r="C145" s="227" t="s">
        <v>528</v>
      </c>
      <c r="D145" s="228">
        <v>350</v>
      </c>
      <c r="E145" s="228">
        <v>25</v>
      </c>
      <c r="F145" s="231">
        <v>1475.1</v>
      </c>
      <c r="G145" s="231">
        <v>1436.9</v>
      </c>
      <c r="H145" s="228">
        <v>38.200000000000003</v>
      </c>
      <c r="I145" s="229">
        <v>2.6599999999999999E-2</v>
      </c>
      <c r="J145" s="231">
        <v>1482.1</v>
      </c>
      <c r="K145" s="231">
        <v>1454.4</v>
      </c>
      <c r="L145" s="228">
        <v>27.7</v>
      </c>
      <c r="M145" s="229">
        <v>1.9E-2</v>
      </c>
      <c r="N145" s="231">
        <v>1475.1</v>
      </c>
      <c r="O145" s="231">
        <v>1436.9</v>
      </c>
      <c r="P145" s="228">
        <v>38.200000000000003</v>
      </c>
      <c r="Q145" s="229">
        <v>2.6599999999999999E-2</v>
      </c>
      <c r="R145" s="231">
        <v>1459.9</v>
      </c>
      <c r="S145" s="231">
        <v>1423.6</v>
      </c>
      <c r="T145" s="228">
        <v>36.299999999999997</v>
      </c>
      <c r="U145" s="229">
        <v>2.5499999999999998E-2</v>
      </c>
      <c r="V145" s="231">
        <v>1450.1</v>
      </c>
      <c r="W145" s="231">
        <v>1418.5</v>
      </c>
      <c r="X145" s="228">
        <v>31.6</v>
      </c>
      <c r="Y145" s="229">
        <v>2.23E-2</v>
      </c>
      <c r="Z145" s="228">
        <v>-7</v>
      </c>
      <c r="AA145" s="228">
        <v>-17.5</v>
      </c>
      <c r="AB145" s="228">
        <v>10.5</v>
      </c>
      <c r="AC145" s="229">
        <v>-4.7000000000000002E-3</v>
      </c>
      <c r="AD145" s="228">
        <v>-7</v>
      </c>
      <c r="AE145" s="228">
        <v>-17.5</v>
      </c>
      <c r="AF145" s="228">
        <v>10.5</v>
      </c>
      <c r="AG145" s="229">
        <v>-4.7000000000000002E-3</v>
      </c>
      <c r="AH145" s="228">
        <v>-22.2</v>
      </c>
      <c r="AI145" s="228">
        <v>-30.8</v>
      </c>
      <c r="AJ145" s="228">
        <v>8.6</v>
      </c>
      <c r="AK145" s="229">
        <v>-1.4999999999999999E-2</v>
      </c>
      <c r="AL145" s="228">
        <v>-32</v>
      </c>
      <c r="AM145" s="228">
        <v>-35.9</v>
      </c>
      <c r="AN145" s="228">
        <v>3.9</v>
      </c>
      <c r="AO145" s="229">
        <v>-2.1600000000000001E-2</v>
      </c>
      <c r="AP145" s="231">
        <v>1460.32</v>
      </c>
      <c r="AQ145" s="231">
        <v>1444.94</v>
      </c>
      <c r="AR145" s="228">
        <v>0</v>
      </c>
      <c r="AS145" s="228">
        <v>171</v>
      </c>
      <c r="AT145" s="228">
        <v>186</v>
      </c>
      <c r="AU145" s="228">
        <v>-15</v>
      </c>
      <c r="AV145" s="229">
        <v>-7.8299999999999995E-2</v>
      </c>
      <c r="AW145" s="228">
        <v>159</v>
      </c>
      <c r="AX145" s="228">
        <v>174</v>
      </c>
      <c r="AY145" s="228">
        <v>-15</v>
      </c>
      <c r="AZ145" s="229">
        <v>-8.7099999999999997E-2</v>
      </c>
      <c r="BA145" s="228">
        <v>12</v>
      </c>
      <c r="BB145" s="228">
        <v>10</v>
      </c>
      <c r="BC145" s="228">
        <v>2</v>
      </c>
      <c r="BD145" s="229">
        <v>0.191</v>
      </c>
      <c r="BE145" s="228">
        <v>0</v>
      </c>
      <c r="BF145" s="228">
        <v>1</v>
      </c>
      <c r="BG145" s="228">
        <v>-1</v>
      </c>
      <c r="BH145" s="229">
        <v>-0.96299999999999997</v>
      </c>
      <c r="BI145" s="228">
        <v>146</v>
      </c>
      <c r="BJ145" s="228">
        <v>240</v>
      </c>
      <c r="BK145" s="228">
        <v>-94</v>
      </c>
      <c r="BL145" s="229">
        <v>-0.39079999999999998</v>
      </c>
      <c r="BM145" s="228">
        <v>96</v>
      </c>
      <c r="BN145" s="228">
        <v>369</v>
      </c>
      <c r="BO145" s="228">
        <v>-273</v>
      </c>
      <c r="BP145" s="229">
        <v>-0.7399</v>
      </c>
      <c r="BQ145" s="228">
        <v>414</v>
      </c>
      <c r="BR145" s="228">
        <v>795</v>
      </c>
      <c r="BS145" s="228">
        <v>-381</v>
      </c>
      <c r="BT145" s="229">
        <v>-0.47970000000000002</v>
      </c>
      <c r="BU145" s="230">
        <v>1252854</v>
      </c>
      <c r="BV145" s="230">
        <v>821753</v>
      </c>
      <c r="BW145" s="230">
        <v>431101</v>
      </c>
      <c r="BX145" s="229">
        <v>0.52459999999999996</v>
      </c>
      <c r="BY145" s="228">
        <v>939</v>
      </c>
      <c r="BZ145" s="228">
        <v>922</v>
      </c>
      <c r="CA145" s="228">
        <v>17</v>
      </c>
      <c r="CB145" s="229">
        <v>1.8200000000000001E-2</v>
      </c>
      <c r="CC145" s="228">
        <v>920</v>
      </c>
      <c r="CD145" s="228">
        <v>909</v>
      </c>
      <c r="CE145" s="228">
        <v>12</v>
      </c>
      <c r="CF145" s="229">
        <v>1.3100000000000001E-2</v>
      </c>
      <c r="CG145" s="228">
        <v>17</v>
      </c>
      <c r="CH145" s="228">
        <v>12</v>
      </c>
      <c r="CI145" s="228">
        <v>5</v>
      </c>
      <c r="CJ145" s="229">
        <v>0.42859999999999998</v>
      </c>
      <c r="CK145" s="228">
        <v>2</v>
      </c>
      <c r="CL145" s="228">
        <v>2</v>
      </c>
      <c r="CM145" s="228">
        <v>0</v>
      </c>
      <c r="CN145" s="229">
        <v>-2.1700000000000001E-2</v>
      </c>
      <c r="CO145" s="228">
        <v>153</v>
      </c>
      <c r="CP145" s="228">
        <v>150</v>
      </c>
      <c r="CQ145" s="228">
        <v>3</v>
      </c>
      <c r="CR145" s="229">
        <v>1.89E-2</v>
      </c>
      <c r="CS145" s="228">
        <v>162</v>
      </c>
      <c r="CT145" s="228">
        <v>160</v>
      </c>
      <c r="CU145" s="228">
        <v>2</v>
      </c>
      <c r="CV145" s="229">
        <v>1.4200000000000001E-2</v>
      </c>
      <c r="CW145" s="230">
        <v>1254</v>
      </c>
      <c r="CX145" s="230">
        <v>1232</v>
      </c>
      <c r="CY145" s="228">
        <v>22</v>
      </c>
      <c r="CZ145" s="229">
        <v>1.78E-2</v>
      </c>
      <c r="DA145" s="228">
        <v>29.35</v>
      </c>
      <c r="DB145" s="228">
        <v>33.36</v>
      </c>
      <c r="DC145" s="228">
        <v>-4.01</v>
      </c>
      <c r="DD145" s="228">
        <v>-4.01</v>
      </c>
      <c r="DE145" s="228">
        <v>36.520000000000003</v>
      </c>
      <c r="DF145" s="228">
        <v>36.44</v>
      </c>
      <c r="DG145" s="228">
        <v>-7.17</v>
      </c>
      <c r="DH145" s="228">
        <v>0.08</v>
      </c>
      <c r="DI145" s="228">
        <v>28.9</v>
      </c>
      <c r="DJ145" s="228">
        <v>32.130000000000003</v>
      </c>
      <c r="DK145" s="228">
        <v>-3.23</v>
      </c>
      <c r="DL145" s="228">
        <v>-3.23</v>
      </c>
      <c r="DM145" s="228">
        <v>30.04</v>
      </c>
      <c r="DN145" s="228">
        <v>34.15</v>
      </c>
      <c r="DO145" s="228">
        <v>-4.1100000000000003</v>
      </c>
      <c r="DP145" s="228">
        <v>-4.1100000000000003</v>
      </c>
      <c r="DQ145" s="228">
        <v>1.06</v>
      </c>
      <c r="DR145" s="228">
        <v>1.06</v>
      </c>
      <c r="DS145" s="228">
        <v>0</v>
      </c>
      <c r="DT145" s="229">
        <v>0</v>
      </c>
      <c r="DU145" s="231">
        <v>1600</v>
      </c>
      <c r="DV145" s="231">
        <v>1400</v>
      </c>
      <c r="DW145" s="228">
        <v>0.66</v>
      </c>
      <c r="DX145" s="228">
        <v>1.54</v>
      </c>
      <c r="DY145" s="228">
        <v>-0.88</v>
      </c>
      <c r="DZ145" s="229">
        <v>-0.57140000000000002</v>
      </c>
      <c r="EA145" s="229">
        <v>2.01E-2</v>
      </c>
      <c r="EB145" s="230">
        <v>94500</v>
      </c>
      <c r="EC145" s="229">
        <v>-1.03E-2</v>
      </c>
      <c r="ED145" s="229">
        <v>2.01E-2</v>
      </c>
      <c r="EE145" s="228">
        <v>-15.38</v>
      </c>
      <c r="EF145" s="229">
        <v>-1.0500000000000001E-2</v>
      </c>
      <c r="EG145" s="230">
        <v>756407</v>
      </c>
      <c r="EH145" s="230">
        <v>392073</v>
      </c>
      <c r="EI145" s="229">
        <v>0.92930000000000001</v>
      </c>
      <c r="EJ145" s="229">
        <v>0.60370000000000001</v>
      </c>
      <c r="EK145" s="228">
        <v>154.22</v>
      </c>
      <c r="EL145" s="228">
        <v>93.54</v>
      </c>
      <c r="EM145" s="228">
        <v>169.56</v>
      </c>
      <c r="EN145" s="228">
        <v>33.78</v>
      </c>
      <c r="EO145" s="228">
        <v>417.32</v>
      </c>
      <c r="EP145" s="228">
        <v>791.21</v>
      </c>
      <c r="EQ145" s="228">
        <v>-373.9</v>
      </c>
      <c r="ER145" s="229">
        <v>-0.47260000000000002</v>
      </c>
      <c r="ES145" s="228">
        <v>160.58000000000001</v>
      </c>
      <c r="ET145" s="228">
        <v>157.63</v>
      </c>
      <c r="EU145" s="228">
        <v>939.07</v>
      </c>
      <c r="EV145" s="231">
        <v>17614093</v>
      </c>
      <c r="EW145" s="231">
        <v>1257.28</v>
      </c>
      <c r="EX145" s="231">
        <v>1211.3</v>
      </c>
      <c r="EY145" s="228">
        <v>45.98</v>
      </c>
      <c r="EZ145" s="229">
        <v>3.7999999999999999E-2</v>
      </c>
      <c r="FA145" s="229">
        <v>0.48270000000000002</v>
      </c>
      <c r="FB145" s="227" t="s">
        <v>555</v>
      </c>
      <c r="FC145">
        <f t="shared" si="2"/>
        <v>19</v>
      </c>
    </row>
    <row r="146" spans="1:159" ht="17.25" thickBot="1" x14ac:dyDescent="0.3">
      <c r="A146" s="226">
        <v>46086</v>
      </c>
      <c r="B146" s="227" t="s">
        <v>221</v>
      </c>
      <c r="C146" s="227" t="s">
        <v>518</v>
      </c>
      <c r="D146" s="228">
        <v>75</v>
      </c>
      <c r="E146" s="228">
        <v>25</v>
      </c>
      <c r="F146" s="231">
        <v>6789</v>
      </c>
      <c r="G146" s="231">
        <v>6825.5</v>
      </c>
      <c r="H146" s="228">
        <v>-36.5</v>
      </c>
      <c r="I146" s="229">
        <v>-5.3E-3</v>
      </c>
      <c r="J146" s="231">
        <v>6789.5</v>
      </c>
      <c r="K146" s="231">
        <v>6832</v>
      </c>
      <c r="L146" s="228">
        <v>-42.5</v>
      </c>
      <c r="M146" s="229">
        <v>-6.1999999999999998E-3</v>
      </c>
      <c r="N146" s="231">
        <v>6789</v>
      </c>
      <c r="O146" s="231">
        <v>6825.5</v>
      </c>
      <c r="P146" s="228">
        <v>-36.5</v>
      </c>
      <c r="Q146" s="229">
        <v>-5.3E-3</v>
      </c>
      <c r="R146" s="231">
        <v>6775.5</v>
      </c>
      <c r="S146" s="231">
        <v>6822</v>
      </c>
      <c r="T146" s="228">
        <v>-46.5</v>
      </c>
      <c r="U146" s="229">
        <v>-6.7999999999999996E-3</v>
      </c>
      <c r="V146" s="231">
        <v>6747</v>
      </c>
      <c r="W146" s="231">
        <v>6844</v>
      </c>
      <c r="X146" s="228">
        <v>-97</v>
      </c>
      <c r="Y146" s="229">
        <v>-1.4200000000000001E-2</v>
      </c>
      <c r="Z146" s="228">
        <v>-0.5</v>
      </c>
      <c r="AA146" s="228">
        <v>-6.5</v>
      </c>
      <c r="AB146" s="228">
        <v>6</v>
      </c>
      <c r="AC146" s="229">
        <v>-1E-4</v>
      </c>
      <c r="AD146" s="228">
        <v>-0.5</v>
      </c>
      <c r="AE146" s="228">
        <v>-6.5</v>
      </c>
      <c r="AF146" s="228">
        <v>6</v>
      </c>
      <c r="AG146" s="229">
        <v>-1E-4</v>
      </c>
      <c r="AH146" s="228">
        <v>-14</v>
      </c>
      <c r="AI146" s="228">
        <v>-10</v>
      </c>
      <c r="AJ146" s="228">
        <v>-4</v>
      </c>
      <c r="AK146" s="229">
        <v>-2.0999999999999999E-3</v>
      </c>
      <c r="AL146" s="228">
        <v>-42.5</v>
      </c>
      <c r="AM146" s="228">
        <v>12</v>
      </c>
      <c r="AN146" s="228">
        <v>-54.5</v>
      </c>
      <c r="AO146" s="229">
        <v>-6.3E-3</v>
      </c>
      <c r="AP146" s="231">
        <v>6794.47</v>
      </c>
      <c r="AQ146" s="231">
        <v>6767.24</v>
      </c>
      <c r="AR146" s="228">
        <v>0</v>
      </c>
      <c r="AS146" s="228">
        <v>120</v>
      </c>
      <c r="AT146" s="228">
        <v>158</v>
      </c>
      <c r="AU146" s="228">
        <v>-38</v>
      </c>
      <c r="AV146" s="229">
        <v>-0.24160000000000001</v>
      </c>
      <c r="AW146" s="228">
        <v>112</v>
      </c>
      <c r="AX146" s="228">
        <v>152</v>
      </c>
      <c r="AY146" s="228">
        <v>-40</v>
      </c>
      <c r="AZ146" s="229">
        <v>-0.26279999999999998</v>
      </c>
      <c r="BA146" s="228">
        <v>7</v>
      </c>
      <c r="BB146" s="228">
        <v>6</v>
      </c>
      <c r="BC146" s="228">
        <v>1</v>
      </c>
      <c r="BD146" s="229">
        <v>0.2281</v>
      </c>
      <c r="BE146" s="228">
        <v>1</v>
      </c>
      <c r="BF146" s="228">
        <v>1</v>
      </c>
      <c r="BG146" s="228">
        <v>0</v>
      </c>
      <c r="BH146" s="229">
        <v>0.26319999999999999</v>
      </c>
      <c r="BI146" s="228">
        <v>762</v>
      </c>
      <c r="BJ146" s="228">
        <v>296</v>
      </c>
      <c r="BK146" s="228">
        <v>466</v>
      </c>
      <c r="BL146" s="229">
        <v>1.5711999999999999</v>
      </c>
      <c r="BM146" s="228">
        <v>427</v>
      </c>
      <c r="BN146" s="228">
        <v>300</v>
      </c>
      <c r="BO146" s="228">
        <v>126</v>
      </c>
      <c r="BP146" s="229">
        <v>0.41980000000000001</v>
      </c>
      <c r="BQ146" s="230">
        <v>1309</v>
      </c>
      <c r="BR146" s="228">
        <v>755</v>
      </c>
      <c r="BS146" s="228">
        <v>554</v>
      </c>
      <c r="BT146" s="229">
        <v>0.73280000000000001</v>
      </c>
      <c r="BU146" s="230">
        <v>104102</v>
      </c>
      <c r="BV146" s="230">
        <v>130271</v>
      </c>
      <c r="BW146" s="230">
        <v>-26169</v>
      </c>
      <c r="BX146" s="229">
        <v>-0.2009</v>
      </c>
      <c r="BY146" s="230">
        <v>1016</v>
      </c>
      <c r="BZ146" s="230">
        <v>1007</v>
      </c>
      <c r="CA146" s="228">
        <v>9</v>
      </c>
      <c r="CB146" s="229">
        <v>9.1999999999999998E-3</v>
      </c>
      <c r="CC146" s="228">
        <v>984</v>
      </c>
      <c r="CD146" s="228">
        <v>976</v>
      </c>
      <c r="CE146" s="228">
        <v>8</v>
      </c>
      <c r="CF146" s="229">
        <v>8.0000000000000002E-3</v>
      </c>
      <c r="CG146" s="228">
        <v>30</v>
      </c>
      <c r="CH146" s="228">
        <v>29</v>
      </c>
      <c r="CI146" s="228">
        <v>1</v>
      </c>
      <c r="CJ146" s="229">
        <v>3.4700000000000002E-2</v>
      </c>
      <c r="CK146" s="228">
        <v>2</v>
      </c>
      <c r="CL146" s="228">
        <v>2</v>
      </c>
      <c r="CM146" s="228">
        <v>0</v>
      </c>
      <c r="CN146" s="229">
        <v>0.22500000000000001</v>
      </c>
      <c r="CO146" s="228">
        <v>281</v>
      </c>
      <c r="CP146" s="228">
        <v>266</v>
      </c>
      <c r="CQ146" s="228">
        <v>16</v>
      </c>
      <c r="CR146" s="229">
        <v>5.9200000000000003E-2</v>
      </c>
      <c r="CS146" s="228">
        <v>201</v>
      </c>
      <c r="CT146" s="228">
        <v>203</v>
      </c>
      <c r="CU146" s="228">
        <v>-3</v>
      </c>
      <c r="CV146" s="229">
        <v>-1.3299999999999999E-2</v>
      </c>
      <c r="CW146" s="230">
        <v>1498</v>
      </c>
      <c r="CX146" s="230">
        <v>1476</v>
      </c>
      <c r="CY146" s="228">
        <v>22</v>
      </c>
      <c r="CZ146" s="229">
        <v>1.5100000000000001E-2</v>
      </c>
      <c r="DA146" s="228">
        <v>44.69</v>
      </c>
      <c r="DB146" s="228">
        <v>37.619999999999997</v>
      </c>
      <c r="DC146" s="228">
        <v>7.07</v>
      </c>
      <c r="DD146" s="228">
        <v>7.07</v>
      </c>
      <c r="DE146" s="228">
        <v>39.01</v>
      </c>
      <c r="DF146" s="228">
        <v>39.1</v>
      </c>
      <c r="DG146" s="228">
        <v>5.68</v>
      </c>
      <c r="DH146" s="228">
        <v>-0.09</v>
      </c>
      <c r="DI146" s="228">
        <v>44.98</v>
      </c>
      <c r="DJ146" s="228">
        <v>35.69</v>
      </c>
      <c r="DK146" s="228">
        <v>9.2899999999999991</v>
      </c>
      <c r="DL146" s="228">
        <v>9.2899999999999991</v>
      </c>
      <c r="DM146" s="228">
        <v>44.17</v>
      </c>
      <c r="DN146" s="228">
        <v>39.520000000000003</v>
      </c>
      <c r="DO146" s="228">
        <v>4.6500000000000004</v>
      </c>
      <c r="DP146" s="228">
        <v>4.6500000000000004</v>
      </c>
      <c r="DQ146" s="228">
        <v>0.71</v>
      </c>
      <c r="DR146" s="228">
        <v>0.77</v>
      </c>
      <c r="DS146" s="228">
        <v>-0.06</v>
      </c>
      <c r="DT146" s="229">
        <v>-7.7899999999999997E-2</v>
      </c>
      <c r="DU146" s="231">
        <v>7000</v>
      </c>
      <c r="DV146" s="231">
        <v>6500</v>
      </c>
      <c r="DW146" s="228">
        <v>0.56000000000000005</v>
      </c>
      <c r="DX146" s="228">
        <v>1.01</v>
      </c>
      <c r="DY146" s="228">
        <v>-0.45</v>
      </c>
      <c r="DZ146" s="229">
        <v>-0.44550000000000001</v>
      </c>
      <c r="EA146" s="229">
        <v>3.2300000000000002E-2</v>
      </c>
      <c r="EB146" s="230">
        <v>46200</v>
      </c>
      <c r="EC146" s="229">
        <v>-2E-3</v>
      </c>
      <c r="ED146" s="229">
        <v>3.2300000000000002E-2</v>
      </c>
      <c r="EE146" s="228">
        <v>-27.23</v>
      </c>
      <c r="EF146" s="229">
        <v>-4.0000000000000001E-3</v>
      </c>
      <c r="EG146" s="230">
        <v>43815</v>
      </c>
      <c r="EH146" s="230">
        <v>45651</v>
      </c>
      <c r="EI146" s="229">
        <v>-4.02E-2</v>
      </c>
      <c r="EJ146" s="229">
        <v>0.4209</v>
      </c>
      <c r="EK146" s="228">
        <v>959.39</v>
      </c>
      <c r="EL146" s="228">
        <v>364.71</v>
      </c>
      <c r="EM146" s="228">
        <v>120.23</v>
      </c>
      <c r="EN146" s="228">
        <v>36.520000000000003</v>
      </c>
      <c r="EO146" s="231">
        <v>1444.33</v>
      </c>
      <c r="EP146" s="228">
        <v>769.87</v>
      </c>
      <c r="EQ146" s="228">
        <v>674.46</v>
      </c>
      <c r="ER146" s="229">
        <v>0.87609999999999999</v>
      </c>
      <c r="ES146" s="228">
        <v>298.45</v>
      </c>
      <c r="ET146" s="228">
        <v>194.44</v>
      </c>
      <c r="EU146" s="231">
        <v>1016.34</v>
      </c>
      <c r="EV146" s="231">
        <v>3582756</v>
      </c>
      <c r="EW146" s="231">
        <v>1509.23</v>
      </c>
      <c r="EX146" s="231">
        <v>1491.62</v>
      </c>
      <c r="EY146" s="228">
        <v>17.61</v>
      </c>
      <c r="EZ146" s="229">
        <v>1.18E-2</v>
      </c>
      <c r="FA146" s="229">
        <v>0.61599999999999999</v>
      </c>
      <c r="FB146" s="227" t="s">
        <v>567</v>
      </c>
      <c r="FC146">
        <f t="shared" si="2"/>
        <v>32</v>
      </c>
    </row>
    <row r="147" spans="1:159" ht="17.25" thickBot="1" x14ac:dyDescent="0.3">
      <c r="A147" s="226">
        <v>46086</v>
      </c>
      <c r="B147" s="227" t="s">
        <v>193</v>
      </c>
      <c r="C147" s="227" t="s">
        <v>587</v>
      </c>
      <c r="D147" s="228">
        <v>1400</v>
      </c>
      <c r="E147" s="228">
        <v>25</v>
      </c>
      <c r="F147" s="228">
        <v>481.25</v>
      </c>
      <c r="G147" s="228">
        <v>490.2</v>
      </c>
      <c r="H147" s="228">
        <v>-8.9499999999999993</v>
      </c>
      <c r="I147" s="229">
        <v>-1.83E-2</v>
      </c>
      <c r="J147" s="228">
        <v>479.1</v>
      </c>
      <c r="K147" s="228">
        <v>492.1</v>
      </c>
      <c r="L147" s="228">
        <v>-13</v>
      </c>
      <c r="M147" s="229">
        <v>-2.64E-2</v>
      </c>
      <c r="N147" s="228">
        <v>481.25</v>
      </c>
      <c r="O147" s="228">
        <v>490.2</v>
      </c>
      <c r="P147" s="228">
        <v>-8.9499999999999993</v>
      </c>
      <c r="Q147" s="229">
        <v>-1.83E-2</v>
      </c>
      <c r="R147" s="228">
        <v>481.25</v>
      </c>
      <c r="S147" s="228">
        <v>490.3</v>
      </c>
      <c r="T147" s="228">
        <v>-9.0500000000000007</v>
      </c>
      <c r="U147" s="229">
        <v>-1.8499999999999999E-2</v>
      </c>
      <c r="V147" s="228">
        <v>482.85</v>
      </c>
      <c r="W147" s="228">
        <v>492.15</v>
      </c>
      <c r="X147" s="228">
        <v>-9.3000000000000007</v>
      </c>
      <c r="Y147" s="229">
        <v>-1.89E-2</v>
      </c>
      <c r="Z147" s="228">
        <v>2.15</v>
      </c>
      <c r="AA147" s="228">
        <v>-1.9</v>
      </c>
      <c r="AB147" s="228">
        <v>4.05</v>
      </c>
      <c r="AC147" s="229">
        <v>4.4999999999999997E-3</v>
      </c>
      <c r="AD147" s="228">
        <v>2.15</v>
      </c>
      <c r="AE147" s="228">
        <v>-1.9</v>
      </c>
      <c r="AF147" s="228">
        <v>4.05</v>
      </c>
      <c r="AG147" s="229">
        <v>4.4999999999999997E-3</v>
      </c>
      <c r="AH147" s="228">
        <v>2.15</v>
      </c>
      <c r="AI147" s="228">
        <v>-1.8</v>
      </c>
      <c r="AJ147" s="228">
        <v>3.95</v>
      </c>
      <c r="AK147" s="229">
        <v>4.4999999999999997E-3</v>
      </c>
      <c r="AL147" s="228">
        <v>3.75</v>
      </c>
      <c r="AM147" s="228">
        <v>0.05</v>
      </c>
      <c r="AN147" s="228">
        <v>3.7</v>
      </c>
      <c r="AO147" s="229">
        <v>7.7999999999999996E-3</v>
      </c>
      <c r="AP147" s="228">
        <v>490.06</v>
      </c>
      <c r="AQ147" s="228">
        <v>493.5</v>
      </c>
      <c r="AR147" s="228">
        <v>0</v>
      </c>
      <c r="AS147" s="228">
        <v>485</v>
      </c>
      <c r="AT147" s="228">
        <v>805</v>
      </c>
      <c r="AU147" s="228">
        <v>-320</v>
      </c>
      <c r="AV147" s="229">
        <v>-0.3972</v>
      </c>
      <c r="AW147" s="228">
        <v>449</v>
      </c>
      <c r="AX147" s="228">
        <v>721</v>
      </c>
      <c r="AY147" s="228">
        <v>-272</v>
      </c>
      <c r="AZ147" s="229">
        <v>-0.37730000000000002</v>
      </c>
      <c r="BA147" s="228">
        <v>34</v>
      </c>
      <c r="BB147" s="228">
        <v>75</v>
      </c>
      <c r="BC147" s="228">
        <v>-41</v>
      </c>
      <c r="BD147" s="229">
        <v>-0.54749999999999999</v>
      </c>
      <c r="BE147" s="228">
        <v>2</v>
      </c>
      <c r="BF147" s="228">
        <v>9</v>
      </c>
      <c r="BG147" s="228">
        <v>-6</v>
      </c>
      <c r="BH147" s="229">
        <v>-0.75</v>
      </c>
      <c r="BI147" s="230">
        <v>1383</v>
      </c>
      <c r="BJ147" s="230">
        <v>3584</v>
      </c>
      <c r="BK147" s="230">
        <v>-2200</v>
      </c>
      <c r="BL147" s="229">
        <v>-0.61399999999999999</v>
      </c>
      <c r="BM147" s="228">
        <v>432</v>
      </c>
      <c r="BN147" s="228">
        <v>810</v>
      </c>
      <c r="BO147" s="228">
        <v>-377</v>
      </c>
      <c r="BP147" s="229">
        <v>-0.4662</v>
      </c>
      <c r="BQ147" s="230">
        <v>2301</v>
      </c>
      <c r="BR147" s="230">
        <v>5199</v>
      </c>
      <c r="BS147" s="230">
        <v>-2898</v>
      </c>
      <c r="BT147" s="229">
        <v>-0.55740000000000001</v>
      </c>
      <c r="BU147" s="230">
        <v>9614398</v>
      </c>
      <c r="BV147" s="230">
        <v>21682907</v>
      </c>
      <c r="BW147" s="230">
        <v>-12068509</v>
      </c>
      <c r="BX147" s="229">
        <v>-0.55659999999999998</v>
      </c>
      <c r="BY147" s="228">
        <v>932</v>
      </c>
      <c r="BZ147" s="228">
        <v>972</v>
      </c>
      <c r="CA147" s="228">
        <v>-39</v>
      </c>
      <c r="CB147" s="229">
        <v>-4.0599999999999997E-2</v>
      </c>
      <c r="CC147" s="228">
        <v>886</v>
      </c>
      <c r="CD147" s="228">
        <v>929</v>
      </c>
      <c r="CE147" s="228">
        <v>-43</v>
      </c>
      <c r="CF147" s="229">
        <v>-4.58E-2</v>
      </c>
      <c r="CG147" s="228">
        <v>42</v>
      </c>
      <c r="CH147" s="228">
        <v>39</v>
      </c>
      <c r="CI147" s="228">
        <v>4</v>
      </c>
      <c r="CJ147" s="229">
        <v>9.7699999999999995E-2</v>
      </c>
      <c r="CK147" s="228">
        <v>4</v>
      </c>
      <c r="CL147" s="228">
        <v>4</v>
      </c>
      <c r="CM147" s="228">
        <v>-1</v>
      </c>
      <c r="CN147" s="229">
        <v>-0.13850000000000001</v>
      </c>
      <c r="CO147" s="228">
        <v>704</v>
      </c>
      <c r="CP147" s="228">
        <v>721</v>
      </c>
      <c r="CQ147" s="228">
        <v>-17</v>
      </c>
      <c r="CR147" s="229">
        <v>-2.3300000000000001E-2</v>
      </c>
      <c r="CS147" s="228">
        <v>372</v>
      </c>
      <c r="CT147" s="228">
        <v>392</v>
      </c>
      <c r="CU147" s="228">
        <v>-20</v>
      </c>
      <c r="CV147" s="229">
        <v>-5.0500000000000003E-2</v>
      </c>
      <c r="CW147" s="230">
        <v>2009</v>
      </c>
      <c r="CX147" s="230">
        <v>2085</v>
      </c>
      <c r="CY147" s="228">
        <v>-76</v>
      </c>
      <c r="CZ147" s="229">
        <v>-3.6499999999999998E-2</v>
      </c>
      <c r="DA147" s="228">
        <v>39.68</v>
      </c>
      <c r="DB147" s="228">
        <v>45.67</v>
      </c>
      <c r="DC147" s="228">
        <v>-5.99</v>
      </c>
      <c r="DD147" s="228">
        <v>-5.99</v>
      </c>
      <c r="DE147" s="228">
        <v>42.35</v>
      </c>
      <c r="DF147" s="228">
        <v>42.39</v>
      </c>
      <c r="DG147" s="228">
        <v>-2.67</v>
      </c>
      <c r="DH147" s="228">
        <v>-0.04</v>
      </c>
      <c r="DI147" s="228">
        <v>39.47</v>
      </c>
      <c r="DJ147" s="228">
        <v>45.83</v>
      </c>
      <c r="DK147" s="228">
        <v>-6.36</v>
      </c>
      <c r="DL147" s="228">
        <v>-6.36</v>
      </c>
      <c r="DM147" s="228">
        <v>40.380000000000003</v>
      </c>
      <c r="DN147" s="228">
        <v>44.94</v>
      </c>
      <c r="DO147" s="228">
        <v>-4.5599999999999996</v>
      </c>
      <c r="DP147" s="228">
        <v>-4.5599999999999996</v>
      </c>
      <c r="DQ147" s="228">
        <v>0.53</v>
      </c>
      <c r="DR147" s="228">
        <v>0.54</v>
      </c>
      <c r="DS147" s="228">
        <v>-0.01</v>
      </c>
      <c r="DT147" s="229">
        <v>-1.8499999999999999E-2</v>
      </c>
      <c r="DU147" s="228">
        <v>500</v>
      </c>
      <c r="DV147" s="228">
        <v>450</v>
      </c>
      <c r="DW147" s="228">
        <v>0.31</v>
      </c>
      <c r="DX147" s="228">
        <v>0.23</v>
      </c>
      <c r="DY147" s="228">
        <v>0.08</v>
      </c>
      <c r="DZ147" s="229">
        <v>0.3478</v>
      </c>
      <c r="EA147" s="229">
        <v>4.9500000000000002E-2</v>
      </c>
      <c r="EB147" s="230">
        <v>893200</v>
      </c>
      <c r="EC147" s="229">
        <v>0</v>
      </c>
      <c r="ED147" s="229">
        <v>4.9500000000000002E-2</v>
      </c>
      <c r="EE147" s="228">
        <v>3.44</v>
      </c>
      <c r="EF147" s="229">
        <v>7.0000000000000001E-3</v>
      </c>
      <c r="EG147" s="230">
        <v>3586426</v>
      </c>
      <c r="EH147" s="230">
        <v>7340502</v>
      </c>
      <c r="EI147" s="229">
        <v>-0.51139999999999997</v>
      </c>
      <c r="EJ147" s="229">
        <v>0.373</v>
      </c>
      <c r="EK147" s="231">
        <v>1522.25</v>
      </c>
      <c r="EL147" s="228">
        <v>435.59</v>
      </c>
      <c r="EM147" s="228">
        <v>494.58</v>
      </c>
      <c r="EN147" s="228">
        <v>84.74</v>
      </c>
      <c r="EO147" s="231">
        <v>2452.42</v>
      </c>
      <c r="EP147" s="231">
        <v>5623.78</v>
      </c>
      <c r="EQ147" s="231">
        <v>-3171.37</v>
      </c>
      <c r="ER147" s="229">
        <v>-0.56389999999999996</v>
      </c>
      <c r="ES147" s="228">
        <v>753.12</v>
      </c>
      <c r="ET147" s="228">
        <v>360.82</v>
      </c>
      <c r="EU147" s="228">
        <v>932.35</v>
      </c>
      <c r="EV147" s="231">
        <v>102006452</v>
      </c>
      <c r="EW147" s="231">
        <v>2046.29</v>
      </c>
      <c r="EX147" s="231">
        <v>2141.71</v>
      </c>
      <c r="EY147" s="228">
        <v>-95.42</v>
      </c>
      <c r="EZ147" s="229">
        <v>-4.4600000000000001E-2</v>
      </c>
      <c r="FA147" s="229">
        <v>0.40920000000000001</v>
      </c>
      <c r="FB147" s="227" t="s">
        <v>568</v>
      </c>
      <c r="FC147">
        <f t="shared" si="2"/>
        <v>46</v>
      </c>
    </row>
    <row r="148" spans="1:159" ht="17.25" thickBot="1" x14ac:dyDescent="0.3">
      <c r="A148" s="226">
        <v>46086</v>
      </c>
      <c r="B148" s="227" t="s">
        <v>193</v>
      </c>
      <c r="C148" s="227" t="s">
        <v>269</v>
      </c>
      <c r="D148" s="228">
        <v>2250</v>
      </c>
      <c r="E148" s="228">
        <v>25</v>
      </c>
      <c r="F148" s="228">
        <v>277.3</v>
      </c>
      <c r="G148" s="228">
        <v>277.5</v>
      </c>
      <c r="H148" s="228">
        <v>-0.2</v>
      </c>
      <c r="I148" s="229">
        <v>-6.9999999999999999E-4</v>
      </c>
      <c r="J148" s="228">
        <v>276.35000000000002</v>
      </c>
      <c r="K148" s="228">
        <v>276.95</v>
      </c>
      <c r="L148" s="228">
        <v>-0.6</v>
      </c>
      <c r="M148" s="229">
        <v>-2.2000000000000001E-3</v>
      </c>
      <c r="N148" s="228">
        <v>277.3</v>
      </c>
      <c r="O148" s="228">
        <v>277.5</v>
      </c>
      <c r="P148" s="228">
        <v>-0.2</v>
      </c>
      <c r="Q148" s="229">
        <v>-6.9999999999999999E-4</v>
      </c>
      <c r="R148" s="228">
        <v>279.35000000000002</v>
      </c>
      <c r="S148" s="228">
        <v>279.3</v>
      </c>
      <c r="T148" s="228">
        <v>0.05</v>
      </c>
      <c r="U148" s="229">
        <v>2.0000000000000001E-4</v>
      </c>
      <c r="V148" s="228">
        <v>280.95</v>
      </c>
      <c r="W148" s="228">
        <v>280.55</v>
      </c>
      <c r="X148" s="228">
        <v>0.4</v>
      </c>
      <c r="Y148" s="229">
        <v>1.4E-3</v>
      </c>
      <c r="Z148" s="228">
        <v>0.95</v>
      </c>
      <c r="AA148" s="228">
        <v>0.55000000000000004</v>
      </c>
      <c r="AB148" s="228">
        <v>0.4</v>
      </c>
      <c r="AC148" s="229">
        <v>3.3999999999999998E-3</v>
      </c>
      <c r="AD148" s="228">
        <v>0.95</v>
      </c>
      <c r="AE148" s="228">
        <v>0.55000000000000004</v>
      </c>
      <c r="AF148" s="228">
        <v>0.4</v>
      </c>
      <c r="AG148" s="229">
        <v>3.3999999999999998E-3</v>
      </c>
      <c r="AH148" s="228">
        <v>3</v>
      </c>
      <c r="AI148" s="228">
        <v>2.35</v>
      </c>
      <c r="AJ148" s="228">
        <v>0.65</v>
      </c>
      <c r="AK148" s="229">
        <v>1.09E-2</v>
      </c>
      <c r="AL148" s="228">
        <v>4.5999999999999996</v>
      </c>
      <c r="AM148" s="228">
        <v>3.6</v>
      </c>
      <c r="AN148" s="228">
        <v>1</v>
      </c>
      <c r="AO148" s="229">
        <v>1.66E-2</v>
      </c>
      <c r="AP148" s="228">
        <v>281.75</v>
      </c>
      <c r="AQ148" s="228">
        <v>283.74</v>
      </c>
      <c r="AR148" s="228">
        <v>0</v>
      </c>
      <c r="AS148" s="230">
        <v>1207</v>
      </c>
      <c r="AT148" s="230">
        <v>1312</v>
      </c>
      <c r="AU148" s="228">
        <v>-106</v>
      </c>
      <c r="AV148" s="229">
        <v>-8.0399999999999999E-2</v>
      </c>
      <c r="AW148" s="230">
        <v>1131</v>
      </c>
      <c r="AX148" s="230">
        <v>1259</v>
      </c>
      <c r="AY148" s="228">
        <v>-128</v>
      </c>
      <c r="AZ148" s="229">
        <v>-0.10150000000000001</v>
      </c>
      <c r="BA148" s="228">
        <v>66</v>
      </c>
      <c r="BB148" s="228">
        <v>46</v>
      </c>
      <c r="BC148" s="228">
        <v>20</v>
      </c>
      <c r="BD148" s="229">
        <v>0.4395</v>
      </c>
      <c r="BE148" s="228">
        <v>10</v>
      </c>
      <c r="BF148" s="228">
        <v>8</v>
      </c>
      <c r="BG148" s="228">
        <v>2</v>
      </c>
      <c r="BH148" s="229">
        <v>0.2787</v>
      </c>
      <c r="BI148" s="230">
        <v>3407</v>
      </c>
      <c r="BJ148" s="230">
        <v>3925</v>
      </c>
      <c r="BK148" s="228">
        <v>-517</v>
      </c>
      <c r="BL148" s="229">
        <v>-0.1318</v>
      </c>
      <c r="BM148" s="230">
        <v>1508</v>
      </c>
      <c r="BN148" s="230">
        <v>1633</v>
      </c>
      <c r="BO148" s="228">
        <v>-125</v>
      </c>
      <c r="BP148" s="229">
        <v>-7.6700000000000004E-2</v>
      </c>
      <c r="BQ148" s="230">
        <v>6122</v>
      </c>
      <c r="BR148" s="230">
        <v>6870</v>
      </c>
      <c r="BS148" s="228">
        <v>-748</v>
      </c>
      <c r="BT148" s="229">
        <v>-0.1089</v>
      </c>
      <c r="BU148" s="230">
        <v>45551487</v>
      </c>
      <c r="BV148" s="230">
        <v>58044288</v>
      </c>
      <c r="BW148" s="230">
        <v>-12492801</v>
      </c>
      <c r="BX148" s="229">
        <v>-0.2152</v>
      </c>
      <c r="BY148" s="230">
        <v>3244</v>
      </c>
      <c r="BZ148" s="230">
        <v>3408</v>
      </c>
      <c r="CA148" s="228">
        <v>-164</v>
      </c>
      <c r="CB148" s="229">
        <v>-4.8099999999999997E-2</v>
      </c>
      <c r="CC148" s="230">
        <v>3178</v>
      </c>
      <c r="CD148" s="230">
        <v>3337</v>
      </c>
      <c r="CE148" s="228">
        <v>-159</v>
      </c>
      <c r="CF148" s="229">
        <v>-4.7800000000000002E-2</v>
      </c>
      <c r="CG148" s="228">
        <v>57</v>
      </c>
      <c r="CH148" s="228">
        <v>61</v>
      </c>
      <c r="CI148" s="228">
        <v>-3</v>
      </c>
      <c r="CJ148" s="229">
        <v>-5.3499999999999999E-2</v>
      </c>
      <c r="CK148" s="228">
        <v>9</v>
      </c>
      <c r="CL148" s="228">
        <v>11</v>
      </c>
      <c r="CM148" s="228">
        <v>-1</v>
      </c>
      <c r="CN148" s="229">
        <v>-0.12139999999999999</v>
      </c>
      <c r="CO148" s="230">
        <v>1855</v>
      </c>
      <c r="CP148" s="230">
        <v>1946</v>
      </c>
      <c r="CQ148" s="228">
        <v>-91</v>
      </c>
      <c r="CR148" s="229">
        <v>-4.6699999999999998E-2</v>
      </c>
      <c r="CS148" s="228">
        <v>940</v>
      </c>
      <c r="CT148" s="228">
        <v>917</v>
      </c>
      <c r="CU148" s="228">
        <v>23</v>
      </c>
      <c r="CV148" s="229">
        <v>2.4899999999999999E-2</v>
      </c>
      <c r="CW148" s="230">
        <v>6040</v>
      </c>
      <c r="CX148" s="230">
        <v>6272</v>
      </c>
      <c r="CY148" s="228">
        <v>-232</v>
      </c>
      <c r="CZ148" s="229">
        <v>-3.6999999999999998E-2</v>
      </c>
      <c r="DA148" s="228">
        <v>29.85</v>
      </c>
      <c r="DB148" s="228">
        <v>34.47</v>
      </c>
      <c r="DC148" s="228">
        <v>-4.62</v>
      </c>
      <c r="DD148" s="228">
        <v>-4.62</v>
      </c>
      <c r="DE148" s="228">
        <v>32.24</v>
      </c>
      <c r="DF148" s="228">
        <v>32.32</v>
      </c>
      <c r="DG148" s="228">
        <v>-2.39</v>
      </c>
      <c r="DH148" s="228">
        <v>-0.08</v>
      </c>
      <c r="DI148" s="228">
        <v>29.82</v>
      </c>
      <c r="DJ148" s="228">
        <v>34.409999999999997</v>
      </c>
      <c r="DK148" s="228">
        <v>-4.59</v>
      </c>
      <c r="DL148" s="228">
        <v>-4.59</v>
      </c>
      <c r="DM148" s="228">
        <v>29.93</v>
      </c>
      <c r="DN148" s="228">
        <v>34.630000000000003</v>
      </c>
      <c r="DO148" s="228">
        <v>-4.7</v>
      </c>
      <c r="DP148" s="228">
        <v>-4.7</v>
      </c>
      <c r="DQ148" s="228">
        <v>0.51</v>
      </c>
      <c r="DR148" s="228">
        <v>0.47</v>
      </c>
      <c r="DS148" s="228">
        <v>0.04</v>
      </c>
      <c r="DT148" s="229">
        <v>8.5099999999999995E-2</v>
      </c>
      <c r="DU148" s="228">
        <v>300</v>
      </c>
      <c r="DV148" s="228">
        <v>265</v>
      </c>
      <c r="DW148" s="228">
        <v>0.44</v>
      </c>
      <c r="DX148" s="228">
        <v>0.42</v>
      </c>
      <c r="DY148" s="228">
        <v>0.02</v>
      </c>
      <c r="DZ148" s="229">
        <v>4.7600000000000003E-2</v>
      </c>
      <c r="EA148" s="229">
        <v>2.06E-2</v>
      </c>
      <c r="EB148" s="230">
        <v>2576250</v>
      </c>
      <c r="EC148" s="229">
        <v>7.4000000000000003E-3</v>
      </c>
      <c r="ED148" s="229">
        <v>2.06E-2</v>
      </c>
      <c r="EE148" s="228">
        <v>1.99</v>
      </c>
      <c r="EF148" s="229">
        <v>7.1000000000000004E-3</v>
      </c>
      <c r="EG148" s="230">
        <v>20318928</v>
      </c>
      <c r="EH148" s="230">
        <v>30447559</v>
      </c>
      <c r="EI148" s="229">
        <v>-0.3327</v>
      </c>
      <c r="EJ148" s="229">
        <v>0.4461</v>
      </c>
      <c r="EK148" s="231">
        <v>3631.88</v>
      </c>
      <c r="EL148" s="231">
        <v>1522.29</v>
      </c>
      <c r="EM148" s="231">
        <v>1226.93</v>
      </c>
      <c r="EN148" s="228">
        <v>152.4</v>
      </c>
      <c r="EO148" s="231">
        <v>6381.11</v>
      </c>
      <c r="EP148" s="231">
        <v>7177.57</v>
      </c>
      <c r="EQ148" s="228">
        <v>-796.46</v>
      </c>
      <c r="ER148" s="229">
        <v>-0.111</v>
      </c>
      <c r="ES148" s="231">
        <v>1921.2</v>
      </c>
      <c r="ET148" s="228">
        <v>909.31</v>
      </c>
      <c r="EU148" s="231">
        <v>3244.96</v>
      </c>
      <c r="EV148" s="231">
        <v>517141211</v>
      </c>
      <c r="EW148" s="231">
        <v>6075.47</v>
      </c>
      <c r="EX148" s="231">
        <v>6311.21</v>
      </c>
      <c r="EY148" s="228">
        <v>-235.74</v>
      </c>
      <c r="EZ148" s="229">
        <v>-3.7400000000000003E-2</v>
      </c>
      <c r="FA148" s="229">
        <v>0.42120000000000002</v>
      </c>
      <c r="FB148" s="227" t="s">
        <v>568</v>
      </c>
      <c r="FC148">
        <f>BY214-CC214</f>
        <v>0</v>
      </c>
    </row>
    <row r="149" spans="1:159" ht="17.25" thickBot="1" x14ac:dyDescent="0.3">
      <c r="A149" s="226">
        <v>46086</v>
      </c>
      <c r="B149" s="227" t="s">
        <v>197</v>
      </c>
      <c r="C149" s="227" t="s">
        <v>270</v>
      </c>
      <c r="D149" s="228">
        <v>15</v>
      </c>
      <c r="E149" s="228">
        <v>25</v>
      </c>
      <c r="F149" s="231">
        <v>31680</v>
      </c>
      <c r="G149" s="231">
        <v>31130</v>
      </c>
      <c r="H149" s="228">
        <v>550</v>
      </c>
      <c r="I149" s="229">
        <v>1.77E-2</v>
      </c>
      <c r="J149" s="231">
        <v>31525</v>
      </c>
      <c r="K149" s="231">
        <v>30980</v>
      </c>
      <c r="L149" s="228">
        <v>545</v>
      </c>
      <c r="M149" s="229">
        <v>1.7600000000000001E-2</v>
      </c>
      <c r="N149" s="231">
        <v>31680</v>
      </c>
      <c r="O149" s="231">
        <v>31130</v>
      </c>
      <c r="P149" s="228">
        <v>550</v>
      </c>
      <c r="Q149" s="229">
        <v>1.77E-2</v>
      </c>
      <c r="R149" s="231">
        <v>31565</v>
      </c>
      <c r="S149" s="231">
        <v>31060</v>
      </c>
      <c r="T149" s="228">
        <v>505</v>
      </c>
      <c r="U149" s="229">
        <v>1.6299999999999999E-2</v>
      </c>
      <c r="V149" s="231">
        <v>31790</v>
      </c>
      <c r="W149" s="231">
        <v>31020</v>
      </c>
      <c r="X149" s="228">
        <v>770</v>
      </c>
      <c r="Y149" s="229">
        <v>2.4799999999999999E-2</v>
      </c>
      <c r="Z149" s="228">
        <v>155</v>
      </c>
      <c r="AA149" s="228">
        <v>150</v>
      </c>
      <c r="AB149" s="228">
        <v>5</v>
      </c>
      <c r="AC149" s="229">
        <v>4.8999999999999998E-3</v>
      </c>
      <c r="AD149" s="228">
        <v>155</v>
      </c>
      <c r="AE149" s="228">
        <v>150</v>
      </c>
      <c r="AF149" s="228">
        <v>5</v>
      </c>
      <c r="AG149" s="229">
        <v>4.8999999999999998E-3</v>
      </c>
      <c r="AH149" s="228">
        <v>40</v>
      </c>
      <c r="AI149" s="228">
        <v>80</v>
      </c>
      <c r="AJ149" s="228">
        <v>-40</v>
      </c>
      <c r="AK149" s="229">
        <v>1.2999999999999999E-3</v>
      </c>
      <c r="AL149" s="228">
        <v>265</v>
      </c>
      <c r="AM149" s="228">
        <v>40</v>
      </c>
      <c r="AN149" s="228">
        <v>225</v>
      </c>
      <c r="AO149" s="229">
        <v>8.3999999999999995E-3</v>
      </c>
      <c r="AP149" s="231">
        <v>31573.68</v>
      </c>
      <c r="AQ149" s="231">
        <v>31479.37</v>
      </c>
      <c r="AR149" s="228">
        <v>0</v>
      </c>
      <c r="AS149" s="228">
        <v>161</v>
      </c>
      <c r="AT149" s="228">
        <v>99</v>
      </c>
      <c r="AU149" s="228">
        <v>62</v>
      </c>
      <c r="AV149" s="229">
        <v>0.63360000000000005</v>
      </c>
      <c r="AW149" s="228">
        <v>152</v>
      </c>
      <c r="AX149" s="228">
        <v>94</v>
      </c>
      <c r="AY149" s="228">
        <v>58</v>
      </c>
      <c r="AZ149" s="229">
        <v>0.6149</v>
      </c>
      <c r="BA149" s="228">
        <v>8</v>
      </c>
      <c r="BB149" s="228">
        <v>4</v>
      </c>
      <c r="BC149" s="228">
        <v>4</v>
      </c>
      <c r="BD149" s="229">
        <v>1.2703</v>
      </c>
      <c r="BE149" s="228">
        <v>1</v>
      </c>
      <c r="BF149" s="228">
        <v>1</v>
      </c>
      <c r="BG149" s="228">
        <v>0</v>
      </c>
      <c r="BH149" s="229">
        <v>0</v>
      </c>
      <c r="BI149" s="228">
        <v>217</v>
      </c>
      <c r="BJ149" s="228">
        <v>471</v>
      </c>
      <c r="BK149" s="228">
        <v>-255</v>
      </c>
      <c r="BL149" s="229">
        <v>-0.54079999999999995</v>
      </c>
      <c r="BM149" s="228">
        <v>82</v>
      </c>
      <c r="BN149" s="228">
        <v>79</v>
      </c>
      <c r="BO149" s="228">
        <v>3</v>
      </c>
      <c r="BP149" s="229">
        <v>3.61E-2</v>
      </c>
      <c r="BQ149" s="228">
        <v>459</v>
      </c>
      <c r="BR149" s="228">
        <v>649</v>
      </c>
      <c r="BS149" s="228">
        <v>-190</v>
      </c>
      <c r="BT149" s="229">
        <v>-0.2923</v>
      </c>
      <c r="BU149" s="230">
        <v>32203</v>
      </c>
      <c r="BV149" s="230">
        <v>23430</v>
      </c>
      <c r="BW149" s="230">
        <v>8773</v>
      </c>
      <c r="BX149" s="229">
        <v>0.37440000000000001</v>
      </c>
      <c r="BY149" s="228">
        <v>727</v>
      </c>
      <c r="BZ149" s="228">
        <v>761</v>
      </c>
      <c r="CA149" s="228">
        <v>-34</v>
      </c>
      <c r="CB149" s="229">
        <v>-4.4499999999999998E-2</v>
      </c>
      <c r="CC149" s="228">
        <v>691</v>
      </c>
      <c r="CD149" s="228">
        <v>725</v>
      </c>
      <c r="CE149" s="228">
        <v>-35</v>
      </c>
      <c r="CF149" s="229">
        <v>-4.8099999999999997E-2</v>
      </c>
      <c r="CG149" s="228">
        <v>32</v>
      </c>
      <c r="CH149" s="228">
        <v>31</v>
      </c>
      <c r="CI149" s="228">
        <v>1</v>
      </c>
      <c r="CJ149" s="229">
        <v>3.2000000000000001E-2</v>
      </c>
      <c r="CK149" s="228">
        <v>5</v>
      </c>
      <c r="CL149" s="228">
        <v>5</v>
      </c>
      <c r="CM149" s="228">
        <v>0</v>
      </c>
      <c r="CN149" s="229">
        <v>0</v>
      </c>
      <c r="CO149" s="228">
        <v>261</v>
      </c>
      <c r="CP149" s="228">
        <v>274</v>
      </c>
      <c r="CQ149" s="228">
        <v>-13</v>
      </c>
      <c r="CR149" s="229">
        <v>-4.7300000000000002E-2</v>
      </c>
      <c r="CS149" s="228">
        <v>149</v>
      </c>
      <c r="CT149" s="228">
        <v>145</v>
      </c>
      <c r="CU149" s="228">
        <v>3</v>
      </c>
      <c r="CV149" s="229">
        <v>2.3900000000000001E-2</v>
      </c>
      <c r="CW149" s="230">
        <v>1137</v>
      </c>
      <c r="CX149" s="230">
        <v>1181</v>
      </c>
      <c r="CY149" s="228">
        <v>-43</v>
      </c>
      <c r="CZ149" s="229">
        <v>-3.6700000000000003E-2</v>
      </c>
      <c r="DA149" s="228">
        <v>27.94</v>
      </c>
      <c r="DB149" s="228">
        <v>36.700000000000003</v>
      </c>
      <c r="DC149" s="228">
        <v>-8.76</v>
      </c>
      <c r="DD149" s="228">
        <v>-8.76</v>
      </c>
      <c r="DE149" s="228">
        <v>27.54</v>
      </c>
      <c r="DF149" s="228">
        <v>27.5</v>
      </c>
      <c r="DG149" s="228">
        <v>0.4</v>
      </c>
      <c r="DH149" s="228">
        <v>0.04</v>
      </c>
      <c r="DI149" s="228">
        <v>27.44</v>
      </c>
      <c r="DJ149" s="228">
        <v>37.6</v>
      </c>
      <c r="DK149" s="228">
        <v>-10.16</v>
      </c>
      <c r="DL149" s="228">
        <v>-10.16</v>
      </c>
      <c r="DM149" s="228">
        <v>29.25</v>
      </c>
      <c r="DN149" s="228">
        <v>31.29</v>
      </c>
      <c r="DO149" s="228">
        <v>-2.04</v>
      </c>
      <c r="DP149" s="228">
        <v>-2.04</v>
      </c>
      <c r="DQ149" s="228">
        <v>0.56999999999999995</v>
      </c>
      <c r="DR149" s="228">
        <v>0.53</v>
      </c>
      <c r="DS149" s="228">
        <v>0.04</v>
      </c>
      <c r="DT149" s="229">
        <v>7.5499999999999998E-2</v>
      </c>
      <c r="DU149" s="231">
        <v>35000</v>
      </c>
      <c r="DV149" s="231">
        <v>33000</v>
      </c>
      <c r="DW149" s="228">
        <v>0.38</v>
      </c>
      <c r="DX149" s="228">
        <v>0.17</v>
      </c>
      <c r="DY149" s="228">
        <v>0.21</v>
      </c>
      <c r="DZ149" s="229">
        <v>1.2353000000000001</v>
      </c>
      <c r="EA149" s="229">
        <v>5.0799999999999998E-2</v>
      </c>
      <c r="EB149" s="230">
        <v>11355</v>
      </c>
      <c r="EC149" s="229">
        <v>-3.5999999999999999E-3</v>
      </c>
      <c r="ED149" s="229">
        <v>5.0799999999999998E-2</v>
      </c>
      <c r="EE149" s="228">
        <v>-94.31</v>
      </c>
      <c r="EF149" s="229">
        <v>-3.0000000000000001E-3</v>
      </c>
      <c r="EG149" s="230">
        <v>17893</v>
      </c>
      <c r="EH149" s="230">
        <v>11915</v>
      </c>
      <c r="EI149" s="229">
        <v>0.50170000000000003</v>
      </c>
      <c r="EJ149" s="229">
        <v>0.55559999999999998</v>
      </c>
      <c r="EK149" s="228">
        <v>233.87</v>
      </c>
      <c r="EL149" s="228">
        <v>78.400000000000006</v>
      </c>
      <c r="EM149" s="228">
        <v>160.43</v>
      </c>
      <c r="EN149" s="228">
        <v>26.65</v>
      </c>
      <c r="EO149" s="228">
        <v>472.7</v>
      </c>
      <c r="EP149" s="228">
        <v>733.18</v>
      </c>
      <c r="EQ149" s="228">
        <v>-260.48</v>
      </c>
      <c r="ER149" s="229">
        <v>-0.3553</v>
      </c>
      <c r="ES149" s="228">
        <v>282.61</v>
      </c>
      <c r="ET149" s="228">
        <v>148.25</v>
      </c>
      <c r="EU149" s="228">
        <v>727.38</v>
      </c>
      <c r="EV149" s="231">
        <v>955549</v>
      </c>
      <c r="EW149" s="231">
        <v>1158.24</v>
      </c>
      <c r="EX149" s="231">
        <v>1190.06</v>
      </c>
      <c r="EY149" s="228">
        <v>-31.82</v>
      </c>
      <c r="EZ149" s="229">
        <v>-2.6700000000000002E-2</v>
      </c>
      <c r="FA149" s="229">
        <v>0.37569999999999998</v>
      </c>
      <c r="FB149" s="227" t="s">
        <v>556</v>
      </c>
      <c r="FC149">
        <f t="shared" ref="FC149:FC194" si="3">BY213-CC213</f>
        <v>22</v>
      </c>
    </row>
    <row r="150" spans="1:159" ht="17.25" thickBot="1" x14ac:dyDescent="0.3">
      <c r="A150" s="226">
        <v>46086</v>
      </c>
      <c r="B150" s="227" t="s">
        <v>168</v>
      </c>
      <c r="C150" s="227" t="s">
        <v>665</v>
      </c>
      <c r="D150" s="228">
        <v>900</v>
      </c>
      <c r="E150" s="228">
        <v>25</v>
      </c>
      <c r="F150" s="228">
        <v>501.4</v>
      </c>
      <c r="G150" s="228">
        <v>503.3</v>
      </c>
      <c r="H150" s="228">
        <v>-1.9</v>
      </c>
      <c r="I150" s="229">
        <v>-3.8E-3</v>
      </c>
      <c r="J150" s="228">
        <v>499.8</v>
      </c>
      <c r="K150" s="228">
        <v>503.4</v>
      </c>
      <c r="L150" s="228">
        <v>-3.6</v>
      </c>
      <c r="M150" s="229">
        <v>-7.1999999999999998E-3</v>
      </c>
      <c r="N150" s="228">
        <v>501.4</v>
      </c>
      <c r="O150" s="228">
        <v>503.3</v>
      </c>
      <c r="P150" s="228">
        <v>-1.9</v>
      </c>
      <c r="Q150" s="229">
        <v>-3.8E-3</v>
      </c>
      <c r="R150" s="228">
        <v>504.75</v>
      </c>
      <c r="S150" s="228">
        <v>506.05</v>
      </c>
      <c r="T150" s="228">
        <v>-1.3</v>
      </c>
      <c r="U150" s="229">
        <v>-2.5999999999999999E-3</v>
      </c>
      <c r="V150" s="228">
        <v>523.4</v>
      </c>
      <c r="W150" s="228">
        <v>523.4</v>
      </c>
      <c r="X150" s="228">
        <v>0</v>
      </c>
      <c r="Y150" s="229">
        <v>0</v>
      </c>
      <c r="Z150" s="228">
        <v>1.6</v>
      </c>
      <c r="AA150" s="228">
        <v>-0.1</v>
      </c>
      <c r="AB150" s="228">
        <v>1.7</v>
      </c>
      <c r="AC150" s="229">
        <v>3.2000000000000002E-3</v>
      </c>
      <c r="AD150" s="228">
        <v>1.6</v>
      </c>
      <c r="AE150" s="228">
        <v>-0.1</v>
      </c>
      <c r="AF150" s="228">
        <v>1.7</v>
      </c>
      <c r="AG150" s="229">
        <v>3.2000000000000002E-3</v>
      </c>
      <c r="AH150" s="228">
        <v>4.95</v>
      </c>
      <c r="AI150" s="228">
        <v>2.65</v>
      </c>
      <c r="AJ150" s="228">
        <v>2.2999999999999998</v>
      </c>
      <c r="AK150" s="229">
        <v>9.9000000000000008E-3</v>
      </c>
      <c r="AL150" s="228">
        <v>23.6</v>
      </c>
      <c r="AM150" s="228">
        <v>20</v>
      </c>
      <c r="AN150" s="228">
        <v>3.6</v>
      </c>
      <c r="AO150" s="229">
        <v>4.7199999999999999E-2</v>
      </c>
      <c r="AP150" s="228">
        <v>502.38</v>
      </c>
      <c r="AQ150" s="228">
        <v>505.18</v>
      </c>
      <c r="AR150" s="228">
        <v>0</v>
      </c>
      <c r="AS150" s="228">
        <v>124</v>
      </c>
      <c r="AT150" s="228">
        <v>226</v>
      </c>
      <c r="AU150" s="228">
        <v>-102</v>
      </c>
      <c r="AV150" s="229">
        <v>-0.45250000000000001</v>
      </c>
      <c r="AW150" s="228">
        <v>121</v>
      </c>
      <c r="AX150" s="228">
        <v>223</v>
      </c>
      <c r="AY150" s="228">
        <v>-101</v>
      </c>
      <c r="AZ150" s="229">
        <v>-0.45490000000000003</v>
      </c>
      <c r="BA150" s="228">
        <v>3</v>
      </c>
      <c r="BB150" s="228">
        <v>4</v>
      </c>
      <c r="BC150" s="228">
        <v>-1</v>
      </c>
      <c r="BD150" s="229">
        <v>-0.314</v>
      </c>
      <c r="BE150" s="228">
        <v>0</v>
      </c>
      <c r="BF150" s="228">
        <v>0</v>
      </c>
      <c r="BG150" s="228">
        <v>0</v>
      </c>
      <c r="BH150" s="229">
        <v>0</v>
      </c>
      <c r="BI150" s="228">
        <v>75</v>
      </c>
      <c r="BJ150" s="228">
        <v>97</v>
      </c>
      <c r="BK150" s="228">
        <v>-22</v>
      </c>
      <c r="BL150" s="229">
        <v>-0.23089999999999999</v>
      </c>
      <c r="BM150" s="228">
        <v>25</v>
      </c>
      <c r="BN150" s="228">
        <v>71</v>
      </c>
      <c r="BO150" s="228">
        <v>-46</v>
      </c>
      <c r="BP150" s="229">
        <v>-0.64670000000000005</v>
      </c>
      <c r="BQ150" s="228">
        <v>224</v>
      </c>
      <c r="BR150" s="228">
        <v>394</v>
      </c>
      <c r="BS150" s="228">
        <v>-171</v>
      </c>
      <c r="BT150" s="229">
        <v>-0.43280000000000002</v>
      </c>
      <c r="BU150" s="230">
        <v>2297714</v>
      </c>
      <c r="BV150" s="230">
        <v>2392076</v>
      </c>
      <c r="BW150" s="230">
        <v>-94362</v>
      </c>
      <c r="BX150" s="229">
        <v>-3.9399999999999998E-2</v>
      </c>
      <c r="BY150" s="230">
        <v>1896</v>
      </c>
      <c r="BZ150" s="230">
        <v>1903</v>
      </c>
      <c r="CA150" s="228">
        <v>-7</v>
      </c>
      <c r="CB150" s="229">
        <v>-3.7000000000000002E-3</v>
      </c>
      <c r="CC150" s="230">
        <v>1888</v>
      </c>
      <c r="CD150" s="230">
        <v>1896</v>
      </c>
      <c r="CE150" s="228">
        <v>-8</v>
      </c>
      <c r="CF150" s="229">
        <v>-4.1999999999999997E-3</v>
      </c>
      <c r="CG150" s="228">
        <v>8</v>
      </c>
      <c r="CH150" s="228">
        <v>7</v>
      </c>
      <c r="CI150" s="228">
        <v>1</v>
      </c>
      <c r="CJ150" s="229">
        <v>0.12839999999999999</v>
      </c>
      <c r="CK150" s="228">
        <v>0</v>
      </c>
      <c r="CL150" s="228">
        <v>0</v>
      </c>
      <c r="CM150" s="228">
        <v>0</v>
      </c>
      <c r="CN150" s="229">
        <v>0</v>
      </c>
      <c r="CO150" s="228">
        <v>148</v>
      </c>
      <c r="CP150" s="228">
        <v>132</v>
      </c>
      <c r="CQ150" s="228">
        <v>16</v>
      </c>
      <c r="CR150" s="229">
        <v>0.1198</v>
      </c>
      <c r="CS150" s="228">
        <v>93</v>
      </c>
      <c r="CT150" s="228">
        <v>95</v>
      </c>
      <c r="CU150" s="228">
        <v>-2</v>
      </c>
      <c r="CV150" s="229">
        <v>-2.1899999999999999E-2</v>
      </c>
      <c r="CW150" s="230">
        <v>2137</v>
      </c>
      <c r="CX150" s="230">
        <v>2130</v>
      </c>
      <c r="CY150" s="228">
        <v>7</v>
      </c>
      <c r="CZ150" s="229">
        <v>3.2000000000000002E-3</v>
      </c>
      <c r="DA150" s="228">
        <v>29.08</v>
      </c>
      <c r="DB150" s="228">
        <v>31</v>
      </c>
      <c r="DC150" s="228">
        <v>-1.92</v>
      </c>
      <c r="DD150" s="228">
        <v>-1.92</v>
      </c>
      <c r="DE150" s="228">
        <v>31.96</v>
      </c>
      <c r="DF150" s="228">
        <v>32.04</v>
      </c>
      <c r="DG150" s="228">
        <v>-2.88</v>
      </c>
      <c r="DH150" s="228">
        <v>-0.08</v>
      </c>
      <c r="DI150" s="228">
        <v>28.81</v>
      </c>
      <c r="DJ150" s="228">
        <v>30.72</v>
      </c>
      <c r="DK150" s="228">
        <v>-1.91</v>
      </c>
      <c r="DL150" s="228">
        <v>-1.91</v>
      </c>
      <c r="DM150" s="228">
        <v>29.88</v>
      </c>
      <c r="DN150" s="228">
        <v>31.38</v>
      </c>
      <c r="DO150" s="228">
        <v>-1.5</v>
      </c>
      <c r="DP150" s="228">
        <v>-1.5</v>
      </c>
      <c r="DQ150" s="228">
        <v>0.63</v>
      </c>
      <c r="DR150" s="228">
        <v>0.72</v>
      </c>
      <c r="DS150" s="228">
        <v>-0.09</v>
      </c>
      <c r="DT150" s="229">
        <v>-0.125</v>
      </c>
      <c r="DU150" s="228">
        <v>550</v>
      </c>
      <c r="DV150" s="228">
        <v>510</v>
      </c>
      <c r="DW150" s="228">
        <v>0.34</v>
      </c>
      <c r="DX150" s="228">
        <v>0.73</v>
      </c>
      <c r="DY150" s="228">
        <v>-0.39</v>
      </c>
      <c r="DZ150" s="229">
        <v>-0.53420000000000001</v>
      </c>
      <c r="EA150" s="229">
        <v>4.0000000000000001E-3</v>
      </c>
      <c r="EB150" s="230">
        <v>134100</v>
      </c>
      <c r="EC150" s="229">
        <v>6.7000000000000002E-3</v>
      </c>
      <c r="ED150" s="229">
        <v>4.0000000000000001E-3</v>
      </c>
      <c r="EE150" s="228">
        <v>2.8</v>
      </c>
      <c r="EF150" s="229">
        <v>5.5999999999999999E-3</v>
      </c>
      <c r="EG150" s="230">
        <v>1223699</v>
      </c>
      <c r="EH150" s="230">
        <v>910651</v>
      </c>
      <c r="EI150" s="229">
        <v>0.34379999999999999</v>
      </c>
      <c r="EJ150" s="229">
        <v>0.53259999999999996</v>
      </c>
      <c r="EK150" s="228">
        <v>79.349999999999994</v>
      </c>
      <c r="EL150" s="228">
        <v>25.02</v>
      </c>
      <c r="EM150" s="228">
        <v>124.22</v>
      </c>
      <c r="EN150" s="228">
        <v>50.33</v>
      </c>
      <c r="EO150" s="228">
        <v>228.59</v>
      </c>
      <c r="EP150" s="228">
        <v>403.77</v>
      </c>
      <c r="EQ150" s="228">
        <v>-175.19</v>
      </c>
      <c r="ER150" s="229">
        <v>-0.43390000000000001</v>
      </c>
      <c r="ES150" s="228">
        <v>157.29</v>
      </c>
      <c r="ET150" s="228">
        <v>94.65</v>
      </c>
      <c r="EU150" s="231">
        <v>1895.93</v>
      </c>
      <c r="EV150" s="231">
        <v>50886533</v>
      </c>
      <c r="EW150" s="231">
        <v>2147.87</v>
      </c>
      <c r="EX150" s="231">
        <v>2147.21</v>
      </c>
      <c r="EY150" s="228">
        <v>0.66</v>
      </c>
      <c r="EZ150" s="229">
        <v>2.9999999999999997E-4</v>
      </c>
      <c r="FA150" s="229">
        <v>0.83740000000000003</v>
      </c>
      <c r="FB150" s="227" t="s">
        <v>568</v>
      </c>
      <c r="FC150">
        <f t="shared" si="3"/>
        <v>0</v>
      </c>
    </row>
    <row r="151" spans="1:159" ht="17.25" thickBot="1" x14ac:dyDescent="0.3">
      <c r="A151" s="226">
        <v>46086</v>
      </c>
      <c r="B151" s="227" t="s">
        <v>615</v>
      </c>
      <c r="C151" s="227" t="s">
        <v>575</v>
      </c>
      <c r="D151" s="228">
        <v>725</v>
      </c>
      <c r="E151" s="228">
        <v>25</v>
      </c>
      <c r="F151" s="231">
        <v>1057.4000000000001</v>
      </c>
      <c r="G151" s="231">
        <v>1048</v>
      </c>
      <c r="H151" s="228">
        <v>9.4</v>
      </c>
      <c r="I151" s="229">
        <v>8.9999999999999993E-3</v>
      </c>
      <c r="J151" s="231">
        <v>1052.9000000000001</v>
      </c>
      <c r="K151" s="231">
        <v>1045.5</v>
      </c>
      <c r="L151" s="228">
        <v>7.4</v>
      </c>
      <c r="M151" s="229">
        <v>7.1000000000000004E-3</v>
      </c>
      <c r="N151" s="231">
        <v>1057.4000000000001</v>
      </c>
      <c r="O151" s="231">
        <v>1048</v>
      </c>
      <c r="P151" s="228">
        <v>9.4</v>
      </c>
      <c r="Q151" s="229">
        <v>8.9999999999999993E-3</v>
      </c>
      <c r="R151" s="231">
        <v>1065.2</v>
      </c>
      <c r="S151" s="231">
        <v>1054.2</v>
      </c>
      <c r="T151" s="228">
        <v>11</v>
      </c>
      <c r="U151" s="229">
        <v>1.04E-2</v>
      </c>
      <c r="V151" s="231">
        <v>1070</v>
      </c>
      <c r="W151" s="231">
        <v>1065</v>
      </c>
      <c r="X151" s="228">
        <v>5</v>
      </c>
      <c r="Y151" s="229">
        <v>4.7000000000000002E-3</v>
      </c>
      <c r="Z151" s="228">
        <v>4.5</v>
      </c>
      <c r="AA151" s="228">
        <v>2.5</v>
      </c>
      <c r="AB151" s="228">
        <v>2</v>
      </c>
      <c r="AC151" s="229">
        <v>4.3E-3</v>
      </c>
      <c r="AD151" s="228">
        <v>4.5</v>
      </c>
      <c r="AE151" s="228">
        <v>2.5</v>
      </c>
      <c r="AF151" s="228">
        <v>2</v>
      </c>
      <c r="AG151" s="229">
        <v>4.3E-3</v>
      </c>
      <c r="AH151" s="228">
        <v>12.3</v>
      </c>
      <c r="AI151" s="228">
        <v>8.6999999999999993</v>
      </c>
      <c r="AJ151" s="228">
        <v>3.6</v>
      </c>
      <c r="AK151" s="229">
        <v>1.17E-2</v>
      </c>
      <c r="AL151" s="228">
        <v>17.100000000000001</v>
      </c>
      <c r="AM151" s="228">
        <v>19.5</v>
      </c>
      <c r="AN151" s="228">
        <v>-2.4</v>
      </c>
      <c r="AO151" s="229">
        <v>1.6199999999999999E-2</v>
      </c>
      <c r="AP151" s="231">
        <v>1051.97</v>
      </c>
      <c r="AQ151" s="231">
        <v>1059.5999999999999</v>
      </c>
      <c r="AR151" s="228">
        <v>0</v>
      </c>
      <c r="AS151" s="228">
        <v>485</v>
      </c>
      <c r="AT151" s="228">
        <v>647</v>
      </c>
      <c r="AU151" s="228">
        <v>-162</v>
      </c>
      <c r="AV151" s="229">
        <v>-0.25019999999999998</v>
      </c>
      <c r="AW151" s="228">
        <v>470</v>
      </c>
      <c r="AX151" s="228">
        <v>625</v>
      </c>
      <c r="AY151" s="228">
        <v>-155</v>
      </c>
      <c r="AZ151" s="229">
        <v>-0.24859999999999999</v>
      </c>
      <c r="BA151" s="228">
        <v>15</v>
      </c>
      <c r="BB151" s="228">
        <v>20</v>
      </c>
      <c r="BC151" s="228">
        <v>-5</v>
      </c>
      <c r="BD151" s="229">
        <v>-0.25469999999999998</v>
      </c>
      <c r="BE151" s="228">
        <v>1</v>
      </c>
      <c r="BF151" s="228">
        <v>2</v>
      </c>
      <c r="BG151" s="228">
        <v>-1</v>
      </c>
      <c r="BH151" s="229">
        <v>-0.73080000000000001</v>
      </c>
      <c r="BI151" s="228">
        <v>985</v>
      </c>
      <c r="BJ151" s="228">
        <v>985</v>
      </c>
      <c r="BK151" s="228">
        <v>0</v>
      </c>
      <c r="BL151" s="229">
        <v>4.0000000000000002E-4</v>
      </c>
      <c r="BM151" s="228">
        <v>449</v>
      </c>
      <c r="BN151" s="228">
        <v>706</v>
      </c>
      <c r="BO151" s="228">
        <v>-257</v>
      </c>
      <c r="BP151" s="229">
        <v>-0.36409999999999998</v>
      </c>
      <c r="BQ151" s="230">
        <v>1919</v>
      </c>
      <c r="BR151" s="230">
        <v>2338</v>
      </c>
      <c r="BS151" s="228">
        <v>-419</v>
      </c>
      <c r="BT151" s="229">
        <v>-0.17899999999999999</v>
      </c>
      <c r="BU151" s="230">
        <v>2245898</v>
      </c>
      <c r="BV151" s="230">
        <v>4277348</v>
      </c>
      <c r="BW151" s="230">
        <v>-2031450</v>
      </c>
      <c r="BX151" s="229">
        <v>-0.47489999999999999</v>
      </c>
      <c r="BY151" s="230">
        <v>2318</v>
      </c>
      <c r="BZ151" s="230">
        <v>2258</v>
      </c>
      <c r="CA151" s="228">
        <v>60</v>
      </c>
      <c r="CB151" s="229">
        <v>2.64E-2</v>
      </c>
      <c r="CC151" s="230">
        <v>2283</v>
      </c>
      <c r="CD151" s="230">
        <v>2224</v>
      </c>
      <c r="CE151" s="228">
        <v>59</v>
      </c>
      <c r="CF151" s="229">
        <v>2.6700000000000002E-2</v>
      </c>
      <c r="CG151" s="228">
        <v>31</v>
      </c>
      <c r="CH151" s="228">
        <v>31</v>
      </c>
      <c r="CI151" s="228">
        <v>0</v>
      </c>
      <c r="CJ151" s="229">
        <v>0</v>
      </c>
      <c r="CK151" s="228">
        <v>4</v>
      </c>
      <c r="CL151" s="228">
        <v>3</v>
      </c>
      <c r="CM151" s="228">
        <v>0</v>
      </c>
      <c r="CN151" s="229">
        <v>8.8900000000000007E-2</v>
      </c>
      <c r="CO151" s="228">
        <v>820</v>
      </c>
      <c r="CP151" s="228">
        <v>808</v>
      </c>
      <c r="CQ151" s="228">
        <v>12</v>
      </c>
      <c r="CR151" s="229">
        <v>1.54E-2</v>
      </c>
      <c r="CS151" s="228">
        <v>569</v>
      </c>
      <c r="CT151" s="228">
        <v>558</v>
      </c>
      <c r="CU151" s="228">
        <v>11</v>
      </c>
      <c r="CV151" s="229">
        <v>2.0299999999999999E-2</v>
      </c>
      <c r="CW151" s="230">
        <v>3707</v>
      </c>
      <c r="CX151" s="230">
        <v>3623</v>
      </c>
      <c r="CY151" s="228">
        <v>83</v>
      </c>
      <c r="CZ151" s="229">
        <v>2.3E-2</v>
      </c>
      <c r="DA151" s="228">
        <v>37.700000000000003</v>
      </c>
      <c r="DB151" s="228">
        <v>41.22</v>
      </c>
      <c r="DC151" s="228">
        <v>-3.52</v>
      </c>
      <c r="DD151" s="228">
        <v>-3.52</v>
      </c>
      <c r="DE151" s="228">
        <v>51.12</v>
      </c>
      <c r="DF151" s="228">
        <v>51.23</v>
      </c>
      <c r="DG151" s="228">
        <v>-13.42</v>
      </c>
      <c r="DH151" s="228">
        <v>-0.11</v>
      </c>
      <c r="DI151" s="228">
        <v>36.880000000000003</v>
      </c>
      <c r="DJ151" s="228">
        <v>39.83</v>
      </c>
      <c r="DK151" s="228">
        <v>-2.95</v>
      </c>
      <c r="DL151" s="228">
        <v>-2.95</v>
      </c>
      <c r="DM151" s="228">
        <v>39.520000000000003</v>
      </c>
      <c r="DN151" s="228">
        <v>43.16</v>
      </c>
      <c r="DO151" s="228">
        <v>-3.64</v>
      </c>
      <c r="DP151" s="228">
        <v>-3.64</v>
      </c>
      <c r="DQ151" s="228">
        <v>0.69</v>
      </c>
      <c r="DR151" s="228">
        <v>0.69</v>
      </c>
      <c r="DS151" s="228">
        <v>0</v>
      </c>
      <c r="DT151" s="229">
        <v>0</v>
      </c>
      <c r="DU151" s="231">
        <v>1200</v>
      </c>
      <c r="DV151" s="231">
        <v>1000</v>
      </c>
      <c r="DW151" s="228">
        <v>0.46</v>
      </c>
      <c r="DX151" s="228">
        <v>0.72</v>
      </c>
      <c r="DY151" s="228">
        <v>-0.26</v>
      </c>
      <c r="DZ151" s="229">
        <v>-0.36109999999999998</v>
      </c>
      <c r="EA151" s="229">
        <v>1.49E-2</v>
      </c>
      <c r="EB151" s="230">
        <v>323350</v>
      </c>
      <c r="EC151" s="229">
        <v>7.4000000000000003E-3</v>
      </c>
      <c r="ED151" s="229">
        <v>1.49E-2</v>
      </c>
      <c r="EE151" s="228">
        <v>7.63</v>
      </c>
      <c r="EF151" s="229">
        <v>7.3000000000000001E-3</v>
      </c>
      <c r="EG151" s="230">
        <v>868786</v>
      </c>
      <c r="EH151" s="230">
        <v>1890245</v>
      </c>
      <c r="EI151" s="229">
        <v>-0.54039999999999999</v>
      </c>
      <c r="EJ151" s="229">
        <v>0.38679999999999998</v>
      </c>
      <c r="EK151" s="231">
        <v>1069.0899999999999</v>
      </c>
      <c r="EL151" s="228">
        <v>446.89</v>
      </c>
      <c r="EM151" s="228">
        <v>482.97</v>
      </c>
      <c r="EN151" s="228">
        <v>83.33</v>
      </c>
      <c r="EO151" s="231">
        <v>1998.95</v>
      </c>
      <c r="EP151" s="231">
        <v>2398</v>
      </c>
      <c r="EQ151" s="228">
        <v>-399.05</v>
      </c>
      <c r="ER151" s="229">
        <v>-0.16639999999999999</v>
      </c>
      <c r="ES151" s="228">
        <v>913.81</v>
      </c>
      <c r="ET151" s="228">
        <v>585.29999999999995</v>
      </c>
      <c r="EU151" s="231">
        <v>2317.83</v>
      </c>
      <c r="EV151" s="231">
        <v>95799519</v>
      </c>
      <c r="EW151" s="231">
        <v>3816.93</v>
      </c>
      <c r="EX151" s="231">
        <v>3716.17</v>
      </c>
      <c r="EY151" s="228">
        <v>100.76</v>
      </c>
      <c r="EZ151" s="229">
        <v>2.7099999999999999E-2</v>
      </c>
      <c r="FA151" s="229">
        <v>0.3659</v>
      </c>
      <c r="FB151" s="227" t="s">
        <v>555</v>
      </c>
      <c r="FC151">
        <f t="shared" si="3"/>
        <v>0</v>
      </c>
    </row>
    <row r="152" spans="1:159" ht="17.25" thickBot="1" x14ac:dyDescent="0.3">
      <c r="A152" s="226">
        <v>46086</v>
      </c>
      <c r="B152" s="227" t="s">
        <v>221</v>
      </c>
      <c r="C152" s="227" t="s">
        <v>529</v>
      </c>
      <c r="D152" s="228">
        <v>100</v>
      </c>
      <c r="E152" s="228">
        <v>25</v>
      </c>
      <c r="F152" s="231">
        <v>4650.2</v>
      </c>
      <c r="G152" s="231">
        <v>4716.2</v>
      </c>
      <c r="H152" s="228">
        <v>-66</v>
      </c>
      <c r="I152" s="229">
        <v>-1.4E-2</v>
      </c>
      <c r="J152" s="231">
        <v>4641.7</v>
      </c>
      <c r="K152" s="231">
        <v>4709.1000000000004</v>
      </c>
      <c r="L152" s="228">
        <v>-67.400000000000006</v>
      </c>
      <c r="M152" s="229">
        <v>-1.43E-2</v>
      </c>
      <c r="N152" s="231">
        <v>4650.2</v>
      </c>
      <c r="O152" s="231">
        <v>4716.2</v>
      </c>
      <c r="P152" s="228">
        <v>-66</v>
      </c>
      <c r="Q152" s="229">
        <v>-1.4E-2</v>
      </c>
      <c r="R152" s="231">
        <v>4655.6000000000004</v>
      </c>
      <c r="S152" s="231">
        <v>4722.2</v>
      </c>
      <c r="T152" s="228">
        <v>-66.599999999999994</v>
      </c>
      <c r="U152" s="229">
        <v>-1.41E-2</v>
      </c>
      <c r="V152" s="231">
        <v>4669</v>
      </c>
      <c r="W152" s="231">
        <v>4744.3999999999996</v>
      </c>
      <c r="X152" s="228">
        <v>-75.400000000000006</v>
      </c>
      <c r="Y152" s="229">
        <v>-1.5900000000000001E-2</v>
      </c>
      <c r="Z152" s="228">
        <v>8.5</v>
      </c>
      <c r="AA152" s="228">
        <v>7.1</v>
      </c>
      <c r="AB152" s="228">
        <v>1.4</v>
      </c>
      <c r="AC152" s="229">
        <v>1.8E-3</v>
      </c>
      <c r="AD152" s="228">
        <v>8.5</v>
      </c>
      <c r="AE152" s="228">
        <v>7.1</v>
      </c>
      <c r="AF152" s="228">
        <v>1.4</v>
      </c>
      <c r="AG152" s="229">
        <v>1.8E-3</v>
      </c>
      <c r="AH152" s="228">
        <v>13.9</v>
      </c>
      <c r="AI152" s="228">
        <v>13.1</v>
      </c>
      <c r="AJ152" s="228">
        <v>0.8</v>
      </c>
      <c r="AK152" s="229">
        <v>3.0000000000000001E-3</v>
      </c>
      <c r="AL152" s="228">
        <v>27.3</v>
      </c>
      <c r="AM152" s="228">
        <v>35.299999999999997</v>
      </c>
      <c r="AN152" s="228">
        <v>-8</v>
      </c>
      <c r="AO152" s="229">
        <v>5.8999999999999999E-3</v>
      </c>
      <c r="AP152" s="231">
        <v>4655.91</v>
      </c>
      <c r="AQ152" s="231">
        <v>4669.09</v>
      </c>
      <c r="AR152" s="228">
        <v>0</v>
      </c>
      <c r="AS152" s="228">
        <v>424</v>
      </c>
      <c r="AT152" s="228">
        <v>483</v>
      </c>
      <c r="AU152" s="228">
        <v>-59</v>
      </c>
      <c r="AV152" s="229">
        <v>-0.1221</v>
      </c>
      <c r="AW152" s="228">
        <v>390</v>
      </c>
      <c r="AX152" s="228">
        <v>461</v>
      </c>
      <c r="AY152" s="228">
        <v>-72</v>
      </c>
      <c r="AZ152" s="229">
        <v>-0.1552</v>
      </c>
      <c r="BA152" s="228">
        <v>32</v>
      </c>
      <c r="BB152" s="228">
        <v>17</v>
      </c>
      <c r="BC152" s="228">
        <v>15</v>
      </c>
      <c r="BD152" s="229">
        <v>0.86029999999999995</v>
      </c>
      <c r="BE152" s="228">
        <v>3</v>
      </c>
      <c r="BF152" s="228">
        <v>5</v>
      </c>
      <c r="BG152" s="228">
        <v>-2</v>
      </c>
      <c r="BH152" s="229">
        <v>-0.41510000000000002</v>
      </c>
      <c r="BI152" s="230">
        <v>1102</v>
      </c>
      <c r="BJ152" s="230">
        <v>1167</v>
      </c>
      <c r="BK152" s="228">
        <v>-65</v>
      </c>
      <c r="BL152" s="229">
        <v>-5.5500000000000001E-2</v>
      </c>
      <c r="BM152" s="228">
        <v>902</v>
      </c>
      <c r="BN152" s="228">
        <v>710</v>
      </c>
      <c r="BO152" s="228">
        <v>192</v>
      </c>
      <c r="BP152" s="229">
        <v>0.27110000000000001</v>
      </c>
      <c r="BQ152" s="230">
        <v>2428</v>
      </c>
      <c r="BR152" s="230">
        <v>2360</v>
      </c>
      <c r="BS152" s="228">
        <v>69</v>
      </c>
      <c r="BT152" s="229">
        <v>2.9100000000000001E-2</v>
      </c>
      <c r="BU152" s="230">
        <v>636120</v>
      </c>
      <c r="BV152" s="230">
        <v>745553</v>
      </c>
      <c r="BW152" s="230">
        <v>-109433</v>
      </c>
      <c r="BX152" s="229">
        <v>-0.14680000000000001</v>
      </c>
      <c r="BY152" s="230">
        <v>1902</v>
      </c>
      <c r="BZ152" s="230">
        <v>1891</v>
      </c>
      <c r="CA152" s="228">
        <v>11</v>
      </c>
      <c r="CB152" s="229">
        <v>5.7000000000000002E-3</v>
      </c>
      <c r="CC152" s="230">
        <v>1842</v>
      </c>
      <c r="CD152" s="230">
        <v>1834</v>
      </c>
      <c r="CE152" s="228">
        <v>8</v>
      </c>
      <c r="CF152" s="229">
        <v>4.4999999999999997E-3</v>
      </c>
      <c r="CG152" s="228">
        <v>54</v>
      </c>
      <c r="CH152" s="228">
        <v>52</v>
      </c>
      <c r="CI152" s="228">
        <v>2</v>
      </c>
      <c r="CJ152" s="229">
        <v>3.56E-2</v>
      </c>
      <c r="CK152" s="228">
        <v>6</v>
      </c>
      <c r="CL152" s="228">
        <v>5</v>
      </c>
      <c r="CM152" s="228">
        <v>1</v>
      </c>
      <c r="CN152" s="229">
        <v>0.12609999999999999</v>
      </c>
      <c r="CO152" s="228">
        <v>829</v>
      </c>
      <c r="CP152" s="228">
        <v>806</v>
      </c>
      <c r="CQ152" s="228">
        <v>24</v>
      </c>
      <c r="CR152" s="229">
        <v>2.93E-2</v>
      </c>
      <c r="CS152" s="228">
        <v>590</v>
      </c>
      <c r="CT152" s="228">
        <v>578</v>
      </c>
      <c r="CU152" s="228">
        <v>13</v>
      </c>
      <c r="CV152" s="229">
        <v>2.1600000000000001E-2</v>
      </c>
      <c r="CW152" s="230">
        <v>3322</v>
      </c>
      <c r="CX152" s="230">
        <v>3275</v>
      </c>
      <c r="CY152" s="228">
        <v>47</v>
      </c>
      <c r="CZ152" s="229">
        <v>1.43E-2</v>
      </c>
      <c r="DA152" s="228">
        <v>41.26</v>
      </c>
      <c r="DB152" s="228">
        <v>44.72</v>
      </c>
      <c r="DC152" s="228">
        <v>-3.46</v>
      </c>
      <c r="DD152" s="228">
        <v>-3.46</v>
      </c>
      <c r="DE152" s="228">
        <v>40.43</v>
      </c>
      <c r="DF152" s="228">
        <v>40.479999999999997</v>
      </c>
      <c r="DG152" s="228">
        <v>0.83</v>
      </c>
      <c r="DH152" s="228">
        <v>-0.05</v>
      </c>
      <c r="DI152" s="228">
        <v>40.44</v>
      </c>
      <c r="DJ152" s="228">
        <v>44.06</v>
      </c>
      <c r="DK152" s="228">
        <v>-3.62</v>
      </c>
      <c r="DL152" s="228">
        <v>-3.62</v>
      </c>
      <c r="DM152" s="228">
        <v>42.26</v>
      </c>
      <c r="DN152" s="228">
        <v>45.8</v>
      </c>
      <c r="DO152" s="228">
        <v>-3.54</v>
      </c>
      <c r="DP152" s="228">
        <v>-3.54</v>
      </c>
      <c r="DQ152" s="228">
        <v>0.71</v>
      </c>
      <c r="DR152" s="228">
        <v>0.72</v>
      </c>
      <c r="DS152" s="228">
        <v>-0.01</v>
      </c>
      <c r="DT152" s="229">
        <v>-1.3899999999999999E-2</v>
      </c>
      <c r="DU152" s="231">
        <v>5000</v>
      </c>
      <c r="DV152" s="231">
        <v>5500</v>
      </c>
      <c r="DW152" s="228">
        <v>0.82</v>
      </c>
      <c r="DX152" s="228">
        <v>0.61</v>
      </c>
      <c r="DY152" s="228">
        <v>0.21</v>
      </c>
      <c r="DZ152" s="229">
        <v>0.34429999999999999</v>
      </c>
      <c r="EA152" s="229">
        <v>3.15E-2</v>
      </c>
      <c r="EB152" s="230">
        <v>123600</v>
      </c>
      <c r="EC152" s="229">
        <v>1.1999999999999999E-3</v>
      </c>
      <c r="ED152" s="229">
        <v>3.15E-2</v>
      </c>
      <c r="EE152" s="228">
        <v>13.18</v>
      </c>
      <c r="EF152" s="229">
        <v>2.8E-3</v>
      </c>
      <c r="EG152" s="230">
        <v>234919</v>
      </c>
      <c r="EH152" s="230">
        <v>300230</v>
      </c>
      <c r="EI152" s="229">
        <v>-0.2175</v>
      </c>
      <c r="EJ152" s="229">
        <v>0.36930000000000002</v>
      </c>
      <c r="EK152" s="231">
        <v>1215.42</v>
      </c>
      <c r="EL152" s="228">
        <v>899.95</v>
      </c>
      <c r="EM152" s="228">
        <v>424.72</v>
      </c>
      <c r="EN152" s="228">
        <v>126.37</v>
      </c>
      <c r="EO152" s="231">
        <v>2540.09</v>
      </c>
      <c r="EP152" s="231">
        <v>2505.98</v>
      </c>
      <c r="EQ152" s="228">
        <v>34.11</v>
      </c>
      <c r="ER152" s="229">
        <v>1.3599999999999999E-2</v>
      </c>
      <c r="ES152" s="228">
        <v>937.19</v>
      </c>
      <c r="ET152" s="228">
        <v>596.54999999999995</v>
      </c>
      <c r="EU152" s="231">
        <v>1902.25</v>
      </c>
      <c r="EV152" s="231">
        <v>15732422</v>
      </c>
      <c r="EW152" s="231">
        <v>3435.99</v>
      </c>
      <c r="EX152" s="231">
        <v>3419.86</v>
      </c>
      <c r="EY152" s="228">
        <v>16.13</v>
      </c>
      <c r="EZ152" s="229">
        <v>4.7000000000000002E-3</v>
      </c>
      <c r="FA152" s="229">
        <v>0.45400000000000001</v>
      </c>
      <c r="FB152" s="227" t="s">
        <v>567</v>
      </c>
      <c r="FC152">
        <f t="shared" si="3"/>
        <v>0</v>
      </c>
    </row>
    <row r="153" spans="1:159" ht="17.25" thickBot="1" x14ac:dyDescent="0.3">
      <c r="A153" s="226">
        <v>46086</v>
      </c>
      <c r="B153" s="227" t="s">
        <v>193</v>
      </c>
      <c r="C153" s="227" t="s">
        <v>272</v>
      </c>
      <c r="D153" s="228">
        <v>1900</v>
      </c>
      <c r="E153" s="228">
        <v>25</v>
      </c>
      <c r="F153" s="228">
        <v>292.45</v>
      </c>
      <c r="G153" s="228">
        <v>280.14999999999998</v>
      </c>
      <c r="H153" s="228">
        <v>12.3</v>
      </c>
      <c r="I153" s="229">
        <v>4.3900000000000002E-2</v>
      </c>
      <c r="J153" s="228">
        <v>293.05</v>
      </c>
      <c r="K153" s="228">
        <v>280</v>
      </c>
      <c r="L153" s="228">
        <v>13.05</v>
      </c>
      <c r="M153" s="229">
        <v>4.6600000000000003E-2</v>
      </c>
      <c r="N153" s="228">
        <v>292.45</v>
      </c>
      <c r="O153" s="228">
        <v>280.14999999999998</v>
      </c>
      <c r="P153" s="228">
        <v>12.3</v>
      </c>
      <c r="Q153" s="229">
        <v>4.3900000000000002E-2</v>
      </c>
      <c r="R153" s="228">
        <v>294.14999999999998</v>
      </c>
      <c r="S153" s="228">
        <v>281.75</v>
      </c>
      <c r="T153" s="228">
        <v>12.4</v>
      </c>
      <c r="U153" s="229">
        <v>4.3999999999999997E-2</v>
      </c>
      <c r="V153" s="228">
        <v>295.25</v>
      </c>
      <c r="W153" s="228">
        <v>283.39999999999998</v>
      </c>
      <c r="X153" s="228">
        <v>11.85</v>
      </c>
      <c r="Y153" s="229">
        <v>4.1799999999999997E-2</v>
      </c>
      <c r="Z153" s="228">
        <v>-0.6</v>
      </c>
      <c r="AA153" s="228">
        <v>0.15</v>
      </c>
      <c r="AB153" s="228">
        <v>-0.75</v>
      </c>
      <c r="AC153" s="229">
        <v>-2E-3</v>
      </c>
      <c r="AD153" s="228">
        <v>-0.6</v>
      </c>
      <c r="AE153" s="228">
        <v>0.15</v>
      </c>
      <c r="AF153" s="228">
        <v>-0.75</v>
      </c>
      <c r="AG153" s="229">
        <v>-2E-3</v>
      </c>
      <c r="AH153" s="228">
        <v>1.1000000000000001</v>
      </c>
      <c r="AI153" s="228">
        <v>1.75</v>
      </c>
      <c r="AJ153" s="228">
        <v>-0.65</v>
      </c>
      <c r="AK153" s="229">
        <v>3.8E-3</v>
      </c>
      <c r="AL153" s="228">
        <v>2.2000000000000002</v>
      </c>
      <c r="AM153" s="228">
        <v>3.4</v>
      </c>
      <c r="AN153" s="228">
        <v>-1.2</v>
      </c>
      <c r="AO153" s="229">
        <v>7.4999999999999997E-3</v>
      </c>
      <c r="AP153" s="228">
        <v>287.77</v>
      </c>
      <c r="AQ153" s="228">
        <v>290.16000000000003</v>
      </c>
      <c r="AR153" s="228">
        <v>0</v>
      </c>
      <c r="AS153" s="228">
        <v>604</v>
      </c>
      <c r="AT153" s="230">
        <v>1131</v>
      </c>
      <c r="AU153" s="228">
        <v>-527</v>
      </c>
      <c r="AV153" s="229">
        <v>-0.46589999999999998</v>
      </c>
      <c r="AW153" s="228">
        <v>559</v>
      </c>
      <c r="AX153" s="228">
        <v>904</v>
      </c>
      <c r="AY153" s="228">
        <v>-345</v>
      </c>
      <c r="AZ153" s="229">
        <v>-0.38140000000000002</v>
      </c>
      <c r="BA153" s="228">
        <v>42</v>
      </c>
      <c r="BB153" s="228">
        <v>222</v>
      </c>
      <c r="BC153" s="228">
        <v>-180</v>
      </c>
      <c r="BD153" s="229">
        <v>-0.81240000000000001</v>
      </c>
      <c r="BE153" s="228">
        <v>3</v>
      </c>
      <c r="BF153" s="228">
        <v>5</v>
      </c>
      <c r="BG153" s="228">
        <v>-2</v>
      </c>
      <c r="BH153" s="229">
        <v>-0.35959999999999998</v>
      </c>
      <c r="BI153" s="230">
        <v>1283</v>
      </c>
      <c r="BJ153" s="230">
        <v>1536</v>
      </c>
      <c r="BK153" s="228">
        <v>-253</v>
      </c>
      <c r="BL153" s="229">
        <v>-0.16489999999999999</v>
      </c>
      <c r="BM153" s="230">
        <v>1172</v>
      </c>
      <c r="BN153" s="230">
        <v>2549</v>
      </c>
      <c r="BO153" s="230">
        <v>-1377</v>
      </c>
      <c r="BP153" s="229">
        <v>-0.54039999999999999</v>
      </c>
      <c r="BQ153" s="230">
        <v>3058</v>
      </c>
      <c r="BR153" s="230">
        <v>5215</v>
      </c>
      <c r="BS153" s="230">
        <v>-2157</v>
      </c>
      <c r="BT153" s="229">
        <v>-0.41370000000000001</v>
      </c>
      <c r="BU153" s="230">
        <v>14485677</v>
      </c>
      <c r="BV153" s="230">
        <v>21874878</v>
      </c>
      <c r="BW153" s="230">
        <v>-7389201</v>
      </c>
      <c r="BX153" s="229">
        <v>-0.33779999999999999</v>
      </c>
      <c r="BY153" s="230">
        <v>1035</v>
      </c>
      <c r="BZ153" s="230">
        <v>1134</v>
      </c>
      <c r="CA153" s="228">
        <v>-99</v>
      </c>
      <c r="CB153" s="229">
        <v>-8.7099999999999997E-2</v>
      </c>
      <c r="CC153" s="228">
        <v>923</v>
      </c>
      <c r="CD153" s="230">
        <v>1019</v>
      </c>
      <c r="CE153" s="228">
        <v>-96</v>
      </c>
      <c r="CF153" s="229">
        <v>-9.4200000000000006E-2</v>
      </c>
      <c r="CG153" s="228">
        <v>109</v>
      </c>
      <c r="CH153" s="228">
        <v>113</v>
      </c>
      <c r="CI153" s="228">
        <v>-4</v>
      </c>
      <c r="CJ153" s="229">
        <v>-3.1099999999999999E-2</v>
      </c>
      <c r="CK153" s="228">
        <v>3</v>
      </c>
      <c r="CL153" s="228">
        <v>2</v>
      </c>
      <c r="CM153" s="228">
        <v>1</v>
      </c>
      <c r="CN153" s="229">
        <v>0.36840000000000001</v>
      </c>
      <c r="CO153" s="228">
        <v>497</v>
      </c>
      <c r="CP153" s="228">
        <v>445</v>
      </c>
      <c r="CQ153" s="228">
        <v>51</v>
      </c>
      <c r="CR153" s="229">
        <v>0.1154</v>
      </c>
      <c r="CS153" s="228">
        <v>532</v>
      </c>
      <c r="CT153" s="228">
        <v>506</v>
      </c>
      <c r="CU153" s="228">
        <v>26</v>
      </c>
      <c r="CV153" s="229">
        <v>5.0999999999999997E-2</v>
      </c>
      <c r="CW153" s="230">
        <v>2064</v>
      </c>
      <c r="CX153" s="230">
        <v>2086</v>
      </c>
      <c r="CY153" s="228">
        <v>-22</v>
      </c>
      <c r="CZ153" s="229">
        <v>-1.03E-2</v>
      </c>
      <c r="DA153" s="228">
        <v>37.950000000000003</v>
      </c>
      <c r="DB153" s="228">
        <v>47.68</v>
      </c>
      <c r="DC153" s="228">
        <v>-9.73</v>
      </c>
      <c r="DD153" s="228">
        <v>-9.73</v>
      </c>
      <c r="DE153" s="228">
        <v>34.909999999999997</v>
      </c>
      <c r="DF153" s="228">
        <v>34.51</v>
      </c>
      <c r="DG153" s="228">
        <v>3.04</v>
      </c>
      <c r="DH153" s="228">
        <v>0.4</v>
      </c>
      <c r="DI153" s="228">
        <v>35.270000000000003</v>
      </c>
      <c r="DJ153" s="228">
        <v>43.37</v>
      </c>
      <c r="DK153" s="228">
        <v>-8.1</v>
      </c>
      <c r="DL153" s="228">
        <v>-8.1</v>
      </c>
      <c r="DM153" s="228">
        <v>40.89</v>
      </c>
      <c r="DN153" s="228">
        <v>50.29</v>
      </c>
      <c r="DO153" s="228">
        <v>-9.4</v>
      </c>
      <c r="DP153" s="228">
        <v>-9.4</v>
      </c>
      <c r="DQ153" s="228">
        <v>1.07</v>
      </c>
      <c r="DR153" s="228">
        <v>1.1399999999999999</v>
      </c>
      <c r="DS153" s="228">
        <v>-7.0000000000000007E-2</v>
      </c>
      <c r="DT153" s="229">
        <v>-6.1400000000000003E-2</v>
      </c>
      <c r="DU153" s="228">
        <v>300</v>
      </c>
      <c r="DV153" s="228">
        <v>280</v>
      </c>
      <c r="DW153" s="228">
        <v>0.91</v>
      </c>
      <c r="DX153" s="228">
        <v>1.66</v>
      </c>
      <c r="DY153" s="228">
        <v>-0.75</v>
      </c>
      <c r="DZ153" s="229">
        <v>-0.45179999999999998</v>
      </c>
      <c r="EA153" s="229">
        <v>0.1082</v>
      </c>
      <c r="EB153" s="230">
        <v>3923500</v>
      </c>
      <c r="EC153" s="229">
        <v>5.7999999999999996E-3</v>
      </c>
      <c r="ED153" s="229">
        <v>0.1082</v>
      </c>
      <c r="EE153" s="228">
        <v>2.39</v>
      </c>
      <c r="EF153" s="229">
        <v>8.3000000000000001E-3</v>
      </c>
      <c r="EG153" s="230">
        <v>6843248</v>
      </c>
      <c r="EH153" s="230">
        <v>8230733</v>
      </c>
      <c r="EI153" s="229">
        <v>-0.1686</v>
      </c>
      <c r="EJ153" s="229">
        <v>0.47239999999999999</v>
      </c>
      <c r="EK153" s="231">
        <v>1350.56</v>
      </c>
      <c r="EL153" s="231">
        <v>1133.6600000000001</v>
      </c>
      <c r="EM153" s="228">
        <v>594.52</v>
      </c>
      <c r="EN153" s="228">
        <v>93.24</v>
      </c>
      <c r="EO153" s="231">
        <v>3078.75</v>
      </c>
      <c r="EP153" s="231">
        <v>5233.2</v>
      </c>
      <c r="EQ153" s="231">
        <v>-2154.4499999999998</v>
      </c>
      <c r="ER153" s="229">
        <v>-0.41170000000000001</v>
      </c>
      <c r="ES153" s="228">
        <v>527.29999999999995</v>
      </c>
      <c r="ET153" s="228">
        <v>516.25</v>
      </c>
      <c r="EU153" s="231">
        <v>1036.07</v>
      </c>
      <c r="EV153" s="231">
        <v>108255733</v>
      </c>
      <c r="EW153" s="231">
        <v>2079.62</v>
      </c>
      <c r="EX153" s="231">
        <v>2050.64</v>
      </c>
      <c r="EY153" s="228">
        <v>28.98</v>
      </c>
      <c r="EZ153" s="229">
        <v>1.41E-2</v>
      </c>
      <c r="FA153" s="229">
        <v>0.65200000000000002</v>
      </c>
      <c r="FB153" s="227" t="s">
        <v>556</v>
      </c>
      <c r="FC153">
        <f t="shared" si="3"/>
        <v>0</v>
      </c>
    </row>
    <row r="154" spans="1:159" ht="17.25" thickBot="1" x14ac:dyDescent="0.3">
      <c r="A154" s="226">
        <v>46086</v>
      </c>
      <c r="B154" s="227" t="s">
        <v>175</v>
      </c>
      <c r="C154" s="227" t="s">
        <v>273</v>
      </c>
      <c r="D154" s="228">
        <v>1300</v>
      </c>
      <c r="E154" s="228">
        <v>25</v>
      </c>
      <c r="F154" s="228">
        <v>414.3</v>
      </c>
      <c r="G154" s="228">
        <v>395.05</v>
      </c>
      <c r="H154" s="228">
        <v>19.25</v>
      </c>
      <c r="I154" s="229">
        <v>4.87E-2</v>
      </c>
      <c r="J154" s="228">
        <v>413.65</v>
      </c>
      <c r="K154" s="228">
        <v>396.55</v>
      </c>
      <c r="L154" s="228">
        <v>17.100000000000001</v>
      </c>
      <c r="M154" s="229">
        <v>4.3099999999999999E-2</v>
      </c>
      <c r="N154" s="228">
        <v>414.3</v>
      </c>
      <c r="O154" s="228">
        <v>395.05</v>
      </c>
      <c r="P154" s="228">
        <v>19.25</v>
      </c>
      <c r="Q154" s="229">
        <v>4.87E-2</v>
      </c>
      <c r="R154" s="228">
        <v>417</v>
      </c>
      <c r="S154" s="228">
        <v>397.6</v>
      </c>
      <c r="T154" s="228">
        <v>19.399999999999999</v>
      </c>
      <c r="U154" s="229">
        <v>4.8800000000000003E-2</v>
      </c>
      <c r="V154" s="228">
        <v>418.95</v>
      </c>
      <c r="W154" s="228">
        <v>399.75</v>
      </c>
      <c r="X154" s="228">
        <v>19.2</v>
      </c>
      <c r="Y154" s="229">
        <v>4.8000000000000001E-2</v>
      </c>
      <c r="Z154" s="228">
        <v>0.65</v>
      </c>
      <c r="AA154" s="228">
        <v>-1.5</v>
      </c>
      <c r="AB154" s="228">
        <v>2.15</v>
      </c>
      <c r="AC154" s="229">
        <v>1.6000000000000001E-3</v>
      </c>
      <c r="AD154" s="228">
        <v>0.65</v>
      </c>
      <c r="AE154" s="228">
        <v>-1.5</v>
      </c>
      <c r="AF154" s="228">
        <v>2.15</v>
      </c>
      <c r="AG154" s="229">
        <v>1.6000000000000001E-3</v>
      </c>
      <c r="AH154" s="228">
        <v>3.35</v>
      </c>
      <c r="AI154" s="228">
        <v>1.05</v>
      </c>
      <c r="AJ154" s="228">
        <v>2.2999999999999998</v>
      </c>
      <c r="AK154" s="229">
        <v>8.0999999999999996E-3</v>
      </c>
      <c r="AL154" s="228">
        <v>5.3</v>
      </c>
      <c r="AM154" s="228">
        <v>3.2</v>
      </c>
      <c r="AN154" s="228">
        <v>2.1</v>
      </c>
      <c r="AO154" s="229">
        <v>1.2800000000000001E-2</v>
      </c>
      <c r="AP154" s="228">
        <v>408.58</v>
      </c>
      <c r="AQ154" s="228">
        <v>411.51</v>
      </c>
      <c r="AR154" s="228">
        <v>0</v>
      </c>
      <c r="AS154" s="228">
        <v>605</v>
      </c>
      <c r="AT154" s="228">
        <v>611</v>
      </c>
      <c r="AU154" s="228">
        <v>-6</v>
      </c>
      <c r="AV154" s="229">
        <v>-9.2999999999999992E-3</v>
      </c>
      <c r="AW154" s="228">
        <v>561</v>
      </c>
      <c r="AX154" s="228">
        <v>449</v>
      </c>
      <c r="AY154" s="228">
        <v>112</v>
      </c>
      <c r="AZ154" s="229">
        <v>0.24990000000000001</v>
      </c>
      <c r="BA154" s="228">
        <v>34</v>
      </c>
      <c r="BB154" s="228">
        <v>127</v>
      </c>
      <c r="BC154" s="228">
        <v>-93</v>
      </c>
      <c r="BD154" s="229">
        <v>-0.73119999999999996</v>
      </c>
      <c r="BE154" s="228">
        <v>10</v>
      </c>
      <c r="BF154" s="228">
        <v>35</v>
      </c>
      <c r="BG154" s="228">
        <v>-25</v>
      </c>
      <c r="BH154" s="229">
        <v>-0.7147</v>
      </c>
      <c r="BI154" s="230">
        <v>1599</v>
      </c>
      <c r="BJ154" s="228">
        <v>798</v>
      </c>
      <c r="BK154" s="228">
        <v>801</v>
      </c>
      <c r="BL154" s="229">
        <v>1.0035000000000001</v>
      </c>
      <c r="BM154" s="228">
        <v>814</v>
      </c>
      <c r="BN154" s="228">
        <v>490</v>
      </c>
      <c r="BO154" s="228">
        <v>325</v>
      </c>
      <c r="BP154" s="229">
        <v>0.6633</v>
      </c>
      <c r="BQ154" s="230">
        <v>3018</v>
      </c>
      <c r="BR154" s="230">
        <v>1898</v>
      </c>
      <c r="BS154" s="230">
        <v>1120</v>
      </c>
      <c r="BT154" s="229">
        <v>0.58989999999999998</v>
      </c>
      <c r="BU154" s="230">
        <v>10398137</v>
      </c>
      <c r="BV154" s="230">
        <v>10904040</v>
      </c>
      <c r="BW154" s="230">
        <v>-505903</v>
      </c>
      <c r="BX154" s="229">
        <v>-4.6399999999999997E-2</v>
      </c>
      <c r="BY154" s="230">
        <v>2693</v>
      </c>
      <c r="BZ154" s="230">
        <v>2661</v>
      </c>
      <c r="CA154" s="228">
        <v>33</v>
      </c>
      <c r="CB154" s="229">
        <v>1.2200000000000001E-2</v>
      </c>
      <c r="CC154" s="230">
        <v>2321</v>
      </c>
      <c r="CD154" s="230">
        <v>2286</v>
      </c>
      <c r="CE154" s="228">
        <v>35</v>
      </c>
      <c r="CF154" s="229">
        <v>1.5100000000000001E-2</v>
      </c>
      <c r="CG154" s="228">
        <v>299</v>
      </c>
      <c r="CH154" s="228">
        <v>298</v>
      </c>
      <c r="CI154" s="228">
        <v>1</v>
      </c>
      <c r="CJ154" s="229">
        <v>1.8E-3</v>
      </c>
      <c r="CK154" s="228">
        <v>74</v>
      </c>
      <c r="CL154" s="228">
        <v>76</v>
      </c>
      <c r="CM154" s="228">
        <v>-3</v>
      </c>
      <c r="CN154" s="229">
        <v>-3.39E-2</v>
      </c>
      <c r="CO154" s="230">
        <v>1234</v>
      </c>
      <c r="CP154" s="230">
        <v>1245</v>
      </c>
      <c r="CQ154" s="228">
        <v>-11</v>
      </c>
      <c r="CR154" s="229">
        <v>-8.8000000000000005E-3</v>
      </c>
      <c r="CS154" s="228">
        <v>623</v>
      </c>
      <c r="CT154" s="228">
        <v>591</v>
      </c>
      <c r="CU154" s="228">
        <v>32</v>
      </c>
      <c r="CV154" s="229">
        <v>5.4100000000000002E-2</v>
      </c>
      <c r="CW154" s="230">
        <v>4550</v>
      </c>
      <c r="CX154" s="230">
        <v>4497</v>
      </c>
      <c r="CY154" s="228">
        <v>54</v>
      </c>
      <c r="CZ154" s="229">
        <v>1.1900000000000001E-2</v>
      </c>
      <c r="DA154" s="228">
        <v>33.19</v>
      </c>
      <c r="DB154" s="228">
        <v>36.03</v>
      </c>
      <c r="DC154" s="228">
        <v>-2.84</v>
      </c>
      <c r="DD154" s="228">
        <v>-2.84</v>
      </c>
      <c r="DE154" s="228">
        <v>41.03</v>
      </c>
      <c r="DF154" s="228">
        <v>40.619999999999997</v>
      </c>
      <c r="DG154" s="228">
        <v>-7.84</v>
      </c>
      <c r="DH154" s="228">
        <v>0.41</v>
      </c>
      <c r="DI154" s="228">
        <v>32.549999999999997</v>
      </c>
      <c r="DJ154" s="228">
        <v>35.090000000000003</v>
      </c>
      <c r="DK154" s="228">
        <v>-2.54</v>
      </c>
      <c r="DL154" s="228">
        <v>-2.54</v>
      </c>
      <c r="DM154" s="228">
        <v>34.450000000000003</v>
      </c>
      <c r="DN154" s="228">
        <v>37.57</v>
      </c>
      <c r="DO154" s="228">
        <v>-3.12</v>
      </c>
      <c r="DP154" s="228">
        <v>-3.12</v>
      </c>
      <c r="DQ154" s="228">
        <v>0.51</v>
      </c>
      <c r="DR154" s="228">
        <v>0.48</v>
      </c>
      <c r="DS154" s="228">
        <v>0.03</v>
      </c>
      <c r="DT154" s="229">
        <v>6.25E-2</v>
      </c>
      <c r="DU154" s="228">
        <v>450</v>
      </c>
      <c r="DV154" s="228">
        <v>400</v>
      </c>
      <c r="DW154" s="228">
        <v>0.51</v>
      </c>
      <c r="DX154" s="228">
        <v>0.61</v>
      </c>
      <c r="DY154" s="228">
        <v>-0.1</v>
      </c>
      <c r="DZ154" s="229">
        <v>-0.16389999999999999</v>
      </c>
      <c r="EA154" s="229">
        <v>0.13830000000000001</v>
      </c>
      <c r="EB154" s="230">
        <v>9042800</v>
      </c>
      <c r="EC154" s="229">
        <v>6.4999999999999997E-3</v>
      </c>
      <c r="ED154" s="229">
        <v>0.13830000000000001</v>
      </c>
      <c r="EE154" s="228">
        <v>2.93</v>
      </c>
      <c r="EF154" s="229">
        <v>7.1999999999999998E-3</v>
      </c>
      <c r="EG154" s="230">
        <v>4603136</v>
      </c>
      <c r="EH154" s="230">
        <v>6651938</v>
      </c>
      <c r="EI154" s="229">
        <v>-0.308</v>
      </c>
      <c r="EJ154" s="229">
        <v>0.44269999999999998</v>
      </c>
      <c r="EK154" s="231">
        <v>1664.7</v>
      </c>
      <c r="EL154" s="228">
        <v>792.96</v>
      </c>
      <c r="EM154" s="228">
        <v>597.17999999999995</v>
      </c>
      <c r="EN154" s="228">
        <v>94.5</v>
      </c>
      <c r="EO154" s="231">
        <v>3054.84</v>
      </c>
      <c r="EP154" s="231">
        <v>1862.41</v>
      </c>
      <c r="EQ154" s="231">
        <v>1192.43</v>
      </c>
      <c r="ER154" s="229">
        <v>0.64029999999999998</v>
      </c>
      <c r="ES154" s="231">
        <v>1285.3</v>
      </c>
      <c r="ET154" s="228">
        <v>596.54999999999995</v>
      </c>
      <c r="EU154" s="231">
        <v>2696.05</v>
      </c>
      <c r="EV154" s="231">
        <v>217835555</v>
      </c>
      <c r="EW154" s="231">
        <v>4577.8900000000003</v>
      </c>
      <c r="EX154" s="231">
        <v>4400.42</v>
      </c>
      <c r="EY154" s="228">
        <v>177.47</v>
      </c>
      <c r="EZ154" s="229">
        <v>4.0300000000000002E-2</v>
      </c>
      <c r="FA154" s="229">
        <v>0.50419999999999998</v>
      </c>
      <c r="FB154" s="227" t="s">
        <v>555</v>
      </c>
      <c r="FC154">
        <f t="shared" si="3"/>
        <v>0</v>
      </c>
    </row>
    <row r="155" spans="1:159" ht="17.25" thickBot="1" x14ac:dyDescent="0.3">
      <c r="A155" s="226">
        <v>46086</v>
      </c>
      <c r="B155" s="227" t="s">
        <v>184</v>
      </c>
      <c r="C155" s="227" t="s">
        <v>679</v>
      </c>
      <c r="D155" s="228">
        <v>950</v>
      </c>
      <c r="E155" s="228">
        <v>25</v>
      </c>
      <c r="F155" s="228">
        <v>616.95000000000005</v>
      </c>
      <c r="G155" s="228">
        <v>595.85</v>
      </c>
      <c r="H155" s="228">
        <v>21.1</v>
      </c>
      <c r="I155" s="229">
        <v>3.5400000000000001E-2</v>
      </c>
      <c r="J155" s="228">
        <v>614.45000000000005</v>
      </c>
      <c r="K155" s="228">
        <v>592.95000000000005</v>
      </c>
      <c r="L155" s="228">
        <v>21.5</v>
      </c>
      <c r="M155" s="229">
        <v>3.6299999999999999E-2</v>
      </c>
      <c r="N155" s="228">
        <v>616.95000000000005</v>
      </c>
      <c r="O155" s="228">
        <v>595.85</v>
      </c>
      <c r="P155" s="228">
        <v>21.1</v>
      </c>
      <c r="Q155" s="229">
        <v>3.5400000000000001E-2</v>
      </c>
      <c r="R155" s="228">
        <v>619.1</v>
      </c>
      <c r="S155" s="228">
        <v>598.9</v>
      </c>
      <c r="T155" s="228">
        <v>20.2</v>
      </c>
      <c r="U155" s="229">
        <v>3.3700000000000001E-2</v>
      </c>
      <c r="V155" s="228">
        <v>603</v>
      </c>
      <c r="W155" s="228">
        <v>603</v>
      </c>
      <c r="X155" s="228">
        <v>0</v>
      </c>
      <c r="Y155" s="229">
        <v>0</v>
      </c>
      <c r="Z155" s="228">
        <v>2.5</v>
      </c>
      <c r="AA155" s="228">
        <v>2.9</v>
      </c>
      <c r="AB155" s="228">
        <v>-0.4</v>
      </c>
      <c r="AC155" s="229">
        <v>4.1000000000000003E-3</v>
      </c>
      <c r="AD155" s="228">
        <v>2.5</v>
      </c>
      <c r="AE155" s="228">
        <v>2.9</v>
      </c>
      <c r="AF155" s="228">
        <v>-0.4</v>
      </c>
      <c r="AG155" s="229">
        <v>4.1000000000000003E-3</v>
      </c>
      <c r="AH155" s="228">
        <v>4.6500000000000004</v>
      </c>
      <c r="AI155" s="228">
        <v>5.95</v>
      </c>
      <c r="AJ155" s="228">
        <v>-1.3</v>
      </c>
      <c r="AK155" s="229">
        <v>7.6E-3</v>
      </c>
      <c r="AL155" s="228">
        <v>-11.45</v>
      </c>
      <c r="AM155" s="228">
        <v>10.050000000000001</v>
      </c>
      <c r="AN155" s="228">
        <v>-21.5</v>
      </c>
      <c r="AO155" s="229">
        <v>-1.8599999999999998E-2</v>
      </c>
      <c r="AP155" s="228">
        <v>604.91</v>
      </c>
      <c r="AQ155" s="228">
        <v>606.09</v>
      </c>
      <c r="AR155" s="228">
        <v>0</v>
      </c>
      <c r="AS155" s="228">
        <v>297</v>
      </c>
      <c r="AT155" s="228">
        <v>236</v>
      </c>
      <c r="AU155" s="228">
        <v>60</v>
      </c>
      <c r="AV155" s="229">
        <v>0.25469999999999998</v>
      </c>
      <c r="AW155" s="228">
        <v>286</v>
      </c>
      <c r="AX155" s="228">
        <v>230</v>
      </c>
      <c r="AY155" s="228">
        <v>56</v>
      </c>
      <c r="AZ155" s="229">
        <v>0.2437</v>
      </c>
      <c r="BA155" s="228">
        <v>11</v>
      </c>
      <c r="BB155" s="228">
        <v>6</v>
      </c>
      <c r="BC155" s="228">
        <v>5</v>
      </c>
      <c r="BD155" s="229">
        <v>0.72899999999999998</v>
      </c>
      <c r="BE155" s="228">
        <v>0</v>
      </c>
      <c r="BF155" s="228">
        <v>0</v>
      </c>
      <c r="BG155" s="228">
        <v>0</v>
      </c>
      <c r="BH155" s="229">
        <v>-0.85709999999999997</v>
      </c>
      <c r="BI155" s="228">
        <v>533</v>
      </c>
      <c r="BJ155" s="228">
        <v>381</v>
      </c>
      <c r="BK155" s="228">
        <v>152</v>
      </c>
      <c r="BL155" s="229">
        <v>0.39889999999999998</v>
      </c>
      <c r="BM155" s="228">
        <v>240</v>
      </c>
      <c r="BN155" s="228">
        <v>373</v>
      </c>
      <c r="BO155" s="228">
        <v>-133</v>
      </c>
      <c r="BP155" s="229">
        <v>-0.35749999999999998</v>
      </c>
      <c r="BQ155" s="230">
        <v>1070</v>
      </c>
      <c r="BR155" s="228">
        <v>991</v>
      </c>
      <c r="BS155" s="228">
        <v>79</v>
      </c>
      <c r="BT155" s="229">
        <v>7.9600000000000004E-2</v>
      </c>
      <c r="BU155" s="230">
        <v>2194125</v>
      </c>
      <c r="BV155" s="230">
        <v>2917732</v>
      </c>
      <c r="BW155" s="230">
        <v>-723607</v>
      </c>
      <c r="BX155" s="229">
        <v>-0.248</v>
      </c>
      <c r="BY155" s="228">
        <v>730</v>
      </c>
      <c r="BZ155" s="228">
        <v>706</v>
      </c>
      <c r="CA155" s="228">
        <v>24</v>
      </c>
      <c r="CB155" s="229">
        <v>3.4099999999999998E-2</v>
      </c>
      <c r="CC155" s="228">
        <v>721</v>
      </c>
      <c r="CD155" s="228">
        <v>698</v>
      </c>
      <c r="CE155" s="228">
        <v>23</v>
      </c>
      <c r="CF155" s="229">
        <v>3.32E-2</v>
      </c>
      <c r="CG155" s="228">
        <v>8</v>
      </c>
      <c r="CH155" s="228">
        <v>8</v>
      </c>
      <c r="CI155" s="228">
        <v>1</v>
      </c>
      <c r="CJ155" s="229">
        <v>0.1172</v>
      </c>
      <c r="CK155" s="228">
        <v>1</v>
      </c>
      <c r="CL155" s="228">
        <v>1</v>
      </c>
      <c r="CM155" s="228">
        <v>0</v>
      </c>
      <c r="CN155" s="229">
        <v>9.0899999999999995E-2</v>
      </c>
      <c r="CO155" s="228">
        <v>248</v>
      </c>
      <c r="CP155" s="228">
        <v>200</v>
      </c>
      <c r="CQ155" s="228">
        <v>47</v>
      </c>
      <c r="CR155" s="229">
        <v>0.23619999999999999</v>
      </c>
      <c r="CS155" s="228">
        <v>205</v>
      </c>
      <c r="CT155" s="228">
        <v>178</v>
      </c>
      <c r="CU155" s="228">
        <v>27</v>
      </c>
      <c r="CV155" s="229">
        <v>0.152</v>
      </c>
      <c r="CW155" s="230">
        <v>1182</v>
      </c>
      <c r="CX155" s="230">
        <v>1084</v>
      </c>
      <c r="CY155" s="228">
        <v>98</v>
      </c>
      <c r="CZ155" s="229">
        <v>9.0800000000000006E-2</v>
      </c>
      <c r="DA155" s="228">
        <v>38.22</v>
      </c>
      <c r="DB155" s="228">
        <v>43.07</v>
      </c>
      <c r="DC155" s="228">
        <v>-4.8499999999999996</v>
      </c>
      <c r="DD155" s="228">
        <v>-4.8499999999999996</v>
      </c>
      <c r="DE155" s="228">
        <v>61.67</v>
      </c>
      <c r="DF155" s="228">
        <v>61.64</v>
      </c>
      <c r="DG155" s="228">
        <v>-23.45</v>
      </c>
      <c r="DH155" s="228">
        <v>0.03</v>
      </c>
      <c r="DI155" s="228">
        <v>37.49</v>
      </c>
      <c r="DJ155" s="228">
        <v>41.96</v>
      </c>
      <c r="DK155" s="228">
        <v>-4.47</v>
      </c>
      <c r="DL155" s="228">
        <v>-4.47</v>
      </c>
      <c r="DM155" s="228">
        <v>39.83</v>
      </c>
      <c r="DN155" s="228">
        <v>44.2</v>
      </c>
      <c r="DO155" s="228">
        <v>-4.37</v>
      </c>
      <c r="DP155" s="228">
        <v>-4.37</v>
      </c>
      <c r="DQ155" s="228">
        <v>0.83</v>
      </c>
      <c r="DR155" s="228">
        <v>0.89</v>
      </c>
      <c r="DS155" s="228">
        <v>-0.06</v>
      </c>
      <c r="DT155" s="229">
        <v>-6.7400000000000002E-2</v>
      </c>
      <c r="DU155" s="228">
        <v>700</v>
      </c>
      <c r="DV155" s="228">
        <v>550</v>
      </c>
      <c r="DW155" s="228">
        <v>0.45</v>
      </c>
      <c r="DX155" s="228">
        <v>0.98</v>
      </c>
      <c r="DY155" s="228">
        <v>-0.53</v>
      </c>
      <c r="DZ155" s="229">
        <v>-0.54079999999999995</v>
      </c>
      <c r="EA155" s="229">
        <v>1.24E-2</v>
      </c>
      <c r="EB155" s="230">
        <v>132050</v>
      </c>
      <c r="EC155" s="229">
        <v>3.5000000000000001E-3</v>
      </c>
      <c r="ED155" s="229">
        <v>1.24E-2</v>
      </c>
      <c r="EE155" s="228">
        <v>1.18</v>
      </c>
      <c r="EF155" s="229">
        <v>2E-3</v>
      </c>
      <c r="EG155" s="230">
        <v>602141</v>
      </c>
      <c r="EH155" s="230">
        <v>898853</v>
      </c>
      <c r="EI155" s="229">
        <v>-0.3301</v>
      </c>
      <c r="EJ155" s="229">
        <v>0.27439999999999998</v>
      </c>
      <c r="EK155" s="228">
        <v>558.59</v>
      </c>
      <c r="EL155" s="228">
        <v>230.92</v>
      </c>
      <c r="EM155" s="228">
        <v>290.74</v>
      </c>
      <c r="EN155" s="228">
        <v>31.59</v>
      </c>
      <c r="EO155" s="231">
        <v>1080.26</v>
      </c>
      <c r="EP155" s="228">
        <v>983.26</v>
      </c>
      <c r="EQ155" s="228">
        <v>96.99</v>
      </c>
      <c r="ER155" s="229">
        <v>9.8599999999999993E-2</v>
      </c>
      <c r="ES155" s="228">
        <v>258.85000000000002</v>
      </c>
      <c r="ET155" s="228">
        <v>190.42</v>
      </c>
      <c r="EU155" s="228">
        <v>730.06</v>
      </c>
      <c r="EV155" s="231">
        <v>24030912</v>
      </c>
      <c r="EW155" s="231">
        <v>1179.33</v>
      </c>
      <c r="EX155" s="231">
        <v>1057.1400000000001</v>
      </c>
      <c r="EY155" s="228">
        <v>122.19</v>
      </c>
      <c r="EZ155" s="229">
        <v>0.11559999999999999</v>
      </c>
      <c r="FA155" s="229">
        <v>0.79749999999999999</v>
      </c>
      <c r="FB155" s="227" t="s">
        <v>555</v>
      </c>
      <c r="FC155">
        <f t="shared" si="3"/>
        <v>0</v>
      </c>
    </row>
    <row r="156" spans="1:159" ht="17.25" thickBot="1" x14ac:dyDescent="0.3">
      <c r="A156" s="226">
        <v>46086</v>
      </c>
      <c r="B156" s="227" t="s">
        <v>206</v>
      </c>
      <c r="C156" s="227" t="s">
        <v>645</v>
      </c>
      <c r="D156" s="228">
        <v>350</v>
      </c>
      <c r="E156" s="228">
        <v>25</v>
      </c>
      <c r="F156" s="231">
        <v>1637.3</v>
      </c>
      <c r="G156" s="231">
        <v>1617.1</v>
      </c>
      <c r="H156" s="228">
        <v>20.2</v>
      </c>
      <c r="I156" s="229">
        <v>1.2500000000000001E-2</v>
      </c>
      <c r="J156" s="231">
        <v>1633.6</v>
      </c>
      <c r="K156" s="231">
        <v>1611</v>
      </c>
      <c r="L156" s="228">
        <v>22.6</v>
      </c>
      <c r="M156" s="229">
        <v>1.4E-2</v>
      </c>
      <c r="N156" s="231">
        <v>1637.3</v>
      </c>
      <c r="O156" s="231">
        <v>1617.1</v>
      </c>
      <c r="P156" s="228">
        <v>20.2</v>
      </c>
      <c r="Q156" s="229">
        <v>1.2500000000000001E-2</v>
      </c>
      <c r="R156" s="231">
        <v>1643.8</v>
      </c>
      <c r="S156" s="231">
        <v>1627.7</v>
      </c>
      <c r="T156" s="228">
        <v>16.100000000000001</v>
      </c>
      <c r="U156" s="229">
        <v>9.9000000000000008E-3</v>
      </c>
      <c r="V156" s="231">
        <v>1662.6</v>
      </c>
      <c r="W156" s="231">
        <v>1664.5</v>
      </c>
      <c r="X156" s="228">
        <v>-1.9</v>
      </c>
      <c r="Y156" s="229">
        <v>-1.1000000000000001E-3</v>
      </c>
      <c r="Z156" s="228">
        <v>3.7</v>
      </c>
      <c r="AA156" s="228">
        <v>6.1</v>
      </c>
      <c r="AB156" s="228">
        <v>-2.4</v>
      </c>
      <c r="AC156" s="229">
        <v>2.3E-3</v>
      </c>
      <c r="AD156" s="228">
        <v>3.7</v>
      </c>
      <c r="AE156" s="228">
        <v>6.1</v>
      </c>
      <c r="AF156" s="228">
        <v>-2.4</v>
      </c>
      <c r="AG156" s="229">
        <v>2.3E-3</v>
      </c>
      <c r="AH156" s="228">
        <v>10.199999999999999</v>
      </c>
      <c r="AI156" s="228">
        <v>16.7</v>
      </c>
      <c r="AJ156" s="228">
        <v>-6.5</v>
      </c>
      <c r="AK156" s="229">
        <v>6.1999999999999998E-3</v>
      </c>
      <c r="AL156" s="228">
        <v>29</v>
      </c>
      <c r="AM156" s="228">
        <v>53.5</v>
      </c>
      <c r="AN156" s="228">
        <v>-24.5</v>
      </c>
      <c r="AO156" s="229">
        <v>1.78E-2</v>
      </c>
      <c r="AP156" s="231">
        <v>1641.08</v>
      </c>
      <c r="AQ156" s="231">
        <v>1653.48</v>
      </c>
      <c r="AR156" s="228">
        <v>0</v>
      </c>
      <c r="AS156" s="228">
        <v>249</v>
      </c>
      <c r="AT156" s="228">
        <v>67</v>
      </c>
      <c r="AU156" s="228">
        <v>182</v>
      </c>
      <c r="AV156" s="229">
        <v>2.7360000000000002</v>
      </c>
      <c r="AW156" s="228">
        <v>209</v>
      </c>
      <c r="AX156" s="228">
        <v>66</v>
      </c>
      <c r="AY156" s="228">
        <v>143</v>
      </c>
      <c r="AZ156" s="229">
        <v>2.1667999999999998</v>
      </c>
      <c r="BA156" s="228">
        <v>40</v>
      </c>
      <c r="BB156" s="228">
        <v>1</v>
      </c>
      <c r="BC156" s="228">
        <v>39</v>
      </c>
      <c r="BD156" s="229">
        <v>57.25</v>
      </c>
      <c r="BE156" s="228">
        <v>0</v>
      </c>
      <c r="BF156" s="228">
        <v>0</v>
      </c>
      <c r="BG156" s="228">
        <v>0</v>
      </c>
      <c r="BH156" s="229">
        <v>0</v>
      </c>
      <c r="BI156" s="228">
        <v>518</v>
      </c>
      <c r="BJ156" s="228">
        <v>112</v>
      </c>
      <c r="BK156" s="228">
        <v>406</v>
      </c>
      <c r="BL156" s="229">
        <v>3.6313</v>
      </c>
      <c r="BM156" s="228">
        <v>291</v>
      </c>
      <c r="BN156" s="228">
        <v>74</v>
      </c>
      <c r="BO156" s="228">
        <v>217</v>
      </c>
      <c r="BP156" s="229">
        <v>2.9401999999999999</v>
      </c>
      <c r="BQ156" s="230">
        <v>1058</v>
      </c>
      <c r="BR156" s="228">
        <v>252</v>
      </c>
      <c r="BS156" s="228">
        <v>806</v>
      </c>
      <c r="BT156" s="229">
        <v>3.1928000000000001</v>
      </c>
      <c r="BU156" s="230">
        <v>662910</v>
      </c>
      <c r="BV156" s="230">
        <v>418717</v>
      </c>
      <c r="BW156" s="230">
        <v>244193</v>
      </c>
      <c r="BX156" s="229">
        <v>0.58320000000000005</v>
      </c>
      <c r="BY156" s="228">
        <v>662</v>
      </c>
      <c r="BZ156" s="228">
        <v>652</v>
      </c>
      <c r="CA156" s="228">
        <v>9</v>
      </c>
      <c r="CB156" s="229">
        <v>1.41E-2</v>
      </c>
      <c r="CC156" s="228">
        <v>655</v>
      </c>
      <c r="CD156" s="228">
        <v>650</v>
      </c>
      <c r="CE156" s="228">
        <v>5</v>
      </c>
      <c r="CF156" s="229">
        <v>7.4999999999999997E-3</v>
      </c>
      <c r="CG156" s="228">
        <v>6</v>
      </c>
      <c r="CH156" s="228">
        <v>2</v>
      </c>
      <c r="CI156" s="228">
        <v>4</v>
      </c>
      <c r="CJ156" s="229">
        <v>2.0270000000000001</v>
      </c>
      <c r="CK156" s="228">
        <v>0</v>
      </c>
      <c r="CL156" s="228">
        <v>0</v>
      </c>
      <c r="CM156" s="228">
        <v>0</v>
      </c>
      <c r="CN156" s="229">
        <v>0</v>
      </c>
      <c r="CO156" s="228">
        <v>162</v>
      </c>
      <c r="CP156" s="228">
        <v>134</v>
      </c>
      <c r="CQ156" s="228">
        <v>28</v>
      </c>
      <c r="CR156" s="229">
        <v>0.2117</v>
      </c>
      <c r="CS156" s="228">
        <v>94</v>
      </c>
      <c r="CT156" s="228">
        <v>84</v>
      </c>
      <c r="CU156" s="228">
        <v>10</v>
      </c>
      <c r="CV156" s="229">
        <v>0.1192</v>
      </c>
      <c r="CW156" s="228">
        <v>918</v>
      </c>
      <c r="CX156" s="228">
        <v>870</v>
      </c>
      <c r="CY156" s="228">
        <v>48</v>
      </c>
      <c r="CZ156" s="229">
        <v>5.4600000000000003E-2</v>
      </c>
      <c r="DA156" s="228">
        <v>28.59</v>
      </c>
      <c r="DB156" s="228">
        <v>30.22</v>
      </c>
      <c r="DC156" s="228">
        <v>-1.63</v>
      </c>
      <c r="DD156" s="228">
        <v>-1.63</v>
      </c>
      <c r="DE156" s="228">
        <v>38.51</v>
      </c>
      <c r="DF156" s="228">
        <v>38.57</v>
      </c>
      <c r="DG156" s="228">
        <v>-9.92</v>
      </c>
      <c r="DH156" s="228">
        <v>-0.06</v>
      </c>
      <c r="DI156" s="228">
        <v>28.02</v>
      </c>
      <c r="DJ156" s="228">
        <v>29.14</v>
      </c>
      <c r="DK156" s="228">
        <v>-1.1200000000000001</v>
      </c>
      <c r="DL156" s="228">
        <v>-1.1200000000000001</v>
      </c>
      <c r="DM156" s="228">
        <v>29.6</v>
      </c>
      <c r="DN156" s="228">
        <v>31.86</v>
      </c>
      <c r="DO156" s="228">
        <v>-2.2599999999999998</v>
      </c>
      <c r="DP156" s="228">
        <v>-2.2599999999999998</v>
      </c>
      <c r="DQ156" s="228">
        <v>0.57999999999999996</v>
      </c>
      <c r="DR156" s="228">
        <v>0.63</v>
      </c>
      <c r="DS156" s="228">
        <v>-0.05</v>
      </c>
      <c r="DT156" s="229">
        <v>-7.9399999999999998E-2</v>
      </c>
      <c r="DU156" s="231">
        <v>1720</v>
      </c>
      <c r="DV156" s="231">
        <v>1800</v>
      </c>
      <c r="DW156" s="228">
        <v>0.56000000000000005</v>
      </c>
      <c r="DX156" s="228">
        <v>0.66</v>
      </c>
      <c r="DY156" s="228">
        <v>-0.1</v>
      </c>
      <c r="DZ156" s="229">
        <v>-0.1515</v>
      </c>
      <c r="EA156" s="229">
        <v>9.7999999999999997E-3</v>
      </c>
      <c r="EB156" s="230">
        <v>13300</v>
      </c>
      <c r="EC156" s="229">
        <v>4.0000000000000001E-3</v>
      </c>
      <c r="ED156" s="229">
        <v>9.7999999999999997E-3</v>
      </c>
      <c r="EE156" s="228">
        <v>12.4</v>
      </c>
      <c r="EF156" s="229">
        <v>7.6E-3</v>
      </c>
      <c r="EG156" s="230">
        <v>184905</v>
      </c>
      <c r="EH156" s="230">
        <v>222407</v>
      </c>
      <c r="EI156" s="229">
        <v>-0.1686</v>
      </c>
      <c r="EJ156" s="229">
        <v>0.27889999999999998</v>
      </c>
      <c r="EK156" s="228">
        <v>543.52</v>
      </c>
      <c r="EL156" s="228">
        <v>292.33</v>
      </c>
      <c r="EM156" s="228">
        <v>249.87</v>
      </c>
      <c r="EN156" s="228">
        <v>13.42</v>
      </c>
      <c r="EO156" s="231">
        <v>1085.71</v>
      </c>
      <c r="EP156" s="228">
        <v>258.31</v>
      </c>
      <c r="EQ156" s="228">
        <v>827.4</v>
      </c>
      <c r="ER156" s="229">
        <v>3.2031000000000001</v>
      </c>
      <c r="ES156" s="228">
        <v>171.77</v>
      </c>
      <c r="ET156" s="228">
        <v>95.27</v>
      </c>
      <c r="EU156" s="228">
        <v>661.56</v>
      </c>
      <c r="EV156" s="231">
        <v>19533471</v>
      </c>
      <c r="EW156" s="228">
        <v>928.6</v>
      </c>
      <c r="EX156" s="228">
        <v>871.84</v>
      </c>
      <c r="EY156" s="228">
        <v>56.76</v>
      </c>
      <c r="EZ156" s="229">
        <v>6.5100000000000005E-2</v>
      </c>
      <c r="FA156" s="229">
        <v>0.28689999999999999</v>
      </c>
      <c r="FB156" s="227" t="s">
        <v>555</v>
      </c>
      <c r="FC156">
        <f t="shared" si="3"/>
        <v>0</v>
      </c>
    </row>
    <row r="157" spans="1:159" ht="17.25" thickBot="1" x14ac:dyDescent="0.3">
      <c r="A157" s="226">
        <v>46086</v>
      </c>
      <c r="B157" s="227" t="s">
        <v>168</v>
      </c>
      <c r="C157" s="227" t="s">
        <v>274</v>
      </c>
      <c r="D157" s="228">
        <v>500</v>
      </c>
      <c r="E157" s="228">
        <v>25</v>
      </c>
      <c r="F157" s="231">
        <v>1446.6</v>
      </c>
      <c r="G157" s="231">
        <v>1440.8</v>
      </c>
      <c r="H157" s="228">
        <v>5.8</v>
      </c>
      <c r="I157" s="229">
        <v>4.0000000000000001E-3</v>
      </c>
      <c r="J157" s="231">
        <v>1445.9</v>
      </c>
      <c r="K157" s="231">
        <v>1439.1</v>
      </c>
      <c r="L157" s="228">
        <v>6.8</v>
      </c>
      <c r="M157" s="229">
        <v>4.7000000000000002E-3</v>
      </c>
      <c r="N157" s="231">
        <v>1446.6</v>
      </c>
      <c r="O157" s="231">
        <v>1440.8</v>
      </c>
      <c r="P157" s="228">
        <v>5.8</v>
      </c>
      <c r="Q157" s="229">
        <v>4.0000000000000001E-3</v>
      </c>
      <c r="R157" s="231">
        <v>1454.8</v>
      </c>
      <c r="S157" s="231">
        <v>1448.5</v>
      </c>
      <c r="T157" s="228">
        <v>6.3</v>
      </c>
      <c r="U157" s="229">
        <v>4.3E-3</v>
      </c>
      <c r="V157" s="231">
        <v>1441</v>
      </c>
      <c r="W157" s="231">
        <v>1461</v>
      </c>
      <c r="X157" s="228">
        <v>-20</v>
      </c>
      <c r="Y157" s="229">
        <v>-1.37E-2</v>
      </c>
      <c r="Z157" s="228">
        <v>0.7</v>
      </c>
      <c r="AA157" s="228">
        <v>1.7</v>
      </c>
      <c r="AB157" s="228">
        <v>-1</v>
      </c>
      <c r="AC157" s="229">
        <v>5.0000000000000001E-4</v>
      </c>
      <c r="AD157" s="228">
        <v>0.7</v>
      </c>
      <c r="AE157" s="228">
        <v>1.7</v>
      </c>
      <c r="AF157" s="228">
        <v>-1</v>
      </c>
      <c r="AG157" s="229">
        <v>5.0000000000000001E-4</v>
      </c>
      <c r="AH157" s="228">
        <v>8.9</v>
      </c>
      <c r="AI157" s="228">
        <v>9.4</v>
      </c>
      <c r="AJ157" s="228">
        <v>-0.5</v>
      </c>
      <c r="AK157" s="229">
        <v>6.1999999999999998E-3</v>
      </c>
      <c r="AL157" s="228">
        <v>-4.9000000000000004</v>
      </c>
      <c r="AM157" s="228">
        <v>21.9</v>
      </c>
      <c r="AN157" s="228">
        <v>-26.8</v>
      </c>
      <c r="AO157" s="229">
        <v>-3.3999999999999998E-3</v>
      </c>
      <c r="AP157" s="231">
        <v>1436.65</v>
      </c>
      <c r="AQ157" s="231">
        <v>1447.41</v>
      </c>
      <c r="AR157" s="228">
        <v>0</v>
      </c>
      <c r="AS157" s="228">
        <v>153</v>
      </c>
      <c r="AT157" s="228">
        <v>184</v>
      </c>
      <c r="AU157" s="228">
        <v>-30</v>
      </c>
      <c r="AV157" s="229">
        <v>-0.16500000000000001</v>
      </c>
      <c r="AW157" s="228">
        <v>150</v>
      </c>
      <c r="AX157" s="228">
        <v>179</v>
      </c>
      <c r="AY157" s="228">
        <v>-29</v>
      </c>
      <c r="AZ157" s="229">
        <v>-0.16220000000000001</v>
      </c>
      <c r="BA157" s="228">
        <v>3</v>
      </c>
      <c r="BB157" s="228">
        <v>4</v>
      </c>
      <c r="BC157" s="228">
        <v>-1</v>
      </c>
      <c r="BD157" s="229">
        <v>-0.2545</v>
      </c>
      <c r="BE157" s="228">
        <v>0</v>
      </c>
      <c r="BF157" s="228">
        <v>0</v>
      </c>
      <c r="BG157" s="228">
        <v>0</v>
      </c>
      <c r="BH157" s="229">
        <v>-0.5</v>
      </c>
      <c r="BI157" s="228">
        <v>174</v>
      </c>
      <c r="BJ157" s="228">
        <v>213</v>
      </c>
      <c r="BK157" s="228">
        <v>-40</v>
      </c>
      <c r="BL157" s="229">
        <v>-0.186</v>
      </c>
      <c r="BM157" s="228">
        <v>77</v>
      </c>
      <c r="BN157" s="228">
        <v>130</v>
      </c>
      <c r="BO157" s="228">
        <v>-52</v>
      </c>
      <c r="BP157" s="229">
        <v>-0.40300000000000002</v>
      </c>
      <c r="BQ157" s="228">
        <v>405</v>
      </c>
      <c r="BR157" s="228">
        <v>527</v>
      </c>
      <c r="BS157" s="228">
        <v>-122</v>
      </c>
      <c r="BT157" s="229">
        <v>-0.2321</v>
      </c>
      <c r="BU157" s="230">
        <v>582625</v>
      </c>
      <c r="BV157" s="230">
        <v>1150718</v>
      </c>
      <c r="BW157" s="230">
        <v>-568093</v>
      </c>
      <c r="BX157" s="229">
        <v>-0.49370000000000003</v>
      </c>
      <c r="BY157" s="230">
        <v>1131</v>
      </c>
      <c r="BZ157" s="230">
        <v>1133</v>
      </c>
      <c r="CA157" s="228">
        <v>-1</v>
      </c>
      <c r="CB157" s="229">
        <v>-1E-3</v>
      </c>
      <c r="CC157" s="230">
        <v>1125</v>
      </c>
      <c r="CD157" s="230">
        <v>1126</v>
      </c>
      <c r="CE157" s="228">
        <v>-1</v>
      </c>
      <c r="CF157" s="229">
        <v>-1E-3</v>
      </c>
      <c r="CG157" s="228">
        <v>5</v>
      </c>
      <c r="CH157" s="228">
        <v>5</v>
      </c>
      <c r="CI157" s="228">
        <v>0</v>
      </c>
      <c r="CJ157" s="229">
        <v>0</v>
      </c>
      <c r="CK157" s="228">
        <v>1</v>
      </c>
      <c r="CL157" s="228">
        <v>1</v>
      </c>
      <c r="CM157" s="228">
        <v>0</v>
      </c>
      <c r="CN157" s="229">
        <v>-6.6699999999999995E-2</v>
      </c>
      <c r="CO157" s="228">
        <v>209</v>
      </c>
      <c r="CP157" s="228">
        <v>194</v>
      </c>
      <c r="CQ157" s="228">
        <v>15</v>
      </c>
      <c r="CR157" s="229">
        <v>7.8399999999999997E-2</v>
      </c>
      <c r="CS157" s="228">
        <v>108</v>
      </c>
      <c r="CT157" s="228">
        <v>110</v>
      </c>
      <c r="CU157" s="228">
        <v>-1</v>
      </c>
      <c r="CV157" s="229">
        <v>-1.32E-2</v>
      </c>
      <c r="CW157" s="230">
        <v>1448</v>
      </c>
      <c r="CX157" s="230">
        <v>1436</v>
      </c>
      <c r="CY157" s="228">
        <v>13</v>
      </c>
      <c r="CZ157" s="229">
        <v>8.8000000000000005E-3</v>
      </c>
      <c r="DA157" s="228">
        <v>20.94</v>
      </c>
      <c r="DB157" s="228">
        <v>23.39</v>
      </c>
      <c r="DC157" s="228">
        <v>-2.4500000000000002</v>
      </c>
      <c r="DD157" s="228">
        <v>-2.4500000000000002</v>
      </c>
      <c r="DE157" s="228">
        <v>21.4</v>
      </c>
      <c r="DF157" s="228">
        <v>21.45</v>
      </c>
      <c r="DG157" s="228">
        <v>-0.46</v>
      </c>
      <c r="DH157" s="228">
        <v>-0.05</v>
      </c>
      <c r="DI157" s="228">
        <v>20.38</v>
      </c>
      <c r="DJ157" s="228">
        <v>22.55</v>
      </c>
      <c r="DK157" s="228">
        <v>-2.17</v>
      </c>
      <c r="DL157" s="228">
        <v>-2.17</v>
      </c>
      <c r="DM157" s="228">
        <v>22.19</v>
      </c>
      <c r="DN157" s="228">
        <v>24.76</v>
      </c>
      <c r="DO157" s="228">
        <v>-2.57</v>
      </c>
      <c r="DP157" s="228">
        <v>-2.57</v>
      </c>
      <c r="DQ157" s="228">
        <v>0.52</v>
      </c>
      <c r="DR157" s="228">
        <v>0.56999999999999995</v>
      </c>
      <c r="DS157" s="228">
        <v>-0.05</v>
      </c>
      <c r="DT157" s="229">
        <v>-8.77E-2</v>
      </c>
      <c r="DU157" s="231">
        <v>1560</v>
      </c>
      <c r="DV157" s="231">
        <v>1400</v>
      </c>
      <c r="DW157" s="228">
        <v>0.45</v>
      </c>
      <c r="DX157" s="228">
        <v>0.61</v>
      </c>
      <c r="DY157" s="228">
        <v>-0.16</v>
      </c>
      <c r="DZ157" s="229">
        <v>-0.26229999999999998</v>
      </c>
      <c r="EA157" s="229">
        <v>5.7000000000000002E-3</v>
      </c>
      <c r="EB157" s="230">
        <v>45000</v>
      </c>
      <c r="EC157" s="229">
        <v>5.7000000000000002E-3</v>
      </c>
      <c r="ED157" s="229">
        <v>5.7000000000000002E-3</v>
      </c>
      <c r="EE157" s="228">
        <v>10.76</v>
      </c>
      <c r="EF157" s="229">
        <v>7.4999999999999997E-3</v>
      </c>
      <c r="EG157" s="230">
        <v>328455</v>
      </c>
      <c r="EH157" s="230">
        <v>716714</v>
      </c>
      <c r="EI157" s="229">
        <v>-0.54169999999999996</v>
      </c>
      <c r="EJ157" s="229">
        <v>0.56379999999999997</v>
      </c>
      <c r="EK157" s="228">
        <v>181.53</v>
      </c>
      <c r="EL157" s="228">
        <v>76.14</v>
      </c>
      <c r="EM157" s="228">
        <v>152.38</v>
      </c>
      <c r="EN157" s="228">
        <v>26.12</v>
      </c>
      <c r="EO157" s="228">
        <v>410.05</v>
      </c>
      <c r="EP157" s="228">
        <v>535.53</v>
      </c>
      <c r="EQ157" s="228">
        <v>-125.48</v>
      </c>
      <c r="ER157" s="229">
        <v>-0.23430000000000001</v>
      </c>
      <c r="ES157" s="228">
        <v>220.37</v>
      </c>
      <c r="ET157" s="228">
        <v>107.16</v>
      </c>
      <c r="EU157" s="231">
        <v>1131.4100000000001</v>
      </c>
      <c r="EV157" s="231">
        <v>31214205</v>
      </c>
      <c r="EW157" s="231">
        <v>1458.94</v>
      </c>
      <c r="EX157" s="231">
        <v>1441.31</v>
      </c>
      <c r="EY157" s="228">
        <v>17.63</v>
      </c>
      <c r="EZ157" s="229">
        <v>1.2200000000000001E-2</v>
      </c>
      <c r="FA157" s="229">
        <v>0.32069999999999999</v>
      </c>
      <c r="FB157" s="227" t="s">
        <v>556</v>
      </c>
      <c r="FC157">
        <f t="shared" si="3"/>
        <v>0</v>
      </c>
    </row>
    <row r="158" spans="1:159" ht="17.25" thickBot="1" x14ac:dyDescent="0.3">
      <c r="A158" s="226">
        <v>46086</v>
      </c>
      <c r="B158" s="227" t="s">
        <v>498</v>
      </c>
      <c r="C158" s="227" t="s">
        <v>483</v>
      </c>
      <c r="D158" s="228">
        <v>175</v>
      </c>
      <c r="E158" s="228">
        <v>25</v>
      </c>
      <c r="F158" s="231">
        <v>3080.4</v>
      </c>
      <c r="G158" s="231">
        <v>3038.6</v>
      </c>
      <c r="H158" s="228">
        <v>41.8</v>
      </c>
      <c r="I158" s="229">
        <v>1.38E-2</v>
      </c>
      <c r="J158" s="231">
        <v>3089</v>
      </c>
      <c r="K158" s="231">
        <v>3063.5</v>
      </c>
      <c r="L158" s="228">
        <v>25.5</v>
      </c>
      <c r="M158" s="229">
        <v>8.3000000000000001E-3</v>
      </c>
      <c r="N158" s="231">
        <v>3080.4</v>
      </c>
      <c r="O158" s="231">
        <v>3038.6</v>
      </c>
      <c r="P158" s="228">
        <v>41.8</v>
      </c>
      <c r="Q158" s="229">
        <v>1.38E-2</v>
      </c>
      <c r="R158" s="231">
        <v>3053.7</v>
      </c>
      <c r="S158" s="231">
        <v>3004.2</v>
      </c>
      <c r="T158" s="228">
        <v>49.5</v>
      </c>
      <c r="U158" s="229">
        <v>1.6500000000000001E-2</v>
      </c>
      <c r="V158" s="231">
        <v>3025</v>
      </c>
      <c r="W158" s="231">
        <v>2993.8</v>
      </c>
      <c r="X158" s="228">
        <v>31.2</v>
      </c>
      <c r="Y158" s="229">
        <v>1.04E-2</v>
      </c>
      <c r="Z158" s="228">
        <v>-8.6</v>
      </c>
      <c r="AA158" s="228">
        <v>-24.9</v>
      </c>
      <c r="AB158" s="228">
        <v>16.3</v>
      </c>
      <c r="AC158" s="229">
        <v>-2.8E-3</v>
      </c>
      <c r="AD158" s="228">
        <v>-8.6</v>
      </c>
      <c r="AE158" s="228">
        <v>-24.9</v>
      </c>
      <c r="AF158" s="228">
        <v>16.3</v>
      </c>
      <c r="AG158" s="229">
        <v>-2.8E-3</v>
      </c>
      <c r="AH158" s="228">
        <v>-35.299999999999997</v>
      </c>
      <c r="AI158" s="228">
        <v>-59.3</v>
      </c>
      <c r="AJ158" s="228">
        <v>24</v>
      </c>
      <c r="AK158" s="229">
        <v>-1.14E-2</v>
      </c>
      <c r="AL158" s="228">
        <v>-64</v>
      </c>
      <c r="AM158" s="228">
        <v>-69.7</v>
      </c>
      <c r="AN158" s="228">
        <v>5.7</v>
      </c>
      <c r="AO158" s="229">
        <v>-2.07E-2</v>
      </c>
      <c r="AP158" s="231">
        <v>3056.54</v>
      </c>
      <c r="AQ158" s="231">
        <v>3021.05</v>
      </c>
      <c r="AR158" s="228">
        <v>0</v>
      </c>
      <c r="AS158" s="228">
        <v>114</v>
      </c>
      <c r="AT158" s="228">
        <v>136</v>
      </c>
      <c r="AU158" s="228">
        <v>-22</v>
      </c>
      <c r="AV158" s="229">
        <v>-0.16209999999999999</v>
      </c>
      <c r="AW158" s="228">
        <v>96</v>
      </c>
      <c r="AX158" s="228">
        <v>128</v>
      </c>
      <c r="AY158" s="228">
        <v>-31</v>
      </c>
      <c r="AZ158" s="229">
        <v>-0.24610000000000001</v>
      </c>
      <c r="BA158" s="228">
        <v>17</v>
      </c>
      <c r="BB158" s="228">
        <v>8</v>
      </c>
      <c r="BC158" s="228">
        <v>10</v>
      </c>
      <c r="BD158" s="229">
        <v>1.2378</v>
      </c>
      <c r="BE158" s="228">
        <v>0</v>
      </c>
      <c r="BF158" s="228">
        <v>0</v>
      </c>
      <c r="BG158" s="228">
        <v>0</v>
      </c>
      <c r="BH158" s="229">
        <v>-0.4</v>
      </c>
      <c r="BI158" s="228">
        <v>150</v>
      </c>
      <c r="BJ158" s="228">
        <v>179</v>
      </c>
      <c r="BK158" s="228">
        <v>-29</v>
      </c>
      <c r="BL158" s="229">
        <v>-0.1638</v>
      </c>
      <c r="BM158" s="228">
        <v>58</v>
      </c>
      <c r="BN158" s="228">
        <v>121</v>
      </c>
      <c r="BO158" s="228">
        <v>-63</v>
      </c>
      <c r="BP158" s="229">
        <v>-0.5202</v>
      </c>
      <c r="BQ158" s="228">
        <v>322</v>
      </c>
      <c r="BR158" s="228">
        <v>436</v>
      </c>
      <c r="BS158" s="228">
        <v>-114</v>
      </c>
      <c r="BT158" s="229">
        <v>-0.26250000000000001</v>
      </c>
      <c r="BU158" s="230">
        <v>139363</v>
      </c>
      <c r="BV158" s="230">
        <v>223683</v>
      </c>
      <c r="BW158" s="230">
        <v>-84320</v>
      </c>
      <c r="BX158" s="229">
        <v>-0.377</v>
      </c>
      <c r="BY158" s="230">
        <v>1094</v>
      </c>
      <c r="BZ158" s="230">
        <v>1099</v>
      </c>
      <c r="CA158" s="228">
        <v>-5</v>
      </c>
      <c r="CB158" s="229">
        <v>-4.3E-3</v>
      </c>
      <c r="CC158" s="230">
        <v>1039</v>
      </c>
      <c r="CD158" s="230">
        <v>1052</v>
      </c>
      <c r="CE158" s="228">
        <v>-13</v>
      </c>
      <c r="CF158" s="229">
        <v>-1.21E-2</v>
      </c>
      <c r="CG158" s="228">
        <v>55</v>
      </c>
      <c r="CH158" s="228">
        <v>47</v>
      </c>
      <c r="CI158" s="228">
        <v>8</v>
      </c>
      <c r="CJ158" s="229">
        <v>0.16839999999999999</v>
      </c>
      <c r="CK158" s="228">
        <v>1</v>
      </c>
      <c r="CL158" s="228">
        <v>1</v>
      </c>
      <c r="CM158" s="228">
        <v>0</v>
      </c>
      <c r="CN158" s="229">
        <v>0.16669999999999999</v>
      </c>
      <c r="CO158" s="228">
        <v>199</v>
      </c>
      <c r="CP158" s="228">
        <v>189</v>
      </c>
      <c r="CQ158" s="228">
        <v>10</v>
      </c>
      <c r="CR158" s="229">
        <v>5.2699999999999997E-2</v>
      </c>
      <c r="CS158" s="228">
        <v>127</v>
      </c>
      <c r="CT158" s="228">
        <v>131</v>
      </c>
      <c r="CU158" s="228">
        <v>-4</v>
      </c>
      <c r="CV158" s="229">
        <v>-2.7199999999999998E-2</v>
      </c>
      <c r="CW158" s="230">
        <v>1421</v>
      </c>
      <c r="CX158" s="230">
        <v>1419</v>
      </c>
      <c r="CY158" s="228">
        <v>2</v>
      </c>
      <c r="CZ158" s="229">
        <v>1.1999999999999999E-3</v>
      </c>
      <c r="DA158" s="228">
        <v>26.9</v>
      </c>
      <c r="DB158" s="228">
        <v>29.77</v>
      </c>
      <c r="DC158" s="228">
        <v>-2.87</v>
      </c>
      <c r="DD158" s="228">
        <v>-2.87</v>
      </c>
      <c r="DE158" s="228">
        <v>29.2</v>
      </c>
      <c r="DF158" s="228">
        <v>29.22</v>
      </c>
      <c r="DG158" s="228">
        <v>-2.2999999999999998</v>
      </c>
      <c r="DH158" s="228">
        <v>-0.02</v>
      </c>
      <c r="DI158" s="228">
        <v>26.47</v>
      </c>
      <c r="DJ158" s="228">
        <v>28.88</v>
      </c>
      <c r="DK158" s="228">
        <v>-2.41</v>
      </c>
      <c r="DL158" s="228">
        <v>-2.41</v>
      </c>
      <c r="DM158" s="228">
        <v>28.02</v>
      </c>
      <c r="DN158" s="228">
        <v>31.08</v>
      </c>
      <c r="DO158" s="228">
        <v>-3.06</v>
      </c>
      <c r="DP158" s="228">
        <v>-3.06</v>
      </c>
      <c r="DQ158" s="228">
        <v>0.64</v>
      </c>
      <c r="DR158" s="228">
        <v>0.69</v>
      </c>
      <c r="DS158" s="228">
        <v>-0.05</v>
      </c>
      <c r="DT158" s="229">
        <v>-7.2499999999999995E-2</v>
      </c>
      <c r="DU158" s="231">
        <v>3200</v>
      </c>
      <c r="DV158" s="231">
        <v>3100</v>
      </c>
      <c r="DW158" s="228">
        <v>0.39</v>
      </c>
      <c r="DX158" s="228">
        <v>0.68</v>
      </c>
      <c r="DY158" s="228">
        <v>-0.28999999999999998</v>
      </c>
      <c r="DZ158" s="229">
        <v>-0.42649999999999999</v>
      </c>
      <c r="EA158" s="229">
        <v>5.0599999999999999E-2</v>
      </c>
      <c r="EB158" s="230">
        <v>153825</v>
      </c>
      <c r="EC158" s="229">
        <v>-8.6999999999999994E-3</v>
      </c>
      <c r="ED158" s="229">
        <v>5.0599999999999999E-2</v>
      </c>
      <c r="EE158" s="228">
        <v>-35.49</v>
      </c>
      <c r="EF158" s="229">
        <v>-1.1599999999999999E-2</v>
      </c>
      <c r="EG158" s="230">
        <v>60901</v>
      </c>
      <c r="EH158" s="230">
        <v>122757</v>
      </c>
      <c r="EI158" s="229">
        <v>-0.50390000000000001</v>
      </c>
      <c r="EJ158" s="229">
        <v>0.437</v>
      </c>
      <c r="EK158" s="228">
        <v>156.53</v>
      </c>
      <c r="EL158" s="228">
        <v>56.57</v>
      </c>
      <c r="EM158" s="228">
        <v>112.61</v>
      </c>
      <c r="EN158" s="228">
        <v>23.51</v>
      </c>
      <c r="EO158" s="228">
        <v>325.70999999999998</v>
      </c>
      <c r="EP158" s="228">
        <v>437.67</v>
      </c>
      <c r="EQ158" s="228">
        <v>-111.96</v>
      </c>
      <c r="ER158" s="229">
        <v>-0.25580000000000003</v>
      </c>
      <c r="ES158" s="228">
        <v>207.64</v>
      </c>
      <c r="ET158" s="228">
        <v>125.09</v>
      </c>
      <c r="EU158" s="231">
        <v>1093.72</v>
      </c>
      <c r="EV158" s="231">
        <v>10712372</v>
      </c>
      <c r="EW158" s="231">
        <v>1426.45</v>
      </c>
      <c r="EX158" s="231">
        <v>1408.99</v>
      </c>
      <c r="EY158" s="228">
        <v>17.46</v>
      </c>
      <c r="EZ158" s="229">
        <v>1.24E-2</v>
      </c>
      <c r="FA158" s="229">
        <v>0.43049999999999999</v>
      </c>
      <c r="FB158" s="227" t="s">
        <v>556</v>
      </c>
      <c r="FC158">
        <f t="shared" si="3"/>
        <v>0</v>
      </c>
    </row>
    <row r="159" spans="1:159" ht="17.25" thickBot="1" x14ac:dyDescent="0.3">
      <c r="A159" s="226">
        <v>46086</v>
      </c>
      <c r="B159" s="227" t="s">
        <v>172</v>
      </c>
      <c r="C159" s="227" t="s">
        <v>275</v>
      </c>
      <c r="D159" s="228">
        <v>8000</v>
      </c>
      <c r="E159" s="228">
        <v>25</v>
      </c>
      <c r="F159" s="228">
        <v>122.79</v>
      </c>
      <c r="G159" s="228">
        <v>121.98</v>
      </c>
      <c r="H159" s="228">
        <v>0.81</v>
      </c>
      <c r="I159" s="229">
        <v>6.6E-3</v>
      </c>
      <c r="J159" s="228">
        <v>122.2</v>
      </c>
      <c r="K159" s="228">
        <v>121.37</v>
      </c>
      <c r="L159" s="228">
        <v>0.83</v>
      </c>
      <c r="M159" s="229">
        <v>6.7999999999999996E-3</v>
      </c>
      <c r="N159" s="228">
        <v>122.79</v>
      </c>
      <c r="O159" s="228">
        <v>121.98</v>
      </c>
      <c r="P159" s="228">
        <v>0.81</v>
      </c>
      <c r="Q159" s="229">
        <v>6.6E-3</v>
      </c>
      <c r="R159" s="228">
        <v>123.76</v>
      </c>
      <c r="S159" s="228">
        <v>122.72</v>
      </c>
      <c r="T159" s="228">
        <v>1.04</v>
      </c>
      <c r="U159" s="229">
        <v>8.5000000000000006E-3</v>
      </c>
      <c r="V159" s="228">
        <v>123.99</v>
      </c>
      <c r="W159" s="228">
        <v>123.22</v>
      </c>
      <c r="X159" s="228">
        <v>0.77</v>
      </c>
      <c r="Y159" s="229">
        <v>6.1999999999999998E-3</v>
      </c>
      <c r="Z159" s="228">
        <v>0.59</v>
      </c>
      <c r="AA159" s="228">
        <v>0.61</v>
      </c>
      <c r="AB159" s="228">
        <v>-0.02</v>
      </c>
      <c r="AC159" s="229">
        <v>4.7999999999999996E-3</v>
      </c>
      <c r="AD159" s="228">
        <v>0.59</v>
      </c>
      <c r="AE159" s="228">
        <v>0.61</v>
      </c>
      <c r="AF159" s="228">
        <v>-0.02</v>
      </c>
      <c r="AG159" s="229">
        <v>4.7999999999999996E-3</v>
      </c>
      <c r="AH159" s="228">
        <v>1.56</v>
      </c>
      <c r="AI159" s="228">
        <v>1.35</v>
      </c>
      <c r="AJ159" s="228">
        <v>0.21</v>
      </c>
      <c r="AK159" s="229">
        <v>1.2800000000000001E-2</v>
      </c>
      <c r="AL159" s="228">
        <v>1.79</v>
      </c>
      <c r="AM159" s="228">
        <v>1.85</v>
      </c>
      <c r="AN159" s="228">
        <v>-0.06</v>
      </c>
      <c r="AO159" s="229">
        <v>1.46E-2</v>
      </c>
      <c r="AP159" s="228">
        <v>122.28</v>
      </c>
      <c r="AQ159" s="228">
        <v>123.23</v>
      </c>
      <c r="AR159" s="228">
        <v>0</v>
      </c>
      <c r="AS159" s="228">
        <v>722</v>
      </c>
      <c r="AT159" s="228">
        <v>926</v>
      </c>
      <c r="AU159" s="228">
        <v>-204</v>
      </c>
      <c r="AV159" s="229">
        <v>-0.2205</v>
      </c>
      <c r="AW159" s="228">
        <v>644</v>
      </c>
      <c r="AX159" s="228">
        <v>840</v>
      </c>
      <c r="AY159" s="228">
        <v>-197</v>
      </c>
      <c r="AZ159" s="229">
        <v>-0.23400000000000001</v>
      </c>
      <c r="BA159" s="228">
        <v>57</v>
      </c>
      <c r="BB159" s="228">
        <v>72</v>
      </c>
      <c r="BC159" s="228">
        <v>-16</v>
      </c>
      <c r="BD159" s="229">
        <v>-0.21820000000000001</v>
      </c>
      <c r="BE159" s="228">
        <v>22</v>
      </c>
      <c r="BF159" s="228">
        <v>13</v>
      </c>
      <c r="BG159" s="228">
        <v>8</v>
      </c>
      <c r="BH159" s="229">
        <v>0.62219999999999998</v>
      </c>
      <c r="BI159" s="230">
        <v>1228</v>
      </c>
      <c r="BJ159" s="230">
        <v>1533</v>
      </c>
      <c r="BK159" s="228">
        <v>-305</v>
      </c>
      <c r="BL159" s="229">
        <v>-0.1991</v>
      </c>
      <c r="BM159" s="228">
        <v>930</v>
      </c>
      <c r="BN159" s="230">
        <v>1242</v>
      </c>
      <c r="BO159" s="228">
        <v>-312</v>
      </c>
      <c r="BP159" s="229">
        <v>-0.251</v>
      </c>
      <c r="BQ159" s="230">
        <v>2880</v>
      </c>
      <c r="BR159" s="230">
        <v>3701</v>
      </c>
      <c r="BS159" s="228">
        <v>-821</v>
      </c>
      <c r="BT159" s="229">
        <v>-0.22189999999999999</v>
      </c>
      <c r="BU159" s="230">
        <v>15558526</v>
      </c>
      <c r="BV159" s="230">
        <v>26450604</v>
      </c>
      <c r="BW159" s="230">
        <v>-10892078</v>
      </c>
      <c r="BX159" s="229">
        <v>-0.4118</v>
      </c>
      <c r="BY159" s="230">
        <v>3107</v>
      </c>
      <c r="BZ159" s="230">
        <v>3068</v>
      </c>
      <c r="CA159" s="228">
        <v>39</v>
      </c>
      <c r="CB159" s="229">
        <v>1.2699999999999999E-2</v>
      </c>
      <c r="CC159" s="230">
        <v>2909</v>
      </c>
      <c r="CD159" s="230">
        <v>2885</v>
      </c>
      <c r="CE159" s="228">
        <v>24</v>
      </c>
      <c r="CF159" s="229">
        <v>8.3000000000000001E-3</v>
      </c>
      <c r="CG159" s="228">
        <v>149</v>
      </c>
      <c r="CH159" s="228">
        <v>136</v>
      </c>
      <c r="CI159" s="228">
        <v>13</v>
      </c>
      <c r="CJ159" s="229">
        <v>9.5200000000000007E-2</v>
      </c>
      <c r="CK159" s="228">
        <v>49</v>
      </c>
      <c r="CL159" s="228">
        <v>46</v>
      </c>
      <c r="CM159" s="228">
        <v>2</v>
      </c>
      <c r="CN159" s="229">
        <v>4.6600000000000003E-2</v>
      </c>
      <c r="CO159" s="230">
        <v>1317</v>
      </c>
      <c r="CP159" s="230">
        <v>1137</v>
      </c>
      <c r="CQ159" s="228">
        <v>180</v>
      </c>
      <c r="CR159" s="229">
        <v>0.15809999999999999</v>
      </c>
      <c r="CS159" s="228">
        <v>886</v>
      </c>
      <c r="CT159" s="228">
        <v>766</v>
      </c>
      <c r="CU159" s="228">
        <v>120</v>
      </c>
      <c r="CV159" s="229">
        <v>0.156</v>
      </c>
      <c r="CW159" s="230">
        <v>5310</v>
      </c>
      <c r="CX159" s="230">
        <v>4972</v>
      </c>
      <c r="CY159" s="228">
        <v>338</v>
      </c>
      <c r="CZ159" s="229">
        <v>6.8099999999999994E-2</v>
      </c>
      <c r="DA159" s="228">
        <v>31.16</v>
      </c>
      <c r="DB159" s="228">
        <v>35.03</v>
      </c>
      <c r="DC159" s="228">
        <v>-3.87</v>
      </c>
      <c r="DD159" s="228">
        <v>-3.87</v>
      </c>
      <c r="DE159" s="228">
        <v>35.159999999999997</v>
      </c>
      <c r="DF159" s="228">
        <v>35.229999999999997</v>
      </c>
      <c r="DG159" s="228">
        <v>-4</v>
      </c>
      <c r="DH159" s="228">
        <v>-7.0000000000000007E-2</v>
      </c>
      <c r="DI159" s="228">
        <v>30.9</v>
      </c>
      <c r="DJ159" s="228">
        <v>34.35</v>
      </c>
      <c r="DK159" s="228">
        <v>-3.45</v>
      </c>
      <c r="DL159" s="228">
        <v>-3.45</v>
      </c>
      <c r="DM159" s="228">
        <v>31.5</v>
      </c>
      <c r="DN159" s="228">
        <v>35.869999999999997</v>
      </c>
      <c r="DO159" s="228">
        <v>-4.37</v>
      </c>
      <c r="DP159" s="228">
        <v>-4.37</v>
      </c>
      <c r="DQ159" s="228">
        <v>0.67</v>
      </c>
      <c r="DR159" s="228">
        <v>0.67</v>
      </c>
      <c r="DS159" s="228">
        <v>0</v>
      </c>
      <c r="DT159" s="229">
        <v>0</v>
      </c>
      <c r="DU159" s="228">
        <v>130</v>
      </c>
      <c r="DV159" s="228">
        <v>120</v>
      </c>
      <c r="DW159" s="228">
        <v>0.76</v>
      </c>
      <c r="DX159" s="228">
        <v>0.81</v>
      </c>
      <c r="DY159" s="228">
        <v>-0.05</v>
      </c>
      <c r="DZ159" s="229">
        <v>-6.1699999999999998E-2</v>
      </c>
      <c r="EA159" s="229">
        <v>6.3600000000000004E-2</v>
      </c>
      <c r="EB159" s="230">
        <v>14872000</v>
      </c>
      <c r="EC159" s="229">
        <v>7.9000000000000008E-3</v>
      </c>
      <c r="ED159" s="229">
        <v>6.3600000000000004E-2</v>
      </c>
      <c r="EE159" s="228">
        <v>0.95</v>
      </c>
      <c r="EF159" s="229">
        <v>7.7999999999999996E-3</v>
      </c>
      <c r="EG159" s="230">
        <v>6423757</v>
      </c>
      <c r="EH159" s="230">
        <v>12375980</v>
      </c>
      <c r="EI159" s="229">
        <v>-0.48089999999999999</v>
      </c>
      <c r="EJ159" s="229">
        <v>0.41289999999999999</v>
      </c>
      <c r="EK159" s="231">
        <v>1307.07</v>
      </c>
      <c r="EL159" s="228">
        <v>922.73</v>
      </c>
      <c r="EM159" s="228">
        <v>719.61</v>
      </c>
      <c r="EN159" s="228">
        <v>78.13</v>
      </c>
      <c r="EO159" s="231">
        <v>2949.4</v>
      </c>
      <c r="EP159" s="231">
        <v>3838.8</v>
      </c>
      <c r="EQ159" s="228">
        <v>-889.4</v>
      </c>
      <c r="ER159" s="229">
        <v>-0.23169999999999999</v>
      </c>
      <c r="ES159" s="231">
        <v>1414.69</v>
      </c>
      <c r="ET159" s="228">
        <v>882.56</v>
      </c>
      <c r="EU159" s="231">
        <v>3108.83</v>
      </c>
      <c r="EV159" s="231">
        <v>515822637</v>
      </c>
      <c r="EW159" s="231">
        <v>5406.08</v>
      </c>
      <c r="EX159" s="231">
        <v>5049.5600000000004</v>
      </c>
      <c r="EY159" s="228">
        <v>356.52</v>
      </c>
      <c r="EZ159" s="229">
        <v>7.0599999999999996E-2</v>
      </c>
      <c r="FA159" s="229">
        <v>0.83840000000000003</v>
      </c>
      <c r="FB159" s="227" t="s">
        <v>555</v>
      </c>
      <c r="FC159">
        <f t="shared" si="3"/>
        <v>0</v>
      </c>
    </row>
    <row r="160" spans="1:159" ht="17.25" thickBot="1" x14ac:dyDescent="0.3">
      <c r="A160" s="226">
        <v>46086</v>
      </c>
      <c r="B160" s="227" t="s">
        <v>175</v>
      </c>
      <c r="C160" s="227" t="s">
        <v>669</v>
      </c>
      <c r="D160" s="228">
        <v>650</v>
      </c>
      <c r="E160" s="228">
        <v>25</v>
      </c>
      <c r="F160" s="228">
        <v>795.35</v>
      </c>
      <c r="G160" s="228">
        <v>786.3</v>
      </c>
      <c r="H160" s="228">
        <v>9.0500000000000007</v>
      </c>
      <c r="I160" s="229">
        <v>1.15E-2</v>
      </c>
      <c r="J160" s="228">
        <v>790.65</v>
      </c>
      <c r="K160" s="228">
        <v>783.15</v>
      </c>
      <c r="L160" s="228">
        <v>7.5</v>
      </c>
      <c r="M160" s="229">
        <v>9.5999999999999992E-3</v>
      </c>
      <c r="N160" s="228">
        <v>795.35</v>
      </c>
      <c r="O160" s="228">
        <v>786.3</v>
      </c>
      <c r="P160" s="228">
        <v>9.0500000000000007</v>
      </c>
      <c r="Q160" s="229">
        <v>1.15E-2</v>
      </c>
      <c r="R160" s="228">
        <v>801</v>
      </c>
      <c r="S160" s="228">
        <v>791.55</v>
      </c>
      <c r="T160" s="228">
        <v>9.4499999999999993</v>
      </c>
      <c r="U160" s="229">
        <v>1.1900000000000001E-2</v>
      </c>
      <c r="V160" s="228">
        <v>805</v>
      </c>
      <c r="W160" s="228">
        <v>806.5</v>
      </c>
      <c r="X160" s="228">
        <v>-1.5</v>
      </c>
      <c r="Y160" s="229">
        <v>-1.9E-3</v>
      </c>
      <c r="Z160" s="228">
        <v>4.7</v>
      </c>
      <c r="AA160" s="228">
        <v>3.15</v>
      </c>
      <c r="AB160" s="228">
        <v>1.55</v>
      </c>
      <c r="AC160" s="229">
        <v>5.8999999999999999E-3</v>
      </c>
      <c r="AD160" s="228">
        <v>4.7</v>
      </c>
      <c r="AE160" s="228">
        <v>3.15</v>
      </c>
      <c r="AF160" s="228">
        <v>1.55</v>
      </c>
      <c r="AG160" s="229">
        <v>5.8999999999999999E-3</v>
      </c>
      <c r="AH160" s="228">
        <v>10.35</v>
      </c>
      <c r="AI160" s="228">
        <v>8.4</v>
      </c>
      <c r="AJ160" s="228">
        <v>1.95</v>
      </c>
      <c r="AK160" s="229">
        <v>1.3100000000000001E-2</v>
      </c>
      <c r="AL160" s="228">
        <v>14.35</v>
      </c>
      <c r="AM160" s="228">
        <v>23.35</v>
      </c>
      <c r="AN160" s="228">
        <v>-9</v>
      </c>
      <c r="AO160" s="229">
        <v>1.8100000000000002E-2</v>
      </c>
      <c r="AP160" s="228">
        <v>789.82</v>
      </c>
      <c r="AQ160" s="228">
        <v>792.6</v>
      </c>
      <c r="AR160" s="228">
        <v>0</v>
      </c>
      <c r="AS160" s="228">
        <v>140</v>
      </c>
      <c r="AT160" s="228">
        <v>172</v>
      </c>
      <c r="AU160" s="228">
        <v>-32</v>
      </c>
      <c r="AV160" s="229">
        <v>-0.1845</v>
      </c>
      <c r="AW160" s="228">
        <v>135</v>
      </c>
      <c r="AX160" s="228">
        <v>156</v>
      </c>
      <c r="AY160" s="228">
        <v>-21</v>
      </c>
      <c r="AZ160" s="229">
        <v>-0.13700000000000001</v>
      </c>
      <c r="BA160" s="228">
        <v>5</v>
      </c>
      <c r="BB160" s="228">
        <v>15</v>
      </c>
      <c r="BC160" s="228">
        <v>-9</v>
      </c>
      <c r="BD160" s="229">
        <v>-0.62990000000000002</v>
      </c>
      <c r="BE160" s="228">
        <v>0</v>
      </c>
      <c r="BF160" s="228">
        <v>1</v>
      </c>
      <c r="BG160" s="228">
        <v>-1</v>
      </c>
      <c r="BH160" s="229">
        <v>-0.92</v>
      </c>
      <c r="BI160" s="228">
        <v>92</v>
      </c>
      <c r="BJ160" s="228">
        <v>175</v>
      </c>
      <c r="BK160" s="228">
        <v>-83</v>
      </c>
      <c r="BL160" s="229">
        <v>-0.4753</v>
      </c>
      <c r="BM160" s="228">
        <v>70</v>
      </c>
      <c r="BN160" s="228">
        <v>128</v>
      </c>
      <c r="BO160" s="228">
        <v>-58</v>
      </c>
      <c r="BP160" s="229">
        <v>-0.4541</v>
      </c>
      <c r="BQ160" s="228">
        <v>302</v>
      </c>
      <c r="BR160" s="228">
        <v>475</v>
      </c>
      <c r="BS160" s="228">
        <v>-173</v>
      </c>
      <c r="BT160" s="229">
        <v>-0.36430000000000001</v>
      </c>
      <c r="BU160" s="230">
        <v>886947</v>
      </c>
      <c r="BV160" s="230">
        <v>813433</v>
      </c>
      <c r="BW160" s="230">
        <v>73514</v>
      </c>
      <c r="BX160" s="229">
        <v>9.0399999999999994E-2</v>
      </c>
      <c r="BY160" s="230">
        <v>1047</v>
      </c>
      <c r="BZ160" s="230">
        <v>1022</v>
      </c>
      <c r="CA160" s="228">
        <v>25</v>
      </c>
      <c r="CB160" s="229">
        <v>2.4500000000000001E-2</v>
      </c>
      <c r="CC160" s="230">
        <v>1030</v>
      </c>
      <c r="CD160" s="230">
        <v>1006</v>
      </c>
      <c r="CE160" s="228">
        <v>24</v>
      </c>
      <c r="CF160" s="229">
        <v>2.4E-2</v>
      </c>
      <c r="CG160" s="228">
        <v>16</v>
      </c>
      <c r="CH160" s="228">
        <v>15</v>
      </c>
      <c r="CI160" s="228">
        <v>1</v>
      </c>
      <c r="CJ160" s="229">
        <v>6.1899999999999997E-2</v>
      </c>
      <c r="CK160" s="228">
        <v>1</v>
      </c>
      <c r="CL160" s="228">
        <v>1</v>
      </c>
      <c r="CM160" s="228">
        <v>0</v>
      </c>
      <c r="CN160" s="229">
        <v>0</v>
      </c>
      <c r="CO160" s="228">
        <v>134</v>
      </c>
      <c r="CP160" s="228">
        <v>120</v>
      </c>
      <c r="CQ160" s="228">
        <v>13</v>
      </c>
      <c r="CR160" s="229">
        <v>0.1113</v>
      </c>
      <c r="CS160" s="228">
        <v>100</v>
      </c>
      <c r="CT160" s="228">
        <v>97</v>
      </c>
      <c r="CU160" s="228">
        <v>3</v>
      </c>
      <c r="CV160" s="229">
        <v>3.15E-2</v>
      </c>
      <c r="CW160" s="230">
        <v>1281</v>
      </c>
      <c r="CX160" s="230">
        <v>1239</v>
      </c>
      <c r="CY160" s="228">
        <v>42</v>
      </c>
      <c r="CZ160" s="229">
        <v>3.3500000000000002E-2</v>
      </c>
      <c r="DA160" s="228">
        <v>30.61</v>
      </c>
      <c r="DB160" s="228">
        <v>32.979999999999997</v>
      </c>
      <c r="DC160" s="228">
        <v>-2.37</v>
      </c>
      <c r="DD160" s="228">
        <v>-2.37</v>
      </c>
      <c r="DE160" s="228">
        <v>45.22</v>
      </c>
      <c r="DF160" s="228">
        <v>45.31</v>
      </c>
      <c r="DG160" s="228">
        <v>-14.61</v>
      </c>
      <c r="DH160" s="228">
        <v>-0.09</v>
      </c>
      <c r="DI160" s="228">
        <v>29.05</v>
      </c>
      <c r="DJ160" s="228">
        <v>32.79</v>
      </c>
      <c r="DK160" s="228">
        <v>-3.74</v>
      </c>
      <c r="DL160" s="228">
        <v>-3.74</v>
      </c>
      <c r="DM160" s="228">
        <v>32.659999999999997</v>
      </c>
      <c r="DN160" s="228">
        <v>33.24</v>
      </c>
      <c r="DO160" s="228">
        <v>-0.57999999999999996</v>
      </c>
      <c r="DP160" s="228">
        <v>-0.57999999999999996</v>
      </c>
      <c r="DQ160" s="228">
        <v>0.75</v>
      </c>
      <c r="DR160" s="228">
        <v>0.8</v>
      </c>
      <c r="DS160" s="228">
        <v>-0.05</v>
      </c>
      <c r="DT160" s="229">
        <v>-6.25E-2</v>
      </c>
      <c r="DU160" s="228">
        <v>860</v>
      </c>
      <c r="DV160" s="228">
        <v>800</v>
      </c>
      <c r="DW160" s="228">
        <v>0.76</v>
      </c>
      <c r="DX160" s="228">
        <v>0.73</v>
      </c>
      <c r="DY160" s="228">
        <v>0.03</v>
      </c>
      <c r="DZ160" s="229">
        <v>4.1099999999999998E-2</v>
      </c>
      <c r="EA160" s="229">
        <v>1.6500000000000001E-2</v>
      </c>
      <c r="EB160" s="230">
        <v>206050</v>
      </c>
      <c r="EC160" s="229">
        <v>7.1000000000000004E-3</v>
      </c>
      <c r="ED160" s="229">
        <v>1.6500000000000001E-2</v>
      </c>
      <c r="EE160" s="228">
        <v>2.78</v>
      </c>
      <c r="EF160" s="229">
        <v>3.5000000000000001E-3</v>
      </c>
      <c r="EG160" s="230">
        <v>450240</v>
      </c>
      <c r="EH160" s="230">
        <v>321147</v>
      </c>
      <c r="EI160" s="229">
        <v>0.40200000000000002</v>
      </c>
      <c r="EJ160" s="229">
        <v>0.50760000000000005</v>
      </c>
      <c r="EK160" s="228">
        <v>97.53</v>
      </c>
      <c r="EL160" s="228">
        <v>69.31</v>
      </c>
      <c r="EM160" s="228">
        <v>139.35</v>
      </c>
      <c r="EN160" s="228">
        <v>25.62</v>
      </c>
      <c r="EO160" s="228">
        <v>306.2</v>
      </c>
      <c r="EP160" s="228">
        <v>491.78</v>
      </c>
      <c r="EQ160" s="228">
        <v>-185.58</v>
      </c>
      <c r="ER160" s="229">
        <v>-0.37740000000000001</v>
      </c>
      <c r="ES160" s="228">
        <v>145</v>
      </c>
      <c r="ET160" s="228">
        <v>101.3</v>
      </c>
      <c r="EU160" s="231">
        <v>1047.27</v>
      </c>
      <c r="EV160" s="231">
        <v>28118603</v>
      </c>
      <c r="EW160" s="231">
        <v>1293.57</v>
      </c>
      <c r="EX160" s="231">
        <v>1240.02</v>
      </c>
      <c r="EY160" s="228">
        <v>53.55</v>
      </c>
      <c r="EZ160" s="229">
        <v>4.3200000000000002E-2</v>
      </c>
      <c r="FA160" s="229">
        <v>0.57269999999999999</v>
      </c>
      <c r="FB160" s="227" t="s">
        <v>555</v>
      </c>
      <c r="FC160">
        <f t="shared" si="3"/>
        <v>0</v>
      </c>
    </row>
    <row r="161" spans="1:159" ht="17.25" thickBot="1" x14ac:dyDescent="0.3">
      <c r="A161" s="226">
        <v>46086</v>
      </c>
      <c r="B161" s="227" t="s">
        <v>615</v>
      </c>
      <c r="C161" s="227" t="s">
        <v>573</v>
      </c>
      <c r="D161" s="228">
        <v>350</v>
      </c>
      <c r="E161" s="228">
        <v>25</v>
      </c>
      <c r="F161" s="231">
        <v>1478.8</v>
      </c>
      <c r="G161" s="231">
        <v>1483</v>
      </c>
      <c r="H161" s="228">
        <v>-4.2</v>
      </c>
      <c r="I161" s="229">
        <v>-2.8E-3</v>
      </c>
      <c r="J161" s="231">
        <v>1472.8</v>
      </c>
      <c r="K161" s="231">
        <v>1480</v>
      </c>
      <c r="L161" s="228">
        <v>-7.2</v>
      </c>
      <c r="M161" s="229">
        <v>-4.8999999999999998E-3</v>
      </c>
      <c r="N161" s="231">
        <v>1478.8</v>
      </c>
      <c r="O161" s="231">
        <v>1483</v>
      </c>
      <c r="P161" s="228">
        <v>-4.2</v>
      </c>
      <c r="Q161" s="229">
        <v>-2.8E-3</v>
      </c>
      <c r="R161" s="231">
        <v>1488.2</v>
      </c>
      <c r="S161" s="231">
        <v>1491.3</v>
      </c>
      <c r="T161" s="228">
        <v>-3.1</v>
      </c>
      <c r="U161" s="229">
        <v>-2.0999999999999999E-3</v>
      </c>
      <c r="V161" s="231">
        <v>1485</v>
      </c>
      <c r="W161" s="231">
        <v>1505.6</v>
      </c>
      <c r="X161" s="228">
        <v>-20.6</v>
      </c>
      <c r="Y161" s="229">
        <v>-1.37E-2</v>
      </c>
      <c r="Z161" s="228">
        <v>6</v>
      </c>
      <c r="AA161" s="228">
        <v>3</v>
      </c>
      <c r="AB161" s="228">
        <v>3</v>
      </c>
      <c r="AC161" s="229">
        <v>4.1000000000000003E-3</v>
      </c>
      <c r="AD161" s="228">
        <v>6</v>
      </c>
      <c r="AE161" s="228">
        <v>3</v>
      </c>
      <c r="AF161" s="228">
        <v>3</v>
      </c>
      <c r="AG161" s="229">
        <v>4.1000000000000003E-3</v>
      </c>
      <c r="AH161" s="228">
        <v>15.4</v>
      </c>
      <c r="AI161" s="228">
        <v>11.3</v>
      </c>
      <c r="AJ161" s="228">
        <v>4.0999999999999996</v>
      </c>
      <c r="AK161" s="229">
        <v>1.0500000000000001E-2</v>
      </c>
      <c r="AL161" s="228">
        <v>12.2</v>
      </c>
      <c r="AM161" s="228">
        <v>25.6</v>
      </c>
      <c r="AN161" s="228">
        <v>-13.4</v>
      </c>
      <c r="AO161" s="229">
        <v>8.3000000000000001E-3</v>
      </c>
      <c r="AP161" s="231">
        <v>1475.99</v>
      </c>
      <c r="AQ161" s="231">
        <v>1486.06</v>
      </c>
      <c r="AR161" s="228">
        <v>0</v>
      </c>
      <c r="AS161" s="228">
        <v>206</v>
      </c>
      <c r="AT161" s="228">
        <v>239</v>
      </c>
      <c r="AU161" s="228">
        <v>-33</v>
      </c>
      <c r="AV161" s="229">
        <v>-0.13850000000000001</v>
      </c>
      <c r="AW161" s="228">
        <v>200</v>
      </c>
      <c r="AX161" s="228">
        <v>234</v>
      </c>
      <c r="AY161" s="228">
        <v>-34</v>
      </c>
      <c r="AZ161" s="229">
        <v>-0.1459</v>
      </c>
      <c r="BA161" s="228">
        <v>5</v>
      </c>
      <c r="BB161" s="228">
        <v>4</v>
      </c>
      <c r="BC161" s="228">
        <v>1</v>
      </c>
      <c r="BD161" s="229">
        <v>0.24709999999999999</v>
      </c>
      <c r="BE161" s="228">
        <v>0</v>
      </c>
      <c r="BF161" s="228">
        <v>0</v>
      </c>
      <c r="BG161" s="228">
        <v>0</v>
      </c>
      <c r="BH161" s="229">
        <v>0</v>
      </c>
      <c r="BI161" s="228">
        <v>201</v>
      </c>
      <c r="BJ161" s="228">
        <v>258</v>
      </c>
      <c r="BK161" s="228">
        <v>-57</v>
      </c>
      <c r="BL161" s="229">
        <v>-0.2218</v>
      </c>
      <c r="BM161" s="228">
        <v>102</v>
      </c>
      <c r="BN161" s="228">
        <v>171</v>
      </c>
      <c r="BO161" s="228">
        <v>-69</v>
      </c>
      <c r="BP161" s="229">
        <v>-0.40570000000000001</v>
      </c>
      <c r="BQ161" s="228">
        <v>508</v>
      </c>
      <c r="BR161" s="228">
        <v>668</v>
      </c>
      <c r="BS161" s="228">
        <v>-160</v>
      </c>
      <c r="BT161" s="229">
        <v>-0.23910000000000001</v>
      </c>
      <c r="BU161" s="230">
        <v>1008535</v>
      </c>
      <c r="BV161" s="230">
        <v>1525765</v>
      </c>
      <c r="BW161" s="230">
        <v>-517230</v>
      </c>
      <c r="BX161" s="229">
        <v>-0.33900000000000002</v>
      </c>
      <c r="BY161" s="230">
        <v>1245</v>
      </c>
      <c r="BZ161" s="230">
        <v>1270</v>
      </c>
      <c r="CA161" s="228">
        <v>-25</v>
      </c>
      <c r="CB161" s="229">
        <v>-1.95E-2</v>
      </c>
      <c r="CC161" s="230">
        <v>1229</v>
      </c>
      <c r="CD161" s="230">
        <v>1255</v>
      </c>
      <c r="CE161" s="228">
        <v>-26</v>
      </c>
      <c r="CF161" s="229">
        <v>-2.0299999999999999E-2</v>
      </c>
      <c r="CG161" s="228">
        <v>15</v>
      </c>
      <c r="CH161" s="228">
        <v>14</v>
      </c>
      <c r="CI161" s="228">
        <v>1</v>
      </c>
      <c r="CJ161" s="229">
        <v>4.3299999999999998E-2</v>
      </c>
      <c r="CK161" s="228">
        <v>1</v>
      </c>
      <c r="CL161" s="228">
        <v>0</v>
      </c>
      <c r="CM161" s="228">
        <v>0</v>
      </c>
      <c r="CN161" s="229">
        <v>0.25</v>
      </c>
      <c r="CO161" s="228">
        <v>268</v>
      </c>
      <c r="CP161" s="228">
        <v>258</v>
      </c>
      <c r="CQ161" s="228">
        <v>10</v>
      </c>
      <c r="CR161" s="229">
        <v>3.7699999999999997E-2</v>
      </c>
      <c r="CS161" s="228">
        <v>213</v>
      </c>
      <c r="CT161" s="228">
        <v>195</v>
      </c>
      <c r="CU161" s="228">
        <v>18</v>
      </c>
      <c r="CV161" s="229">
        <v>9.3100000000000002E-2</v>
      </c>
      <c r="CW161" s="230">
        <v>1725</v>
      </c>
      <c r="CX161" s="230">
        <v>1722</v>
      </c>
      <c r="CY161" s="228">
        <v>3</v>
      </c>
      <c r="CZ161" s="229">
        <v>1.8E-3</v>
      </c>
      <c r="DA161" s="228">
        <v>37.950000000000003</v>
      </c>
      <c r="DB161" s="228">
        <v>40.46</v>
      </c>
      <c r="DC161" s="228">
        <v>-2.5099999999999998</v>
      </c>
      <c r="DD161" s="228">
        <v>-2.5099999999999998</v>
      </c>
      <c r="DE161" s="228">
        <v>46.25</v>
      </c>
      <c r="DF161" s="228">
        <v>46.36</v>
      </c>
      <c r="DG161" s="228">
        <v>-8.3000000000000007</v>
      </c>
      <c r="DH161" s="228">
        <v>-0.11</v>
      </c>
      <c r="DI161" s="228">
        <v>37.450000000000003</v>
      </c>
      <c r="DJ161" s="228">
        <v>39.590000000000003</v>
      </c>
      <c r="DK161" s="228">
        <v>-2.14</v>
      </c>
      <c r="DL161" s="228">
        <v>-2.14</v>
      </c>
      <c r="DM161" s="228">
        <v>38.950000000000003</v>
      </c>
      <c r="DN161" s="228">
        <v>41.76</v>
      </c>
      <c r="DO161" s="228">
        <v>-2.81</v>
      </c>
      <c r="DP161" s="228">
        <v>-2.81</v>
      </c>
      <c r="DQ161" s="228">
        <v>0.79</v>
      </c>
      <c r="DR161" s="228">
        <v>0.75</v>
      </c>
      <c r="DS161" s="228">
        <v>0.04</v>
      </c>
      <c r="DT161" s="229">
        <v>5.33E-2</v>
      </c>
      <c r="DU161" s="231">
        <v>1500</v>
      </c>
      <c r="DV161" s="231">
        <v>1500</v>
      </c>
      <c r="DW161" s="228">
        <v>0.51</v>
      </c>
      <c r="DX161" s="228">
        <v>0.66</v>
      </c>
      <c r="DY161" s="228">
        <v>-0.15</v>
      </c>
      <c r="DZ161" s="229">
        <v>-0.2273</v>
      </c>
      <c r="EA161" s="229">
        <v>1.24E-2</v>
      </c>
      <c r="EB161" s="230">
        <v>99750</v>
      </c>
      <c r="EC161" s="229">
        <v>6.4000000000000003E-3</v>
      </c>
      <c r="ED161" s="229">
        <v>1.24E-2</v>
      </c>
      <c r="EE161" s="228">
        <v>10.07</v>
      </c>
      <c r="EF161" s="229">
        <v>6.7999999999999996E-3</v>
      </c>
      <c r="EG161" s="230">
        <v>517824</v>
      </c>
      <c r="EH161" s="230">
        <v>946125</v>
      </c>
      <c r="EI161" s="229">
        <v>-0.45269999999999999</v>
      </c>
      <c r="EJ161" s="229">
        <v>0.51339999999999997</v>
      </c>
      <c r="EK161" s="228">
        <v>214.9</v>
      </c>
      <c r="EL161" s="228">
        <v>103.43</v>
      </c>
      <c r="EM161" s="228">
        <v>205.44</v>
      </c>
      <c r="EN161" s="228">
        <v>37.119999999999997</v>
      </c>
      <c r="EO161" s="228">
        <v>523.77</v>
      </c>
      <c r="EP161" s="228">
        <v>686.09</v>
      </c>
      <c r="EQ161" s="228">
        <v>-162.32</v>
      </c>
      <c r="ER161" s="229">
        <v>-0.2366</v>
      </c>
      <c r="ES161" s="228">
        <v>287.58999999999997</v>
      </c>
      <c r="ET161" s="228">
        <v>215.38</v>
      </c>
      <c r="EU161" s="231">
        <v>1244.8800000000001</v>
      </c>
      <c r="EV161" s="231">
        <v>60642005</v>
      </c>
      <c r="EW161" s="231">
        <v>1747.85</v>
      </c>
      <c r="EX161" s="231">
        <v>1747.55</v>
      </c>
      <c r="EY161" s="228">
        <v>0.3</v>
      </c>
      <c r="EZ161" s="229">
        <v>2.0000000000000001E-4</v>
      </c>
      <c r="FA161" s="229">
        <v>0.19239999999999999</v>
      </c>
      <c r="FB161" s="227" t="s">
        <v>568</v>
      </c>
      <c r="FC161">
        <f t="shared" si="3"/>
        <v>0</v>
      </c>
    </row>
    <row r="162" spans="1:159" ht="17.25" thickBot="1" x14ac:dyDescent="0.3">
      <c r="A162" s="226">
        <v>46086</v>
      </c>
      <c r="B162" s="227" t="s">
        <v>184</v>
      </c>
      <c r="C162" s="227" t="s">
        <v>519</v>
      </c>
      <c r="D162" s="228">
        <v>125</v>
      </c>
      <c r="E162" s="228">
        <v>25</v>
      </c>
      <c r="F162" s="231">
        <v>8575.5</v>
      </c>
      <c r="G162" s="231">
        <v>8317.5</v>
      </c>
      <c r="H162" s="228">
        <v>258</v>
      </c>
      <c r="I162" s="229">
        <v>3.1E-2</v>
      </c>
      <c r="J162" s="231">
        <v>8564</v>
      </c>
      <c r="K162" s="231">
        <v>8284</v>
      </c>
      <c r="L162" s="228">
        <v>280</v>
      </c>
      <c r="M162" s="229">
        <v>3.3799999999999997E-2</v>
      </c>
      <c r="N162" s="231">
        <v>8575.5</v>
      </c>
      <c r="O162" s="231">
        <v>8317.5</v>
      </c>
      <c r="P162" s="228">
        <v>258</v>
      </c>
      <c r="Q162" s="229">
        <v>3.1E-2</v>
      </c>
      <c r="R162" s="231">
        <v>8617.5</v>
      </c>
      <c r="S162" s="231">
        <v>8362.5</v>
      </c>
      <c r="T162" s="228">
        <v>255</v>
      </c>
      <c r="U162" s="229">
        <v>3.0499999999999999E-2</v>
      </c>
      <c r="V162" s="231">
        <v>8660</v>
      </c>
      <c r="W162" s="231">
        <v>8410</v>
      </c>
      <c r="X162" s="228">
        <v>250</v>
      </c>
      <c r="Y162" s="229">
        <v>2.9700000000000001E-2</v>
      </c>
      <c r="Z162" s="228">
        <v>11.5</v>
      </c>
      <c r="AA162" s="228">
        <v>33.5</v>
      </c>
      <c r="AB162" s="228">
        <v>-22</v>
      </c>
      <c r="AC162" s="229">
        <v>1.2999999999999999E-3</v>
      </c>
      <c r="AD162" s="228">
        <v>11.5</v>
      </c>
      <c r="AE162" s="228">
        <v>33.5</v>
      </c>
      <c r="AF162" s="228">
        <v>-22</v>
      </c>
      <c r="AG162" s="229">
        <v>1.2999999999999999E-3</v>
      </c>
      <c r="AH162" s="228">
        <v>53.5</v>
      </c>
      <c r="AI162" s="228">
        <v>78.5</v>
      </c>
      <c r="AJ162" s="228">
        <v>-25</v>
      </c>
      <c r="AK162" s="229">
        <v>6.1999999999999998E-3</v>
      </c>
      <c r="AL162" s="228">
        <v>96</v>
      </c>
      <c r="AM162" s="228">
        <v>126</v>
      </c>
      <c r="AN162" s="228">
        <v>-30</v>
      </c>
      <c r="AO162" s="229">
        <v>1.12E-2</v>
      </c>
      <c r="AP162" s="231">
        <v>8423.08</v>
      </c>
      <c r="AQ162" s="231">
        <v>8482.02</v>
      </c>
      <c r="AR162" s="228">
        <v>0</v>
      </c>
      <c r="AS162" s="230">
        <v>1013</v>
      </c>
      <c r="AT162" s="228">
        <v>784</v>
      </c>
      <c r="AU162" s="228">
        <v>229</v>
      </c>
      <c r="AV162" s="229">
        <v>0.29220000000000002</v>
      </c>
      <c r="AW162" s="228">
        <v>960</v>
      </c>
      <c r="AX162" s="228">
        <v>749</v>
      </c>
      <c r="AY162" s="228">
        <v>211</v>
      </c>
      <c r="AZ162" s="229">
        <v>0.28120000000000001</v>
      </c>
      <c r="BA162" s="228">
        <v>47</v>
      </c>
      <c r="BB162" s="228">
        <v>29</v>
      </c>
      <c r="BC162" s="228">
        <v>18</v>
      </c>
      <c r="BD162" s="229">
        <v>0.61709999999999998</v>
      </c>
      <c r="BE162" s="228">
        <v>7</v>
      </c>
      <c r="BF162" s="228">
        <v>6</v>
      </c>
      <c r="BG162" s="228">
        <v>1</v>
      </c>
      <c r="BH162" s="229">
        <v>0.1071</v>
      </c>
      <c r="BI162" s="230">
        <v>1928</v>
      </c>
      <c r="BJ162" s="230">
        <v>1576</v>
      </c>
      <c r="BK162" s="228">
        <v>351</v>
      </c>
      <c r="BL162" s="229">
        <v>0.2228</v>
      </c>
      <c r="BM162" s="230">
        <v>1737</v>
      </c>
      <c r="BN162" s="230">
        <v>3205</v>
      </c>
      <c r="BO162" s="230">
        <v>-1469</v>
      </c>
      <c r="BP162" s="229">
        <v>-0.4582</v>
      </c>
      <c r="BQ162" s="230">
        <v>4677</v>
      </c>
      <c r="BR162" s="230">
        <v>5566</v>
      </c>
      <c r="BS162" s="228">
        <v>-888</v>
      </c>
      <c r="BT162" s="229">
        <v>-0.15959999999999999</v>
      </c>
      <c r="BU162" s="230">
        <v>517170</v>
      </c>
      <c r="BV162" s="230">
        <v>499416</v>
      </c>
      <c r="BW162" s="230">
        <v>17754</v>
      </c>
      <c r="BX162" s="229">
        <v>3.5499999999999997E-2</v>
      </c>
      <c r="BY162" s="230">
        <v>1966</v>
      </c>
      <c r="BZ162" s="230">
        <v>1994</v>
      </c>
      <c r="CA162" s="228">
        <v>-28</v>
      </c>
      <c r="CB162" s="229">
        <v>-1.41E-2</v>
      </c>
      <c r="CC162" s="230">
        <v>1892</v>
      </c>
      <c r="CD162" s="230">
        <v>1929</v>
      </c>
      <c r="CE162" s="228">
        <v>-37</v>
      </c>
      <c r="CF162" s="229">
        <v>-1.9199999999999998E-2</v>
      </c>
      <c r="CG162" s="228">
        <v>67</v>
      </c>
      <c r="CH162" s="228">
        <v>58</v>
      </c>
      <c r="CI162" s="228">
        <v>9</v>
      </c>
      <c r="CJ162" s="229">
        <v>0.1565</v>
      </c>
      <c r="CK162" s="228">
        <v>7</v>
      </c>
      <c r="CL162" s="228">
        <v>7</v>
      </c>
      <c r="CM162" s="228">
        <v>0</v>
      </c>
      <c r="CN162" s="229">
        <v>-4.5499999999999999E-2</v>
      </c>
      <c r="CO162" s="228">
        <v>967</v>
      </c>
      <c r="CP162" s="228">
        <v>875</v>
      </c>
      <c r="CQ162" s="228">
        <v>92</v>
      </c>
      <c r="CR162" s="229">
        <v>0.10539999999999999</v>
      </c>
      <c r="CS162" s="230">
        <v>1035</v>
      </c>
      <c r="CT162" s="228">
        <v>951</v>
      </c>
      <c r="CU162" s="228">
        <v>84</v>
      </c>
      <c r="CV162" s="229">
        <v>8.8099999999999998E-2</v>
      </c>
      <c r="CW162" s="230">
        <v>3968</v>
      </c>
      <c r="CX162" s="230">
        <v>3820</v>
      </c>
      <c r="CY162" s="228">
        <v>148</v>
      </c>
      <c r="CZ162" s="229">
        <v>3.8699999999999998E-2</v>
      </c>
      <c r="DA162" s="228">
        <v>33.58</v>
      </c>
      <c r="DB162" s="228">
        <v>35.229999999999997</v>
      </c>
      <c r="DC162" s="228">
        <v>-1.65</v>
      </c>
      <c r="DD162" s="228">
        <v>-1.65</v>
      </c>
      <c r="DE162" s="228">
        <v>39.36</v>
      </c>
      <c r="DF162" s="228">
        <v>39.21</v>
      </c>
      <c r="DG162" s="228">
        <v>-5.78</v>
      </c>
      <c r="DH162" s="228">
        <v>0.15</v>
      </c>
      <c r="DI162" s="228">
        <v>30.24</v>
      </c>
      <c r="DJ162" s="228">
        <v>30.94</v>
      </c>
      <c r="DK162" s="228">
        <v>-0.7</v>
      </c>
      <c r="DL162" s="228">
        <v>-0.7</v>
      </c>
      <c r="DM162" s="228">
        <v>37.28</v>
      </c>
      <c r="DN162" s="228">
        <v>37.340000000000003</v>
      </c>
      <c r="DO162" s="228">
        <v>-0.06</v>
      </c>
      <c r="DP162" s="228">
        <v>-0.06</v>
      </c>
      <c r="DQ162" s="228">
        <v>1.07</v>
      </c>
      <c r="DR162" s="228">
        <v>1.0900000000000001</v>
      </c>
      <c r="DS162" s="228">
        <v>-0.02</v>
      </c>
      <c r="DT162" s="229">
        <v>-1.83E-2</v>
      </c>
      <c r="DU162" s="231">
        <v>9000</v>
      </c>
      <c r="DV162" s="231">
        <v>7600</v>
      </c>
      <c r="DW162" s="228">
        <v>0.9</v>
      </c>
      <c r="DX162" s="228">
        <v>2.0299999999999998</v>
      </c>
      <c r="DY162" s="228">
        <v>-1.1299999999999999</v>
      </c>
      <c r="DZ162" s="229">
        <v>-0.55669999999999997</v>
      </c>
      <c r="EA162" s="229">
        <v>3.7699999999999997E-2</v>
      </c>
      <c r="EB162" s="230">
        <v>76125</v>
      </c>
      <c r="EC162" s="229">
        <v>4.8999999999999998E-3</v>
      </c>
      <c r="ED162" s="229">
        <v>3.7699999999999997E-2</v>
      </c>
      <c r="EE162" s="228">
        <v>58.94</v>
      </c>
      <c r="EF162" s="229">
        <v>7.0000000000000001E-3</v>
      </c>
      <c r="EG162" s="230">
        <v>298673</v>
      </c>
      <c r="EH162" s="230">
        <v>251072</v>
      </c>
      <c r="EI162" s="229">
        <v>0.18959999999999999</v>
      </c>
      <c r="EJ162" s="229">
        <v>0.57750000000000001</v>
      </c>
      <c r="EK162" s="231">
        <v>2012.99</v>
      </c>
      <c r="EL162" s="231">
        <v>1607</v>
      </c>
      <c r="EM162" s="228">
        <v>995.34</v>
      </c>
      <c r="EN162" s="228">
        <v>73.69</v>
      </c>
      <c r="EO162" s="231">
        <v>4615.33</v>
      </c>
      <c r="EP162" s="231">
        <v>5344.92</v>
      </c>
      <c r="EQ162" s="228">
        <v>-729.59</v>
      </c>
      <c r="ER162" s="229">
        <v>-0.13650000000000001</v>
      </c>
      <c r="ES162" s="228">
        <v>971.91</v>
      </c>
      <c r="ET162" s="228">
        <v>943.64</v>
      </c>
      <c r="EU162" s="231">
        <v>1966.54</v>
      </c>
      <c r="EV162" s="231">
        <v>8688405</v>
      </c>
      <c r="EW162" s="231">
        <v>3882.1</v>
      </c>
      <c r="EX162" s="231">
        <v>3671.64</v>
      </c>
      <c r="EY162" s="228">
        <v>210.46</v>
      </c>
      <c r="EZ162" s="229">
        <v>5.7299999999999997E-2</v>
      </c>
      <c r="FA162" s="229">
        <v>0.53249999999999997</v>
      </c>
      <c r="FB162" s="227" t="s">
        <v>556</v>
      </c>
      <c r="FC162">
        <f t="shared" si="3"/>
        <v>0</v>
      </c>
    </row>
    <row r="163" spans="1:159" ht="17.25" thickBot="1" x14ac:dyDescent="0.3">
      <c r="A163" s="226">
        <v>46086</v>
      </c>
      <c r="B163" s="227" t="s">
        <v>161</v>
      </c>
      <c r="C163" s="227" t="s">
        <v>276</v>
      </c>
      <c r="D163" s="228">
        <v>1900</v>
      </c>
      <c r="E163" s="228">
        <v>25</v>
      </c>
      <c r="F163" s="228">
        <v>299.89999999999998</v>
      </c>
      <c r="G163" s="228">
        <v>293.10000000000002</v>
      </c>
      <c r="H163" s="228">
        <v>6.8</v>
      </c>
      <c r="I163" s="229">
        <v>2.3199999999999998E-2</v>
      </c>
      <c r="J163" s="228">
        <v>299.45</v>
      </c>
      <c r="K163" s="228">
        <v>291.95</v>
      </c>
      <c r="L163" s="228">
        <v>7.5</v>
      </c>
      <c r="M163" s="229">
        <v>2.5700000000000001E-2</v>
      </c>
      <c r="N163" s="228">
        <v>299.89999999999998</v>
      </c>
      <c r="O163" s="228">
        <v>293.10000000000002</v>
      </c>
      <c r="P163" s="228">
        <v>6.8</v>
      </c>
      <c r="Q163" s="229">
        <v>2.3199999999999998E-2</v>
      </c>
      <c r="R163" s="228">
        <v>301.60000000000002</v>
      </c>
      <c r="S163" s="228">
        <v>294.60000000000002</v>
      </c>
      <c r="T163" s="228">
        <v>7</v>
      </c>
      <c r="U163" s="229">
        <v>2.3800000000000002E-2</v>
      </c>
      <c r="V163" s="228">
        <v>304.05</v>
      </c>
      <c r="W163" s="228">
        <v>296.10000000000002</v>
      </c>
      <c r="X163" s="228">
        <v>7.95</v>
      </c>
      <c r="Y163" s="229">
        <v>2.6800000000000001E-2</v>
      </c>
      <c r="Z163" s="228">
        <v>0.45</v>
      </c>
      <c r="AA163" s="228">
        <v>1.1499999999999999</v>
      </c>
      <c r="AB163" s="228">
        <v>-0.7</v>
      </c>
      <c r="AC163" s="229">
        <v>1.5E-3</v>
      </c>
      <c r="AD163" s="228">
        <v>0.45</v>
      </c>
      <c r="AE163" s="228">
        <v>1.1499999999999999</v>
      </c>
      <c r="AF163" s="228">
        <v>-0.7</v>
      </c>
      <c r="AG163" s="229">
        <v>1.5E-3</v>
      </c>
      <c r="AH163" s="228">
        <v>2.15</v>
      </c>
      <c r="AI163" s="228">
        <v>2.65</v>
      </c>
      <c r="AJ163" s="228">
        <v>-0.5</v>
      </c>
      <c r="AK163" s="229">
        <v>7.1999999999999998E-3</v>
      </c>
      <c r="AL163" s="228">
        <v>4.5999999999999996</v>
      </c>
      <c r="AM163" s="228">
        <v>4.1500000000000004</v>
      </c>
      <c r="AN163" s="228">
        <v>0.45</v>
      </c>
      <c r="AO163" s="229">
        <v>1.54E-2</v>
      </c>
      <c r="AP163" s="228">
        <v>298.2</v>
      </c>
      <c r="AQ163" s="228">
        <v>299.94</v>
      </c>
      <c r="AR163" s="228">
        <v>0</v>
      </c>
      <c r="AS163" s="228">
        <v>323</v>
      </c>
      <c r="AT163" s="228">
        <v>310</v>
      </c>
      <c r="AU163" s="228">
        <v>13</v>
      </c>
      <c r="AV163" s="229">
        <v>4.2999999999999997E-2</v>
      </c>
      <c r="AW163" s="228">
        <v>307</v>
      </c>
      <c r="AX163" s="228">
        <v>297</v>
      </c>
      <c r="AY163" s="228">
        <v>11</v>
      </c>
      <c r="AZ163" s="229">
        <v>3.5499999999999997E-2</v>
      </c>
      <c r="BA163" s="228">
        <v>14</v>
      </c>
      <c r="BB163" s="228">
        <v>12</v>
      </c>
      <c r="BC163" s="228">
        <v>2</v>
      </c>
      <c r="BD163" s="229">
        <v>0.14829999999999999</v>
      </c>
      <c r="BE163" s="228">
        <v>2</v>
      </c>
      <c r="BF163" s="228">
        <v>1</v>
      </c>
      <c r="BG163" s="228">
        <v>1</v>
      </c>
      <c r="BH163" s="229">
        <v>0.94740000000000002</v>
      </c>
      <c r="BI163" s="230">
        <v>1138</v>
      </c>
      <c r="BJ163" s="230">
        <v>1063</v>
      </c>
      <c r="BK163" s="228">
        <v>74</v>
      </c>
      <c r="BL163" s="229">
        <v>7.0000000000000007E-2</v>
      </c>
      <c r="BM163" s="228">
        <v>481</v>
      </c>
      <c r="BN163" s="228">
        <v>678</v>
      </c>
      <c r="BO163" s="228">
        <v>-198</v>
      </c>
      <c r="BP163" s="229">
        <v>-0.2913</v>
      </c>
      <c r="BQ163" s="230">
        <v>1942</v>
      </c>
      <c r="BR163" s="230">
        <v>2051</v>
      </c>
      <c r="BS163" s="228">
        <v>-110</v>
      </c>
      <c r="BT163" s="229">
        <v>-5.3600000000000002E-2</v>
      </c>
      <c r="BU163" s="230">
        <v>20348125</v>
      </c>
      <c r="BV163" s="230">
        <v>30718274</v>
      </c>
      <c r="BW163" s="230">
        <v>-10370149</v>
      </c>
      <c r="BX163" s="229">
        <v>-0.33760000000000001</v>
      </c>
      <c r="BY163" s="230">
        <v>2427</v>
      </c>
      <c r="BZ163" s="230">
        <v>2473</v>
      </c>
      <c r="CA163" s="228">
        <v>-45</v>
      </c>
      <c r="CB163" s="229">
        <v>-1.84E-2</v>
      </c>
      <c r="CC163" s="230">
        <v>2386</v>
      </c>
      <c r="CD163" s="230">
        <v>2436</v>
      </c>
      <c r="CE163" s="228">
        <v>-50</v>
      </c>
      <c r="CF163" s="229">
        <v>-2.0400000000000001E-2</v>
      </c>
      <c r="CG163" s="228">
        <v>36</v>
      </c>
      <c r="CH163" s="228">
        <v>33</v>
      </c>
      <c r="CI163" s="228">
        <v>3</v>
      </c>
      <c r="CJ163" s="229">
        <v>9.2299999999999993E-2</v>
      </c>
      <c r="CK163" s="228">
        <v>6</v>
      </c>
      <c r="CL163" s="228">
        <v>5</v>
      </c>
      <c r="CM163" s="228">
        <v>1</v>
      </c>
      <c r="CN163" s="229">
        <v>0.28749999999999998</v>
      </c>
      <c r="CO163" s="230">
        <v>1114</v>
      </c>
      <c r="CP163" s="230">
        <v>1036</v>
      </c>
      <c r="CQ163" s="228">
        <v>78</v>
      </c>
      <c r="CR163" s="229">
        <v>7.4899999999999994E-2</v>
      </c>
      <c r="CS163" s="228">
        <v>468</v>
      </c>
      <c r="CT163" s="228">
        <v>459</v>
      </c>
      <c r="CU163" s="228">
        <v>9</v>
      </c>
      <c r="CV163" s="229">
        <v>1.9599999999999999E-2</v>
      </c>
      <c r="CW163" s="230">
        <v>4010</v>
      </c>
      <c r="CX163" s="230">
        <v>3969</v>
      </c>
      <c r="CY163" s="228">
        <v>41</v>
      </c>
      <c r="CZ163" s="229">
        <v>1.04E-2</v>
      </c>
      <c r="DA163" s="228">
        <v>22.04</v>
      </c>
      <c r="DB163" s="228">
        <v>24.69</v>
      </c>
      <c r="DC163" s="228">
        <v>-2.65</v>
      </c>
      <c r="DD163" s="228">
        <v>-2.65</v>
      </c>
      <c r="DE163" s="228">
        <v>29.66</v>
      </c>
      <c r="DF163" s="228">
        <v>29.54</v>
      </c>
      <c r="DG163" s="228">
        <v>-7.62</v>
      </c>
      <c r="DH163" s="228">
        <v>0.12</v>
      </c>
      <c r="DI163" s="228">
        <v>21.26</v>
      </c>
      <c r="DJ163" s="228">
        <v>24.09</v>
      </c>
      <c r="DK163" s="228">
        <v>-2.83</v>
      </c>
      <c r="DL163" s="228">
        <v>-2.83</v>
      </c>
      <c r="DM163" s="228">
        <v>23.88</v>
      </c>
      <c r="DN163" s="228">
        <v>25.62</v>
      </c>
      <c r="DO163" s="228">
        <v>-1.74</v>
      </c>
      <c r="DP163" s="228">
        <v>-1.74</v>
      </c>
      <c r="DQ163" s="228">
        <v>0.42</v>
      </c>
      <c r="DR163" s="228">
        <v>0.44</v>
      </c>
      <c r="DS163" s="228">
        <v>-0.02</v>
      </c>
      <c r="DT163" s="229">
        <v>-4.5499999999999999E-2</v>
      </c>
      <c r="DU163" s="228">
        <v>310</v>
      </c>
      <c r="DV163" s="228">
        <v>300</v>
      </c>
      <c r="DW163" s="228">
        <v>0.42</v>
      </c>
      <c r="DX163" s="228">
        <v>0.64</v>
      </c>
      <c r="DY163" s="228">
        <v>-0.22</v>
      </c>
      <c r="DZ163" s="229">
        <v>-0.34379999999999999</v>
      </c>
      <c r="EA163" s="229">
        <v>1.7100000000000001E-2</v>
      </c>
      <c r="EB163" s="230">
        <v>1242600</v>
      </c>
      <c r="EC163" s="229">
        <v>5.7000000000000002E-3</v>
      </c>
      <c r="ED163" s="229">
        <v>1.7100000000000001E-2</v>
      </c>
      <c r="EE163" s="228">
        <v>1.74</v>
      </c>
      <c r="EF163" s="229">
        <v>5.7999999999999996E-3</v>
      </c>
      <c r="EG163" s="230">
        <v>13725558</v>
      </c>
      <c r="EH163" s="230">
        <v>21831582</v>
      </c>
      <c r="EI163" s="229">
        <v>-0.37130000000000002</v>
      </c>
      <c r="EJ163" s="229">
        <v>0.67449999999999999</v>
      </c>
      <c r="EK163" s="231">
        <v>1185.5899999999999</v>
      </c>
      <c r="EL163" s="228">
        <v>463.89</v>
      </c>
      <c r="EM163" s="228">
        <v>321.36</v>
      </c>
      <c r="EN163" s="228">
        <v>61.27</v>
      </c>
      <c r="EO163" s="231">
        <v>1970.83</v>
      </c>
      <c r="EP163" s="231">
        <v>2052.2800000000002</v>
      </c>
      <c r="EQ163" s="228">
        <v>-81.45</v>
      </c>
      <c r="ER163" s="229">
        <v>-3.9699999999999999E-2</v>
      </c>
      <c r="ES163" s="231">
        <v>1158.4000000000001</v>
      </c>
      <c r="ET163" s="228">
        <v>450.82</v>
      </c>
      <c r="EU163" s="231">
        <v>2427.62</v>
      </c>
      <c r="EV163" s="231">
        <v>678857930</v>
      </c>
      <c r="EW163" s="231">
        <v>4036.84</v>
      </c>
      <c r="EX163" s="231">
        <v>3936.24</v>
      </c>
      <c r="EY163" s="228">
        <v>100.6</v>
      </c>
      <c r="EZ163" s="229">
        <v>2.5600000000000001E-2</v>
      </c>
      <c r="FA163" s="229">
        <v>0.19700000000000001</v>
      </c>
      <c r="FB163" s="227" t="s">
        <v>556</v>
      </c>
      <c r="FC163">
        <f t="shared" si="3"/>
        <v>0</v>
      </c>
    </row>
    <row r="164" spans="1:159" ht="17.25" thickBot="1" x14ac:dyDescent="0.3">
      <c r="A164" s="226">
        <v>46086</v>
      </c>
      <c r="B164" s="227" t="s">
        <v>184</v>
      </c>
      <c r="C164" s="227" t="s">
        <v>686</v>
      </c>
      <c r="D164" s="228">
        <v>50</v>
      </c>
      <c r="E164" s="228">
        <v>25</v>
      </c>
      <c r="F164" s="231">
        <v>25390</v>
      </c>
      <c r="G164" s="231">
        <v>24600</v>
      </c>
      <c r="H164" s="228">
        <v>790</v>
      </c>
      <c r="I164" s="229">
        <v>3.2099999999999997E-2</v>
      </c>
      <c r="J164" s="231">
        <v>25305</v>
      </c>
      <c r="K164" s="231">
        <v>24500</v>
      </c>
      <c r="L164" s="228">
        <v>805</v>
      </c>
      <c r="M164" s="229">
        <v>3.2899999999999999E-2</v>
      </c>
      <c r="N164" s="231">
        <v>25390</v>
      </c>
      <c r="O164" s="231">
        <v>24600</v>
      </c>
      <c r="P164" s="228">
        <v>790</v>
      </c>
      <c r="Q164" s="229">
        <v>3.2099999999999997E-2</v>
      </c>
      <c r="R164" s="231">
        <v>25455</v>
      </c>
      <c r="S164" s="231">
        <v>24660</v>
      </c>
      <c r="T164" s="228">
        <v>795</v>
      </c>
      <c r="U164" s="229">
        <v>3.2199999999999999E-2</v>
      </c>
      <c r="V164" s="231">
        <v>25590</v>
      </c>
      <c r="W164" s="231">
        <v>24735</v>
      </c>
      <c r="X164" s="228">
        <v>855</v>
      </c>
      <c r="Y164" s="229">
        <v>3.4599999999999999E-2</v>
      </c>
      <c r="Z164" s="228">
        <v>85</v>
      </c>
      <c r="AA164" s="228">
        <v>100</v>
      </c>
      <c r="AB164" s="228">
        <v>-15</v>
      </c>
      <c r="AC164" s="229">
        <v>3.3999999999999998E-3</v>
      </c>
      <c r="AD164" s="228">
        <v>85</v>
      </c>
      <c r="AE164" s="228">
        <v>100</v>
      </c>
      <c r="AF164" s="228">
        <v>-15</v>
      </c>
      <c r="AG164" s="229">
        <v>3.3999999999999998E-3</v>
      </c>
      <c r="AH164" s="228">
        <v>150</v>
      </c>
      <c r="AI164" s="228">
        <v>160</v>
      </c>
      <c r="AJ164" s="228">
        <v>-10</v>
      </c>
      <c r="AK164" s="229">
        <v>5.8999999999999999E-3</v>
      </c>
      <c r="AL164" s="228">
        <v>285</v>
      </c>
      <c r="AM164" s="228">
        <v>235</v>
      </c>
      <c r="AN164" s="228">
        <v>50</v>
      </c>
      <c r="AO164" s="229">
        <v>1.1299999999999999E-2</v>
      </c>
      <c r="AP164" s="231">
        <v>25291.74</v>
      </c>
      <c r="AQ164" s="231">
        <v>25392</v>
      </c>
      <c r="AR164" s="228">
        <v>0</v>
      </c>
      <c r="AS164" s="228">
        <v>323</v>
      </c>
      <c r="AT164" s="228">
        <v>360</v>
      </c>
      <c r="AU164" s="228">
        <v>-37</v>
      </c>
      <c r="AV164" s="229">
        <v>-0.1019</v>
      </c>
      <c r="AW164" s="228">
        <v>306</v>
      </c>
      <c r="AX164" s="228">
        <v>340</v>
      </c>
      <c r="AY164" s="228">
        <v>-35</v>
      </c>
      <c r="AZ164" s="229">
        <v>-0.1018</v>
      </c>
      <c r="BA164" s="228">
        <v>16</v>
      </c>
      <c r="BB164" s="228">
        <v>17</v>
      </c>
      <c r="BC164" s="228">
        <v>-1</v>
      </c>
      <c r="BD164" s="229">
        <v>-8.09E-2</v>
      </c>
      <c r="BE164" s="228">
        <v>2</v>
      </c>
      <c r="BF164" s="228">
        <v>2</v>
      </c>
      <c r="BG164" s="228">
        <v>-1</v>
      </c>
      <c r="BH164" s="229">
        <v>-0.26319999999999999</v>
      </c>
      <c r="BI164" s="228">
        <v>915</v>
      </c>
      <c r="BJ164" s="228">
        <v>500</v>
      </c>
      <c r="BK164" s="228">
        <v>414</v>
      </c>
      <c r="BL164" s="229">
        <v>0.82779999999999998</v>
      </c>
      <c r="BM164" s="228">
        <v>346</v>
      </c>
      <c r="BN164" s="228">
        <v>527</v>
      </c>
      <c r="BO164" s="228">
        <v>-181</v>
      </c>
      <c r="BP164" s="229">
        <v>-0.34329999999999999</v>
      </c>
      <c r="BQ164" s="230">
        <v>1584</v>
      </c>
      <c r="BR164" s="230">
        <v>1388</v>
      </c>
      <c r="BS164" s="228">
        <v>197</v>
      </c>
      <c r="BT164" s="229">
        <v>0.1416</v>
      </c>
      <c r="BU164" s="230">
        <v>123330</v>
      </c>
      <c r="BV164" s="230">
        <v>166843</v>
      </c>
      <c r="BW164" s="230">
        <v>-43513</v>
      </c>
      <c r="BX164" s="229">
        <v>-0.26079999999999998</v>
      </c>
      <c r="BY164" s="228">
        <v>713</v>
      </c>
      <c r="BZ164" s="228">
        <v>682</v>
      </c>
      <c r="CA164" s="228">
        <v>31</v>
      </c>
      <c r="CB164" s="229">
        <v>4.58E-2</v>
      </c>
      <c r="CC164" s="228">
        <v>680</v>
      </c>
      <c r="CD164" s="228">
        <v>650</v>
      </c>
      <c r="CE164" s="228">
        <v>29</v>
      </c>
      <c r="CF164" s="229">
        <v>4.53E-2</v>
      </c>
      <c r="CG164" s="228">
        <v>28</v>
      </c>
      <c r="CH164" s="228">
        <v>27</v>
      </c>
      <c r="CI164" s="228">
        <v>1</v>
      </c>
      <c r="CJ164" s="229">
        <v>2.8000000000000001E-2</v>
      </c>
      <c r="CK164" s="228">
        <v>6</v>
      </c>
      <c r="CL164" s="228">
        <v>5</v>
      </c>
      <c r="CM164" s="228">
        <v>1</v>
      </c>
      <c r="CN164" s="229">
        <v>0.22220000000000001</v>
      </c>
      <c r="CO164" s="228">
        <v>407</v>
      </c>
      <c r="CP164" s="228">
        <v>363</v>
      </c>
      <c r="CQ164" s="228">
        <v>44</v>
      </c>
      <c r="CR164" s="229">
        <v>0.12239999999999999</v>
      </c>
      <c r="CS164" s="228">
        <v>373</v>
      </c>
      <c r="CT164" s="228">
        <v>332</v>
      </c>
      <c r="CU164" s="228">
        <v>40</v>
      </c>
      <c r="CV164" s="229">
        <v>0.1215</v>
      </c>
      <c r="CW164" s="230">
        <v>1493</v>
      </c>
      <c r="CX164" s="230">
        <v>1377</v>
      </c>
      <c r="CY164" s="228">
        <v>116</v>
      </c>
      <c r="CZ164" s="229">
        <v>8.43E-2</v>
      </c>
      <c r="DA164" s="228">
        <v>39.53</v>
      </c>
      <c r="DB164" s="228">
        <v>43.63</v>
      </c>
      <c r="DC164" s="228">
        <v>-4.0999999999999996</v>
      </c>
      <c r="DD164" s="228">
        <v>-4.0999999999999996</v>
      </c>
      <c r="DE164" s="228">
        <v>59</v>
      </c>
      <c r="DF164" s="228">
        <v>58.99</v>
      </c>
      <c r="DG164" s="228">
        <v>-19.47</v>
      </c>
      <c r="DH164" s="228">
        <v>0.01</v>
      </c>
      <c r="DI164" s="228">
        <v>38.590000000000003</v>
      </c>
      <c r="DJ164" s="228">
        <v>41.72</v>
      </c>
      <c r="DK164" s="228">
        <v>-3.13</v>
      </c>
      <c r="DL164" s="228">
        <v>-3.13</v>
      </c>
      <c r="DM164" s="228">
        <v>42.02</v>
      </c>
      <c r="DN164" s="228">
        <v>45.44</v>
      </c>
      <c r="DO164" s="228">
        <v>-3.42</v>
      </c>
      <c r="DP164" s="228">
        <v>-3.42</v>
      </c>
      <c r="DQ164" s="228">
        <v>0.91</v>
      </c>
      <c r="DR164" s="228">
        <v>0.92</v>
      </c>
      <c r="DS164" s="228">
        <v>-0.01</v>
      </c>
      <c r="DT164" s="229">
        <v>-1.09E-2</v>
      </c>
      <c r="DU164" s="231">
        <v>26000</v>
      </c>
      <c r="DV164" s="231">
        <v>25000</v>
      </c>
      <c r="DW164" s="228">
        <v>0.38</v>
      </c>
      <c r="DX164" s="228">
        <v>1.05</v>
      </c>
      <c r="DY164" s="228">
        <v>-0.67</v>
      </c>
      <c r="DZ164" s="229">
        <v>-0.6381</v>
      </c>
      <c r="EA164" s="229">
        <v>4.7E-2</v>
      </c>
      <c r="EB164" s="230">
        <v>12500</v>
      </c>
      <c r="EC164" s="229">
        <v>2.5999999999999999E-3</v>
      </c>
      <c r="ED164" s="229">
        <v>4.7E-2</v>
      </c>
      <c r="EE164" s="228">
        <v>100.26</v>
      </c>
      <c r="EF164" s="229">
        <v>4.0000000000000001E-3</v>
      </c>
      <c r="EG164" s="230">
        <v>39154</v>
      </c>
      <c r="EH164" s="230">
        <v>65742</v>
      </c>
      <c r="EI164" s="229">
        <v>-0.40439999999999998</v>
      </c>
      <c r="EJ164" s="229">
        <v>0.3175</v>
      </c>
      <c r="EK164" s="228">
        <v>982.2</v>
      </c>
      <c r="EL164" s="228">
        <v>328.8</v>
      </c>
      <c r="EM164" s="228">
        <v>322.27999999999997</v>
      </c>
      <c r="EN164" s="228">
        <v>20.83</v>
      </c>
      <c r="EO164" s="231">
        <v>1633.28</v>
      </c>
      <c r="EP164" s="231">
        <v>1366.61</v>
      </c>
      <c r="EQ164" s="228">
        <v>266.67</v>
      </c>
      <c r="ER164" s="229">
        <v>0.1951</v>
      </c>
      <c r="ES164" s="228">
        <v>409.82</v>
      </c>
      <c r="ET164" s="228">
        <v>336.11</v>
      </c>
      <c r="EU164" s="228">
        <v>713.19</v>
      </c>
      <c r="EV164" s="231">
        <v>1917916</v>
      </c>
      <c r="EW164" s="231">
        <v>1459.13</v>
      </c>
      <c r="EX164" s="231">
        <v>1320.92</v>
      </c>
      <c r="EY164" s="228">
        <v>138.21</v>
      </c>
      <c r="EZ164" s="229">
        <v>0.1046</v>
      </c>
      <c r="FA164" s="229">
        <v>0.30659999999999998</v>
      </c>
      <c r="FB164" s="227" t="s">
        <v>555</v>
      </c>
      <c r="FC164">
        <f t="shared" si="3"/>
        <v>0</v>
      </c>
    </row>
    <row r="165" spans="1:159" ht="17.25" thickBot="1" x14ac:dyDescent="0.3">
      <c r="A165" s="226">
        <v>46086</v>
      </c>
      <c r="B165" s="227" t="s">
        <v>170</v>
      </c>
      <c r="C165" s="227" t="s">
        <v>677</v>
      </c>
      <c r="D165" s="228">
        <v>2625</v>
      </c>
      <c r="E165" s="228">
        <v>25</v>
      </c>
      <c r="F165" s="228">
        <v>153.93</v>
      </c>
      <c r="G165" s="228">
        <v>152.66999999999999</v>
      </c>
      <c r="H165" s="228">
        <v>1.26</v>
      </c>
      <c r="I165" s="229">
        <v>8.3000000000000001E-3</v>
      </c>
      <c r="J165" s="228">
        <v>153.30000000000001</v>
      </c>
      <c r="K165" s="228">
        <v>152.31</v>
      </c>
      <c r="L165" s="228">
        <v>0.99</v>
      </c>
      <c r="M165" s="229">
        <v>6.4999999999999997E-3</v>
      </c>
      <c r="N165" s="228">
        <v>153.93</v>
      </c>
      <c r="O165" s="228">
        <v>152.66999999999999</v>
      </c>
      <c r="P165" s="228">
        <v>1.26</v>
      </c>
      <c r="Q165" s="229">
        <v>8.3000000000000001E-3</v>
      </c>
      <c r="R165" s="228">
        <v>153.06</v>
      </c>
      <c r="S165" s="228">
        <v>152.13</v>
      </c>
      <c r="T165" s="228">
        <v>0.93</v>
      </c>
      <c r="U165" s="229">
        <v>6.1000000000000004E-3</v>
      </c>
      <c r="V165" s="228">
        <v>0</v>
      </c>
      <c r="W165" s="228">
        <v>0</v>
      </c>
      <c r="X165" s="228">
        <v>0</v>
      </c>
      <c r="Y165" s="229">
        <v>0</v>
      </c>
      <c r="Z165" s="228">
        <v>0.63</v>
      </c>
      <c r="AA165" s="228">
        <v>0.36</v>
      </c>
      <c r="AB165" s="228">
        <v>0.27</v>
      </c>
      <c r="AC165" s="229">
        <v>4.1000000000000003E-3</v>
      </c>
      <c r="AD165" s="228">
        <v>0.63</v>
      </c>
      <c r="AE165" s="228">
        <v>0.36</v>
      </c>
      <c r="AF165" s="228">
        <v>0.27</v>
      </c>
      <c r="AG165" s="229">
        <v>4.1000000000000003E-3</v>
      </c>
      <c r="AH165" s="228">
        <v>-0.24</v>
      </c>
      <c r="AI165" s="228">
        <v>-0.18</v>
      </c>
      <c r="AJ165" s="228">
        <v>-0.06</v>
      </c>
      <c r="AK165" s="229">
        <v>-1.6000000000000001E-3</v>
      </c>
      <c r="AL165" s="228">
        <v>0</v>
      </c>
      <c r="AM165" s="228">
        <v>0</v>
      </c>
      <c r="AN165" s="228">
        <v>0</v>
      </c>
      <c r="AO165" s="229">
        <v>0</v>
      </c>
      <c r="AP165" s="228">
        <v>153.16999999999999</v>
      </c>
      <c r="AQ165" s="228">
        <v>152.62</v>
      </c>
      <c r="AR165" s="228">
        <v>0</v>
      </c>
      <c r="AS165" s="228">
        <v>40</v>
      </c>
      <c r="AT165" s="228">
        <v>40</v>
      </c>
      <c r="AU165" s="228">
        <v>0</v>
      </c>
      <c r="AV165" s="229">
        <v>-4.0000000000000001E-3</v>
      </c>
      <c r="AW165" s="228">
        <v>31</v>
      </c>
      <c r="AX165" s="228">
        <v>35</v>
      </c>
      <c r="AY165" s="228">
        <v>-4</v>
      </c>
      <c r="AZ165" s="229">
        <v>-0.1157</v>
      </c>
      <c r="BA165" s="228">
        <v>9</v>
      </c>
      <c r="BB165" s="228">
        <v>5</v>
      </c>
      <c r="BC165" s="228">
        <v>4</v>
      </c>
      <c r="BD165" s="229">
        <v>0.74419999999999997</v>
      </c>
      <c r="BE165" s="228">
        <v>0</v>
      </c>
      <c r="BF165" s="228">
        <v>0</v>
      </c>
      <c r="BG165" s="228">
        <v>0</v>
      </c>
      <c r="BH165" s="229">
        <v>0</v>
      </c>
      <c r="BI165" s="228">
        <v>43</v>
      </c>
      <c r="BJ165" s="228">
        <v>57</v>
      </c>
      <c r="BK165" s="228">
        <v>-13</v>
      </c>
      <c r="BL165" s="229">
        <v>-0.2334</v>
      </c>
      <c r="BM165" s="228">
        <v>12</v>
      </c>
      <c r="BN165" s="228">
        <v>26</v>
      </c>
      <c r="BO165" s="228">
        <v>-14</v>
      </c>
      <c r="BP165" s="229">
        <v>-0.53800000000000003</v>
      </c>
      <c r="BQ165" s="228">
        <v>95</v>
      </c>
      <c r="BR165" s="228">
        <v>122</v>
      </c>
      <c r="BS165" s="228">
        <v>-27</v>
      </c>
      <c r="BT165" s="229">
        <v>-0.22170000000000001</v>
      </c>
      <c r="BU165" s="230">
        <v>1319574</v>
      </c>
      <c r="BV165" s="230">
        <v>3290462</v>
      </c>
      <c r="BW165" s="230">
        <v>-1970888</v>
      </c>
      <c r="BX165" s="229">
        <v>-0.59899999999999998</v>
      </c>
      <c r="BY165" s="228">
        <v>272</v>
      </c>
      <c r="BZ165" s="228">
        <v>275</v>
      </c>
      <c r="CA165" s="228">
        <v>-3</v>
      </c>
      <c r="CB165" s="229">
        <v>-1.1900000000000001E-2</v>
      </c>
      <c r="CC165" s="228">
        <v>250</v>
      </c>
      <c r="CD165" s="228">
        <v>253</v>
      </c>
      <c r="CE165" s="228">
        <v>-4</v>
      </c>
      <c r="CF165" s="229">
        <v>-1.4500000000000001E-2</v>
      </c>
      <c r="CG165" s="228">
        <v>22</v>
      </c>
      <c r="CH165" s="228">
        <v>22</v>
      </c>
      <c r="CI165" s="228">
        <v>0</v>
      </c>
      <c r="CJ165" s="229">
        <v>1.8599999999999998E-2</v>
      </c>
      <c r="CK165" s="228">
        <v>0</v>
      </c>
      <c r="CL165" s="228">
        <v>0</v>
      </c>
      <c r="CM165" s="228">
        <v>0</v>
      </c>
      <c r="CN165" s="229">
        <v>0</v>
      </c>
      <c r="CO165" s="228">
        <v>98</v>
      </c>
      <c r="CP165" s="228">
        <v>92</v>
      </c>
      <c r="CQ165" s="228">
        <v>5</v>
      </c>
      <c r="CR165" s="229">
        <v>5.6399999999999999E-2</v>
      </c>
      <c r="CS165" s="228">
        <v>59</v>
      </c>
      <c r="CT165" s="228">
        <v>58</v>
      </c>
      <c r="CU165" s="228">
        <v>1</v>
      </c>
      <c r="CV165" s="229">
        <v>2.01E-2</v>
      </c>
      <c r="CW165" s="228">
        <v>429</v>
      </c>
      <c r="CX165" s="228">
        <v>426</v>
      </c>
      <c r="CY165" s="228">
        <v>3</v>
      </c>
      <c r="CZ165" s="229">
        <v>7.3000000000000001E-3</v>
      </c>
      <c r="DA165" s="228">
        <v>34.67</v>
      </c>
      <c r="DB165" s="228">
        <v>38.119999999999997</v>
      </c>
      <c r="DC165" s="228">
        <v>-3.45</v>
      </c>
      <c r="DD165" s="228">
        <v>-3.45</v>
      </c>
      <c r="DE165" s="228">
        <v>41.91</v>
      </c>
      <c r="DF165" s="228">
        <v>42</v>
      </c>
      <c r="DG165" s="228">
        <v>-7.24</v>
      </c>
      <c r="DH165" s="228">
        <v>-0.09</v>
      </c>
      <c r="DI165" s="228">
        <v>33.85</v>
      </c>
      <c r="DJ165" s="228">
        <v>38.08</v>
      </c>
      <c r="DK165" s="228">
        <v>-4.2300000000000004</v>
      </c>
      <c r="DL165" s="228">
        <v>-4.2300000000000004</v>
      </c>
      <c r="DM165" s="228">
        <v>37.71</v>
      </c>
      <c r="DN165" s="228">
        <v>38.21</v>
      </c>
      <c r="DO165" s="228">
        <v>-0.5</v>
      </c>
      <c r="DP165" s="228">
        <v>-0.5</v>
      </c>
      <c r="DQ165" s="228">
        <v>0.61</v>
      </c>
      <c r="DR165" s="228">
        <v>0.63</v>
      </c>
      <c r="DS165" s="228">
        <v>-0.02</v>
      </c>
      <c r="DT165" s="229">
        <v>-3.1699999999999999E-2</v>
      </c>
      <c r="DU165" s="228">
        <v>170</v>
      </c>
      <c r="DV165" s="228">
        <v>150</v>
      </c>
      <c r="DW165" s="228">
        <v>0.27</v>
      </c>
      <c r="DX165" s="228">
        <v>0.45</v>
      </c>
      <c r="DY165" s="228">
        <v>-0.18</v>
      </c>
      <c r="DZ165" s="229">
        <v>-0.4</v>
      </c>
      <c r="EA165" s="229">
        <v>8.1500000000000003E-2</v>
      </c>
      <c r="EB165" s="230">
        <v>1412250</v>
      </c>
      <c r="EC165" s="229">
        <v>-5.7000000000000002E-3</v>
      </c>
      <c r="ED165" s="229">
        <v>8.1500000000000003E-2</v>
      </c>
      <c r="EE165" s="228">
        <v>-0.55000000000000004</v>
      </c>
      <c r="EF165" s="229">
        <v>-3.5999999999999999E-3</v>
      </c>
      <c r="EG165" s="230">
        <v>499837</v>
      </c>
      <c r="EH165" s="230">
        <v>2108353</v>
      </c>
      <c r="EI165" s="229">
        <v>-0.76290000000000002</v>
      </c>
      <c r="EJ165" s="229">
        <v>0.37880000000000003</v>
      </c>
      <c r="EK165" s="228">
        <v>46.45</v>
      </c>
      <c r="EL165" s="228">
        <v>11.67</v>
      </c>
      <c r="EM165" s="228">
        <v>39.729999999999997</v>
      </c>
      <c r="EN165" s="228">
        <v>14.33</v>
      </c>
      <c r="EO165" s="228">
        <v>97.85</v>
      </c>
      <c r="EP165" s="228">
        <v>126.1</v>
      </c>
      <c r="EQ165" s="228">
        <v>-28.25</v>
      </c>
      <c r="ER165" s="229">
        <v>-0.224</v>
      </c>
      <c r="ES165" s="228">
        <v>106.53</v>
      </c>
      <c r="ET165" s="228">
        <v>60.93</v>
      </c>
      <c r="EU165" s="228">
        <v>271.52999999999997</v>
      </c>
      <c r="EV165" s="231">
        <v>107697729</v>
      </c>
      <c r="EW165" s="228">
        <v>438.98</v>
      </c>
      <c r="EX165" s="228">
        <v>433.69</v>
      </c>
      <c r="EY165" s="228">
        <v>5.29</v>
      </c>
      <c r="EZ165" s="229">
        <v>1.2200000000000001E-2</v>
      </c>
      <c r="FA165" s="229">
        <v>0.2586</v>
      </c>
      <c r="FB165" s="227" t="s">
        <v>556</v>
      </c>
      <c r="FC165">
        <f t="shared" si="3"/>
        <v>0</v>
      </c>
    </row>
    <row r="166" spans="1:159" ht="17.25" thickBot="1" x14ac:dyDescent="0.3">
      <c r="A166" s="226">
        <v>46086</v>
      </c>
      <c r="B166" s="227" t="s">
        <v>184</v>
      </c>
      <c r="C166" s="227" t="s">
        <v>689</v>
      </c>
      <c r="D166" s="228">
        <v>575</v>
      </c>
      <c r="E166" s="228">
        <v>25</v>
      </c>
      <c r="F166" s="228">
        <v>719.85</v>
      </c>
      <c r="G166" s="228">
        <v>709.6</v>
      </c>
      <c r="H166" s="228">
        <v>10.25</v>
      </c>
      <c r="I166" s="229">
        <v>1.44E-2</v>
      </c>
      <c r="J166" s="228">
        <v>720.1</v>
      </c>
      <c r="K166" s="228">
        <v>706.2</v>
      </c>
      <c r="L166" s="228">
        <v>13.9</v>
      </c>
      <c r="M166" s="229">
        <v>1.9699999999999999E-2</v>
      </c>
      <c r="N166" s="228">
        <v>719.85</v>
      </c>
      <c r="O166" s="228">
        <v>709.6</v>
      </c>
      <c r="P166" s="228">
        <v>10.25</v>
      </c>
      <c r="Q166" s="229">
        <v>1.44E-2</v>
      </c>
      <c r="R166" s="228">
        <v>721.05</v>
      </c>
      <c r="S166" s="228">
        <v>709.5</v>
      </c>
      <c r="T166" s="228">
        <v>11.55</v>
      </c>
      <c r="U166" s="229">
        <v>1.6299999999999999E-2</v>
      </c>
      <c r="V166" s="228">
        <v>714</v>
      </c>
      <c r="W166" s="228">
        <v>710</v>
      </c>
      <c r="X166" s="228">
        <v>4</v>
      </c>
      <c r="Y166" s="229">
        <v>5.5999999999999999E-3</v>
      </c>
      <c r="Z166" s="228">
        <v>-0.25</v>
      </c>
      <c r="AA166" s="228">
        <v>3.4</v>
      </c>
      <c r="AB166" s="228">
        <v>-3.65</v>
      </c>
      <c r="AC166" s="229">
        <v>-2.9999999999999997E-4</v>
      </c>
      <c r="AD166" s="228">
        <v>-0.25</v>
      </c>
      <c r="AE166" s="228">
        <v>3.4</v>
      </c>
      <c r="AF166" s="228">
        <v>-3.65</v>
      </c>
      <c r="AG166" s="229">
        <v>-2.9999999999999997E-4</v>
      </c>
      <c r="AH166" s="228">
        <v>0.95</v>
      </c>
      <c r="AI166" s="228">
        <v>3.3</v>
      </c>
      <c r="AJ166" s="228">
        <v>-2.35</v>
      </c>
      <c r="AK166" s="229">
        <v>1.2999999999999999E-3</v>
      </c>
      <c r="AL166" s="228">
        <v>-6.1</v>
      </c>
      <c r="AM166" s="228">
        <v>3.8</v>
      </c>
      <c r="AN166" s="228">
        <v>-9.9</v>
      </c>
      <c r="AO166" s="229">
        <v>-8.5000000000000006E-3</v>
      </c>
      <c r="AP166" s="228">
        <v>713.81</v>
      </c>
      <c r="AQ166" s="228">
        <v>716.08</v>
      </c>
      <c r="AR166" s="228">
        <v>0</v>
      </c>
      <c r="AS166" s="228">
        <v>185</v>
      </c>
      <c r="AT166" s="228">
        <v>90</v>
      </c>
      <c r="AU166" s="228">
        <v>95</v>
      </c>
      <c r="AV166" s="229">
        <v>1.0528</v>
      </c>
      <c r="AW166" s="228">
        <v>178</v>
      </c>
      <c r="AX166" s="228">
        <v>84</v>
      </c>
      <c r="AY166" s="228">
        <v>94</v>
      </c>
      <c r="AZ166" s="229">
        <v>1.1308</v>
      </c>
      <c r="BA166" s="228">
        <v>6</v>
      </c>
      <c r="BB166" s="228">
        <v>6</v>
      </c>
      <c r="BC166" s="228">
        <v>0</v>
      </c>
      <c r="BD166" s="229">
        <v>4.7300000000000002E-2</v>
      </c>
      <c r="BE166" s="228">
        <v>1</v>
      </c>
      <c r="BF166" s="228">
        <v>0</v>
      </c>
      <c r="BG166" s="228">
        <v>0</v>
      </c>
      <c r="BH166" s="229">
        <v>0.2727</v>
      </c>
      <c r="BI166" s="228">
        <v>193</v>
      </c>
      <c r="BJ166" s="228">
        <v>146</v>
      </c>
      <c r="BK166" s="228">
        <v>47</v>
      </c>
      <c r="BL166" s="229">
        <v>0.32400000000000001</v>
      </c>
      <c r="BM166" s="228">
        <v>123</v>
      </c>
      <c r="BN166" s="228">
        <v>91</v>
      </c>
      <c r="BO166" s="228">
        <v>32</v>
      </c>
      <c r="BP166" s="229">
        <v>0.3518</v>
      </c>
      <c r="BQ166" s="228">
        <v>501</v>
      </c>
      <c r="BR166" s="228">
        <v>327</v>
      </c>
      <c r="BS166" s="228">
        <v>174</v>
      </c>
      <c r="BT166" s="229">
        <v>0.53280000000000005</v>
      </c>
      <c r="BU166" s="230">
        <v>1135214</v>
      </c>
      <c r="BV166" s="230">
        <v>945565</v>
      </c>
      <c r="BW166" s="230">
        <v>189649</v>
      </c>
      <c r="BX166" s="229">
        <v>0.2006</v>
      </c>
      <c r="BY166" s="228">
        <v>563</v>
      </c>
      <c r="BZ166" s="228">
        <v>569</v>
      </c>
      <c r="CA166" s="228">
        <v>-6</v>
      </c>
      <c r="CB166" s="229">
        <v>-1.03E-2</v>
      </c>
      <c r="CC166" s="228">
        <v>553</v>
      </c>
      <c r="CD166" s="228">
        <v>560</v>
      </c>
      <c r="CE166" s="228">
        <v>-6</v>
      </c>
      <c r="CF166" s="229">
        <v>-1.1299999999999999E-2</v>
      </c>
      <c r="CG166" s="228">
        <v>9</v>
      </c>
      <c r="CH166" s="228">
        <v>8</v>
      </c>
      <c r="CI166" s="228">
        <v>1</v>
      </c>
      <c r="CJ166" s="229">
        <v>7.8799999999999995E-2</v>
      </c>
      <c r="CK166" s="228">
        <v>1</v>
      </c>
      <c r="CL166" s="228">
        <v>1</v>
      </c>
      <c r="CM166" s="228">
        <v>0</v>
      </c>
      <c r="CN166" s="229">
        <v>-0.1429</v>
      </c>
      <c r="CO166" s="228">
        <v>275</v>
      </c>
      <c r="CP166" s="228">
        <v>262</v>
      </c>
      <c r="CQ166" s="228">
        <v>13</v>
      </c>
      <c r="CR166" s="229">
        <v>5.0500000000000003E-2</v>
      </c>
      <c r="CS166" s="228">
        <v>269</v>
      </c>
      <c r="CT166" s="228">
        <v>255</v>
      </c>
      <c r="CU166" s="228">
        <v>14</v>
      </c>
      <c r="CV166" s="229">
        <v>5.45E-2</v>
      </c>
      <c r="CW166" s="230">
        <v>1107</v>
      </c>
      <c r="CX166" s="230">
        <v>1086</v>
      </c>
      <c r="CY166" s="228">
        <v>21</v>
      </c>
      <c r="CZ166" s="229">
        <v>1.9599999999999999E-2</v>
      </c>
      <c r="DA166" s="228">
        <v>43.28</v>
      </c>
      <c r="DB166" s="228">
        <v>45.99</v>
      </c>
      <c r="DC166" s="228">
        <v>-2.71</v>
      </c>
      <c r="DD166" s="228">
        <v>-2.71</v>
      </c>
      <c r="DE166" s="228">
        <v>48.26</v>
      </c>
      <c r="DF166" s="228">
        <v>48.34</v>
      </c>
      <c r="DG166" s="228">
        <v>-4.9800000000000004</v>
      </c>
      <c r="DH166" s="228">
        <v>-0.08</v>
      </c>
      <c r="DI166" s="228">
        <v>41.91</v>
      </c>
      <c r="DJ166" s="228">
        <v>44.27</v>
      </c>
      <c r="DK166" s="228">
        <v>-2.36</v>
      </c>
      <c r="DL166" s="228">
        <v>-2.36</v>
      </c>
      <c r="DM166" s="228">
        <v>45.44</v>
      </c>
      <c r="DN166" s="228">
        <v>48.73</v>
      </c>
      <c r="DO166" s="228">
        <v>-3.29</v>
      </c>
      <c r="DP166" s="228">
        <v>-3.29</v>
      </c>
      <c r="DQ166" s="228">
        <v>0.98</v>
      </c>
      <c r="DR166" s="228">
        <v>0.98</v>
      </c>
      <c r="DS166" s="228">
        <v>0</v>
      </c>
      <c r="DT166" s="229">
        <v>0</v>
      </c>
      <c r="DU166" s="228">
        <v>900</v>
      </c>
      <c r="DV166" s="228">
        <v>600</v>
      </c>
      <c r="DW166" s="228">
        <v>0.64</v>
      </c>
      <c r="DX166" s="228">
        <v>0.62</v>
      </c>
      <c r="DY166" s="228">
        <v>0.02</v>
      </c>
      <c r="DZ166" s="229">
        <v>3.2300000000000002E-2</v>
      </c>
      <c r="EA166" s="229">
        <v>1.7899999999999999E-2</v>
      </c>
      <c r="EB166" s="230">
        <v>132825</v>
      </c>
      <c r="EC166" s="229">
        <v>1.6999999999999999E-3</v>
      </c>
      <c r="ED166" s="229">
        <v>1.7899999999999999E-2</v>
      </c>
      <c r="EE166" s="228">
        <v>2.27</v>
      </c>
      <c r="EF166" s="229">
        <v>3.2000000000000002E-3</v>
      </c>
      <c r="EG166" s="230">
        <v>320579</v>
      </c>
      <c r="EH166" s="230">
        <v>234797</v>
      </c>
      <c r="EI166" s="229">
        <v>0.36530000000000001</v>
      </c>
      <c r="EJ166" s="229">
        <v>0.28239999999999998</v>
      </c>
      <c r="EK166" s="228">
        <v>204.84</v>
      </c>
      <c r="EL166" s="228">
        <v>121.51</v>
      </c>
      <c r="EM166" s="228">
        <v>183.53</v>
      </c>
      <c r="EN166" s="228">
        <v>43.66</v>
      </c>
      <c r="EO166" s="228">
        <v>509.88</v>
      </c>
      <c r="EP166" s="228">
        <v>333.34</v>
      </c>
      <c r="EQ166" s="228">
        <v>176.54</v>
      </c>
      <c r="ER166" s="229">
        <v>0.52959999999999996</v>
      </c>
      <c r="ES166" s="228">
        <v>298.66000000000003</v>
      </c>
      <c r="ET166" s="228">
        <v>253.39</v>
      </c>
      <c r="EU166" s="228">
        <v>563.42999999999995</v>
      </c>
      <c r="EV166" s="231">
        <v>23923093</v>
      </c>
      <c r="EW166" s="231">
        <v>1115.47</v>
      </c>
      <c r="EX166" s="231">
        <v>1086.28</v>
      </c>
      <c r="EY166" s="228">
        <v>29.19</v>
      </c>
      <c r="EZ166" s="229">
        <v>2.69E-2</v>
      </c>
      <c r="FA166" s="229">
        <v>0.64290000000000003</v>
      </c>
      <c r="FB166" s="227" t="s">
        <v>556</v>
      </c>
      <c r="FC166">
        <f t="shared" si="3"/>
        <v>0</v>
      </c>
    </row>
    <row r="167" spans="1:159" ht="17.25" thickBot="1" x14ac:dyDescent="0.3">
      <c r="A167" s="226">
        <v>46086</v>
      </c>
      <c r="B167" s="227" t="s">
        <v>206</v>
      </c>
      <c r="C167" s="227" t="s">
        <v>605</v>
      </c>
      <c r="D167" s="228">
        <v>450</v>
      </c>
      <c r="E167" s="228">
        <v>25</v>
      </c>
      <c r="F167" s="231">
        <v>1380.1</v>
      </c>
      <c r="G167" s="231">
        <v>1353.6</v>
      </c>
      <c r="H167" s="228">
        <v>26.5</v>
      </c>
      <c r="I167" s="229">
        <v>1.9599999999999999E-2</v>
      </c>
      <c r="J167" s="231">
        <v>1375.6</v>
      </c>
      <c r="K167" s="231">
        <v>1350.8</v>
      </c>
      <c r="L167" s="228">
        <v>24.8</v>
      </c>
      <c r="M167" s="229">
        <v>1.84E-2</v>
      </c>
      <c r="N167" s="231">
        <v>1380.1</v>
      </c>
      <c r="O167" s="231">
        <v>1353.6</v>
      </c>
      <c r="P167" s="228">
        <v>26.5</v>
      </c>
      <c r="Q167" s="229">
        <v>1.9599999999999999E-2</v>
      </c>
      <c r="R167" s="231">
        <v>1387.1</v>
      </c>
      <c r="S167" s="231">
        <v>1361.4</v>
      </c>
      <c r="T167" s="228">
        <v>25.7</v>
      </c>
      <c r="U167" s="229">
        <v>1.89E-2</v>
      </c>
      <c r="V167" s="228">
        <v>0</v>
      </c>
      <c r="W167" s="228">
        <v>0</v>
      </c>
      <c r="X167" s="228">
        <v>0</v>
      </c>
      <c r="Y167" s="229">
        <v>0</v>
      </c>
      <c r="Z167" s="228">
        <v>4.5</v>
      </c>
      <c r="AA167" s="228">
        <v>2.8</v>
      </c>
      <c r="AB167" s="228">
        <v>1.7</v>
      </c>
      <c r="AC167" s="229">
        <v>3.3E-3</v>
      </c>
      <c r="AD167" s="228">
        <v>4.5</v>
      </c>
      <c r="AE167" s="228">
        <v>2.8</v>
      </c>
      <c r="AF167" s="228">
        <v>1.7</v>
      </c>
      <c r="AG167" s="229">
        <v>3.3E-3</v>
      </c>
      <c r="AH167" s="228">
        <v>11.5</v>
      </c>
      <c r="AI167" s="228">
        <v>10.6</v>
      </c>
      <c r="AJ167" s="228">
        <v>0.9</v>
      </c>
      <c r="AK167" s="229">
        <v>8.3999999999999995E-3</v>
      </c>
      <c r="AL167" s="228">
        <v>0</v>
      </c>
      <c r="AM167" s="228">
        <v>0</v>
      </c>
      <c r="AN167" s="228">
        <v>0</v>
      </c>
      <c r="AO167" s="229">
        <v>0</v>
      </c>
      <c r="AP167" s="231">
        <v>1375.18</v>
      </c>
      <c r="AQ167" s="231">
        <v>1383.17</v>
      </c>
      <c r="AR167" s="228">
        <v>0</v>
      </c>
      <c r="AS167" s="228">
        <v>119</v>
      </c>
      <c r="AT167" s="228">
        <v>154</v>
      </c>
      <c r="AU167" s="228">
        <v>-35</v>
      </c>
      <c r="AV167" s="229">
        <v>-0.22900000000000001</v>
      </c>
      <c r="AW167" s="228">
        <v>116</v>
      </c>
      <c r="AX167" s="228">
        <v>143</v>
      </c>
      <c r="AY167" s="228">
        <v>-27</v>
      </c>
      <c r="AZ167" s="229">
        <v>-0.18840000000000001</v>
      </c>
      <c r="BA167" s="228">
        <v>3</v>
      </c>
      <c r="BB167" s="228">
        <v>11</v>
      </c>
      <c r="BC167" s="228">
        <v>-8</v>
      </c>
      <c r="BD167" s="229">
        <v>-0.74180000000000001</v>
      </c>
      <c r="BE167" s="228">
        <v>0</v>
      </c>
      <c r="BF167" s="228">
        <v>0</v>
      </c>
      <c r="BG167" s="228">
        <v>0</v>
      </c>
      <c r="BH167" s="229">
        <v>0</v>
      </c>
      <c r="BI167" s="228">
        <v>158</v>
      </c>
      <c r="BJ167" s="228">
        <v>104</v>
      </c>
      <c r="BK167" s="228">
        <v>54</v>
      </c>
      <c r="BL167" s="229">
        <v>0.52270000000000005</v>
      </c>
      <c r="BM167" s="228">
        <v>67</v>
      </c>
      <c r="BN167" s="228">
        <v>159</v>
      </c>
      <c r="BO167" s="228">
        <v>-92</v>
      </c>
      <c r="BP167" s="229">
        <v>-0.57799999999999996</v>
      </c>
      <c r="BQ167" s="228">
        <v>344</v>
      </c>
      <c r="BR167" s="228">
        <v>417</v>
      </c>
      <c r="BS167" s="228">
        <v>-73</v>
      </c>
      <c r="BT167" s="229">
        <v>-0.17480000000000001</v>
      </c>
      <c r="BU167" s="230">
        <v>373060</v>
      </c>
      <c r="BV167" s="230">
        <v>882142</v>
      </c>
      <c r="BW167" s="230">
        <v>-509082</v>
      </c>
      <c r="BX167" s="229">
        <v>-0.57709999999999995</v>
      </c>
      <c r="BY167" s="228">
        <v>652</v>
      </c>
      <c r="BZ167" s="228">
        <v>651</v>
      </c>
      <c r="CA167" s="228">
        <v>1</v>
      </c>
      <c r="CB167" s="229">
        <v>1.8E-3</v>
      </c>
      <c r="CC167" s="228">
        <v>644</v>
      </c>
      <c r="CD167" s="228">
        <v>643</v>
      </c>
      <c r="CE167" s="228">
        <v>1</v>
      </c>
      <c r="CF167" s="229">
        <v>1.8E-3</v>
      </c>
      <c r="CG167" s="228">
        <v>8</v>
      </c>
      <c r="CH167" s="228">
        <v>8</v>
      </c>
      <c r="CI167" s="228">
        <v>0</v>
      </c>
      <c r="CJ167" s="229">
        <v>0</v>
      </c>
      <c r="CK167" s="228">
        <v>0</v>
      </c>
      <c r="CL167" s="228">
        <v>0</v>
      </c>
      <c r="CM167" s="228">
        <v>0</v>
      </c>
      <c r="CN167" s="229">
        <v>0</v>
      </c>
      <c r="CO167" s="228">
        <v>131</v>
      </c>
      <c r="CP167" s="228">
        <v>138</v>
      </c>
      <c r="CQ167" s="228">
        <v>-7</v>
      </c>
      <c r="CR167" s="229">
        <v>-4.8300000000000003E-2</v>
      </c>
      <c r="CS167" s="228">
        <v>143</v>
      </c>
      <c r="CT167" s="228">
        <v>143</v>
      </c>
      <c r="CU167" s="228">
        <v>0</v>
      </c>
      <c r="CV167" s="229">
        <v>-8.9999999999999998E-4</v>
      </c>
      <c r="CW167" s="228">
        <v>925</v>
      </c>
      <c r="CX167" s="228">
        <v>931</v>
      </c>
      <c r="CY167" s="228">
        <v>-6</v>
      </c>
      <c r="CZ167" s="229">
        <v>-6.0000000000000001E-3</v>
      </c>
      <c r="DA167" s="228">
        <v>35.86</v>
      </c>
      <c r="DB167" s="228">
        <v>39.5</v>
      </c>
      <c r="DC167" s="228">
        <v>-3.64</v>
      </c>
      <c r="DD167" s="228">
        <v>-3.64</v>
      </c>
      <c r="DE167" s="228">
        <v>43.06</v>
      </c>
      <c r="DF167" s="228">
        <v>43.09</v>
      </c>
      <c r="DG167" s="228">
        <v>-7.2</v>
      </c>
      <c r="DH167" s="228">
        <v>-0.03</v>
      </c>
      <c r="DI167" s="228">
        <v>35.11</v>
      </c>
      <c r="DJ167" s="228">
        <v>37.450000000000003</v>
      </c>
      <c r="DK167" s="228">
        <v>-2.34</v>
      </c>
      <c r="DL167" s="228">
        <v>-2.34</v>
      </c>
      <c r="DM167" s="228">
        <v>37.64</v>
      </c>
      <c r="DN167" s="228">
        <v>40.840000000000003</v>
      </c>
      <c r="DO167" s="228">
        <v>-3.2</v>
      </c>
      <c r="DP167" s="228">
        <v>-3.2</v>
      </c>
      <c r="DQ167" s="228">
        <v>1.0900000000000001</v>
      </c>
      <c r="DR167" s="228">
        <v>1.04</v>
      </c>
      <c r="DS167" s="228">
        <v>0.05</v>
      </c>
      <c r="DT167" s="229">
        <v>4.8099999999999997E-2</v>
      </c>
      <c r="DU167" s="231">
        <v>1500</v>
      </c>
      <c r="DV167" s="231">
        <v>1300</v>
      </c>
      <c r="DW167" s="228">
        <v>0.42</v>
      </c>
      <c r="DX167" s="228">
        <v>1.53</v>
      </c>
      <c r="DY167" s="228">
        <v>-1.1100000000000001</v>
      </c>
      <c r="DZ167" s="229">
        <v>-0.72550000000000003</v>
      </c>
      <c r="EA167" s="229">
        <v>1.23E-2</v>
      </c>
      <c r="EB167" s="230">
        <v>58050</v>
      </c>
      <c r="EC167" s="229">
        <v>5.1000000000000004E-3</v>
      </c>
      <c r="ED167" s="229">
        <v>1.23E-2</v>
      </c>
      <c r="EE167" s="228">
        <v>7.99</v>
      </c>
      <c r="EF167" s="229">
        <v>5.7999999999999996E-3</v>
      </c>
      <c r="EG167" s="230">
        <v>168445</v>
      </c>
      <c r="EH167" s="230">
        <v>412646</v>
      </c>
      <c r="EI167" s="229">
        <v>-0.59179999999999999</v>
      </c>
      <c r="EJ167" s="229">
        <v>0.45150000000000001</v>
      </c>
      <c r="EK167" s="228">
        <v>170.89</v>
      </c>
      <c r="EL167" s="228">
        <v>65.42</v>
      </c>
      <c r="EM167" s="228">
        <v>118.59</v>
      </c>
      <c r="EN167" s="228">
        <v>22.57</v>
      </c>
      <c r="EO167" s="228">
        <v>354.9</v>
      </c>
      <c r="EP167" s="228">
        <v>417.83</v>
      </c>
      <c r="EQ167" s="228">
        <v>-62.93</v>
      </c>
      <c r="ER167" s="229">
        <v>-0.15060000000000001</v>
      </c>
      <c r="ES167" s="228">
        <v>144.44999999999999</v>
      </c>
      <c r="ET167" s="228">
        <v>140.66</v>
      </c>
      <c r="EU167" s="228">
        <v>651.83000000000004</v>
      </c>
      <c r="EV167" s="231">
        <v>22697169</v>
      </c>
      <c r="EW167" s="228">
        <v>936.93</v>
      </c>
      <c r="EX167" s="228">
        <v>931.96</v>
      </c>
      <c r="EY167" s="228">
        <v>4.97</v>
      </c>
      <c r="EZ167" s="229">
        <v>5.3E-3</v>
      </c>
      <c r="FA167" s="229">
        <v>0.2954</v>
      </c>
      <c r="FB167" s="227" t="s">
        <v>555</v>
      </c>
      <c r="FC167">
        <f t="shared" si="3"/>
        <v>0</v>
      </c>
    </row>
    <row r="168" spans="1:159" ht="17.25" thickBot="1" x14ac:dyDescent="0.3">
      <c r="A168" s="226">
        <v>46086</v>
      </c>
      <c r="B168" s="227" t="s">
        <v>172</v>
      </c>
      <c r="C168" s="227" t="s">
        <v>279</v>
      </c>
      <c r="D168" s="228">
        <v>3175</v>
      </c>
      <c r="E168" s="228">
        <v>25</v>
      </c>
      <c r="F168" s="228">
        <v>311.64999999999998</v>
      </c>
      <c r="G168" s="228">
        <v>307.7</v>
      </c>
      <c r="H168" s="228">
        <v>3.95</v>
      </c>
      <c r="I168" s="229">
        <v>1.2800000000000001E-2</v>
      </c>
      <c r="J168" s="228">
        <v>310.10000000000002</v>
      </c>
      <c r="K168" s="228">
        <v>306.05</v>
      </c>
      <c r="L168" s="228">
        <v>4.05</v>
      </c>
      <c r="M168" s="229">
        <v>1.32E-2</v>
      </c>
      <c r="N168" s="228">
        <v>311.64999999999998</v>
      </c>
      <c r="O168" s="228">
        <v>307.7</v>
      </c>
      <c r="P168" s="228">
        <v>3.95</v>
      </c>
      <c r="Q168" s="229">
        <v>1.2800000000000001E-2</v>
      </c>
      <c r="R168" s="228">
        <v>313.45</v>
      </c>
      <c r="S168" s="228">
        <v>309.60000000000002</v>
      </c>
      <c r="T168" s="228">
        <v>3.85</v>
      </c>
      <c r="U168" s="229">
        <v>1.24E-2</v>
      </c>
      <c r="V168" s="228">
        <v>316</v>
      </c>
      <c r="W168" s="228">
        <v>310.3</v>
      </c>
      <c r="X168" s="228">
        <v>5.7</v>
      </c>
      <c r="Y168" s="229">
        <v>1.84E-2</v>
      </c>
      <c r="Z168" s="228">
        <v>1.55</v>
      </c>
      <c r="AA168" s="228">
        <v>1.65</v>
      </c>
      <c r="AB168" s="228">
        <v>-0.1</v>
      </c>
      <c r="AC168" s="229">
        <v>5.0000000000000001E-3</v>
      </c>
      <c r="AD168" s="228">
        <v>1.55</v>
      </c>
      <c r="AE168" s="228">
        <v>1.65</v>
      </c>
      <c r="AF168" s="228">
        <v>-0.1</v>
      </c>
      <c r="AG168" s="229">
        <v>5.0000000000000001E-3</v>
      </c>
      <c r="AH168" s="228">
        <v>3.35</v>
      </c>
      <c r="AI168" s="228">
        <v>3.55</v>
      </c>
      <c r="AJ168" s="228">
        <v>-0.2</v>
      </c>
      <c r="AK168" s="229">
        <v>1.0800000000000001E-2</v>
      </c>
      <c r="AL168" s="228">
        <v>5.9</v>
      </c>
      <c r="AM168" s="228">
        <v>4.25</v>
      </c>
      <c r="AN168" s="228">
        <v>1.65</v>
      </c>
      <c r="AO168" s="229">
        <v>1.9E-2</v>
      </c>
      <c r="AP168" s="228">
        <v>311.77999999999997</v>
      </c>
      <c r="AQ168" s="228">
        <v>313.5</v>
      </c>
      <c r="AR168" s="228">
        <v>0</v>
      </c>
      <c r="AS168" s="228">
        <v>481</v>
      </c>
      <c r="AT168" s="228">
        <v>605</v>
      </c>
      <c r="AU168" s="228">
        <v>-123</v>
      </c>
      <c r="AV168" s="229">
        <v>-0.2036</v>
      </c>
      <c r="AW168" s="228">
        <v>464</v>
      </c>
      <c r="AX168" s="228">
        <v>572</v>
      </c>
      <c r="AY168" s="228">
        <v>-108</v>
      </c>
      <c r="AZ168" s="229">
        <v>-0.18870000000000001</v>
      </c>
      <c r="BA168" s="228">
        <v>17</v>
      </c>
      <c r="BB168" s="228">
        <v>30</v>
      </c>
      <c r="BC168" s="228">
        <v>-13</v>
      </c>
      <c r="BD168" s="229">
        <v>-0.44740000000000002</v>
      </c>
      <c r="BE168" s="228">
        <v>1</v>
      </c>
      <c r="BF168" s="228">
        <v>2</v>
      </c>
      <c r="BG168" s="228">
        <v>-2</v>
      </c>
      <c r="BH168" s="229">
        <v>-0.70830000000000004</v>
      </c>
      <c r="BI168" s="228">
        <v>590</v>
      </c>
      <c r="BJ168" s="228">
        <v>972</v>
      </c>
      <c r="BK168" s="228">
        <v>-381</v>
      </c>
      <c r="BL168" s="229">
        <v>-0.39240000000000003</v>
      </c>
      <c r="BM168" s="228">
        <v>278</v>
      </c>
      <c r="BN168" s="228">
        <v>796</v>
      </c>
      <c r="BO168" s="228">
        <v>-518</v>
      </c>
      <c r="BP168" s="229">
        <v>-0.65049999999999997</v>
      </c>
      <c r="BQ168" s="230">
        <v>1350</v>
      </c>
      <c r="BR168" s="230">
        <v>2372</v>
      </c>
      <c r="BS168" s="230">
        <v>-1022</v>
      </c>
      <c r="BT168" s="229">
        <v>-0.43090000000000001</v>
      </c>
      <c r="BU168" s="230">
        <v>7584265</v>
      </c>
      <c r="BV168" s="230">
        <v>7088718</v>
      </c>
      <c r="BW168" s="230">
        <v>495547</v>
      </c>
      <c r="BX168" s="229">
        <v>6.9900000000000004E-2</v>
      </c>
      <c r="BY168" s="230">
        <v>1979</v>
      </c>
      <c r="BZ168" s="230">
        <v>1951</v>
      </c>
      <c r="CA168" s="228">
        <v>28</v>
      </c>
      <c r="CB168" s="229">
        <v>1.44E-2</v>
      </c>
      <c r="CC168" s="230">
        <v>1945</v>
      </c>
      <c r="CD168" s="230">
        <v>1920</v>
      </c>
      <c r="CE168" s="228">
        <v>25</v>
      </c>
      <c r="CF168" s="229">
        <v>1.2999999999999999E-2</v>
      </c>
      <c r="CG168" s="228">
        <v>32</v>
      </c>
      <c r="CH168" s="228">
        <v>28</v>
      </c>
      <c r="CI168" s="228">
        <v>3</v>
      </c>
      <c r="CJ168" s="229">
        <v>0.1232</v>
      </c>
      <c r="CK168" s="228">
        <v>3</v>
      </c>
      <c r="CL168" s="228">
        <v>3</v>
      </c>
      <c r="CM168" s="228">
        <v>0</v>
      </c>
      <c r="CN168" s="229">
        <v>-0.129</v>
      </c>
      <c r="CO168" s="228">
        <v>621</v>
      </c>
      <c r="CP168" s="228">
        <v>604</v>
      </c>
      <c r="CQ168" s="228">
        <v>17</v>
      </c>
      <c r="CR168" s="229">
        <v>2.8199999999999999E-2</v>
      </c>
      <c r="CS168" s="228">
        <v>520</v>
      </c>
      <c r="CT168" s="228">
        <v>510</v>
      </c>
      <c r="CU168" s="228">
        <v>10</v>
      </c>
      <c r="CV168" s="229">
        <v>2.0400000000000001E-2</v>
      </c>
      <c r="CW168" s="230">
        <v>3120</v>
      </c>
      <c r="CX168" s="230">
        <v>3065</v>
      </c>
      <c r="CY168" s="228">
        <v>56</v>
      </c>
      <c r="CZ168" s="229">
        <v>1.8100000000000002E-2</v>
      </c>
      <c r="DA168" s="228">
        <v>32.369999999999997</v>
      </c>
      <c r="DB168" s="228">
        <v>34.22</v>
      </c>
      <c r="DC168" s="228">
        <v>-1.85</v>
      </c>
      <c r="DD168" s="228">
        <v>-1.85</v>
      </c>
      <c r="DE168" s="228">
        <v>42.86</v>
      </c>
      <c r="DF168" s="228">
        <v>42.93</v>
      </c>
      <c r="DG168" s="228">
        <v>-10.49</v>
      </c>
      <c r="DH168" s="228">
        <v>-7.0000000000000007E-2</v>
      </c>
      <c r="DI168" s="228">
        <v>32.51</v>
      </c>
      <c r="DJ168" s="228">
        <v>34.4</v>
      </c>
      <c r="DK168" s="228">
        <v>-1.89</v>
      </c>
      <c r="DL168" s="228">
        <v>-1.89</v>
      </c>
      <c r="DM168" s="228">
        <v>32.06</v>
      </c>
      <c r="DN168" s="228">
        <v>34.01</v>
      </c>
      <c r="DO168" s="228">
        <v>-1.95</v>
      </c>
      <c r="DP168" s="228">
        <v>-1.95</v>
      </c>
      <c r="DQ168" s="228">
        <v>0.84</v>
      </c>
      <c r="DR168" s="228">
        <v>0.84</v>
      </c>
      <c r="DS168" s="228">
        <v>0</v>
      </c>
      <c r="DT168" s="229">
        <v>0</v>
      </c>
      <c r="DU168" s="228">
        <v>340</v>
      </c>
      <c r="DV168" s="228">
        <v>300</v>
      </c>
      <c r="DW168" s="228">
        <v>0.47</v>
      </c>
      <c r="DX168" s="228">
        <v>0.82</v>
      </c>
      <c r="DY168" s="228">
        <v>-0.35</v>
      </c>
      <c r="DZ168" s="229">
        <v>-0.42680000000000001</v>
      </c>
      <c r="EA168" s="229">
        <v>1.7299999999999999E-2</v>
      </c>
      <c r="EB168" s="230">
        <v>1000125</v>
      </c>
      <c r="EC168" s="229">
        <v>5.7999999999999996E-3</v>
      </c>
      <c r="ED168" s="229">
        <v>1.7299999999999999E-2</v>
      </c>
      <c r="EE168" s="228">
        <v>1.72</v>
      </c>
      <c r="EF168" s="229">
        <v>5.4999999999999997E-3</v>
      </c>
      <c r="EG168" s="230">
        <v>4138956</v>
      </c>
      <c r="EH168" s="230">
        <v>3181828</v>
      </c>
      <c r="EI168" s="229">
        <v>0.30080000000000001</v>
      </c>
      <c r="EJ168" s="229">
        <v>0.54569999999999996</v>
      </c>
      <c r="EK168" s="228">
        <v>629.79</v>
      </c>
      <c r="EL168" s="228">
        <v>278.02</v>
      </c>
      <c r="EM168" s="228">
        <v>481.79</v>
      </c>
      <c r="EN168" s="228">
        <v>45.5</v>
      </c>
      <c r="EO168" s="231">
        <v>1389.6</v>
      </c>
      <c r="EP168" s="231">
        <v>2414.27</v>
      </c>
      <c r="EQ168" s="231">
        <v>-1024.67</v>
      </c>
      <c r="ER168" s="229">
        <v>-0.4244</v>
      </c>
      <c r="ES168" s="228">
        <v>663.15</v>
      </c>
      <c r="ET168" s="228">
        <v>502.57</v>
      </c>
      <c r="EU168" s="231">
        <v>1979.2</v>
      </c>
      <c r="EV168" s="231">
        <v>91953095</v>
      </c>
      <c r="EW168" s="231">
        <v>3144.92</v>
      </c>
      <c r="EX168" s="231">
        <v>3064.37</v>
      </c>
      <c r="EY168" s="228">
        <v>80.55</v>
      </c>
      <c r="EZ168" s="229">
        <v>2.63E-2</v>
      </c>
      <c r="FA168" s="229">
        <v>1.0889</v>
      </c>
      <c r="FB168" s="227" t="s">
        <v>555</v>
      </c>
      <c r="FC168">
        <f t="shared" si="3"/>
        <v>0</v>
      </c>
    </row>
    <row r="169" spans="1:159" ht="17.25" thickBot="1" x14ac:dyDescent="0.3">
      <c r="A169" s="226">
        <v>46086</v>
      </c>
      <c r="B169" s="227" t="s">
        <v>175</v>
      </c>
      <c r="C169" s="227" t="s">
        <v>280</v>
      </c>
      <c r="D169" s="228">
        <v>1400</v>
      </c>
      <c r="E169" s="228">
        <v>25</v>
      </c>
      <c r="F169" s="228">
        <v>342.2</v>
      </c>
      <c r="G169" s="228">
        <v>327.7</v>
      </c>
      <c r="H169" s="228">
        <v>14.5</v>
      </c>
      <c r="I169" s="229">
        <v>4.4200000000000003E-2</v>
      </c>
      <c r="J169" s="228">
        <v>341.85</v>
      </c>
      <c r="K169" s="228">
        <v>328.75</v>
      </c>
      <c r="L169" s="228">
        <v>13.1</v>
      </c>
      <c r="M169" s="229">
        <v>3.9800000000000002E-2</v>
      </c>
      <c r="N169" s="228">
        <v>342.2</v>
      </c>
      <c r="O169" s="228">
        <v>327.7</v>
      </c>
      <c r="P169" s="228">
        <v>14.5</v>
      </c>
      <c r="Q169" s="229">
        <v>4.4200000000000003E-2</v>
      </c>
      <c r="R169" s="228">
        <v>344.3</v>
      </c>
      <c r="S169" s="228">
        <v>329.8</v>
      </c>
      <c r="T169" s="228">
        <v>14.5</v>
      </c>
      <c r="U169" s="229">
        <v>4.3999999999999997E-2</v>
      </c>
      <c r="V169" s="228">
        <v>345.55</v>
      </c>
      <c r="W169" s="228">
        <v>331.3</v>
      </c>
      <c r="X169" s="228">
        <v>14.25</v>
      </c>
      <c r="Y169" s="229">
        <v>4.2999999999999997E-2</v>
      </c>
      <c r="Z169" s="228">
        <v>0.35</v>
      </c>
      <c r="AA169" s="228">
        <v>-1.05</v>
      </c>
      <c r="AB169" s="228">
        <v>1.4</v>
      </c>
      <c r="AC169" s="229">
        <v>1E-3</v>
      </c>
      <c r="AD169" s="228">
        <v>0.35</v>
      </c>
      <c r="AE169" s="228">
        <v>-1.05</v>
      </c>
      <c r="AF169" s="228">
        <v>1.4</v>
      </c>
      <c r="AG169" s="229">
        <v>1E-3</v>
      </c>
      <c r="AH169" s="228">
        <v>2.4500000000000002</v>
      </c>
      <c r="AI169" s="228">
        <v>1.05</v>
      </c>
      <c r="AJ169" s="228">
        <v>1.4</v>
      </c>
      <c r="AK169" s="229">
        <v>7.1999999999999998E-3</v>
      </c>
      <c r="AL169" s="228">
        <v>3.7</v>
      </c>
      <c r="AM169" s="228">
        <v>2.5499999999999998</v>
      </c>
      <c r="AN169" s="228">
        <v>1.1499999999999999</v>
      </c>
      <c r="AO169" s="229">
        <v>1.0800000000000001E-2</v>
      </c>
      <c r="AP169" s="228">
        <v>338.11</v>
      </c>
      <c r="AQ169" s="228">
        <v>339.35</v>
      </c>
      <c r="AR169" s="228">
        <v>0</v>
      </c>
      <c r="AS169" s="228">
        <v>678</v>
      </c>
      <c r="AT169" s="228">
        <v>590</v>
      </c>
      <c r="AU169" s="228">
        <v>88</v>
      </c>
      <c r="AV169" s="229">
        <v>0.1489</v>
      </c>
      <c r="AW169" s="228">
        <v>611</v>
      </c>
      <c r="AX169" s="228">
        <v>473</v>
      </c>
      <c r="AY169" s="228">
        <v>138</v>
      </c>
      <c r="AZ169" s="229">
        <v>0.29260000000000003</v>
      </c>
      <c r="BA169" s="228">
        <v>59</v>
      </c>
      <c r="BB169" s="228">
        <v>103</v>
      </c>
      <c r="BC169" s="228">
        <v>-44</v>
      </c>
      <c r="BD169" s="229">
        <v>-0.42759999999999998</v>
      </c>
      <c r="BE169" s="228">
        <v>8</v>
      </c>
      <c r="BF169" s="228">
        <v>15</v>
      </c>
      <c r="BG169" s="228">
        <v>-7</v>
      </c>
      <c r="BH169" s="229">
        <v>-0.44879999999999998</v>
      </c>
      <c r="BI169" s="230">
        <v>1319</v>
      </c>
      <c r="BJ169" s="230">
        <v>1016</v>
      </c>
      <c r="BK169" s="228">
        <v>303</v>
      </c>
      <c r="BL169" s="229">
        <v>0.29770000000000002</v>
      </c>
      <c r="BM169" s="228">
        <v>913</v>
      </c>
      <c r="BN169" s="228">
        <v>629</v>
      </c>
      <c r="BO169" s="228">
        <v>284</v>
      </c>
      <c r="BP169" s="229">
        <v>0.45229999999999998</v>
      </c>
      <c r="BQ169" s="230">
        <v>2910</v>
      </c>
      <c r="BR169" s="230">
        <v>2235</v>
      </c>
      <c r="BS169" s="228">
        <v>675</v>
      </c>
      <c r="BT169" s="229">
        <v>0.3019</v>
      </c>
      <c r="BU169" s="230">
        <v>12148061</v>
      </c>
      <c r="BV169" s="230">
        <v>11805156</v>
      </c>
      <c r="BW169" s="230">
        <v>342905</v>
      </c>
      <c r="BX169" s="229">
        <v>2.9000000000000001E-2</v>
      </c>
      <c r="BY169" s="230">
        <v>2702</v>
      </c>
      <c r="BZ169" s="230">
        <v>2700</v>
      </c>
      <c r="CA169" s="228">
        <v>2</v>
      </c>
      <c r="CB169" s="229">
        <v>8.0000000000000004E-4</v>
      </c>
      <c r="CC169" s="230">
        <v>2496</v>
      </c>
      <c r="CD169" s="230">
        <v>2492</v>
      </c>
      <c r="CE169" s="228">
        <v>4</v>
      </c>
      <c r="CF169" s="229">
        <v>1.8E-3</v>
      </c>
      <c r="CG169" s="228">
        <v>195</v>
      </c>
      <c r="CH169" s="228">
        <v>197</v>
      </c>
      <c r="CI169" s="228">
        <v>-3</v>
      </c>
      <c r="CJ169" s="229">
        <v>-1.4800000000000001E-2</v>
      </c>
      <c r="CK169" s="228">
        <v>12</v>
      </c>
      <c r="CL169" s="228">
        <v>11</v>
      </c>
      <c r="CM169" s="228">
        <v>1</v>
      </c>
      <c r="CN169" s="229">
        <v>6.0900000000000003E-2</v>
      </c>
      <c r="CO169" s="228">
        <v>881</v>
      </c>
      <c r="CP169" s="228">
        <v>860</v>
      </c>
      <c r="CQ169" s="228">
        <v>21</v>
      </c>
      <c r="CR169" s="229">
        <v>2.4400000000000002E-2</v>
      </c>
      <c r="CS169" s="228">
        <v>997</v>
      </c>
      <c r="CT169" s="228">
        <v>898</v>
      </c>
      <c r="CU169" s="228">
        <v>98</v>
      </c>
      <c r="CV169" s="229">
        <v>0.10970000000000001</v>
      </c>
      <c r="CW169" s="230">
        <v>4580</v>
      </c>
      <c r="CX169" s="230">
        <v>4459</v>
      </c>
      <c r="CY169" s="228">
        <v>122</v>
      </c>
      <c r="CZ169" s="229">
        <v>2.7300000000000001E-2</v>
      </c>
      <c r="DA169" s="228">
        <v>33.340000000000003</v>
      </c>
      <c r="DB169" s="228">
        <v>36.17</v>
      </c>
      <c r="DC169" s="228">
        <v>-2.83</v>
      </c>
      <c r="DD169" s="228">
        <v>-2.83</v>
      </c>
      <c r="DE169" s="228">
        <v>41.17</v>
      </c>
      <c r="DF169" s="228">
        <v>40.85</v>
      </c>
      <c r="DG169" s="228">
        <v>-7.83</v>
      </c>
      <c r="DH169" s="228">
        <v>0.32</v>
      </c>
      <c r="DI169" s="228">
        <v>31.77</v>
      </c>
      <c r="DJ169" s="228">
        <v>35.69</v>
      </c>
      <c r="DK169" s="228">
        <v>-3.92</v>
      </c>
      <c r="DL169" s="228">
        <v>-3.92</v>
      </c>
      <c r="DM169" s="228">
        <v>35.6</v>
      </c>
      <c r="DN169" s="228">
        <v>36.94</v>
      </c>
      <c r="DO169" s="228">
        <v>-1.34</v>
      </c>
      <c r="DP169" s="228">
        <v>-1.34</v>
      </c>
      <c r="DQ169" s="228">
        <v>1.1299999999999999</v>
      </c>
      <c r="DR169" s="228">
        <v>1.04</v>
      </c>
      <c r="DS169" s="228">
        <v>0.09</v>
      </c>
      <c r="DT169" s="229">
        <v>8.6499999999999994E-2</v>
      </c>
      <c r="DU169" s="228">
        <v>350</v>
      </c>
      <c r="DV169" s="228">
        <v>320</v>
      </c>
      <c r="DW169" s="228">
        <v>0.69</v>
      </c>
      <c r="DX169" s="228">
        <v>0.62</v>
      </c>
      <c r="DY169" s="228">
        <v>7.0000000000000007E-2</v>
      </c>
      <c r="DZ169" s="229">
        <v>0.1129</v>
      </c>
      <c r="EA169" s="229">
        <v>7.6300000000000007E-2</v>
      </c>
      <c r="EB169" s="230">
        <v>6091400</v>
      </c>
      <c r="EC169" s="229">
        <v>6.1000000000000004E-3</v>
      </c>
      <c r="ED169" s="229">
        <v>7.6300000000000007E-2</v>
      </c>
      <c r="EE169" s="228">
        <v>1.24</v>
      </c>
      <c r="EF169" s="229">
        <v>3.7000000000000002E-3</v>
      </c>
      <c r="EG169" s="230">
        <v>5194893</v>
      </c>
      <c r="EH169" s="230">
        <v>6323293</v>
      </c>
      <c r="EI169" s="229">
        <v>-0.17849999999999999</v>
      </c>
      <c r="EJ169" s="229">
        <v>0.42759999999999998</v>
      </c>
      <c r="EK169" s="231">
        <v>1388.15</v>
      </c>
      <c r="EL169" s="228">
        <v>898</v>
      </c>
      <c r="EM169" s="228">
        <v>670.25</v>
      </c>
      <c r="EN169" s="228">
        <v>82.16</v>
      </c>
      <c r="EO169" s="231">
        <v>2956.4</v>
      </c>
      <c r="EP169" s="231">
        <v>2253.98</v>
      </c>
      <c r="EQ169" s="228">
        <v>702.41</v>
      </c>
      <c r="ER169" s="229">
        <v>0.31159999999999999</v>
      </c>
      <c r="ES169" s="228">
        <v>946.58</v>
      </c>
      <c r="ET169" s="228">
        <v>999.86</v>
      </c>
      <c r="EU169" s="231">
        <v>2703.75</v>
      </c>
      <c r="EV169" s="231">
        <v>187084550</v>
      </c>
      <c r="EW169" s="231">
        <v>4650.1899999999996</v>
      </c>
      <c r="EX169" s="231">
        <v>4417.6000000000004</v>
      </c>
      <c r="EY169" s="228">
        <v>232.59</v>
      </c>
      <c r="EZ169" s="229">
        <v>5.2699999999999997E-2</v>
      </c>
      <c r="FA169" s="229">
        <v>0.71550000000000002</v>
      </c>
      <c r="FB169" s="227" t="s">
        <v>555</v>
      </c>
      <c r="FC169">
        <f t="shared" si="3"/>
        <v>0</v>
      </c>
    </row>
    <row r="170" spans="1:159" ht="17.25" thickBot="1" x14ac:dyDescent="0.3">
      <c r="A170" s="226">
        <v>46086</v>
      </c>
      <c r="B170" s="227" t="s">
        <v>193</v>
      </c>
      <c r="C170" s="227" t="s">
        <v>281</v>
      </c>
      <c r="D170" s="228">
        <v>500</v>
      </c>
      <c r="E170" s="228">
        <v>25</v>
      </c>
      <c r="F170" s="231">
        <v>1393</v>
      </c>
      <c r="G170" s="231">
        <v>1349.5</v>
      </c>
      <c r="H170" s="228">
        <v>43.5</v>
      </c>
      <c r="I170" s="229">
        <v>3.2199999999999999E-2</v>
      </c>
      <c r="J170" s="231">
        <v>1389.4</v>
      </c>
      <c r="K170" s="231">
        <v>1345</v>
      </c>
      <c r="L170" s="228">
        <v>44.4</v>
      </c>
      <c r="M170" s="229">
        <v>3.3000000000000002E-2</v>
      </c>
      <c r="N170" s="231">
        <v>1393</v>
      </c>
      <c r="O170" s="231">
        <v>1349.5</v>
      </c>
      <c r="P170" s="228">
        <v>43.5</v>
      </c>
      <c r="Q170" s="229">
        <v>3.2199999999999999E-2</v>
      </c>
      <c r="R170" s="231">
        <v>1401.8</v>
      </c>
      <c r="S170" s="231">
        <v>1358.9</v>
      </c>
      <c r="T170" s="228">
        <v>42.9</v>
      </c>
      <c r="U170" s="229">
        <v>3.1600000000000003E-2</v>
      </c>
      <c r="V170" s="231">
        <v>1409.4</v>
      </c>
      <c r="W170" s="231">
        <v>1365.8</v>
      </c>
      <c r="X170" s="228">
        <v>43.6</v>
      </c>
      <c r="Y170" s="229">
        <v>3.1899999999999998E-2</v>
      </c>
      <c r="Z170" s="228">
        <v>3.6</v>
      </c>
      <c r="AA170" s="228">
        <v>4.5</v>
      </c>
      <c r="AB170" s="228">
        <v>-0.9</v>
      </c>
      <c r="AC170" s="229">
        <v>2.5999999999999999E-3</v>
      </c>
      <c r="AD170" s="228">
        <v>3.6</v>
      </c>
      <c r="AE170" s="228">
        <v>4.5</v>
      </c>
      <c r="AF170" s="228">
        <v>-0.9</v>
      </c>
      <c r="AG170" s="229">
        <v>2.5999999999999999E-3</v>
      </c>
      <c r="AH170" s="228">
        <v>12.4</v>
      </c>
      <c r="AI170" s="228">
        <v>13.9</v>
      </c>
      <c r="AJ170" s="228">
        <v>-1.5</v>
      </c>
      <c r="AK170" s="229">
        <v>8.8999999999999999E-3</v>
      </c>
      <c r="AL170" s="228">
        <v>20</v>
      </c>
      <c r="AM170" s="228">
        <v>20.8</v>
      </c>
      <c r="AN170" s="228">
        <v>-0.8</v>
      </c>
      <c r="AO170" s="229">
        <v>1.44E-2</v>
      </c>
      <c r="AP170" s="231">
        <v>1385.74</v>
      </c>
      <c r="AQ170" s="231">
        <v>1396.06</v>
      </c>
      <c r="AR170" s="228">
        <v>0</v>
      </c>
      <c r="AS170" s="230">
        <v>2855</v>
      </c>
      <c r="AT170" s="230">
        <v>2854</v>
      </c>
      <c r="AU170" s="228">
        <v>1</v>
      </c>
      <c r="AV170" s="229">
        <v>4.0000000000000002E-4</v>
      </c>
      <c r="AW170" s="230">
        <v>2626</v>
      </c>
      <c r="AX170" s="230">
        <v>2639</v>
      </c>
      <c r="AY170" s="228">
        <v>-12</v>
      </c>
      <c r="AZ170" s="229">
        <v>-4.5999999999999999E-3</v>
      </c>
      <c r="BA170" s="228">
        <v>191</v>
      </c>
      <c r="BB170" s="228">
        <v>163</v>
      </c>
      <c r="BC170" s="228">
        <v>28</v>
      </c>
      <c r="BD170" s="229">
        <v>0.1696</v>
      </c>
      <c r="BE170" s="228">
        <v>38</v>
      </c>
      <c r="BF170" s="228">
        <v>53</v>
      </c>
      <c r="BG170" s="228">
        <v>-14</v>
      </c>
      <c r="BH170" s="229">
        <v>-0.27550000000000002</v>
      </c>
      <c r="BI170" s="230">
        <v>11722</v>
      </c>
      <c r="BJ170" s="230">
        <v>11904</v>
      </c>
      <c r="BK170" s="228">
        <v>-182</v>
      </c>
      <c r="BL170" s="229">
        <v>-1.5299999999999999E-2</v>
      </c>
      <c r="BM170" s="230">
        <v>8890</v>
      </c>
      <c r="BN170" s="230">
        <v>9389</v>
      </c>
      <c r="BO170" s="228">
        <v>-498</v>
      </c>
      <c r="BP170" s="229">
        <v>-5.3100000000000001E-2</v>
      </c>
      <c r="BQ170" s="230">
        <v>23468</v>
      </c>
      <c r="BR170" s="230">
        <v>24147</v>
      </c>
      <c r="BS170" s="228">
        <v>-679</v>
      </c>
      <c r="BT170" s="229">
        <v>-2.81E-2</v>
      </c>
      <c r="BU170" s="230">
        <v>27471029</v>
      </c>
      <c r="BV170" s="230">
        <v>34254754</v>
      </c>
      <c r="BW170" s="230">
        <v>-6783725</v>
      </c>
      <c r="BX170" s="229">
        <v>-0.19800000000000001</v>
      </c>
      <c r="BY170" s="230">
        <v>15517</v>
      </c>
      <c r="BZ170" s="230">
        <v>15659</v>
      </c>
      <c r="CA170" s="228">
        <v>-143</v>
      </c>
      <c r="CB170" s="229">
        <v>-9.1000000000000004E-3</v>
      </c>
      <c r="CC170" s="230">
        <v>14850</v>
      </c>
      <c r="CD170" s="230">
        <v>15009</v>
      </c>
      <c r="CE170" s="228">
        <v>-159</v>
      </c>
      <c r="CF170" s="229">
        <v>-1.06E-2</v>
      </c>
      <c r="CG170" s="228">
        <v>544</v>
      </c>
      <c r="CH170" s="228">
        <v>530</v>
      </c>
      <c r="CI170" s="228">
        <v>14</v>
      </c>
      <c r="CJ170" s="229">
        <v>2.63E-2</v>
      </c>
      <c r="CK170" s="228">
        <v>122</v>
      </c>
      <c r="CL170" s="228">
        <v>120</v>
      </c>
      <c r="CM170" s="228">
        <v>2</v>
      </c>
      <c r="CN170" s="229">
        <v>1.7399999999999999E-2</v>
      </c>
      <c r="CO170" s="230">
        <v>6041</v>
      </c>
      <c r="CP170" s="230">
        <v>6179</v>
      </c>
      <c r="CQ170" s="228">
        <v>-138</v>
      </c>
      <c r="CR170" s="229">
        <v>-2.23E-2</v>
      </c>
      <c r="CS170" s="230">
        <v>4409</v>
      </c>
      <c r="CT170" s="230">
        <v>4259</v>
      </c>
      <c r="CU170" s="228">
        <v>151</v>
      </c>
      <c r="CV170" s="229">
        <v>3.5299999999999998E-2</v>
      </c>
      <c r="CW170" s="230">
        <v>25967</v>
      </c>
      <c r="CX170" s="230">
        <v>26097</v>
      </c>
      <c r="CY170" s="228">
        <v>-130</v>
      </c>
      <c r="CZ170" s="229">
        <v>-5.0000000000000001E-3</v>
      </c>
      <c r="DA170" s="228">
        <v>23.69</v>
      </c>
      <c r="DB170" s="228">
        <v>28.2</v>
      </c>
      <c r="DC170" s="228">
        <v>-4.51</v>
      </c>
      <c r="DD170" s="228">
        <v>-4.51</v>
      </c>
      <c r="DE170" s="228">
        <v>25.19</v>
      </c>
      <c r="DF170" s="228">
        <v>24.86</v>
      </c>
      <c r="DG170" s="228">
        <v>-1.5</v>
      </c>
      <c r="DH170" s="228">
        <v>0.33</v>
      </c>
      <c r="DI170" s="228">
        <v>22.38</v>
      </c>
      <c r="DJ170" s="228">
        <v>26.81</v>
      </c>
      <c r="DK170" s="228">
        <v>-4.43</v>
      </c>
      <c r="DL170" s="228">
        <v>-4.43</v>
      </c>
      <c r="DM170" s="228">
        <v>25.42</v>
      </c>
      <c r="DN170" s="228">
        <v>29.96</v>
      </c>
      <c r="DO170" s="228">
        <v>-4.54</v>
      </c>
      <c r="DP170" s="228">
        <v>-4.54</v>
      </c>
      <c r="DQ170" s="228">
        <v>0.73</v>
      </c>
      <c r="DR170" s="228">
        <v>0.69</v>
      </c>
      <c r="DS170" s="228">
        <v>0.04</v>
      </c>
      <c r="DT170" s="229">
        <v>5.8000000000000003E-2</v>
      </c>
      <c r="DU170" s="231">
        <v>1500</v>
      </c>
      <c r="DV170" s="231">
        <v>1300</v>
      </c>
      <c r="DW170" s="228">
        <v>0.76</v>
      </c>
      <c r="DX170" s="228">
        <v>0.79</v>
      </c>
      <c r="DY170" s="228">
        <v>-0.03</v>
      </c>
      <c r="DZ170" s="229">
        <v>-3.7999999999999999E-2</v>
      </c>
      <c r="EA170" s="229">
        <v>4.2999999999999997E-2</v>
      </c>
      <c r="EB170" s="230">
        <v>4669500</v>
      </c>
      <c r="EC170" s="229">
        <v>6.3E-3</v>
      </c>
      <c r="ED170" s="229">
        <v>4.2999999999999997E-2</v>
      </c>
      <c r="EE170" s="228">
        <v>10.32</v>
      </c>
      <c r="EF170" s="229">
        <v>7.4000000000000003E-3</v>
      </c>
      <c r="EG170" s="230">
        <v>13027027</v>
      </c>
      <c r="EH170" s="230">
        <v>21709311</v>
      </c>
      <c r="EI170" s="229">
        <v>-0.39989999999999998</v>
      </c>
      <c r="EJ170" s="229">
        <v>0.47420000000000001</v>
      </c>
      <c r="EK170" s="231">
        <v>12187.74</v>
      </c>
      <c r="EL170" s="231">
        <v>8651.5</v>
      </c>
      <c r="EM170" s="231">
        <v>2842.23</v>
      </c>
      <c r="EN170" s="228">
        <v>296.04000000000002</v>
      </c>
      <c r="EO170" s="231">
        <v>23681.48</v>
      </c>
      <c r="EP170" s="231">
        <v>23835.34</v>
      </c>
      <c r="EQ170" s="228">
        <v>-153.87</v>
      </c>
      <c r="ER170" s="229">
        <v>-6.4999999999999997E-3</v>
      </c>
      <c r="ES170" s="231">
        <v>6325.65</v>
      </c>
      <c r="ET170" s="231">
        <v>4384.41</v>
      </c>
      <c r="EU170" s="231">
        <v>15521.57</v>
      </c>
      <c r="EV170" s="231">
        <v>664266681</v>
      </c>
      <c r="EW170" s="231">
        <v>26231.63</v>
      </c>
      <c r="EX170" s="231">
        <v>25850.87</v>
      </c>
      <c r="EY170" s="228">
        <v>380.76</v>
      </c>
      <c r="EZ170" s="229">
        <v>1.47E-2</v>
      </c>
      <c r="FA170" s="229">
        <v>0.28060000000000002</v>
      </c>
      <c r="FB170" s="227" t="s">
        <v>556</v>
      </c>
      <c r="FC170">
        <f t="shared" si="3"/>
        <v>0</v>
      </c>
    </row>
    <row r="171" spans="1:159" ht="17.25" thickBot="1" x14ac:dyDescent="0.3">
      <c r="A171" s="226">
        <v>46086</v>
      </c>
      <c r="B171" s="227" t="s">
        <v>215</v>
      </c>
      <c r="C171" s="227" t="s">
        <v>674</v>
      </c>
      <c r="D171" s="228">
        <v>1525</v>
      </c>
      <c r="E171" s="228">
        <v>25</v>
      </c>
      <c r="F171" s="228">
        <v>275.5</v>
      </c>
      <c r="G171" s="228">
        <v>271.05</v>
      </c>
      <c r="H171" s="228">
        <v>4.45</v>
      </c>
      <c r="I171" s="229">
        <v>1.6400000000000001E-2</v>
      </c>
      <c r="J171" s="228">
        <v>279.25</v>
      </c>
      <c r="K171" s="228">
        <v>282.05</v>
      </c>
      <c r="L171" s="228">
        <v>-2.8</v>
      </c>
      <c r="M171" s="229">
        <v>-9.9000000000000008E-3</v>
      </c>
      <c r="N171" s="228">
        <v>275.5</v>
      </c>
      <c r="O171" s="228">
        <v>271.05</v>
      </c>
      <c r="P171" s="228">
        <v>4.45</v>
      </c>
      <c r="Q171" s="229">
        <v>1.6400000000000001E-2</v>
      </c>
      <c r="R171" s="228">
        <v>267.89999999999998</v>
      </c>
      <c r="S171" s="228">
        <v>263.89999999999998</v>
      </c>
      <c r="T171" s="228">
        <v>4</v>
      </c>
      <c r="U171" s="229">
        <v>1.52E-2</v>
      </c>
      <c r="V171" s="228">
        <v>267.14999999999998</v>
      </c>
      <c r="W171" s="228">
        <v>259.89999999999998</v>
      </c>
      <c r="X171" s="228">
        <v>7.25</v>
      </c>
      <c r="Y171" s="229">
        <v>2.7900000000000001E-2</v>
      </c>
      <c r="Z171" s="228">
        <v>-3.75</v>
      </c>
      <c r="AA171" s="228">
        <v>-11</v>
      </c>
      <c r="AB171" s="228">
        <v>7.25</v>
      </c>
      <c r="AC171" s="229">
        <v>-1.34E-2</v>
      </c>
      <c r="AD171" s="228">
        <v>-3.75</v>
      </c>
      <c r="AE171" s="228">
        <v>-11</v>
      </c>
      <c r="AF171" s="228">
        <v>7.25</v>
      </c>
      <c r="AG171" s="229">
        <v>-1.34E-2</v>
      </c>
      <c r="AH171" s="228">
        <v>-11.35</v>
      </c>
      <c r="AI171" s="228">
        <v>-18.149999999999999</v>
      </c>
      <c r="AJ171" s="228">
        <v>6.8</v>
      </c>
      <c r="AK171" s="229">
        <v>-4.0599999999999997E-2</v>
      </c>
      <c r="AL171" s="228">
        <v>-12.1</v>
      </c>
      <c r="AM171" s="228">
        <v>-22.15</v>
      </c>
      <c r="AN171" s="228">
        <v>10.050000000000001</v>
      </c>
      <c r="AO171" s="229">
        <v>-4.3299999999999998E-2</v>
      </c>
      <c r="AP171" s="228">
        <v>271.12</v>
      </c>
      <c r="AQ171" s="228">
        <v>263.25</v>
      </c>
      <c r="AR171" s="228">
        <v>0</v>
      </c>
      <c r="AS171" s="228">
        <v>380</v>
      </c>
      <c r="AT171" s="228">
        <v>222</v>
      </c>
      <c r="AU171" s="228">
        <v>158</v>
      </c>
      <c r="AV171" s="229">
        <v>0.71179999999999999</v>
      </c>
      <c r="AW171" s="228">
        <v>249</v>
      </c>
      <c r="AX171" s="228">
        <v>177</v>
      </c>
      <c r="AY171" s="228">
        <v>73</v>
      </c>
      <c r="AZ171" s="229">
        <v>0.41020000000000001</v>
      </c>
      <c r="BA171" s="228">
        <v>95</v>
      </c>
      <c r="BB171" s="228">
        <v>39</v>
      </c>
      <c r="BC171" s="228">
        <v>56</v>
      </c>
      <c r="BD171" s="229">
        <v>1.4413</v>
      </c>
      <c r="BE171" s="228">
        <v>35</v>
      </c>
      <c r="BF171" s="228">
        <v>6</v>
      </c>
      <c r="BG171" s="228">
        <v>29</v>
      </c>
      <c r="BH171" s="229">
        <v>4.7671000000000001</v>
      </c>
      <c r="BI171" s="228">
        <v>968</v>
      </c>
      <c r="BJ171" s="228">
        <v>732</v>
      </c>
      <c r="BK171" s="228">
        <v>236</v>
      </c>
      <c r="BL171" s="229">
        <v>0.32279999999999998</v>
      </c>
      <c r="BM171" s="228">
        <v>222</v>
      </c>
      <c r="BN171" s="228">
        <v>281</v>
      </c>
      <c r="BO171" s="228">
        <v>-59</v>
      </c>
      <c r="BP171" s="229">
        <v>-0.2094</v>
      </c>
      <c r="BQ171" s="230">
        <v>1570</v>
      </c>
      <c r="BR171" s="230">
        <v>1235</v>
      </c>
      <c r="BS171" s="228">
        <v>335</v>
      </c>
      <c r="BT171" s="229">
        <v>0.27160000000000001</v>
      </c>
      <c r="BU171" s="230">
        <v>9343291</v>
      </c>
      <c r="BV171" s="230">
        <v>10687753</v>
      </c>
      <c r="BW171" s="230">
        <v>-1344462</v>
      </c>
      <c r="BX171" s="229">
        <v>-0.1258</v>
      </c>
      <c r="BY171" s="230">
        <v>1746</v>
      </c>
      <c r="BZ171" s="230">
        <v>1765</v>
      </c>
      <c r="CA171" s="228">
        <v>-19</v>
      </c>
      <c r="CB171" s="229">
        <v>-1.0800000000000001E-2</v>
      </c>
      <c r="CC171" s="230">
        <v>1556</v>
      </c>
      <c r="CD171" s="230">
        <v>1584</v>
      </c>
      <c r="CE171" s="228">
        <v>-29</v>
      </c>
      <c r="CF171" s="229">
        <v>-1.8100000000000002E-2</v>
      </c>
      <c r="CG171" s="228">
        <v>174</v>
      </c>
      <c r="CH171" s="228">
        <v>172</v>
      </c>
      <c r="CI171" s="228">
        <v>2</v>
      </c>
      <c r="CJ171" s="229">
        <v>1.35E-2</v>
      </c>
      <c r="CK171" s="228">
        <v>16</v>
      </c>
      <c r="CL171" s="228">
        <v>9</v>
      </c>
      <c r="CM171" s="228">
        <v>7</v>
      </c>
      <c r="CN171" s="229">
        <v>0.80559999999999998</v>
      </c>
      <c r="CO171" s="228">
        <v>828</v>
      </c>
      <c r="CP171" s="228">
        <v>776</v>
      </c>
      <c r="CQ171" s="228">
        <v>52</v>
      </c>
      <c r="CR171" s="229">
        <v>6.7400000000000002E-2</v>
      </c>
      <c r="CS171" s="228">
        <v>409</v>
      </c>
      <c r="CT171" s="228">
        <v>407</v>
      </c>
      <c r="CU171" s="228">
        <v>2</v>
      </c>
      <c r="CV171" s="229">
        <v>5.4999999999999997E-3</v>
      </c>
      <c r="CW171" s="230">
        <v>2983</v>
      </c>
      <c r="CX171" s="230">
        <v>2948</v>
      </c>
      <c r="CY171" s="228">
        <v>36</v>
      </c>
      <c r="CZ171" s="229">
        <v>1.21E-2</v>
      </c>
      <c r="DA171" s="228">
        <v>45.07</v>
      </c>
      <c r="DB171" s="228">
        <v>50.19</v>
      </c>
      <c r="DC171" s="228">
        <v>-5.12</v>
      </c>
      <c r="DD171" s="228">
        <v>-5.12</v>
      </c>
      <c r="DE171" s="228">
        <v>58.03</v>
      </c>
      <c r="DF171" s="228">
        <v>58.13</v>
      </c>
      <c r="DG171" s="228">
        <v>-12.96</v>
      </c>
      <c r="DH171" s="228">
        <v>-0.1</v>
      </c>
      <c r="DI171" s="228">
        <v>44.92</v>
      </c>
      <c r="DJ171" s="228">
        <v>49.74</v>
      </c>
      <c r="DK171" s="228">
        <v>-4.82</v>
      </c>
      <c r="DL171" s="228">
        <v>-4.82</v>
      </c>
      <c r="DM171" s="228">
        <v>45.73</v>
      </c>
      <c r="DN171" s="228">
        <v>51.36</v>
      </c>
      <c r="DO171" s="228">
        <v>-5.63</v>
      </c>
      <c r="DP171" s="228">
        <v>-5.63</v>
      </c>
      <c r="DQ171" s="228">
        <v>0.49</v>
      </c>
      <c r="DR171" s="228">
        <v>0.52</v>
      </c>
      <c r="DS171" s="228">
        <v>-0.03</v>
      </c>
      <c r="DT171" s="229">
        <v>-5.7700000000000001E-2</v>
      </c>
      <c r="DU171" s="228">
        <v>320</v>
      </c>
      <c r="DV171" s="228">
        <v>280</v>
      </c>
      <c r="DW171" s="228">
        <v>0.23</v>
      </c>
      <c r="DX171" s="228">
        <v>0.38</v>
      </c>
      <c r="DY171" s="228">
        <v>-0.15</v>
      </c>
      <c r="DZ171" s="229">
        <v>-0.3947</v>
      </c>
      <c r="EA171" s="229">
        <v>0.109</v>
      </c>
      <c r="EB171" s="230">
        <v>6557500</v>
      </c>
      <c r="EC171" s="229">
        <v>-2.76E-2</v>
      </c>
      <c r="ED171" s="229">
        <v>0.109</v>
      </c>
      <c r="EE171" s="228">
        <v>-7.87</v>
      </c>
      <c r="EF171" s="229">
        <v>-2.9000000000000001E-2</v>
      </c>
      <c r="EG171" s="230">
        <v>2309722</v>
      </c>
      <c r="EH171" s="230">
        <v>3461639</v>
      </c>
      <c r="EI171" s="229">
        <v>-0.33279999999999998</v>
      </c>
      <c r="EJ171" s="229">
        <v>0.2472</v>
      </c>
      <c r="EK171" s="231">
        <v>1083</v>
      </c>
      <c r="EL171" s="228">
        <v>227.64</v>
      </c>
      <c r="EM171" s="228">
        <v>370.02</v>
      </c>
      <c r="EN171" s="228">
        <v>60.94</v>
      </c>
      <c r="EO171" s="231">
        <v>1680.66</v>
      </c>
      <c r="EP171" s="231">
        <v>1330.96</v>
      </c>
      <c r="EQ171" s="228">
        <v>349.7</v>
      </c>
      <c r="ER171" s="229">
        <v>0.26269999999999999</v>
      </c>
      <c r="ES171" s="228">
        <v>959.74</v>
      </c>
      <c r="ET171" s="228">
        <v>432.8</v>
      </c>
      <c r="EU171" s="231">
        <v>1740.63</v>
      </c>
      <c r="EV171" s="231">
        <v>84941460</v>
      </c>
      <c r="EW171" s="231">
        <v>3133.17</v>
      </c>
      <c r="EX171" s="231">
        <v>3063.56</v>
      </c>
      <c r="EY171" s="228">
        <v>69.61</v>
      </c>
      <c r="EZ171" s="229">
        <v>2.2700000000000001E-2</v>
      </c>
      <c r="FA171" s="229">
        <v>1.2747999999999999</v>
      </c>
      <c r="FB171" s="227" t="s">
        <v>556</v>
      </c>
      <c r="FC171">
        <f t="shared" si="3"/>
        <v>0</v>
      </c>
    </row>
    <row r="172" spans="1:159" ht="17.25" thickBot="1" x14ac:dyDescent="0.3">
      <c r="A172" s="226">
        <v>46086</v>
      </c>
      <c r="B172" s="227" t="s">
        <v>227</v>
      </c>
      <c r="C172" s="227" t="s">
        <v>282</v>
      </c>
      <c r="D172" s="228">
        <v>4700</v>
      </c>
      <c r="E172" s="228">
        <v>25</v>
      </c>
      <c r="F172" s="228">
        <v>157.69</v>
      </c>
      <c r="G172" s="228">
        <v>156.61000000000001</v>
      </c>
      <c r="H172" s="228">
        <v>1.08</v>
      </c>
      <c r="I172" s="229">
        <v>6.8999999999999999E-3</v>
      </c>
      <c r="J172" s="228">
        <v>156.15</v>
      </c>
      <c r="K172" s="228">
        <v>155.62</v>
      </c>
      <c r="L172" s="228">
        <v>0.53</v>
      </c>
      <c r="M172" s="229">
        <v>3.3999999999999998E-3</v>
      </c>
      <c r="N172" s="228">
        <v>157.69</v>
      </c>
      <c r="O172" s="228">
        <v>156.61000000000001</v>
      </c>
      <c r="P172" s="228">
        <v>1.08</v>
      </c>
      <c r="Q172" s="229">
        <v>6.8999999999999999E-3</v>
      </c>
      <c r="R172" s="228">
        <v>159.44999999999999</v>
      </c>
      <c r="S172" s="228">
        <v>157.29</v>
      </c>
      <c r="T172" s="228">
        <v>2.16</v>
      </c>
      <c r="U172" s="229">
        <v>1.37E-2</v>
      </c>
      <c r="V172" s="228">
        <v>159.91</v>
      </c>
      <c r="W172" s="228">
        <v>157.44999999999999</v>
      </c>
      <c r="X172" s="228">
        <v>2.46</v>
      </c>
      <c r="Y172" s="229">
        <v>1.5599999999999999E-2</v>
      </c>
      <c r="Z172" s="228">
        <v>1.54</v>
      </c>
      <c r="AA172" s="228">
        <v>0.99</v>
      </c>
      <c r="AB172" s="228">
        <v>0.55000000000000004</v>
      </c>
      <c r="AC172" s="229">
        <v>9.9000000000000008E-3</v>
      </c>
      <c r="AD172" s="228">
        <v>1.54</v>
      </c>
      <c r="AE172" s="228">
        <v>0.99</v>
      </c>
      <c r="AF172" s="228">
        <v>0.55000000000000004</v>
      </c>
      <c r="AG172" s="229">
        <v>9.9000000000000008E-3</v>
      </c>
      <c r="AH172" s="228">
        <v>3.3</v>
      </c>
      <c r="AI172" s="228">
        <v>1.67</v>
      </c>
      <c r="AJ172" s="228">
        <v>1.63</v>
      </c>
      <c r="AK172" s="229">
        <v>2.1100000000000001E-2</v>
      </c>
      <c r="AL172" s="228">
        <v>3.76</v>
      </c>
      <c r="AM172" s="228">
        <v>1.83</v>
      </c>
      <c r="AN172" s="228">
        <v>1.93</v>
      </c>
      <c r="AO172" s="229">
        <v>2.41E-2</v>
      </c>
      <c r="AP172" s="228">
        <v>158.15</v>
      </c>
      <c r="AQ172" s="228">
        <v>159.96</v>
      </c>
      <c r="AR172" s="228">
        <v>0</v>
      </c>
      <c r="AS172" s="228">
        <v>63</v>
      </c>
      <c r="AT172" s="228">
        <v>745</v>
      </c>
      <c r="AU172" s="228">
        <v>-682</v>
      </c>
      <c r="AV172" s="229">
        <v>-0.91490000000000005</v>
      </c>
      <c r="AW172" s="228">
        <v>59</v>
      </c>
      <c r="AX172" s="228">
        <v>693</v>
      </c>
      <c r="AY172" s="228">
        <v>-634</v>
      </c>
      <c r="AZ172" s="229">
        <v>-0.91500000000000004</v>
      </c>
      <c r="BA172" s="228">
        <v>4</v>
      </c>
      <c r="BB172" s="228">
        <v>45</v>
      </c>
      <c r="BC172" s="228">
        <v>-41</v>
      </c>
      <c r="BD172" s="229">
        <v>-0.90590000000000004</v>
      </c>
      <c r="BE172" s="228">
        <v>0</v>
      </c>
      <c r="BF172" s="228">
        <v>7</v>
      </c>
      <c r="BG172" s="228">
        <v>-7</v>
      </c>
      <c r="BH172" s="229">
        <v>-0.95699999999999996</v>
      </c>
      <c r="BI172" s="228">
        <v>34</v>
      </c>
      <c r="BJ172" s="228">
        <v>631</v>
      </c>
      <c r="BK172" s="228">
        <v>-597</v>
      </c>
      <c r="BL172" s="229">
        <v>-0.94540000000000002</v>
      </c>
      <c r="BM172" s="228">
        <v>13</v>
      </c>
      <c r="BN172" s="228">
        <v>628</v>
      </c>
      <c r="BO172" s="228">
        <v>-616</v>
      </c>
      <c r="BP172" s="229">
        <v>-0.97970000000000002</v>
      </c>
      <c r="BQ172" s="228">
        <v>111</v>
      </c>
      <c r="BR172" s="230">
        <v>2005</v>
      </c>
      <c r="BS172" s="230">
        <v>-1894</v>
      </c>
      <c r="BT172" s="229">
        <v>-0.94479999999999997</v>
      </c>
      <c r="BU172" s="230">
        <v>23701051</v>
      </c>
      <c r="BV172" s="230">
        <v>42329497</v>
      </c>
      <c r="BW172" s="230">
        <v>-18628446</v>
      </c>
      <c r="BX172" s="229">
        <v>-0.44009999999999999</v>
      </c>
      <c r="BY172" s="230">
        <v>3359</v>
      </c>
      <c r="BZ172" s="230">
        <v>3402</v>
      </c>
      <c r="CA172" s="228">
        <v>-43</v>
      </c>
      <c r="CB172" s="229">
        <v>-1.2500000000000001E-2</v>
      </c>
      <c r="CC172" s="230">
        <v>2838</v>
      </c>
      <c r="CD172" s="230">
        <v>2878</v>
      </c>
      <c r="CE172" s="228">
        <v>-40</v>
      </c>
      <c r="CF172" s="229">
        <v>-1.38E-2</v>
      </c>
      <c r="CG172" s="228">
        <v>512</v>
      </c>
      <c r="CH172" s="228">
        <v>514</v>
      </c>
      <c r="CI172" s="228">
        <v>-3</v>
      </c>
      <c r="CJ172" s="229">
        <v>-5.4999999999999997E-3</v>
      </c>
      <c r="CK172" s="228">
        <v>9</v>
      </c>
      <c r="CL172" s="228">
        <v>10</v>
      </c>
      <c r="CM172" s="228">
        <v>0</v>
      </c>
      <c r="CN172" s="229">
        <v>-1.55E-2</v>
      </c>
      <c r="CO172" s="228">
        <v>362</v>
      </c>
      <c r="CP172" s="228">
        <v>370</v>
      </c>
      <c r="CQ172" s="228">
        <v>-8</v>
      </c>
      <c r="CR172" s="229">
        <v>-2.24E-2</v>
      </c>
      <c r="CS172" s="228">
        <v>242</v>
      </c>
      <c r="CT172" s="228">
        <v>245</v>
      </c>
      <c r="CU172" s="228">
        <v>-3</v>
      </c>
      <c r="CV172" s="229">
        <v>-1.3299999999999999E-2</v>
      </c>
      <c r="CW172" s="230">
        <v>3963</v>
      </c>
      <c r="CX172" s="230">
        <v>4017</v>
      </c>
      <c r="CY172" s="228">
        <v>-54</v>
      </c>
      <c r="CZ172" s="229">
        <v>-1.35E-2</v>
      </c>
      <c r="DA172" s="228">
        <v>29.96</v>
      </c>
      <c r="DB172" s="228">
        <v>39.9</v>
      </c>
      <c r="DC172" s="228">
        <v>-9.94</v>
      </c>
      <c r="DD172" s="228">
        <v>-9.94</v>
      </c>
      <c r="DE172" s="228">
        <v>43.19</v>
      </c>
      <c r="DF172" s="228">
        <v>43.29</v>
      </c>
      <c r="DG172" s="228">
        <v>-13.23</v>
      </c>
      <c r="DH172" s="228">
        <v>-0.1</v>
      </c>
      <c r="DI172" s="228">
        <v>30.97</v>
      </c>
      <c r="DJ172" s="228">
        <v>38.22</v>
      </c>
      <c r="DK172" s="228">
        <v>-7.25</v>
      </c>
      <c r="DL172" s="228">
        <v>-7.25</v>
      </c>
      <c r="DM172" s="228">
        <v>27.22</v>
      </c>
      <c r="DN172" s="228">
        <v>41.58</v>
      </c>
      <c r="DO172" s="228">
        <v>-14.36</v>
      </c>
      <c r="DP172" s="228">
        <v>-14.36</v>
      </c>
      <c r="DQ172" s="228">
        <v>0.67</v>
      </c>
      <c r="DR172" s="228">
        <v>0.66</v>
      </c>
      <c r="DS172" s="228">
        <v>0.01</v>
      </c>
      <c r="DT172" s="229">
        <v>1.52E-2</v>
      </c>
      <c r="DU172" s="228">
        <v>170</v>
      </c>
      <c r="DV172" s="228">
        <v>160</v>
      </c>
      <c r="DW172" s="228">
        <v>0.37</v>
      </c>
      <c r="DX172" s="228">
        <v>1</v>
      </c>
      <c r="DY172" s="228">
        <v>-0.63</v>
      </c>
      <c r="DZ172" s="229">
        <v>-0.63</v>
      </c>
      <c r="EA172" s="229">
        <v>0.15509999999999999</v>
      </c>
      <c r="EB172" s="230">
        <v>33229000</v>
      </c>
      <c r="EC172" s="229">
        <v>1.12E-2</v>
      </c>
      <c r="ED172" s="229">
        <v>0.15509999999999999</v>
      </c>
      <c r="EE172" s="228">
        <v>1.81</v>
      </c>
      <c r="EF172" s="229">
        <v>1.14E-2</v>
      </c>
      <c r="EG172" s="230">
        <v>8414676</v>
      </c>
      <c r="EH172" s="230">
        <v>14527612</v>
      </c>
      <c r="EI172" s="229">
        <v>-0.42080000000000001</v>
      </c>
      <c r="EJ172" s="229">
        <v>0.35499999999999998</v>
      </c>
      <c r="EK172" s="228">
        <v>37.450000000000003</v>
      </c>
      <c r="EL172" s="228">
        <v>12.41</v>
      </c>
      <c r="EM172" s="228">
        <v>63.68</v>
      </c>
      <c r="EN172" s="228">
        <v>102.19</v>
      </c>
      <c r="EO172" s="228">
        <v>113.54</v>
      </c>
      <c r="EP172" s="231">
        <v>2038.07</v>
      </c>
      <c r="EQ172" s="231">
        <v>-1924.53</v>
      </c>
      <c r="ER172" s="229">
        <v>-0.94430000000000003</v>
      </c>
      <c r="ES172" s="228">
        <v>386.43</v>
      </c>
      <c r="ET172" s="228">
        <v>241.8</v>
      </c>
      <c r="EU172" s="231">
        <v>3365.3</v>
      </c>
      <c r="EV172" s="231">
        <v>216861410</v>
      </c>
      <c r="EW172" s="231">
        <v>3993.53</v>
      </c>
      <c r="EX172" s="231">
        <v>4021.14</v>
      </c>
      <c r="EY172" s="228">
        <v>-27.61</v>
      </c>
      <c r="EZ172" s="229">
        <v>-6.8999999999999999E-3</v>
      </c>
      <c r="FA172" s="229">
        <v>1.159</v>
      </c>
      <c r="FB172" s="227" t="s">
        <v>556</v>
      </c>
      <c r="FC172">
        <f t="shared" si="3"/>
        <v>0</v>
      </c>
    </row>
    <row r="173" spans="1:159" ht="17.25" thickBot="1" x14ac:dyDescent="0.3">
      <c r="A173" s="226">
        <v>46086</v>
      </c>
      <c r="B173" s="227" t="s">
        <v>175</v>
      </c>
      <c r="C173" s="227" t="s">
        <v>685</v>
      </c>
      <c r="D173" s="228">
        <v>4300</v>
      </c>
      <c r="E173" s="228">
        <v>25</v>
      </c>
      <c r="F173" s="228">
        <v>145.79</v>
      </c>
      <c r="G173" s="228">
        <v>142.44</v>
      </c>
      <c r="H173" s="228">
        <v>3.35</v>
      </c>
      <c r="I173" s="229">
        <v>2.35E-2</v>
      </c>
      <c r="J173" s="228">
        <v>145.21</v>
      </c>
      <c r="K173" s="228">
        <v>142.25</v>
      </c>
      <c r="L173" s="228">
        <v>2.96</v>
      </c>
      <c r="M173" s="229">
        <v>2.0799999999999999E-2</v>
      </c>
      <c r="N173" s="228">
        <v>145.79</v>
      </c>
      <c r="O173" s="228">
        <v>142.44</v>
      </c>
      <c r="P173" s="228">
        <v>3.35</v>
      </c>
      <c r="Q173" s="229">
        <v>2.35E-2</v>
      </c>
      <c r="R173" s="228">
        <v>145.07</v>
      </c>
      <c r="S173" s="228">
        <v>143.91</v>
      </c>
      <c r="T173" s="228">
        <v>1.1599999999999999</v>
      </c>
      <c r="U173" s="229">
        <v>8.0999999999999996E-3</v>
      </c>
      <c r="V173" s="228">
        <v>152.19</v>
      </c>
      <c r="W173" s="228">
        <v>152.19</v>
      </c>
      <c r="X173" s="228">
        <v>0</v>
      </c>
      <c r="Y173" s="229">
        <v>0</v>
      </c>
      <c r="Z173" s="228">
        <v>0.57999999999999996</v>
      </c>
      <c r="AA173" s="228">
        <v>0.19</v>
      </c>
      <c r="AB173" s="228">
        <v>0.39</v>
      </c>
      <c r="AC173" s="229">
        <v>4.0000000000000001E-3</v>
      </c>
      <c r="AD173" s="228">
        <v>0.57999999999999996</v>
      </c>
      <c r="AE173" s="228">
        <v>0.19</v>
      </c>
      <c r="AF173" s="228">
        <v>0.39</v>
      </c>
      <c r="AG173" s="229">
        <v>4.0000000000000001E-3</v>
      </c>
      <c r="AH173" s="228">
        <v>-0.14000000000000001</v>
      </c>
      <c r="AI173" s="228">
        <v>1.66</v>
      </c>
      <c r="AJ173" s="228">
        <v>-1.8</v>
      </c>
      <c r="AK173" s="229">
        <v>-1E-3</v>
      </c>
      <c r="AL173" s="228">
        <v>6.98</v>
      </c>
      <c r="AM173" s="228">
        <v>9.94</v>
      </c>
      <c r="AN173" s="228">
        <v>-2.96</v>
      </c>
      <c r="AO173" s="229">
        <v>4.8099999999999997E-2</v>
      </c>
      <c r="AP173" s="228">
        <v>144.88999999999999</v>
      </c>
      <c r="AQ173" s="228">
        <v>144.53</v>
      </c>
      <c r="AR173" s="228">
        <v>0</v>
      </c>
      <c r="AS173" s="228">
        <v>4</v>
      </c>
      <c r="AT173" s="228">
        <v>36</v>
      </c>
      <c r="AU173" s="228">
        <v>-32</v>
      </c>
      <c r="AV173" s="229">
        <v>-0.89429999999999998</v>
      </c>
      <c r="AW173" s="228">
        <v>4</v>
      </c>
      <c r="AX173" s="228">
        <v>36</v>
      </c>
      <c r="AY173" s="228">
        <v>-32</v>
      </c>
      <c r="AZ173" s="229">
        <v>-0.8972</v>
      </c>
      <c r="BA173" s="228">
        <v>0</v>
      </c>
      <c r="BB173" s="228">
        <v>0</v>
      </c>
      <c r="BC173" s="228">
        <v>0</v>
      </c>
      <c r="BD173" s="229">
        <v>-0.33329999999999999</v>
      </c>
      <c r="BE173" s="228">
        <v>0</v>
      </c>
      <c r="BF173" s="228">
        <v>0</v>
      </c>
      <c r="BG173" s="228">
        <v>0</v>
      </c>
      <c r="BH173" s="229">
        <v>0</v>
      </c>
      <c r="BI173" s="228">
        <v>3</v>
      </c>
      <c r="BJ173" s="228">
        <v>4</v>
      </c>
      <c r="BK173" s="228">
        <v>-1</v>
      </c>
      <c r="BL173" s="229">
        <v>-0.33329999999999999</v>
      </c>
      <c r="BM173" s="228">
        <v>0</v>
      </c>
      <c r="BN173" s="228">
        <v>1</v>
      </c>
      <c r="BO173" s="228">
        <v>-1</v>
      </c>
      <c r="BP173" s="229">
        <v>-0.95650000000000002</v>
      </c>
      <c r="BQ173" s="228">
        <v>6</v>
      </c>
      <c r="BR173" s="228">
        <v>41</v>
      </c>
      <c r="BS173" s="228">
        <v>-35</v>
      </c>
      <c r="BT173" s="229">
        <v>-0.84550000000000003</v>
      </c>
      <c r="BU173" s="230">
        <v>4954592</v>
      </c>
      <c r="BV173" s="230">
        <v>11951715</v>
      </c>
      <c r="BW173" s="230">
        <v>-6997123</v>
      </c>
      <c r="BX173" s="229">
        <v>-0.58540000000000003</v>
      </c>
      <c r="BY173" s="230">
        <v>1653</v>
      </c>
      <c r="BZ173" s="230">
        <v>1656</v>
      </c>
      <c r="CA173" s="228">
        <v>-3</v>
      </c>
      <c r="CB173" s="229">
        <v>-1.9E-3</v>
      </c>
      <c r="CC173" s="230">
        <v>1585</v>
      </c>
      <c r="CD173" s="230">
        <v>1588</v>
      </c>
      <c r="CE173" s="228">
        <v>-3</v>
      </c>
      <c r="CF173" s="229">
        <v>-2E-3</v>
      </c>
      <c r="CG173" s="228">
        <v>66</v>
      </c>
      <c r="CH173" s="228">
        <v>66</v>
      </c>
      <c r="CI173" s="228">
        <v>0</v>
      </c>
      <c r="CJ173" s="229">
        <v>-1E-3</v>
      </c>
      <c r="CK173" s="228">
        <v>3</v>
      </c>
      <c r="CL173" s="228">
        <v>3</v>
      </c>
      <c r="CM173" s="228">
        <v>0</v>
      </c>
      <c r="CN173" s="229">
        <v>0</v>
      </c>
      <c r="CO173" s="228">
        <v>340</v>
      </c>
      <c r="CP173" s="228">
        <v>341</v>
      </c>
      <c r="CQ173" s="228">
        <v>-1</v>
      </c>
      <c r="CR173" s="229">
        <v>-1.8E-3</v>
      </c>
      <c r="CS173" s="228">
        <v>149</v>
      </c>
      <c r="CT173" s="228">
        <v>149</v>
      </c>
      <c r="CU173" s="228">
        <v>0</v>
      </c>
      <c r="CV173" s="229">
        <v>4.0000000000000002E-4</v>
      </c>
      <c r="CW173" s="230">
        <v>2142</v>
      </c>
      <c r="CX173" s="230">
        <v>2146</v>
      </c>
      <c r="CY173" s="228">
        <v>-4</v>
      </c>
      <c r="CZ173" s="229">
        <v>-1.8E-3</v>
      </c>
      <c r="DA173" s="228">
        <v>39.200000000000003</v>
      </c>
      <c r="DB173" s="228">
        <v>44.74</v>
      </c>
      <c r="DC173" s="228">
        <v>-5.54</v>
      </c>
      <c r="DD173" s="228">
        <v>-5.54</v>
      </c>
      <c r="DE173" s="228">
        <v>53.82</v>
      </c>
      <c r="DF173" s="228">
        <v>53.86</v>
      </c>
      <c r="DG173" s="228">
        <v>-14.62</v>
      </c>
      <c r="DH173" s="228">
        <v>-0.04</v>
      </c>
      <c r="DI173" s="228">
        <v>39.020000000000003</v>
      </c>
      <c r="DJ173" s="228">
        <v>45.81</v>
      </c>
      <c r="DK173" s="228">
        <v>-6.79</v>
      </c>
      <c r="DL173" s="228">
        <v>-6.79</v>
      </c>
      <c r="DM173" s="228">
        <v>46.42</v>
      </c>
      <c r="DN173" s="228">
        <v>41.97</v>
      </c>
      <c r="DO173" s="228">
        <v>4.45</v>
      </c>
      <c r="DP173" s="228">
        <v>4.45</v>
      </c>
      <c r="DQ173" s="228">
        <v>0.44</v>
      </c>
      <c r="DR173" s="228">
        <v>0.44</v>
      </c>
      <c r="DS173" s="228">
        <v>0</v>
      </c>
      <c r="DT173" s="229">
        <v>0</v>
      </c>
      <c r="DU173" s="228">
        <v>160</v>
      </c>
      <c r="DV173" s="228">
        <v>140</v>
      </c>
      <c r="DW173" s="228">
        <v>0.03</v>
      </c>
      <c r="DX173" s="228">
        <v>0.38</v>
      </c>
      <c r="DY173" s="228">
        <v>-0.35</v>
      </c>
      <c r="DZ173" s="229">
        <v>-0.92110000000000003</v>
      </c>
      <c r="EA173" s="229">
        <v>4.1300000000000003E-2</v>
      </c>
      <c r="EB173" s="230">
        <v>4687000</v>
      </c>
      <c r="EC173" s="229">
        <v>-4.8999999999999998E-3</v>
      </c>
      <c r="ED173" s="229">
        <v>4.1300000000000003E-2</v>
      </c>
      <c r="EE173" s="228">
        <v>-0.36</v>
      </c>
      <c r="EF173" s="229">
        <v>-2.5000000000000001E-3</v>
      </c>
      <c r="EG173" s="230">
        <v>2535312</v>
      </c>
      <c r="EH173" s="230">
        <v>5665718</v>
      </c>
      <c r="EI173" s="229">
        <v>-0.55249999999999999</v>
      </c>
      <c r="EJ173" s="229">
        <v>0.51170000000000004</v>
      </c>
      <c r="EK173" s="228">
        <v>2.82</v>
      </c>
      <c r="EL173" s="228">
        <v>0.06</v>
      </c>
      <c r="EM173" s="228">
        <v>3.8</v>
      </c>
      <c r="EN173" s="228">
        <v>5.34</v>
      </c>
      <c r="EO173" s="228">
        <v>6.68</v>
      </c>
      <c r="EP173" s="228">
        <v>40.94</v>
      </c>
      <c r="EQ173" s="228">
        <v>-34.26</v>
      </c>
      <c r="ER173" s="229">
        <v>-0.83679999999999999</v>
      </c>
      <c r="ES173" s="228">
        <v>377.91</v>
      </c>
      <c r="ET173" s="228">
        <v>150.9</v>
      </c>
      <c r="EU173" s="231">
        <v>1652.79</v>
      </c>
      <c r="EV173" s="231">
        <v>122326971</v>
      </c>
      <c r="EW173" s="231">
        <v>2181.6</v>
      </c>
      <c r="EX173" s="231">
        <v>2148.4299999999998</v>
      </c>
      <c r="EY173" s="228">
        <v>33.17</v>
      </c>
      <c r="EZ173" s="229">
        <v>1.54E-2</v>
      </c>
      <c r="FA173" s="229">
        <v>1.2012</v>
      </c>
      <c r="FB173" s="227" t="s">
        <v>556</v>
      </c>
      <c r="FC173">
        <f t="shared" si="3"/>
        <v>0</v>
      </c>
    </row>
    <row r="174" spans="1:159" ht="17.25" thickBot="1" x14ac:dyDescent="0.3">
      <c r="A174" s="226">
        <v>46086</v>
      </c>
      <c r="B174" s="227" t="s">
        <v>175</v>
      </c>
      <c r="C174" s="227" t="s">
        <v>536</v>
      </c>
      <c r="D174" s="228">
        <v>800</v>
      </c>
      <c r="E174" s="228">
        <v>25</v>
      </c>
      <c r="F174" s="228">
        <v>731.5</v>
      </c>
      <c r="G174" s="228">
        <v>725.45</v>
      </c>
      <c r="H174" s="228">
        <v>6.05</v>
      </c>
      <c r="I174" s="229">
        <v>8.3000000000000001E-3</v>
      </c>
      <c r="J174" s="228">
        <v>730.55</v>
      </c>
      <c r="K174" s="228">
        <v>726.6</v>
      </c>
      <c r="L174" s="228">
        <v>3.95</v>
      </c>
      <c r="M174" s="229">
        <v>5.4000000000000003E-3</v>
      </c>
      <c r="N174" s="228">
        <v>731.5</v>
      </c>
      <c r="O174" s="228">
        <v>725.45</v>
      </c>
      <c r="P174" s="228">
        <v>6.05</v>
      </c>
      <c r="Q174" s="229">
        <v>8.3000000000000001E-3</v>
      </c>
      <c r="R174" s="228">
        <v>720.95</v>
      </c>
      <c r="S174" s="228">
        <v>715.3</v>
      </c>
      <c r="T174" s="228">
        <v>5.65</v>
      </c>
      <c r="U174" s="229">
        <v>7.9000000000000008E-3</v>
      </c>
      <c r="V174" s="228">
        <v>714.7</v>
      </c>
      <c r="W174" s="228">
        <v>704.65</v>
      </c>
      <c r="X174" s="228">
        <v>10.050000000000001</v>
      </c>
      <c r="Y174" s="229">
        <v>1.43E-2</v>
      </c>
      <c r="Z174" s="228">
        <v>0.95</v>
      </c>
      <c r="AA174" s="228">
        <v>-1.1499999999999999</v>
      </c>
      <c r="AB174" s="228">
        <v>2.1</v>
      </c>
      <c r="AC174" s="229">
        <v>1.2999999999999999E-3</v>
      </c>
      <c r="AD174" s="228">
        <v>0.95</v>
      </c>
      <c r="AE174" s="228">
        <v>-1.1499999999999999</v>
      </c>
      <c r="AF174" s="228">
        <v>2.1</v>
      </c>
      <c r="AG174" s="229">
        <v>1.2999999999999999E-3</v>
      </c>
      <c r="AH174" s="228">
        <v>-9.6</v>
      </c>
      <c r="AI174" s="228">
        <v>-11.3</v>
      </c>
      <c r="AJ174" s="228">
        <v>1.7</v>
      </c>
      <c r="AK174" s="229">
        <v>-1.3100000000000001E-2</v>
      </c>
      <c r="AL174" s="228">
        <v>-15.85</v>
      </c>
      <c r="AM174" s="228">
        <v>-21.95</v>
      </c>
      <c r="AN174" s="228">
        <v>6.1</v>
      </c>
      <c r="AO174" s="229">
        <v>-2.1700000000000001E-2</v>
      </c>
      <c r="AP174" s="228">
        <v>726.19</v>
      </c>
      <c r="AQ174" s="228">
        <v>714.97</v>
      </c>
      <c r="AR174" s="228">
        <v>0</v>
      </c>
      <c r="AS174" s="228">
        <v>229</v>
      </c>
      <c r="AT174" s="228">
        <v>264</v>
      </c>
      <c r="AU174" s="228">
        <v>-35</v>
      </c>
      <c r="AV174" s="229">
        <v>-0.13400000000000001</v>
      </c>
      <c r="AW174" s="228">
        <v>203</v>
      </c>
      <c r="AX174" s="228">
        <v>238</v>
      </c>
      <c r="AY174" s="228">
        <v>-34</v>
      </c>
      <c r="AZ174" s="229">
        <v>-0.14460000000000001</v>
      </c>
      <c r="BA174" s="228">
        <v>24</v>
      </c>
      <c r="BB174" s="228">
        <v>25</v>
      </c>
      <c r="BC174" s="228">
        <v>0</v>
      </c>
      <c r="BD174" s="229">
        <v>-1.1900000000000001E-2</v>
      </c>
      <c r="BE174" s="228">
        <v>1</v>
      </c>
      <c r="BF174" s="228">
        <v>2</v>
      </c>
      <c r="BG174" s="228">
        <v>-1</v>
      </c>
      <c r="BH174" s="229">
        <v>-0.38240000000000002</v>
      </c>
      <c r="BI174" s="228">
        <v>299</v>
      </c>
      <c r="BJ174" s="228">
        <v>388</v>
      </c>
      <c r="BK174" s="228">
        <v>-89</v>
      </c>
      <c r="BL174" s="229">
        <v>-0.2293</v>
      </c>
      <c r="BM174" s="228">
        <v>156</v>
      </c>
      <c r="BN174" s="228">
        <v>348</v>
      </c>
      <c r="BO174" s="228">
        <v>-192</v>
      </c>
      <c r="BP174" s="229">
        <v>-0.55069999999999997</v>
      </c>
      <c r="BQ174" s="228">
        <v>685</v>
      </c>
      <c r="BR174" s="230">
        <v>1001</v>
      </c>
      <c r="BS174" s="228">
        <v>-316</v>
      </c>
      <c r="BT174" s="229">
        <v>-0.31590000000000001</v>
      </c>
      <c r="BU174" s="230">
        <v>2156100</v>
      </c>
      <c r="BV174" s="230">
        <v>1142936</v>
      </c>
      <c r="BW174" s="230">
        <v>1013164</v>
      </c>
      <c r="BX174" s="229">
        <v>0.88649999999999995</v>
      </c>
      <c r="BY174" s="230">
        <v>1725</v>
      </c>
      <c r="BZ174" s="230">
        <v>1759</v>
      </c>
      <c r="CA174" s="228">
        <v>-34</v>
      </c>
      <c r="CB174" s="229">
        <v>-1.9099999999999999E-2</v>
      </c>
      <c r="CC174" s="230">
        <v>1588</v>
      </c>
      <c r="CD174" s="230">
        <v>1624</v>
      </c>
      <c r="CE174" s="228">
        <v>-36</v>
      </c>
      <c r="CF174" s="229">
        <v>-2.1999999999999999E-2</v>
      </c>
      <c r="CG174" s="228">
        <v>128</v>
      </c>
      <c r="CH174" s="228">
        <v>127</v>
      </c>
      <c r="CI174" s="228">
        <v>2</v>
      </c>
      <c r="CJ174" s="229">
        <v>1.2E-2</v>
      </c>
      <c r="CK174" s="228">
        <v>9</v>
      </c>
      <c r="CL174" s="228">
        <v>8</v>
      </c>
      <c r="CM174" s="228">
        <v>1</v>
      </c>
      <c r="CN174" s="229">
        <v>8.3900000000000002E-2</v>
      </c>
      <c r="CO174" s="228">
        <v>501</v>
      </c>
      <c r="CP174" s="228">
        <v>479</v>
      </c>
      <c r="CQ174" s="228">
        <v>22</v>
      </c>
      <c r="CR174" s="229">
        <v>4.5499999999999999E-2</v>
      </c>
      <c r="CS174" s="228">
        <v>327</v>
      </c>
      <c r="CT174" s="228">
        <v>322</v>
      </c>
      <c r="CU174" s="228">
        <v>4</v>
      </c>
      <c r="CV174" s="229">
        <v>1.3599999999999999E-2</v>
      </c>
      <c r="CW174" s="230">
        <v>2553</v>
      </c>
      <c r="CX174" s="230">
        <v>2560</v>
      </c>
      <c r="CY174" s="228">
        <v>-7</v>
      </c>
      <c r="CZ174" s="229">
        <v>-2.8999999999999998E-3</v>
      </c>
      <c r="DA174" s="228">
        <v>27.18</v>
      </c>
      <c r="DB174" s="228">
        <v>29.3</v>
      </c>
      <c r="DC174" s="228">
        <v>-2.12</v>
      </c>
      <c r="DD174" s="228">
        <v>-2.12</v>
      </c>
      <c r="DE174" s="228">
        <v>29.58</v>
      </c>
      <c r="DF174" s="228">
        <v>29.64</v>
      </c>
      <c r="DG174" s="228">
        <v>-2.4</v>
      </c>
      <c r="DH174" s="228">
        <v>-0.06</v>
      </c>
      <c r="DI174" s="228">
        <v>26.5</v>
      </c>
      <c r="DJ174" s="228">
        <v>29.09</v>
      </c>
      <c r="DK174" s="228">
        <v>-2.59</v>
      </c>
      <c r="DL174" s="228">
        <v>-2.59</v>
      </c>
      <c r="DM174" s="228">
        <v>28.48</v>
      </c>
      <c r="DN174" s="228">
        <v>29.55</v>
      </c>
      <c r="DO174" s="228">
        <v>-1.07</v>
      </c>
      <c r="DP174" s="228">
        <v>-1.07</v>
      </c>
      <c r="DQ174" s="228">
        <v>0.65</v>
      </c>
      <c r="DR174" s="228">
        <v>0.67</v>
      </c>
      <c r="DS174" s="228">
        <v>-0.02</v>
      </c>
      <c r="DT174" s="229">
        <v>-2.9899999999999999E-2</v>
      </c>
      <c r="DU174" s="228">
        <v>800</v>
      </c>
      <c r="DV174" s="228">
        <v>700</v>
      </c>
      <c r="DW174" s="228">
        <v>0.52</v>
      </c>
      <c r="DX174" s="228">
        <v>0.9</v>
      </c>
      <c r="DY174" s="228">
        <v>-0.38</v>
      </c>
      <c r="DZ174" s="229">
        <v>-0.42220000000000002</v>
      </c>
      <c r="EA174" s="229">
        <v>7.9600000000000004E-2</v>
      </c>
      <c r="EB174" s="230">
        <v>1847200</v>
      </c>
      <c r="EC174" s="229">
        <v>-1.44E-2</v>
      </c>
      <c r="ED174" s="229">
        <v>7.9600000000000004E-2</v>
      </c>
      <c r="EE174" s="228">
        <v>-11.22</v>
      </c>
      <c r="EF174" s="229">
        <v>-1.55E-2</v>
      </c>
      <c r="EG174" s="230">
        <v>1342948</v>
      </c>
      <c r="EH174" s="230">
        <v>572303</v>
      </c>
      <c r="EI174" s="229">
        <v>1.3466</v>
      </c>
      <c r="EJ174" s="229">
        <v>0.62290000000000001</v>
      </c>
      <c r="EK174" s="228">
        <v>320</v>
      </c>
      <c r="EL174" s="228">
        <v>151.30000000000001</v>
      </c>
      <c r="EM174" s="228">
        <v>226.75</v>
      </c>
      <c r="EN174" s="228">
        <v>57.39</v>
      </c>
      <c r="EO174" s="228">
        <v>698.05</v>
      </c>
      <c r="EP174" s="231">
        <v>1022.45</v>
      </c>
      <c r="EQ174" s="228">
        <v>-324.39999999999998</v>
      </c>
      <c r="ER174" s="229">
        <v>-0.31730000000000003</v>
      </c>
      <c r="ES174" s="228">
        <v>555.76</v>
      </c>
      <c r="ET174" s="228">
        <v>327.24</v>
      </c>
      <c r="EU174" s="231">
        <v>1723.05</v>
      </c>
      <c r="EV174" s="231">
        <v>44836888</v>
      </c>
      <c r="EW174" s="231">
        <v>2606.0500000000002</v>
      </c>
      <c r="EX174" s="231">
        <v>2598.4899999999998</v>
      </c>
      <c r="EY174" s="228">
        <v>7.56</v>
      </c>
      <c r="EZ174" s="229">
        <v>2.8999999999999998E-3</v>
      </c>
      <c r="FA174" s="229">
        <v>0.77839999999999998</v>
      </c>
      <c r="FB174" s="227" t="s">
        <v>556</v>
      </c>
      <c r="FC174">
        <f t="shared" si="3"/>
        <v>0</v>
      </c>
    </row>
    <row r="175" spans="1:159" ht="17.25" thickBot="1" x14ac:dyDescent="0.3">
      <c r="A175" s="226">
        <v>46086</v>
      </c>
      <c r="B175" s="227" t="s">
        <v>175</v>
      </c>
      <c r="C175" s="227" t="s">
        <v>462</v>
      </c>
      <c r="D175" s="228">
        <v>375</v>
      </c>
      <c r="E175" s="228">
        <v>25</v>
      </c>
      <c r="F175" s="231">
        <v>1946.2</v>
      </c>
      <c r="G175" s="231">
        <v>1936.5</v>
      </c>
      <c r="H175" s="228">
        <v>9.6999999999999993</v>
      </c>
      <c r="I175" s="229">
        <v>5.0000000000000001E-3</v>
      </c>
      <c r="J175" s="231">
        <v>1945</v>
      </c>
      <c r="K175" s="231">
        <v>1930.6</v>
      </c>
      <c r="L175" s="228">
        <v>14.4</v>
      </c>
      <c r="M175" s="229">
        <v>7.4999999999999997E-3</v>
      </c>
      <c r="N175" s="231">
        <v>1946.2</v>
      </c>
      <c r="O175" s="231">
        <v>1936.5</v>
      </c>
      <c r="P175" s="228">
        <v>9.6999999999999993</v>
      </c>
      <c r="Q175" s="229">
        <v>5.0000000000000001E-3</v>
      </c>
      <c r="R175" s="231">
        <v>1957.9</v>
      </c>
      <c r="S175" s="231">
        <v>1949.3</v>
      </c>
      <c r="T175" s="228">
        <v>8.6</v>
      </c>
      <c r="U175" s="229">
        <v>4.4000000000000003E-3</v>
      </c>
      <c r="V175" s="231">
        <v>1956</v>
      </c>
      <c r="W175" s="231">
        <v>1959.6</v>
      </c>
      <c r="X175" s="228">
        <v>-3.6</v>
      </c>
      <c r="Y175" s="229">
        <v>-1.8E-3</v>
      </c>
      <c r="Z175" s="228">
        <v>1.2</v>
      </c>
      <c r="AA175" s="228">
        <v>5.9</v>
      </c>
      <c r="AB175" s="228">
        <v>-4.7</v>
      </c>
      <c r="AC175" s="229">
        <v>5.9999999999999995E-4</v>
      </c>
      <c r="AD175" s="228">
        <v>1.2</v>
      </c>
      <c r="AE175" s="228">
        <v>5.9</v>
      </c>
      <c r="AF175" s="228">
        <v>-4.7</v>
      </c>
      <c r="AG175" s="229">
        <v>5.9999999999999995E-4</v>
      </c>
      <c r="AH175" s="228">
        <v>12.9</v>
      </c>
      <c r="AI175" s="228">
        <v>18.7</v>
      </c>
      <c r="AJ175" s="228">
        <v>-5.8</v>
      </c>
      <c r="AK175" s="229">
        <v>6.6E-3</v>
      </c>
      <c r="AL175" s="228">
        <v>11</v>
      </c>
      <c r="AM175" s="228">
        <v>29</v>
      </c>
      <c r="AN175" s="228">
        <v>-18</v>
      </c>
      <c r="AO175" s="229">
        <v>5.7000000000000002E-3</v>
      </c>
      <c r="AP175" s="231">
        <v>1933.78</v>
      </c>
      <c r="AQ175" s="231">
        <v>1944.78</v>
      </c>
      <c r="AR175" s="228">
        <v>0</v>
      </c>
      <c r="AS175" s="228">
        <v>287</v>
      </c>
      <c r="AT175" s="228">
        <v>280</v>
      </c>
      <c r="AU175" s="228">
        <v>6</v>
      </c>
      <c r="AV175" s="229">
        <v>2.3199999999999998E-2</v>
      </c>
      <c r="AW175" s="228">
        <v>270</v>
      </c>
      <c r="AX175" s="228">
        <v>262</v>
      </c>
      <c r="AY175" s="228">
        <v>8</v>
      </c>
      <c r="AZ175" s="229">
        <v>2.92E-2</v>
      </c>
      <c r="BA175" s="228">
        <v>14</v>
      </c>
      <c r="BB175" s="228">
        <v>14</v>
      </c>
      <c r="BC175" s="228">
        <v>0</v>
      </c>
      <c r="BD175" s="229">
        <v>0</v>
      </c>
      <c r="BE175" s="228">
        <v>4</v>
      </c>
      <c r="BF175" s="228">
        <v>5</v>
      </c>
      <c r="BG175" s="228">
        <v>-1</v>
      </c>
      <c r="BH175" s="229">
        <v>-0.25</v>
      </c>
      <c r="BI175" s="228">
        <v>824</v>
      </c>
      <c r="BJ175" s="228">
        <v>577</v>
      </c>
      <c r="BK175" s="228">
        <v>247</v>
      </c>
      <c r="BL175" s="229">
        <v>0.42720000000000002</v>
      </c>
      <c r="BM175" s="228">
        <v>422</v>
      </c>
      <c r="BN175" s="228">
        <v>465</v>
      </c>
      <c r="BO175" s="228">
        <v>-43</v>
      </c>
      <c r="BP175" s="229">
        <v>-9.1899999999999996E-2</v>
      </c>
      <c r="BQ175" s="230">
        <v>1532</v>
      </c>
      <c r="BR175" s="230">
        <v>1322</v>
      </c>
      <c r="BS175" s="228">
        <v>210</v>
      </c>
      <c r="BT175" s="229">
        <v>0.15909999999999999</v>
      </c>
      <c r="BU175" s="230">
        <v>1983417</v>
      </c>
      <c r="BV175" s="230">
        <v>982967</v>
      </c>
      <c r="BW175" s="230">
        <v>1000450</v>
      </c>
      <c r="BX175" s="229">
        <v>1.0178</v>
      </c>
      <c r="BY175" s="230">
        <v>1738</v>
      </c>
      <c r="BZ175" s="230">
        <v>1707</v>
      </c>
      <c r="CA175" s="228">
        <v>31</v>
      </c>
      <c r="CB175" s="229">
        <v>1.7999999999999999E-2</v>
      </c>
      <c r="CC175" s="230">
        <v>1722</v>
      </c>
      <c r="CD175" s="230">
        <v>1692</v>
      </c>
      <c r="CE175" s="228">
        <v>30</v>
      </c>
      <c r="CF175" s="229">
        <v>1.7600000000000001E-2</v>
      </c>
      <c r="CG175" s="228">
        <v>13</v>
      </c>
      <c r="CH175" s="228">
        <v>12</v>
      </c>
      <c r="CI175" s="228">
        <v>1</v>
      </c>
      <c r="CJ175" s="229">
        <v>4.7300000000000002E-2</v>
      </c>
      <c r="CK175" s="228">
        <v>3</v>
      </c>
      <c r="CL175" s="228">
        <v>3</v>
      </c>
      <c r="CM175" s="228">
        <v>0</v>
      </c>
      <c r="CN175" s="229">
        <v>0.15379999999999999</v>
      </c>
      <c r="CO175" s="228">
        <v>591</v>
      </c>
      <c r="CP175" s="228">
        <v>506</v>
      </c>
      <c r="CQ175" s="228">
        <v>85</v>
      </c>
      <c r="CR175" s="229">
        <v>0.16830000000000001</v>
      </c>
      <c r="CS175" s="228">
        <v>245</v>
      </c>
      <c r="CT175" s="228">
        <v>226</v>
      </c>
      <c r="CU175" s="228">
        <v>19</v>
      </c>
      <c r="CV175" s="229">
        <v>8.4900000000000003E-2</v>
      </c>
      <c r="CW175" s="230">
        <v>2574</v>
      </c>
      <c r="CX175" s="230">
        <v>2439</v>
      </c>
      <c r="CY175" s="228">
        <v>135</v>
      </c>
      <c r="CZ175" s="229">
        <v>5.5399999999999998E-2</v>
      </c>
      <c r="DA175" s="228">
        <v>23.87</v>
      </c>
      <c r="DB175" s="228">
        <v>25.8</v>
      </c>
      <c r="DC175" s="228">
        <v>-1.93</v>
      </c>
      <c r="DD175" s="228">
        <v>-1.93</v>
      </c>
      <c r="DE175" s="228">
        <v>24.42</v>
      </c>
      <c r="DF175" s="228">
        <v>24.46</v>
      </c>
      <c r="DG175" s="228">
        <v>-0.55000000000000004</v>
      </c>
      <c r="DH175" s="228">
        <v>-0.04</v>
      </c>
      <c r="DI175" s="228">
        <v>23.32</v>
      </c>
      <c r="DJ175" s="228">
        <v>25.52</v>
      </c>
      <c r="DK175" s="228">
        <v>-2.2000000000000002</v>
      </c>
      <c r="DL175" s="228">
        <v>-2.2000000000000002</v>
      </c>
      <c r="DM175" s="228">
        <v>24.96</v>
      </c>
      <c r="DN175" s="228">
        <v>26.16</v>
      </c>
      <c r="DO175" s="228">
        <v>-1.2</v>
      </c>
      <c r="DP175" s="228">
        <v>-1.2</v>
      </c>
      <c r="DQ175" s="228">
        <v>0.42</v>
      </c>
      <c r="DR175" s="228">
        <v>0.45</v>
      </c>
      <c r="DS175" s="228">
        <v>-0.03</v>
      </c>
      <c r="DT175" s="229">
        <v>-6.6699999999999995E-2</v>
      </c>
      <c r="DU175" s="231">
        <v>2100</v>
      </c>
      <c r="DV175" s="231">
        <v>1920</v>
      </c>
      <c r="DW175" s="228">
        <v>0.51</v>
      </c>
      <c r="DX175" s="228">
        <v>0.8</v>
      </c>
      <c r="DY175" s="228">
        <v>-0.28999999999999998</v>
      </c>
      <c r="DZ175" s="229">
        <v>-0.36249999999999999</v>
      </c>
      <c r="EA175" s="229">
        <v>9.2999999999999992E-3</v>
      </c>
      <c r="EB175" s="230">
        <v>78000</v>
      </c>
      <c r="EC175" s="229">
        <v>6.0000000000000001E-3</v>
      </c>
      <c r="ED175" s="229">
        <v>9.2999999999999992E-3</v>
      </c>
      <c r="EE175" s="228">
        <v>11</v>
      </c>
      <c r="EF175" s="229">
        <v>5.7000000000000002E-3</v>
      </c>
      <c r="EG175" s="230">
        <v>1299601</v>
      </c>
      <c r="EH175" s="230">
        <v>585454</v>
      </c>
      <c r="EI175" s="229">
        <v>1.2198</v>
      </c>
      <c r="EJ175" s="229">
        <v>0.6552</v>
      </c>
      <c r="EK175" s="228">
        <v>869.37</v>
      </c>
      <c r="EL175" s="228">
        <v>421.01</v>
      </c>
      <c r="EM175" s="228">
        <v>285.02999999999997</v>
      </c>
      <c r="EN175" s="228">
        <v>28.49</v>
      </c>
      <c r="EO175" s="231">
        <v>1575.41</v>
      </c>
      <c r="EP175" s="231">
        <v>1371.11</v>
      </c>
      <c r="EQ175" s="228">
        <v>204.3</v>
      </c>
      <c r="ER175" s="229">
        <v>0.14899999999999999</v>
      </c>
      <c r="ES175" s="228">
        <v>645.05999999999995</v>
      </c>
      <c r="ET175" s="228">
        <v>243.47</v>
      </c>
      <c r="EU175" s="231">
        <v>1738.03</v>
      </c>
      <c r="EV175" s="231">
        <v>44756800</v>
      </c>
      <c r="EW175" s="231">
        <v>2626.55</v>
      </c>
      <c r="EX175" s="231">
        <v>2482.73</v>
      </c>
      <c r="EY175" s="228">
        <v>143.82</v>
      </c>
      <c r="EZ175" s="229">
        <v>5.79E-2</v>
      </c>
      <c r="FA175" s="229">
        <v>0.29549999999999998</v>
      </c>
      <c r="FB175" s="227" t="s">
        <v>555</v>
      </c>
      <c r="FC175">
        <f t="shared" si="3"/>
        <v>0</v>
      </c>
    </row>
    <row r="176" spans="1:159" ht="17.25" thickBot="1" x14ac:dyDescent="0.3">
      <c r="A176" s="226">
        <v>46086</v>
      </c>
      <c r="B176" s="227" t="s">
        <v>172</v>
      </c>
      <c r="C176" s="227" t="s">
        <v>283</v>
      </c>
      <c r="D176" s="228">
        <v>750</v>
      </c>
      <c r="E176" s="228">
        <v>25</v>
      </c>
      <c r="F176" s="231">
        <v>1174.5</v>
      </c>
      <c r="G176" s="231">
        <v>1179.8</v>
      </c>
      <c r="H176" s="228">
        <v>-5.3</v>
      </c>
      <c r="I176" s="229">
        <v>-4.4999999999999997E-3</v>
      </c>
      <c r="J176" s="231">
        <v>1169.5</v>
      </c>
      <c r="K176" s="231">
        <v>1174.5</v>
      </c>
      <c r="L176" s="228">
        <v>-5</v>
      </c>
      <c r="M176" s="229">
        <v>-4.3E-3</v>
      </c>
      <c r="N176" s="231">
        <v>1174.5</v>
      </c>
      <c r="O176" s="231">
        <v>1179.8</v>
      </c>
      <c r="P176" s="228">
        <v>-5.3</v>
      </c>
      <c r="Q176" s="229">
        <v>-4.4999999999999997E-3</v>
      </c>
      <c r="R176" s="231">
        <v>1182</v>
      </c>
      <c r="S176" s="231">
        <v>1186.9000000000001</v>
      </c>
      <c r="T176" s="228">
        <v>-4.9000000000000004</v>
      </c>
      <c r="U176" s="229">
        <v>-4.1000000000000003E-3</v>
      </c>
      <c r="V176" s="231">
        <v>1176</v>
      </c>
      <c r="W176" s="231">
        <v>1182.5999999999999</v>
      </c>
      <c r="X176" s="228">
        <v>-6.6</v>
      </c>
      <c r="Y176" s="229">
        <v>-5.5999999999999999E-3</v>
      </c>
      <c r="Z176" s="228">
        <v>5</v>
      </c>
      <c r="AA176" s="228">
        <v>5.3</v>
      </c>
      <c r="AB176" s="228">
        <v>-0.3</v>
      </c>
      <c r="AC176" s="229">
        <v>4.3E-3</v>
      </c>
      <c r="AD176" s="228">
        <v>5</v>
      </c>
      <c r="AE176" s="228">
        <v>5.3</v>
      </c>
      <c r="AF176" s="228">
        <v>-0.3</v>
      </c>
      <c r="AG176" s="229">
        <v>4.3E-3</v>
      </c>
      <c r="AH176" s="228">
        <v>12.5</v>
      </c>
      <c r="AI176" s="228">
        <v>12.4</v>
      </c>
      <c r="AJ176" s="228">
        <v>0.1</v>
      </c>
      <c r="AK176" s="229">
        <v>1.0699999999999999E-2</v>
      </c>
      <c r="AL176" s="228">
        <v>6.5</v>
      </c>
      <c r="AM176" s="228">
        <v>8.1</v>
      </c>
      <c r="AN176" s="228">
        <v>-1.6</v>
      </c>
      <c r="AO176" s="229">
        <v>5.5999999999999999E-3</v>
      </c>
      <c r="AP176" s="231">
        <v>1170.45</v>
      </c>
      <c r="AQ176" s="231">
        <v>1177.47</v>
      </c>
      <c r="AR176" s="228">
        <v>0</v>
      </c>
      <c r="AS176" s="230">
        <v>2437</v>
      </c>
      <c r="AT176" s="230">
        <v>2572</v>
      </c>
      <c r="AU176" s="228">
        <v>-134</v>
      </c>
      <c r="AV176" s="229">
        <v>-5.2200000000000003E-2</v>
      </c>
      <c r="AW176" s="230">
        <v>2230</v>
      </c>
      <c r="AX176" s="230">
        <v>2415</v>
      </c>
      <c r="AY176" s="228">
        <v>-185</v>
      </c>
      <c r="AZ176" s="229">
        <v>-7.6799999999999993E-2</v>
      </c>
      <c r="BA176" s="228">
        <v>169</v>
      </c>
      <c r="BB176" s="228">
        <v>138</v>
      </c>
      <c r="BC176" s="228">
        <v>31</v>
      </c>
      <c r="BD176" s="229">
        <v>0.22259999999999999</v>
      </c>
      <c r="BE176" s="228">
        <v>39</v>
      </c>
      <c r="BF176" s="228">
        <v>18</v>
      </c>
      <c r="BG176" s="228">
        <v>20</v>
      </c>
      <c r="BH176" s="229">
        <v>1.1052999999999999</v>
      </c>
      <c r="BI176" s="230">
        <v>7867</v>
      </c>
      <c r="BJ176" s="230">
        <v>8071</v>
      </c>
      <c r="BK176" s="228">
        <v>-204</v>
      </c>
      <c r="BL176" s="229">
        <v>-2.53E-2</v>
      </c>
      <c r="BM176" s="230">
        <v>6216</v>
      </c>
      <c r="BN176" s="230">
        <v>9626</v>
      </c>
      <c r="BO176" s="230">
        <v>-3410</v>
      </c>
      <c r="BP176" s="229">
        <v>-0.3543</v>
      </c>
      <c r="BQ176" s="230">
        <v>16520</v>
      </c>
      <c r="BR176" s="230">
        <v>20269</v>
      </c>
      <c r="BS176" s="230">
        <v>-3749</v>
      </c>
      <c r="BT176" s="229">
        <v>-0.185</v>
      </c>
      <c r="BU176" s="230">
        <v>23421326</v>
      </c>
      <c r="BV176" s="230">
        <v>14751365</v>
      </c>
      <c r="BW176" s="230">
        <v>8669961</v>
      </c>
      <c r="BX176" s="229">
        <v>0.5877</v>
      </c>
      <c r="BY176" s="230">
        <v>7134</v>
      </c>
      <c r="BZ176" s="230">
        <v>6765</v>
      </c>
      <c r="CA176" s="228">
        <v>369</v>
      </c>
      <c r="CB176" s="229">
        <v>5.45E-2</v>
      </c>
      <c r="CC176" s="230">
        <v>6813</v>
      </c>
      <c r="CD176" s="230">
        <v>6500</v>
      </c>
      <c r="CE176" s="228">
        <v>313</v>
      </c>
      <c r="CF176" s="229">
        <v>4.8099999999999997E-2</v>
      </c>
      <c r="CG176" s="228">
        <v>280</v>
      </c>
      <c r="CH176" s="228">
        <v>237</v>
      </c>
      <c r="CI176" s="228">
        <v>43</v>
      </c>
      <c r="CJ176" s="229">
        <v>0.18329999999999999</v>
      </c>
      <c r="CK176" s="228">
        <v>41</v>
      </c>
      <c r="CL176" s="228">
        <v>28</v>
      </c>
      <c r="CM176" s="228">
        <v>13</v>
      </c>
      <c r="CN176" s="229">
        <v>0.44550000000000001</v>
      </c>
      <c r="CO176" s="230">
        <v>4414</v>
      </c>
      <c r="CP176" s="230">
        <v>3988</v>
      </c>
      <c r="CQ176" s="228">
        <v>426</v>
      </c>
      <c r="CR176" s="229">
        <v>0.10680000000000001</v>
      </c>
      <c r="CS176" s="230">
        <v>3542</v>
      </c>
      <c r="CT176" s="230">
        <v>3745</v>
      </c>
      <c r="CU176" s="228">
        <v>-203</v>
      </c>
      <c r="CV176" s="229">
        <v>-5.4199999999999998E-2</v>
      </c>
      <c r="CW176" s="230">
        <v>15090</v>
      </c>
      <c r="CX176" s="230">
        <v>14498</v>
      </c>
      <c r="CY176" s="228">
        <v>592</v>
      </c>
      <c r="CZ176" s="229">
        <v>4.0800000000000003E-2</v>
      </c>
      <c r="DA176" s="228">
        <v>22.78</v>
      </c>
      <c r="DB176" s="228">
        <v>25.37</v>
      </c>
      <c r="DC176" s="228">
        <v>-2.59</v>
      </c>
      <c r="DD176" s="228">
        <v>-2.59</v>
      </c>
      <c r="DE176" s="228">
        <v>26.82</v>
      </c>
      <c r="DF176" s="228">
        <v>26.88</v>
      </c>
      <c r="DG176" s="228">
        <v>-4.04</v>
      </c>
      <c r="DH176" s="228">
        <v>-0.06</v>
      </c>
      <c r="DI176" s="228">
        <v>22.14</v>
      </c>
      <c r="DJ176" s="228">
        <v>23.72</v>
      </c>
      <c r="DK176" s="228">
        <v>-1.58</v>
      </c>
      <c r="DL176" s="228">
        <v>-1.58</v>
      </c>
      <c r="DM176" s="228">
        <v>23.59</v>
      </c>
      <c r="DN176" s="228">
        <v>26.75</v>
      </c>
      <c r="DO176" s="228">
        <v>-3.16</v>
      </c>
      <c r="DP176" s="228">
        <v>-3.16</v>
      </c>
      <c r="DQ176" s="228">
        <v>0.8</v>
      </c>
      <c r="DR176" s="228">
        <v>0.94</v>
      </c>
      <c r="DS176" s="228">
        <v>-0.14000000000000001</v>
      </c>
      <c r="DT176" s="229">
        <v>-0.1489</v>
      </c>
      <c r="DU176" s="231">
        <v>1200</v>
      </c>
      <c r="DV176" s="231">
        <v>1100</v>
      </c>
      <c r="DW176" s="228">
        <v>0.79</v>
      </c>
      <c r="DX176" s="228">
        <v>1.19</v>
      </c>
      <c r="DY176" s="228">
        <v>-0.4</v>
      </c>
      <c r="DZ176" s="229">
        <v>-0.33610000000000001</v>
      </c>
      <c r="EA176" s="229">
        <v>4.4999999999999998E-2</v>
      </c>
      <c r="EB176" s="230">
        <v>2257500</v>
      </c>
      <c r="EC176" s="229">
        <v>6.4000000000000003E-3</v>
      </c>
      <c r="ED176" s="229">
        <v>4.4999999999999998E-2</v>
      </c>
      <c r="EE176" s="228">
        <v>7.02</v>
      </c>
      <c r="EF176" s="229">
        <v>6.0000000000000001E-3</v>
      </c>
      <c r="EG176" s="230">
        <v>14643760</v>
      </c>
      <c r="EH176" s="230">
        <v>8906315</v>
      </c>
      <c r="EI176" s="229">
        <v>0.64419999999999999</v>
      </c>
      <c r="EJ176" s="229">
        <v>0.62519999999999998</v>
      </c>
      <c r="EK176" s="231">
        <v>8221.1299999999992</v>
      </c>
      <c r="EL176" s="231">
        <v>6112.28</v>
      </c>
      <c r="EM176" s="231">
        <v>2430.0700000000002</v>
      </c>
      <c r="EN176" s="228">
        <v>240.18</v>
      </c>
      <c r="EO176" s="231">
        <v>16763.490000000002</v>
      </c>
      <c r="EP176" s="231">
        <v>20516.830000000002</v>
      </c>
      <c r="EQ176" s="231">
        <v>-3753.34</v>
      </c>
      <c r="ER176" s="229">
        <v>-0.18290000000000001</v>
      </c>
      <c r="ES176" s="231">
        <v>4629.12</v>
      </c>
      <c r="ET176" s="231">
        <v>3390.53</v>
      </c>
      <c r="EU176" s="231">
        <v>7135.96</v>
      </c>
      <c r="EV176" s="231">
        <v>436949195</v>
      </c>
      <c r="EW176" s="231">
        <v>15155.61</v>
      </c>
      <c r="EX176" s="231">
        <v>14582.12</v>
      </c>
      <c r="EY176" s="228">
        <v>573.49</v>
      </c>
      <c r="EZ176" s="229">
        <v>3.9300000000000002E-2</v>
      </c>
      <c r="FA176" s="229">
        <v>0.29399999999999998</v>
      </c>
      <c r="FB176" s="227" t="s">
        <v>567</v>
      </c>
      <c r="FC176">
        <f t="shared" si="3"/>
        <v>0</v>
      </c>
    </row>
    <row r="177" spans="1:159" ht="17.25" thickBot="1" x14ac:dyDescent="0.3">
      <c r="A177" s="226">
        <v>46086</v>
      </c>
      <c r="B177" s="227" t="s">
        <v>157</v>
      </c>
      <c r="C177" s="227" t="s">
        <v>284</v>
      </c>
      <c r="D177" s="228">
        <v>25</v>
      </c>
      <c r="E177" s="228">
        <v>25</v>
      </c>
      <c r="F177" s="231">
        <v>25175</v>
      </c>
      <c r="G177" s="231">
        <v>25010</v>
      </c>
      <c r="H177" s="228">
        <v>165</v>
      </c>
      <c r="I177" s="229">
        <v>6.6E-3</v>
      </c>
      <c r="J177" s="231">
        <v>25200</v>
      </c>
      <c r="K177" s="231">
        <v>25355</v>
      </c>
      <c r="L177" s="228">
        <v>-155</v>
      </c>
      <c r="M177" s="229">
        <v>-6.1000000000000004E-3</v>
      </c>
      <c r="N177" s="231">
        <v>25175</v>
      </c>
      <c r="O177" s="231">
        <v>25010</v>
      </c>
      <c r="P177" s="228">
        <v>165</v>
      </c>
      <c r="Q177" s="229">
        <v>6.6E-3</v>
      </c>
      <c r="R177" s="231">
        <v>24990</v>
      </c>
      <c r="S177" s="231">
        <v>24790</v>
      </c>
      <c r="T177" s="228">
        <v>200</v>
      </c>
      <c r="U177" s="229">
        <v>8.0999999999999996E-3</v>
      </c>
      <c r="V177" s="231">
        <v>24560</v>
      </c>
      <c r="W177" s="231">
        <v>24885</v>
      </c>
      <c r="X177" s="228">
        <v>-325</v>
      </c>
      <c r="Y177" s="229">
        <v>-1.3100000000000001E-2</v>
      </c>
      <c r="Z177" s="228">
        <v>-25</v>
      </c>
      <c r="AA177" s="228">
        <v>-345</v>
      </c>
      <c r="AB177" s="228">
        <v>320</v>
      </c>
      <c r="AC177" s="229">
        <v>-1E-3</v>
      </c>
      <c r="AD177" s="228">
        <v>-25</v>
      </c>
      <c r="AE177" s="228">
        <v>-345</v>
      </c>
      <c r="AF177" s="228">
        <v>320</v>
      </c>
      <c r="AG177" s="229">
        <v>-1E-3</v>
      </c>
      <c r="AH177" s="228">
        <v>-210</v>
      </c>
      <c r="AI177" s="228">
        <v>-565</v>
      </c>
      <c r="AJ177" s="228">
        <v>355</v>
      </c>
      <c r="AK177" s="229">
        <v>-8.3000000000000001E-3</v>
      </c>
      <c r="AL177" s="228">
        <v>-640</v>
      </c>
      <c r="AM177" s="228">
        <v>-470</v>
      </c>
      <c r="AN177" s="228">
        <v>-170</v>
      </c>
      <c r="AO177" s="229">
        <v>-2.5399999999999999E-2</v>
      </c>
      <c r="AP177" s="231">
        <v>24948.17</v>
      </c>
      <c r="AQ177" s="231">
        <v>24745.45</v>
      </c>
      <c r="AR177" s="228">
        <v>0</v>
      </c>
      <c r="AS177" s="228">
        <v>153</v>
      </c>
      <c r="AT177" s="228">
        <v>133</v>
      </c>
      <c r="AU177" s="228">
        <v>21</v>
      </c>
      <c r="AV177" s="229">
        <v>0.1565</v>
      </c>
      <c r="AW177" s="228">
        <v>143</v>
      </c>
      <c r="AX177" s="228">
        <v>125</v>
      </c>
      <c r="AY177" s="228">
        <v>17</v>
      </c>
      <c r="AZ177" s="229">
        <v>0.13800000000000001</v>
      </c>
      <c r="BA177" s="228">
        <v>10</v>
      </c>
      <c r="BB177" s="228">
        <v>7</v>
      </c>
      <c r="BC177" s="228">
        <v>3</v>
      </c>
      <c r="BD177" s="229">
        <v>0.47320000000000001</v>
      </c>
      <c r="BE177" s="228">
        <v>0</v>
      </c>
      <c r="BF177" s="228">
        <v>0</v>
      </c>
      <c r="BG177" s="228">
        <v>0</v>
      </c>
      <c r="BH177" s="229">
        <v>0.66669999999999996</v>
      </c>
      <c r="BI177" s="228">
        <v>184</v>
      </c>
      <c r="BJ177" s="228">
        <v>185</v>
      </c>
      <c r="BK177" s="228">
        <v>0</v>
      </c>
      <c r="BL177" s="229">
        <v>-2E-3</v>
      </c>
      <c r="BM177" s="228">
        <v>70</v>
      </c>
      <c r="BN177" s="228">
        <v>96</v>
      </c>
      <c r="BO177" s="228">
        <v>-25</v>
      </c>
      <c r="BP177" s="229">
        <v>-0.2646</v>
      </c>
      <c r="BQ177" s="228">
        <v>408</v>
      </c>
      <c r="BR177" s="228">
        <v>413</v>
      </c>
      <c r="BS177" s="228">
        <v>-5</v>
      </c>
      <c r="BT177" s="229">
        <v>-1.2E-2</v>
      </c>
      <c r="BU177" s="230">
        <v>39390</v>
      </c>
      <c r="BV177" s="230">
        <v>38243</v>
      </c>
      <c r="BW177" s="230">
        <v>1147</v>
      </c>
      <c r="BX177" s="229">
        <v>0.03</v>
      </c>
      <c r="BY177" s="228">
        <v>875</v>
      </c>
      <c r="BZ177" s="228">
        <v>872</v>
      </c>
      <c r="CA177" s="228">
        <v>3</v>
      </c>
      <c r="CB177" s="229">
        <v>3.0999999999999999E-3</v>
      </c>
      <c r="CC177" s="228">
        <v>838</v>
      </c>
      <c r="CD177" s="228">
        <v>838</v>
      </c>
      <c r="CE177" s="228">
        <v>-1</v>
      </c>
      <c r="CF177" s="229">
        <v>-5.9999999999999995E-4</v>
      </c>
      <c r="CG177" s="228">
        <v>36</v>
      </c>
      <c r="CH177" s="228">
        <v>33</v>
      </c>
      <c r="CI177" s="228">
        <v>3</v>
      </c>
      <c r="CJ177" s="229">
        <v>9.7100000000000006E-2</v>
      </c>
      <c r="CK177" s="228">
        <v>1</v>
      </c>
      <c r="CL177" s="228">
        <v>1</v>
      </c>
      <c r="CM177" s="228">
        <v>0</v>
      </c>
      <c r="CN177" s="229">
        <v>0</v>
      </c>
      <c r="CO177" s="228">
        <v>151</v>
      </c>
      <c r="CP177" s="228">
        <v>138</v>
      </c>
      <c r="CQ177" s="228">
        <v>14</v>
      </c>
      <c r="CR177" s="229">
        <v>0.10059999999999999</v>
      </c>
      <c r="CS177" s="228">
        <v>93</v>
      </c>
      <c r="CT177" s="228">
        <v>93</v>
      </c>
      <c r="CU177" s="228">
        <v>-1</v>
      </c>
      <c r="CV177" s="229">
        <v>-5.4000000000000003E-3</v>
      </c>
      <c r="CW177" s="230">
        <v>1119</v>
      </c>
      <c r="CX177" s="230">
        <v>1103</v>
      </c>
      <c r="CY177" s="228">
        <v>16</v>
      </c>
      <c r="CZ177" s="229">
        <v>1.4500000000000001E-2</v>
      </c>
      <c r="DA177" s="228">
        <v>24.61</v>
      </c>
      <c r="DB177" s="228">
        <v>26.66</v>
      </c>
      <c r="DC177" s="228">
        <v>-2.0499999999999998</v>
      </c>
      <c r="DD177" s="228">
        <v>-2.0499999999999998</v>
      </c>
      <c r="DE177" s="228">
        <v>24.74</v>
      </c>
      <c r="DF177" s="228">
        <v>24.79</v>
      </c>
      <c r="DG177" s="228">
        <v>-0.13</v>
      </c>
      <c r="DH177" s="228">
        <v>-0.05</v>
      </c>
      <c r="DI177" s="228">
        <v>24.43</v>
      </c>
      <c r="DJ177" s="228">
        <v>27.06</v>
      </c>
      <c r="DK177" s="228">
        <v>-2.63</v>
      </c>
      <c r="DL177" s="228">
        <v>-2.63</v>
      </c>
      <c r="DM177" s="228">
        <v>25.09</v>
      </c>
      <c r="DN177" s="228">
        <v>25.88</v>
      </c>
      <c r="DO177" s="228">
        <v>-0.79</v>
      </c>
      <c r="DP177" s="228">
        <v>-0.79</v>
      </c>
      <c r="DQ177" s="228">
        <v>0.61</v>
      </c>
      <c r="DR177" s="228">
        <v>0.68</v>
      </c>
      <c r="DS177" s="228">
        <v>-7.0000000000000007E-2</v>
      </c>
      <c r="DT177" s="229">
        <v>-0.10290000000000001</v>
      </c>
      <c r="DU177" s="231">
        <v>27000</v>
      </c>
      <c r="DV177" s="231">
        <v>26000</v>
      </c>
      <c r="DW177" s="228">
        <v>0.38</v>
      </c>
      <c r="DX177" s="228">
        <v>0.52</v>
      </c>
      <c r="DY177" s="228">
        <v>-0.14000000000000001</v>
      </c>
      <c r="DZ177" s="229">
        <v>-0.26919999999999999</v>
      </c>
      <c r="EA177" s="229">
        <v>4.2900000000000001E-2</v>
      </c>
      <c r="EB177" s="230">
        <v>13625</v>
      </c>
      <c r="EC177" s="229">
        <v>-7.3000000000000001E-3</v>
      </c>
      <c r="ED177" s="229">
        <v>4.2900000000000001E-2</v>
      </c>
      <c r="EE177" s="228">
        <v>-202.72</v>
      </c>
      <c r="EF177" s="229">
        <v>-8.0999999999999996E-3</v>
      </c>
      <c r="EG177" s="230">
        <v>19029</v>
      </c>
      <c r="EH177" s="230">
        <v>20777</v>
      </c>
      <c r="EI177" s="229">
        <v>-8.4099999999999994E-2</v>
      </c>
      <c r="EJ177" s="229">
        <v>0.48309999999999997</v>
      </c>
      <c r="EK177" s="228">
        <v>193.61</v>
      </c>
      <c r="EL177" s="228">
        <v>70.58</v>
      </c>
      <c r="EM177" s="228">
        <v>151.97</v>
      </c>
      <c r="EN177" s="228">
        <v>19.22</v>
      </c>
      <c r="EO177" s="228">
        <v>416.16</v>
      </c>
      <c r="EP177" s="228">
        <v>426.04</v>
      </c>
      <c r="EQ177" s="228">
        <v>-9.8800000000000008</v>
      </c>
      <c r="ER177" s="229">
        <v>-2.3199999999999998E-2</v>
      </c>
      <c r="ES177" s="228">
        <v>162.25</v>
      </c>
      <c r="ET177" s="228">
        <v>94.17</v>
      </c>
      <c r="EU177" s="228">
        <v>874.79</v>
      </c>
      <c r="EV177" s="231">
        <v>1568093</v>
      </c>
      <c r="EW177" s="231">
        <v>1131.21</v>
      </c>
      <c r="EX177" s="231">
        <v>1109.06</v>
      </c>
      <c r="EY177" s="228">
        <v>22.15</v>
      </c>
      <c r="EZ177" s="229">
        <v>0.02</v>
      </c>
      <c r="FA177" s="229">
        <v>0.28349999999999997</v>
      </c>
      <c r="FB177" s="227" t="s">
        <v>555</v>
      </c>
      <c r="FC177">
        <f t="shared" si="3"/>
        <v>0</v>
      </c>
    </row>
    <row r="178" spans="1:159" ht="17.25" thickBot="1" x14ac:dyDescent="0.3">
      <c r="A178" s="226">
        <v>46086</v>
      </c>
      <c r="B178" s="227" t="s">
        <v>175</v>
      </c>
      <c r="C178" s="227" t="s">
        <v>562</v>
      </c>
      <c r="D178" s="228">
        <v>825</v>
      </c>
      <c r="E178" s="228">
        <v>25</v>
      </c>
      <c r="F178" s="231">
        <v>1041.2</v>
      </c>
      <c r="G178" s="231">
        <v>1012.7</v>
      </c>
      <c r="H178" s="228">
        <v>28.5</v>
      </c>
      <c r="I178" s="229">
        <v>2.81E-2</v>
      </c>
      <c r="J178" s="231">
        <v>1039.5</v>
      </c>
      <c r="K178" s="231">
        <v>1010</v>
      </c>
      <c r="L178" s="228">
        <v>29.5</v>
      </c>
      <c r="M178" s="229">
        <v>2.92E-2</v>
      </c>
      <c r="N178" s="231">
        <v>1041.2</v>
      </c>
      <c r="O178" s="231">
        <v>1012.7</v>
      </c>
      <c r="P178" s="228">
        <v>28.5</v>
      </c>
      <c r="Q178" s="229">
        <v>2.81E-2</v>
      </c>
      <c r="R178" s="231">
        <v>1048</v>
      </c>
      <c r="S178" s="231">
        <v>1018.6</v>
      </c>
      <c r="T178" s="228">
        <v>29.4</v>
      </c>
      <c r="U178" s="229">
        <v>2.8899999999999999E-2</v>
      </c>
      <c r="V178" s="231">
        <v>1051.5999999999999</v>
      </c>
      <c r="W178" s="231">
        <v>1023.1</v>
      </c>
      <c r="X178" s="228">
        <v>28.5</v>
      </c>
      <c r="Y178" s="229">
        <v>2.7900000000000001E-2</v>
      </c>
      <c r="Z178" s="228">
        <v>1.7</v>
      </c>
      <c r="AA178" s="228">
        <v>2.7</v>
      </c>
      <c r="AB178" s="228">
        <v>-1</v>
      </c>
      <c r="AC178" s="229">
        <v>1.6000000000000001E-3</v>
      </c>
      <c r="AD178" s="228">
        <v>1.7</v>
      </c>
      <c r="AE178" s="228">
        <v>2.7</v>
      </c>
      <c r="AF178" s="228">
        <v>-1</v>
      </c>
      <c r="AG178" s="229">
        <v>1.6000000000000001E-3</v>
      </c>
      <c r="AH178" s="228">
        <v>8.5</v>
      </c>
      <c r="AI178" s="228">
        <v>8.6</v>
      </c>
      <c r="AJ178" s="228">
        <v>-0.1</v>
      </c>
      <c r="AK178" s="229">
        <v>8.2000000000000007E-3</v>
      </c>
      <c r="AL178" s="228">
        <v>12.1</v>
      </c>
      <c r="AM178" s="228">
        <v>13.1</v>
      </c>
      <c r="AN178" s="228">
        <v>-1</v>
      </c>
      <c r="AO178" s="229">
        <v>1.1599999999999999E-2</v>
      </c>
      <c r="AP178" s="231">
        <v>1034.28</v>
      </c>
      <c r="AQ178" s="231">
        <v>1040.8599999999999</v>
      </c>
      <c r="AR178" s="228">
        <v>0</v>
      </c>
      <c r="AS178" s="228">
        <v>755</v>
      </c>
      <c r="AT178" s="230">
        <v>1011</v>
      </c>
      <c r="AU178" s="228">
        <v>-256</v>
      </c>
      <c r="AV178" s="229">
        <v>-0.25319999999999998</v>
      </c>
      <c r="AW178" s="228">
        <v>718</v>
      </c>
      <c r="AX178" s="228">
        <v>975</v>
      </c>
      <c r="AY178" s="228">
        <v>-257</v>
      </c>
      <c r="AZ178" s="229">
        <v>-0.26340000000000002</v>
      </c>
      <c r="BA178" s="228">
        <v>32</v>
      </c>
      <c r="BB178" s="228">
        <v>30</v>
      </c>
      <c r="BC178" s="228">
        <v>2</v>
      </c>
      <c r="BD178" s="229">
        <v>6.8400000000000002E-2</v>
      </c>
      <c r="BE178" s="228">
        <v>5</v>
      </c>
      <c r="BF178" s="228">
        <v>7</v>
      </c>
      <c r="BG178" s="228">
        <v>-1</v>
      </c>
      <c r="BH178" s="229">
        <v>-0.2208</v>
      </c>
      <c r="BI178" s="230">
        <v>1299</v>
      </c>
      <c r="BJ178" s="230">
        <v>1705</v>
      </c>
      <c r="BK178" s="228">
        <v>-407</v>
      </c>
      <c r="BL178" s="229">
        <v>-0.23849999999999999</v>
      </c>
      <c r="BM178" s="228">
        <v>842</v>
      </c>
      <c r="BN178" s="230">
        <v>1487</v>
      </c>
      <c r="BO178" s="228">
        <v>-645</v>
      </c>
      <c r="BP178" s="229">
        <v>-0.43380000000000002</v>
      </c>
      <c r="BQ178" s="230">
        <v>2896</v>
      </c>
      <c r="BR178" s="230">
        <v>4204</v>
      </c>
      <c r="BS178" s="230">
        <v>-1308</v>
      </c>
      <c r="BT178" s="229">
        <v>-0.31109999999999999</v>
      </c>
      <c r="BU178" s="230">
        <v>5220147</v>
      </c>
      <c r="BV178" s="230">
        <v>9634101</v>
      </c>
      <c r="BW178" s="230">
        <v>-4413954</v>
      </c>
      <c r="BX178" s="229">
        <v>-0.4582</v>
      </c>
      <c r="BY178" s="230">
        <v>3623</v>
      </c>
      <c r="BZ178" s="230">
        <v>3652</v>
      </c>
      <c r="CA178" s="228">
        <v>-30</v>
      </c>
      <c r="CB178" s="229">
        <v>-8.0999999999999996E-3</v>
      </c>
      <c r="CC178" s="230">
        <v>3555</v>
      </c>
      <c r="CD178" s="230">
        <v>3587</v>
      </c>
      <c r="CE178" s="228">
        <v>-32</v>
      </c>
      <c r="CF178" s="229">
        <v>-8.9999999999999993E-3</v>
      </c>
      <c r="CG178" s="228">
        <v>54</v>
      </c>
      <c r="CH178" s="228">
        <v>52</v>
      </c>
      <c r="CI178" s="228">
        <v>2</v>
      </c>
      <c r="CJ178" s="229">
        <v>3.9699999999999999E-2</v>
      </c>
      <c r="CK178" s="228">
        <v>14</v>
      </c>
      <c r="CL178" s="228">
        <v>13</v>
      </c>
      <c r="CM178" s="228">
        <v>0</v>
      </c>
      <c r="CN178" s="229">
        <v>3.1800000000000002E-2</v>
      </c>
      <c r="CO178" s="228">
        <v>883</v>
      </c>
      <c r="CP178" s="228">
        <v>872</v>
      </c>
      <c r="CQ178" s="228">
        <v>11</v>
      </c>
      <c r="CR178" s="229">
        <v>1.3100000000000001E-2</v>
      </c>
      <c r="CS178" s="228">
        <v>746</v>
      </c>
      <c r="CT178" s="228">
        <v>704</v>
      </c>
      <c r="CU178" s="228">
        <v>42</v>
      </c>
      <c r="CV178" s="229">
        <v>5.9799999999999999E-2</v>
      </c>
      <c r="CW178" s="230">
        <v>5252</v>
      </c>
      <c r="CX178" s="230">
        <v>5228</v>
      </c>
      <c r="CY178" s="228">
        <v>24</v>
      </c>
      <c r="CZ178" s="229">
        <v>4.5999999999999999E-3</v>
      </c>
      <c r="DA178" s="228">
        <v>32.799999999999997</v>
      </c>
      <c r="DB178" s="228">
        <v>37</v>
      </c>
      <c r="DC178" s="228">
        <v>-4.2</v>
      </c>
      <c r="DD178" s="228">
        <v>-4.2</v>
      </c>
      <c r="DE178" s="228">
        <v>38.89</v>
      </c>
      <c r="DF178" s="228">
        <v>38.79</v>
      </c>
      <c r="DG178" s="228">
        <v>-6.09</v>
      </c>
      <c r="DH178" s="228">
        <v>0.1</v>
      </c>
      <c r="DI178" s="228">
        <v>32.229999999999997</v>
      </c>
      <c r="DJ178" s="228">
        <v>36.14</v>
      </c>
      <c r="DK178" s="228">
        <v>-3.91</v>
      </c>
      <c r="DL178" s="228">
        <v>-3.91</v>
      </c>
      <c r="DM178" s="228">
        <v>33.67</v>
      </c>
      <c r="DN178" s="228">
        <v>37.99</v>
      </c>
      <c r="DO178" s="228">
        <v>-4.32</v>
      </c>
      <c r="DP178" s="228">
        <v>-4.32</v>
      </c>
      <c r="DQ178" s="228">
        <v>0.84</v>
      </c>
      <c r="DR178" s="228">
        <v>0.81</v>
      </c>
      <c r="DS178" s="228">
        <v>0.03</v>
      </c>
      <c r="DT178" s="229">
        <v>3.6999999999999998E-2</v>
      </c>
      <c r="DU178" s="231">
        <v>1100</v>
      </c>
      <c r="DV178" s="231">
        <v>1000</v>
      </c>
      <c r="DW178" s="228">
        <v>0.65</v>
      </c>
      <c r="DX178" s="228">
        <v>0.87</v>
      </c>
      <c r="DY178" s="228">
        <v>-0.22</v>
      </c>
      <c r="DZ178" s="229">
        <v>-0.25290000000000001</v>
      </c>
      <c r="EA178" s="229">
        <v>1.8800000000000001E-2</v>
      </c>
      <c r="EB178" s="230">
        <v>628650</v>
      </c>
      <c r="EC178" s="229">
        <v>6.4999999999999997E-3</v>
      </c>
      <c r="ED178" s="229">
        <v>1.8800000000000001E-2</v>
      </c>
      <c r="EE178" s="228">
        <v>6.58</v>
      </c>
      <c r="EF178" s="229">
        <v>6.4000000000000003E-3</v>
      </c>
      <c r="EG178" s="230">
        <v>2775844</v>
      </c>
      <c r="EH178" s="230">
        <v>5485909</v>
      </c>
      <c r="EI178" s="229">
        <v>-0.49399999999999999</v>
      </c>
      <c r="EJ178" s="229">
        <v>0.53180000000000005</v>
      </c>
      <c r="EK178" s="231">
        <v>1365.65</v>
      </c>
      <c r="EL178" s="228">
        <v>828.87</v>
      </c>
      <c r="EM178" s="228">
        <v>750.55</v>
      </c>
      <c r="EN178" s="228">
        <v>92.13</v>
      </c>
      <c r="EO178" s="231">
        <v>2945.06</v>
      </c>
      <c r="EP178" s="231">
        <v>4218.38</v>
      </c>
      <c r="EQ178" s="231">
        <v>-1273.31</v>
      </c>
      <c r="ER178" s="229">
        <v>-0.30180000000000001</v>
      </c>
      <c r="ES178" s="228">
        <v>929.66</v>
      </c>
      <c r="ET178" s="228">
        <v>723.75</v>
      </c>
      <c r="EU178" s="231">
        <v>3623.11</v>
      </c>
      <c r="EV178" s="231">
        <v>210513975</v>
      </c>
      <c r="EW178" s="231">
        <v>5276.52</v>
      </c>
      <c r="EX178" s="231">
        <v>5154.6099999999997</v>
      </c>
      <c r="EY178" s="228">
        <v>121.91</v>
      </c>
      <c r="EZ178" s="229">
        <v>2.3699999999999999E-2</v>
      </c>
      <c r="FA178" s="229">
        <v>0.23960000000000001</v>
      </c>
      <c r="FB178" s="227" t="s">
        <v>556</v>
      </c>
      <c r="FC178">
        <f t="shared" si="3"/>
        <v>0</v>
      </c>
    </row>
    <row r="179" spans="1:159" ht="17.25" thickBot="1" x14ac:dyDescent="0.3">
      <c r="A179" s="226">
        <v>46086</v>
      </c>
      <c r="B179" s="227" t="s">
        <v>184</v>
      </c>
      <c r="C179" s="227" t="s">
        <v>285</v>
      </c>
      <c r="D179" s="228">
        <v>175</v>
      </c>
      <c r="E179" s="228">
        <v>25</v>
      </c>
      <c r="F179" s="231">
        <v>3230.6</v>
      </c>
      <c r="G179" s="231">
        <v>3175.8</v>
      </c>
      <c r="H179" s="228">
        <v>54.8</v>
      </c>
      <c r="I179" s="229">
        <v>1.7299999999999999E-2</v>
      </c>
      <c r="J179" s="231">
        <v>3215.7</v>
      </c>
      <c r="K179" s="231">
        <v>3161</v>
      </c>
      <c r="L179" s="228">
        <v>54.7</v>
      </c>
      <c r="M179" s="229">
        <v>1.7299999999999999E-2</v>
      </c>
      <c r="N179" s="231">
        <v>3230.6</v>
      </c>
      <c r="O179" s="231">
        <v>3175.8</v>
      </c>
      <c r="P179" s="228">
        <v>54.8</v>
      </c>
      <c r="Q179" s="229">
        <v>1.7299999999999999E-2</v>
      </c>
      <c r="R179" s="231">
        <v>3243.7</v>
      </c>
      <c r="S179" s="231">
        <v>3187.1</v>
      </c>
      <c r="T179" s="228">
        <v>56.6</v>
      </c>
      <c r="U179" s="229">
        <v>1.78E-2</v>
      </c>
      <c r="V179" s="231">
        <v>3263</v>
      </c>
      <c r="W179" s="231">
        <v>3197.9</v>
      </c>
      <c r="X179" s="228">
        <v>65.099999999999994</v>
      </c>
      <c r="Y179" s="229">
        <v>2.0400000000000001E-2</v>
      </c>
      <c r="Z179" s="228">
        <v>14.9</v>
      </c>
      <c r="AA179" s="228">
        <v>14.8</v>
      </c>
      <c r="AB179" s="228">
        <v>0.1</v>
      </c>
      <c r="AC179" s="229">
        <v>4.5999999999999999E-3</v>
      </c>
      <c r="AD179" s="228">
        <v>14.9</v>
      </c>
      <c r="AE179" s="228">
        <v>14.8</v>
      </c>
      <c r="AF179" s="228">
        <v>0.1</v>
      </c>
      <c r="AG179" s="229">
        <v>4.5999999999999999E-3</v>
      </c>
      <c r="AH179" s="228">
        <v>28</v>
      </c>
      <c r="AI179" s="228">
        <v>26.1</v>
      </c>
      <c r="AJ179" s="228">
        <v>1.9</v>
      </c>
      <c r="AK179" s="229">
        <v>8.6999999999999994E-3</v>
      </c>
      <c r="AL179" s="228">
        <v>47.3</v>
      </c>
      <c r="AM179" s="228">
        <v>36.9</v>
      </c>
      <c r="AN179" s="228">
        <v>10.4</v>
      </c>
      <c r="AO179" s="229">
        <v>1.47E-2</v>
      </c>
      <c r="AP179" s="231">
        <v>3214.74</v>
      </c>
      <c r="AQ179" s="231">
        <v>3226.3</v>
      </c>
      <c r="AR179" s="228">
        <v>0</v>
      </c>
      <c r="AS179" s="228">
        <v>148</v>
      </c>
      <c r="AT179" s="228">
        <v>210</v>
      </c>
      <c r="AU179" s="228">
        <v>-62</v>
      </c>
      <c r="AV179" s="229">
        <v>-0.29409999999999997</v>
      </c>
      <c r="AW179" s="228">
        <v>140</v>
      </c>
      <c r="AX179" s="228">
        <v>199</v>
      </c>
      <c r="AY179" s="228">
        <v>-59</v>
      </c>
      <c r="AZ179" s="229">
        <v>-0.2969</v>
      </c>
      <c r="BA179" s="228">
        <v>7</v>
      </c>
      <c r="BB179" s="228">
        <v>10</v>
      </c>
      <c r="BC179" s="228">
        <v>-3</v>
      </c>
      <c r="BD179" s="229">
        <v>-0.25990000000000002</v>
      </c>
      <c r="BE179" s="228">
        <v>1</v>
      </c>
      <c r="BF179" s="228">
        <v>1</v>
      </c>
      <c r="BG179" s="228">
        <v>0</v>
      </c>
      <c r="BH179" s="229">
        <v>-6.25E-2</v>
      </c>
      <c r="BI179" s="228">
        <v>596</v>
      </c>
      <c r="BJ179" s="228">
        <v>729</v>
      </c>
      <c r="BK179" s="228">
        <v>-133</v>
      </c>
      <c r="BL179" s="229">
        <v>-0.183</v>
      </c>
      <c r="BM179" s="228">
        <v>218</v>
      </c>
      <c r="BN179" s="228">
        <v>493</v>
      </c>
      <c r="BO179" s="228">
        <v>-275</v>
      </c>
      <c r="BP179" s="229">
        <v>-0.55820000000000003</v>
      </c>
      <c r="BQ179" s="228">
        <v>962</v>
      </c>
      <c r="BR179" s="230">
        <v>1432</v>
      </c>
      <c r="BS179" s="228">
        <v>-470</v>
      </c>
      <c r="BT179" s="229">
        <v>-0.32840000000000003</v>
      </c>
      <c r="BU179" s="230">
        <v>287869</v>
      </c>
      <c r="BV179" s="230">
        <v>445559</v>
      </c>
      <c r="BW179" s="230">
        <v>-157690</v>
      </c>
      <c r="BX179" s="229">
        <v>-0.35389999999999999</v>
      </c>
      <c r="BY179" s="228">
        <v>783</v>
      </c>
      <c r="BZ179" s="228">
        <v>781</v>
      </c>
      <c r="CA179" s="228">
        <v>1</v>
      </c>
      <c r="CB179" s="229">
        <v>1.6999999999999999E-3</v>
      </c>
      <c r="CC179" s="228">
        <v>768</v>
      </c>
      <c r="CD179" s="228">
        <v>767</v>
      </c>
      <c r="CE179" s="228">
        <v>1</v>
      </c>
      <c r="CF179" s="229">
        <v>1E-3</v>
      </c>
      <c r="CG179" s="228">
        <v>14</v>
      </c>
      <c r="CH179" s="228">
        <v>13</v>
      </c>
      <c r="CI179" s="228">
        <v>0</v>
      </c>
      <c r="CJ179" s="229">
        <v>2.98E-2</v>
      </c>
      <c r="CK179" s="228">
        <v>1</v>
      </c>
      <c r="CL179" s="228">
        <v>1</v>
      </c>
      <c r="CM179" s="228">
        <v>0</v>
      </c>
      <c r="CN179" s="229">
        <v>8.3299999999999999E-2</v>
      </c>
      <c r="CO179" s="228">
        <v>482</v>
      </c>
      <c r="CP179" s="228">
        <v>479</v>
      </c>
      <c r="CQ179" s="228">
        <v>2</v>
      </c>
      <c r="CR179" s="229">
        <v>4.5999999999999999E-3</v>
      </c>
      <c r="CS179" s="228">
        <v>241</v>
      </c>
      <c r="CT179" s="228">
        <v>251</v>
      </c>
      <c r="CU179" s="228">
        <v>-10</v>
      </c>
      <c r="CV179" s="229">
        <v>-3.9E-2</v>
      </c>
      <c r="CW179" s="230">
        <v>1506</v>
      </c>
      <c r="CX179" s="230">
        <v>1512</v>
      </c>
      <c r="CY179" s="228">
        <v>-6</v>
      </c>
      <c r="CZ179" s="229">
        <v>-4.1999999999999997E-3</v>
      </c>
      <c r="DA179" s="228">
        <v>33.67</v>
      </c>
      <c r="DB179" s="228">
        <v>38.03</v>
      </c>
      <c r="DC179" s="228">
        <v>-4.3600000000000003</v>
      </c>
      <c r="DD179" s="228">
        <v>-4.3600000000000003</v>
      </c>
      <c r="DE179" s="228">
        <v>38.659999999999997</v>
      </c>
      <c r="DF179" s="228">
        <v>38.68</v>
      </c>
      <c r="DG179" s="228">
        <v>-4.99</v>
      </c>
      <c r="DH179" s="228">
        <v>-0.02</v>
      </c>
      <c r="DI179" s="228">
        <v>32.71</v>
      </c>
      <c r="DJ179" s="228">
        <v>37.229999999999997</v>
      </c>
      <c r="DK179" s="228">
        <v>-4.5199999999999996</v>
      </c>
      <c r="DL179" s="228">
        <v>-4.5199999999999996</v>
      </c>
      <c r="DM179" s="228">
        <v>36.299999999999997</v>
      </c>
      <c r="DN179" s="228">
        <v>39.22</v>
      </c>
      <c r="DO179" s="228">
        <v>-2.92</v>
      </c>
      <c r="DP179" s="228">
        <v>-2.92</v>
      </c>
      <c r="DQ179" s="228">
        <v>0.5</v>
      </c>
      <c r="DR179" s="228">
        <v>0.52</v>
      </c>
      <c r="DS179" s="228">
        <v>-0.02</v>
      </c>
      <c r="DT179" s="229">
        <v>-3.85E-2</v>
      </c>
      <c r="DU179" s="231">
        <v>3500</v>
      </c>
      <c r="DV179" s="231">
        <v>3400</v>
      </c>
      <c r="DW179" s="228">
        <v>0.37</v>
      </c>
      <c r="DX179" s="228">
        <v>0.68</v>
      </c>
      <c r="DY179" s="228">
        <v>-0.31</v>
      </c>
      <c r="DZ179" s="229">
        <v>-0.45590000000000003</v>
      </c>
      <c r="EA179" s="229">
        <v>1.9400000000000001E-2</v>
      </c>
      <c r="EB179" s="230">
        <v>45325</v>
      </c>
      <c r="EC179" s="229">
        <v>4.1000000000000003E-3</v>
      </c>
      <c r="ED179" s="229">
        <v>1.9400000000000001E-2</v>
      </c>
      <c r="EE179" s="228">
        <v>11.56</v>
      </c>
      <c r="EF179" s="229">
        <v>3.5999999999999999E-3</v>
      </c>
      <c r="EG179" s="230">
        <v>91869</v>
      </c>
      <c r="EH179" s="230">
        <v>182001</v>
      </c>
      <c r="EI179" s="229">
        <v>-0.49519999999999997</v>
      </c>
      <c r="EJ179" s="229">
        <v>0.31909999999999999</v>
      </c>
      <c r="EK179" s="228">
        <v>638.30999999999995</v>
      </c>
      <c r="EL179" s="228">
        <v>207.19</v>
      </c>
      <c r="EM179" s="228">
        <v>147.77000000000001</v>
      </c>
      <c r="EN179" s="228">
        <v>47.6</v>
      </c>
      <c r="EO179" s="228">
        <v>993.26</v>
      </c>
      <c r="EP179" s="231">
        <v>1476.64</v>
      </c>
      <c r="EQ179" s="228">
        <v>-483.38</v>
      </c>
      <c r="ER179" s="229">
        <v>-0.32729999999999998</v>
      </c>
      <c r="ES179" s="228">
        <v>521.75</v>
      </c>
      <c r="ET179" s="228">
        <v>235.65</v>
      </c>
      <c r="EU179" s="228">
        <v>782.86</v>
      </c>
      <c r="EV179" s="231">
        <v>13354588</v>
      </c>
      <c r="EW179" s="231">
        <v>1540.25</v>
      </c>
      <c r="EX179" s="231">
        <v>1532.4</v>
      </c>
      <c r="EY179" s="228">
        <v>7.85</v>
      </c>
      <c r="EZ179" s="229">
        <v>5.1000000000000004E-3</v>
      </c>
      <c r="FA179" s="229">
        <v>0.34899999999999998</v>
      </c>
      <c r="FB179" s="227" t="s">
        <v>555</v>
      </c>
      <c r="FC179">
        <f t="shared" si="3"/>
        <v>0</v>
      </c>
    </row>
    <row r="180" spans="1:159" ht="17.25" thickBot="1" x14ac:dyDescent="0.3">
      <c r="A180" s="226">
        <v>46086</v>
      </c>
      <c r="B180" s="227" t="s">
        <v>498</v>
      </c>
      <c r="C180" s="227" t="s">
        <v>646</v>
      </c>
      <c r="D180" s="228">
        <v>50</v>
      </c>
      <c r="E180" s="228">
        <v>25</v>
      </c>
      <c r="F180" s="231">
        <v>14729</v>
      </c>
      <c r="G180" s="231">
        <v>14550</v>
      </c>
      <c r="H180" s="228">
        <v>179</v>
      </c>
      <c r="I180" s="229">
        <v>1.23E-2</v>
      </c>
      <c r="J180" s="231">
        <v>14671</v>
      </c>
      <c r="K180" s="231">
        <v>14523</v>
      </c>
      <c r="L180" s="228">
        <v>148</v>
      </c>
      <c r="M180" s="229">
        <v>1.0200000000000001E-2</v>
      </c>
      <c r="N180" s="231">
        <v>14729</v>
      </c>
      <c r="O180" s="231">
        <v>14550</v>
      </c>
      <c r="P180" s="228">
        <v>179</v>
      </c>
      <c r="Q180" s="229">
        <v>1.23E-2</v>
      </c>
      <c r="R180" s="231">
        <v>14822</v>
      </c>
      <c r="S180" s="231">
        <v>14642</v>
      </c>
      <c r="T180" s="228">
        <v>180</v>
      </c>
      <c r="U180" s="229">
        <v>1.23E-2</v>
      </c>
      <c r="V180" s="231">
        <v>14897</v>
      </c>
      <c r="W180" s="231">
        <v>14722</v>
      </c>
      <c r="X180" s="228">
        <v>175</v>
      </c>
      <c r="Y180" s="229">
        <v>1.1900000000000001E-2</v>
      </c>
      <c r="Z180" s="228">
        <v>58</v>
      </c>
      <c r="AA180" s="228">
        <v>27</v>
      </c>
      <c r="AB180" s="228">
        <v>31</v>
      </c>
      <c r="AC180" s="229">
        <v>4.0000000000000001E-3</v>
      </c>
      <c r="AD180" s="228">
        <v>58</v>
      </c>
      <c r="AE180" s="228">
        <v>27</v>
      </c>
      <c r="AF180" s="228">
        <v>31</v>
      </c>
      <c r="AG180" s="229">
        <v>4.0000000000000001E-3</v>
      </c>
      <c r="AH180" s="228">
        <v>151</v>
      </c>
      <c r="AI180" s="228">
        <v>119</v>
      </c>
      <c r="AJ180" s="228">
        <v>32</v>
      </c>
      <c r="AK180" s="229">
        <v>1.03E-2</v>
      </c>
      <c r="AL180" s="228">
        <v>226</v>
      </c>
      <c r="AM180" s="228">
        <v>199</v>
      </c>
      <c r="AN180" s="228">
        <v>27</v>
      </c>
      <c r="AO180" s="229">
        <v>1.54E-2</v>
      </c>
      <c r="AP180" s="231">
        <v>14728.61</v>
      </c>
      <c r="AQ180" s="231">
        <v>14805.02</v>
      </c>
      <c r="AR180" s="228">
        <v>0</v>
      </c>
      <c r="AS180" s="228">
        <v>428</v>
      </c>
      <c r="AT180" s="228">
        <v>800</v>
      </c>
      <c r="AU180" s="228">
        <v>-372</v>
      </c>
      <c r="AV180" s="229">
        <v>-0.46560000000000001</v>
      </c>
      <c r="AW180" s="228">
        <v>391</v>
      </c>
      <c r="AX180" s="228">
        <v>749</v>
      </c>
      <c r="AY180" s="228">
        <v>-358</v>
      </c>
      <c r="AZ180" s="229">
        <v>-0.47799999999999998</v>
      </c>
      <c r="BA180" s="228">
        <v>32</v>
      </c>
      <c r="BB180" s="228">
        <v>45</v>
      </c>
      <c r="BC180" s="228">
        <v>-14</v>
      </c>
      <c r="BD180" s="229">
        <v>-0.30080000000000001</v>
      </c>
      <c r="BE180" s="228">
        <v>5</v>
      </c>
      <c r="BF180" s="228">
        <v>6</v>
      </c>
      <c r="BG180" s="228">
        <v>-1</v>
      </c>
      <c r="BH180" s="229">
        <v>-0.17069999999999999</v>
      </c>
      <c r="BI180" s="230">
        <v>1849</v>
      </c>
      <c r="BJ180" s="230">
        <v>3538</v>
      </c>
      <c r="BK180" s="230">
        <v>-1689</v>
      </c>
      <c r="BL180" s="229">
        <v>-0.47749999999999998</v>
      </c>
      <c r="BM180" s="228">
        <v>657</v>
      </c>
      <c r="BN180" s="228">
        <v>904</v>
      </c>
      <c r="BO180" s="228">
        <v>-247</v>
      </c>
      <c r="BP180" s="229">
        <v>-0.27350000000000002</v>
      </c>
      <c r="BQ180" s="230">
        <v>2933</v>
      </c>
      <c r="BR180" s="230">
        <v>5242</v>
      </c>
      <c r="BS180" s="230">
        <v>-2309</v>
      </c>
      <c r="BT180" s="229">
        <v>-0.4405</v>
      </c>
      <c r="BU180" s="230">
        <v>347017</v>
      </c>
      <c r="BV180" s="230">
        <v>704575</v>
      </c>
      <c r="BW180" s="230">
        <v>-357558</v>
      </c>
      <c r="BX180" s="229">
        <v>-0.50749999999999995</v>
      </c>
      <c r="BY180" s="230">
        <v>1048</v>
      </c>
      <c r="BZ180" s="230">
        <v>1068</v>
      </c>
      <c r="CA180" s="228">
        <v>-20</v>
      </c>
      <c r="CB180" s="229">
        <v>-1.83E-2</v>
      </c>
      <c r="CC180" s="228">
        <v>959</v>
      </c>
      <c r="CD180" s="228">
        <v>982</v>
      </c>
      <c r="CE180" s="228">
        <v>-23</v>
      </c>
      <c r="CF180" s="229">
        <v>-2.3199999999999998E-2</v>
      </c>
      <c r="CG180" s="228">
        <v>73</v>
      </c>
      <c r="CH180" s="228">
        <v>72</v>
      </c>
      <c r="CI180" s="228">
        <v>1</v>
      </c>
      <c r="CJ180" s="229">
        <v>1.44E-2</v>
      </c>
      <c r="CK180" s="228">
        <v>16</v>
      </c>
      <c r="CL180" s="228">
        <v>14</v>
      </c>
      <c r="CM180" s="228">
        <v>2</v>
      </c>
      <c r="CN180" s="229">
        <v>0.15540000000000001</v>
      </c>
      <c r="CO180" s="228">
        <v>420</v>
      </c>
      <c r="CP180" s="228">
        <v>379</v>
      </c>
      <c r="CQ180" s="228">
        <v>41</v>
      </c>
      <c r="CR180" s="229">
        <v>0.1087</v>
      </c>
      <c r="CS180" s="228">
        <v>340</v>
      </c>
      <c r="CT180" s="228">
        <v>310</v>
      </c>
      <c r="CU180" s="228">
        <v>30</v>
      </c>
      <c r="CV180" s="229">
        <v>9.8400000000000001E-2</v>
      </c>
      <c r="CW180" s="230">
        <v>1809</v>
      </c>
      <c r="CX180" s="230">
        <v>1756</v>
      </c>
      <c r="CY180" s="228">
        <v>52</v>
      </c>
      <c r="CZ180" s="229">
        <v>2.9700000000000001E-2</v>
      </c>
      <c r="DA180" s="228">
        <v>35</v>
      </c>
      <c r="DB180" s="228">
        <v>38.369999999999997</v>
      </c>
      <c r="DC180" s="228">
        <v>-3.37</v>
      </c>
      <c r="DD180" s="228">
        <v>-3.37</v>
      </c>
      <c r="DE180" s="228">
        <v>40.799999999999997</v>
      </c>
      <c r="DF180" s="228">
        <v>40.86</v>
      </c>
      <c r="DG180" s="228">
        <v>-5.8</v>
      </c>
      <c r="DH180" s="228">
        <v>-0.06</v>
      </c>
      <c r="DI180" s="228">
        <v>34.770000000000003</v>
      </c>
      <c r="DJ180" s="228">
        <v>38.159999999999997</v>
      </c>
      <c r="DK180" s="228">
        <v>-3.39</v>
      </c>
      <c r="DL180" s="228">
        <v>-3.39</v>
      </c>
      <c r="DM180" s="228">
        <v>35.65</v>
      </c>
      <c r="DN180" s="228">
        <v>39.19</v>
      </c>
      <c r="DO180" s="228">
        <v>-3.54</v>
      </c>
      <c r="DP180" s="228">
        <v>-3.54</v>
      </c>
      <c r="DQ180" s="228">
        <v>0.81</v>
      </c>
      <c r="DR180" s="228">
        <v>0.82</v>
      </c>
      <c r="DS180" s="228">
        <v>-0.01</v>
      </c>
      <c r="DT180" s="229">
        <v>-1.2200000000000001E-2</v>
      </c>
      <c r="DU180" s="231">
        <v>15000</v>
      </c>
      <c r="DV180" s="231">
        <v>13000</v>
      </c>
      <c r="DW180" s="228">
        <v>0.36</v>
      </c>
      <c r="DX180" s="228">
        <v>0.26</v>
      </c>
      <c r="DY180" s="228">
        <v>0.1</v>
      </c>
      <c r="DZ180" s="229">
        <v>0.3846</v>
      </c>
      <c r="EA180" s="229">
        <v>8.5199999999999998E-2</v>
      </c>
      <c r="EB180" s="230">
        <v>58400</v>
      </c>
      <c r="EC180" s="229">
        <v>6.3E-3</v>
      </c>
      <c r="ED180" s="229">
        <v>8.5199999999999998E-2</v>
      </c>
      <c r="EE180" s="228">
        <v>76.41</v>
      </c>
      <c r="EF180" s="229">
        <v>5.1999999999999998E-3</v>
      </c>
      <c r="EG180" s="230">
        <v>116001</v>
      </c>
      <c r="EH180" s="230">
        <v>286542</v>
      </c>
      <c r="EI180" s="229">
        <v>-0.59519999999999995</v>
      </c>
      <c r="EJ180" s="229">
        <v>0.33429999999999999</v>
      </c>
      <c r="EK180" s="231">
        <v>1959.3</v>
      </c>
      <c r="EL180" s="228">
        <v>636.86</v>
      </c>
      <c r="EM180" s="228">
        <v>427.71</v>
      </c>
      <c r="EN180" s="228">
        <v>57.78</v>
      </c>
      <c r="EO180" s="231">
        <v>3023.87</v>
      </c>
      <c r="EP180" s="231">
        <v>5326.76</v>
      </c>
      <c r="EQ180" s="231">
        <v>-2302.88</v>
      </c>
      <c r="ER180" s="229">
        <v>-0.43230000000000002</v>
      </c>
      <c r="ES180" s="228">
        <v>421.75</v>
      </c>
      <c r="ET180" s="228">
        <v>312.33999999999997</v>
      </c>
      <c r="EU180" s="231">
        <v>1048.69</v>
      </c>
      <c r="EV180" s="231">
        <v>3644817</v>
      </c>
      <c r="EW180" s="231">
        <v>1782.77</v>
      </c>
      <c r="EX180" s="231">
        <v>1714.03</v>
      </c>
      <c r="EY180" s="228">
        <v>68.739999999999995</v>
      </c>
      <c r="EZ180" s="229">
        <v>4.0099999999999997E-2</v>
      </c>
      <c r="FA180" s="229">
        <v>0.33689999999999998</v>
      </c>
      <c r="FB180" s="227" t="s">
        <v>556</v>
      </c>
      <c r="FC180">
        <f t="shared" si="3"/>
        <v>0</v>
      </c>
    </row>
    <row r="181" spans="1:159" ht="17.25" thickBot="1" x14ac:dyDescent="0.3">
      <c r="A181" s="226">
        <v>46086</v>
      </c>
      <c r="B181" s="227" t="s">
        <v>162</v>
      </c>
      <c r="C181" s="227" t="s">
        <v>614</v>
      </c>
      <c r="D181" s="228">
        <v>1225</v>
      </c>
      <c r="E181" s="228">
        <v>25</v>
      </c>
      <c r="F181" s="228">
        <v>512.65</v>
      </c>
      <c r="G181" s="228">
        <v>502.35</v>
      </c>
      <c r="H181" s="228">
        <v>10.3</v>
      </c>
      <c r="I181" s="229">
        <v>2.0500000000000001E-2</v>
      </c>
      <c r="J181" s="228">
        <v>510.95</v>
      </c>
      <c r="K181" s="228">
        <v>501.4</v>
      </c>
      <c r="L181" s="228">
        <v>9.5500000000000007</v>
      </c>
      <c r="M181" s="229">
        <v>1.9E-2</v>
      </c>
      <c r="N181" s="228">
        <v>512.65</v>
      </c>
      <c r="O181" s="228">
        <v>502.35</v>
      </c>
      <c r="P181" s="228">
        <v>10.3</v>
      </c>
      <c r="Q181" s="229">
        <v>2.0500000000000001E-2</v>
      </c>
      <c r="R181" s="228">
        <v>516</v>
      </c>
      <c r="S181" s="228">
        <v>504.95</v>
      </c>
      <c r="T181" s="228">
        <v>11.05</v>
      </c>
      <c r="U181" s="229">
        <v>2.1899999999999999E-2</v>
      </c>
      <c r="V181" s="228">
        <v>520</v>
      </c>
      <c r="W181" s="228">
        <v>510.1</v>
      </c>
      <c r="X181" s="228">
        <v>9.9</v>
      </c>
      <c r="Y181" s="229">
        <v>1.9400000000000001E-2</v>
      </c>
      <c r="Z181" s="228">
        <v>1.7</v>
      </c>
      <c r="AA181" s="228">
        <v>0.95</v>
      </c>
      <c r="AB181" s="228">
        <v>0.75</v>
      </c>
      <c r="AC181" s="229">
        <v>3.3E-3</v>
      </c>
      <c r="AD181" s="228">
        <v>1.7</v>
      </c>
      <c r="AE181" s="228">
        <v>0.95</v>
      </c>
      <c r="AF181" s="228">
        <v>0.75</v>
      </c>
      <c r="AG181" s="229">
        <v>3.3E-3</v>
      </c>
      <c r="AH181" s="228">
        <v>5.05</v>
      </c>
      <c r="AI181" s="228">
        <v>3.55</v>
      </c>
      <c r="AJ181" s="228">
        <v>1.5</v>
      </c>
      <c r="AK181" s="229">
        <v>9.9000000000000008E-3</v>
      </c>
      <c r="AL181" s="228">
        <v>9.0500000000000007</v>
      </c>
      <c r="AM181" s="228">
        <v>8.6999999999999993</v>
      </c>
      <c r="AN181" s="228">
        <v>0.35</v>
      </c>
      <c r="AO181" s="229">
        <v>1.77E-2</v>
      </c>
      <c r="AP181" s="228">
        <v>510.06</v>
      </c>
      <c r="AQ181" s="228">
        <v>513.04</v>
      </c>
      <c r="AR181" s="228">
        <v>0</v>
      </c>
      <c r="AS181" s="228">
        <v>59</v>
      </c>
      <c r="AT181" s="228">
        <v>89</v>
      </c>
      <c r="AU181" s="228">
        <v>-30</v>
      </c>
      <c r="AV181" s="229">
        <v>-0.3387</v>
      </c>
      <c r="AW181" s="228">
        <v>55</v>
      </c>
      <c r="AX181" s="228">
        <v>87</v>
      </c>
      <c r="AY181" s="228">
        <v>-32</v>
      </c>
      <c r="AZ181" s="229">
        <v>-0.37030000000000002</v>
      </c>
      <c r="BA181" s="228">
        <v>4</v>
      </c>
      <c r="BB181" s="228">
        <v>3</v>
      </c>
      <c r="BC181" s="228">
        <v>1</v>
      </c>
      <c r="BD181" s="229">
        <v>0.56100000000000005</v>
      </c>
      <c r="BE181" s="228">
        <v>1</v>
      </c>
      <c r="BF181" s="228">
        <v>0</v>
      </c>
      <c r="BG181" s="228">
        <v>0</v>
      </c>
      <c r="BH181" s="229">
        <v>3</v>
      </c>
      <c r="BI181" s="228">
        <v>90</v>
      </c>
      <c r="BJ181" s="228">
        <v>129</v>
      </c>
      <c r="BK181" s="228">
        <v>-39</v>
      </c>
      <c r="BL181" s="229">
        <v>-0.30070000000000002</v>
      </c>
      <c r="BM181" s="228">
        <v>126</v>
      </c>
      <c r="BN181" s="228">
        <v>91</v>
      </c>
      <c r="BO181" s="228">
        <v>35</v>
      </c>
      <c r="BP181" s="229">
        <v>0.3911</v>
      </c>
      <c r="BQ181" s="228">
        <v>275</v>
      </c>
      <c r="BR181" s="228">
        <v>309</v>
      </c>
      <c r="BS181" s="228">
        <v>-34</v>
      </c>
      <c r="BT181" s="229">
        <v>-0.1089</v>
      </c>
      <c r="BU181" s="230">
        <v>865518</v>
      </c>
      <c r="BV181" s="230">
        <v>1212462</v>
      </c>
      <c r="BW181" s="230">
        <v>-346944</v>
      </c>
      <c r="BX181" s="229">
        <v>-0.28610000000000002</v>
      </c>
      <c r="BY181" s="228">
        <v>632</v>
      </c>
      <c r="BZ181" s="228">
        <v>639</v>
      </c>
      <c r="CA181" s="228">
        <v>-7</v>
      </c>
      <c r="CB181" s="229">
        <v>-1.1299999999999999E-2</v>
      </c>
      <c r="CC181" s="228">
        <v>622</v>
      </c>
      <c r="CD181" s="228">
        <v>630</v>
      </c>
      <c r="CE181" s="228">
        <v>-7</v>
      </c>
      <c r="CF181" s="229">
        <v>-1.1599999999999999E-2</v>
      </c>
      <c r="CG181" s="228">
        <v>9</v>
      </c>
      <c r="CH181" s="228">
        <v>9</v>
      </c>
      <c r="CI181" s="228">
        <v>0</v>
      </c>
      <c r="CJ181" s="229">
        <v>-2.07E-2</v>
      </c>
      <c r="CK181" s="228">
        <v>1</v>
      </c>
      <c r="CL181" s="228">
        <v>1</v>
      </c>
      <c r="CM181" s="228">
        <v>0</v>
      </c>
      <c r="CN181" s="229">
        <v>0.5</v>
      </c>
      <c r="CO181" s="228">
        <v>170</v>
      </c>
      <c r="CP181" s="228">
        <v>163</v>
      </c>
      <c r="CQ181" s="228">
        <v>7</v>
      </c>
      <c r="CR181" s="229">
        <v>4.19E-2</v>
      </c>
      <c r="CS181" s="228">
        <v>138</v>
      </c>
      <c r="CT181" s="228">
        <v>104</v>
      </c>
      <c r="CU181" s="228">
        <v>34</v>
      </c>
      <c r="CV181" s="229">
        <v>0.32650000000000001</v>
      </c>
      <c r="CW181" s="228">
        <v>940</v>
      </c>
      <c r="CX181" s="228">
        <v>907</v>
      </c>
      <c r="CY181" s="228">
        <v>34</v>
      </c>
      <c r="CZ181" s="229">
        <v>3.6999999999999998E-2</v>
      </c>
      <c r="DA181" s="228">
        <v>33.64</v>
      </c>
      <c r="DB181" s="228">
        <v>38.76</v>
      </c>
      <c r="DC181" s="228">
        <v>-5.12</v>
      </c>
      <c r="DD181" s="228">
        <v>-5.12</v>
      </c>
      <c r="DE181" s="228">
        <v>39.22</v>
      </c>
      <c r="DF181" s="228">
        <v>39.22</v>
      </c>
      <c r="DG181" s="228">
        <v>-5.58</v>
      </c>
      <c r="DH181" s="228">
        <v>0</v>
      </c>
      <c r="DI181" s="228">
        <v>33.700000000000003</v>
      </c>
      <c r="DJ181" s="228">
        <v>38</v>
      </c>
      <c r="DK181" s="228">
        <v>-4.3</v>
      </c>
      <c r="DL181" s="228">
        <v>-4.3</v>
      </c>
      <c r="DM181" s="228">
        <v>33.590000000000003</v>
      </c>
      <c r="DN181" s="228">
        <v>39.85</v>
      </c>
      <c r="DO181" s="228">
        <v>-6.26</v>
      </c>
      <c r="DP181" s="228">
        <v>-6.26</v>
      </c>
      <c r="DQ181" s="228">
        <v>0.81</v>
      </c>
      <c r="DR181" s="228">
        <v>0.64</v>
      </c>
      <c r="DS181" s="228">
        <v>0.17</v>
      </c>
      <c r="DT181" s="229">
        <v>0.2656</v>
      </c>
      <c r="DU181" s="228">
        <v>540</v>
      </c>
      <c r="DV181" s="228">
        <v>520</v>
      </c>
      <c r="DW181" s="228">
        <v>1.4</v>
      </c>
      <c r="DX181" s="228">
        <v>0.7</v>
      </c>
      <c r="DY181" s="228">
        <v>0.7</v>
      </c>
      <c r="DZ181" s="229">
        <v>1</v>
      </c>
      <c r="EA181" s="229">
        <v>1.5299999999999999E-2</v>
      </c>
      <c r="EB181" s="230">
        <v>187425</v>
      </c>
      <c r="EC181" s="229">
        <v>6.4999999999999997E-3</v>
      </c>
      <c r="ED181" s="229">
        <v>1.5299999999999999E-2</v>
      </c>
      <c r="EE181" s="228">
        <v>2.98</v>
      </c>
      <c r="EF181" s="229">
        <v>5.7999999999999996E-3</v>
      </c>
      <c r="EG181" s="230">
        <v>377176</v>
      </c>
      <c r="EH181" s="230">
        <v>578690</v>
      </c>
      <c r="EI181" s="229">
        <v>-0.34820000000000001</v>
      </c>
      <c r="EJ181" s="229">
        <v>0.43580000000000002</v>
      </c>
      <c r="EK181" s="228">
        <v>96.84</v>
      </c>
      <c r="EL181" s="228">
        <v>127.82</v>
      </c>
      <c r="EM181" s="228">
        <v>58.82</v>
      </c>
      <c r="EN181" s="228">
        <v>14.96</v>
      </c>
      <c r="EO181" s="228">
        <v>283.48</v>
      </c>
      <c r="EP181" s="228">
        <v>316.52</v>
      </c>
      <c r="EQ181" s="228">
        <v>-33.04</v>
      </c>
      <c r="ER181" s="229">
        <v>-0.10440000000000001</v>
      </c>
      <c r="ES181" s="228">
        <v>182.98</v>
      </c>
      <c r="ET181" s="228">
        <v>137.33000000000001</v>
      </c>
      <c r="EU181" s="228">
        <v>632.08000000000004</v>
      </c>
      <c r="EV181" s="231">
        <v>67126548</v>
      </c>
      <c r="EW181" s="228">
        <v>952.4</v>
      </c>
      <c r="EX181" s="228">
        <v>904.93</v>
      </c>
      <c r="EY181" s="228">
        <v>47.47</v>
      </c>
      <c r="EZ181" s="229">
        <v>5.2499999999999998E-2</v>
      </c>
      <c r="FA181" s="229">
        <v>0.2732</v>
      </c>
      <c r="FB181" s="227" t="s">
        <v>556</v>
      </c>
      <c r="FC181">
        <f t="shared" si="3"/>
        <v>0</v>
      </c>
    </row>
    <row r="182" spans="1:159" ht="17.25" thickBot="1" x14ac:dyDescent="0.3">
      <c r="A182" s="226">
        <v>46086</v>
      </c>
      <c r="B182" s="227" t="s">
        <v>197</v>
      </c>
      <c r="C182" s="227" t="s">
        <v>286</v>
      </c>
      <c r="D182" s="228">
        <v>200</v>
      </c>
      <c r="E182" s="228">
        <v>25</v>
      </c>
      <c r="F182" s="231">
        <v>2575.6</v>
      </c>
      <c r="G182" s="231">
        <v>2541.6999999999998</v>
      </c>
      <c r="H182" s="228">
        <v>33.9</v>
      </c>
      <c r="I182" s="229">
        <v>1.3299999999999999E-2</v>
      </c>
      <c r="J182" s="231">
        <v>2563.1</v>
      </c>
      <c r="K182" s="231">
        <v>2536.6</v>
      </c>
      <c r="L182" s="228">
        <v>26.5</v>
      </c>
      <c r="M182" s="229">
        <v>1.04E-2</v>
      </c>
      <c r="N182" s="231">
        <v>2575.6</v>
      </c>
      <c r="O182" s="231">
        <v>2541.6999999999998</v>
      </c>
      <c r="P182" s="228">
        <v>33.9</v>
      </c>
      <c r="Q182" s="229">
        <v>1.3299999999999999E-2</v>
      </c>
      <c r="R182" s="231">
        <v>2587.1999999999998</v>
      </c>
      <c r="S182" s="231">
        <v>2554.6999999999998</v>
      </c>
      <c r="T182" s="228">
        <v>32.5</v>
      </c>
      <c r="U182" s="229">
        <v>1.2699999999999999E-2</v>
      </c>
      <c r="V182" s="231">
        <v>2601.8000000000002</v>
      </c>
      <c r="W182" s="231">
        <v>2565.1</v>
      </c>
      <c r="X182" s="228">
        <v>36.700000000000003</v>
      </c>
      <c r="Y182" s="229">
        <v>1.43E-2</v>
      </c>
      <c r="Z182" s="228">
        <v>12.5</v>
      </c>
      <c r="AA182" s="228">
        <v>5.0999999999999996</v>
      </c>
      <c r="AB182" s="228">
        <v>7.4</v>
      </c>
      <c r="AC182" s="229">
        <v>4.8999999999999998E-3</v>
      </c>
      <c r="AD182" s="228">
        <v>12.5</v>
      </c>
      <c r="AE182" s="228">
        <v>5.0999999999999996</v>
      </c>
      <c r="AF182" s="228">
        <v>7.4</v>
      </c>
      <c r="AG182" s="229">
        <v>4.8999999999999998E-3</v>
      </c>
      <c r="AH182" s="228">
        <v>24.1</v>
      </c>
      <c r="AI182" s="228">
        <v>18.100000000000001</v>
      </c>
      <c r="AJ182" s="228">
        <v>6</v>
      </c>
      <c r="AK182" s="229">
        <v>9.4000000000000004E-3</v>
      </c>
      <c r="AL182" s="228">
        <v>38.700000000000003</v>
      </c>
      <c r="AM182" s="228">
        <v>28.5</v>
      </c>
      <c r="AN182" s="228">
        <v>10.199999999999999</v>
      </c>
      <c r="AO182" s="229">
        <v>1.5100000000000001E-2</v>
      </c>
      <c r="AP182" s="231">
        <v>2567.0300000000002</v>
      </c>
      <c r="AQ182" s="231">
        <v>2580.16</v>
      </c>
      <c r="AR182" s="228">
        <v>0</v>
      </c>
      <c r="AS182" s="228">
        <v>142</v>
      </c>
      <c r="AT182" s="228">
        <v>139</v>
      </c>
      <c r="AU182" s="228">
        <v>4</v>
      </c>
      <c r="AV182" s="229">
        <v>2.7900000000000001E-2</v>
      </c>
      <c r="AW182" s="228">
        <v>137</v>
      </c>
      <c r="AX182" s="228">
        <v>136</v>
      </c>
      <c r="AY182" s="228">
        <v>2</v>
      </c>
      <c r="AZ182" s="229">
        <v>1.14E-2</v>
      </c>
      <c r="BA182" s="228">
        <v>5</v>
      </c>
      <c r="BB182" s="228">
        <v>3</v>
      </c>
      <c r="BC182" s="228">
        <v>2</v>
      </c>
      <c r="BD182" s="229">
        <v>0.74550000000000005</v>
      </c>
      <c r="BE182" s="228">
        <v>0</v>
      </c>
      <c r="BF182" s="228">
        <v>0</v>
      </c>
      <c r="BG182" s="228">
        <v>0</v>
      </c>
      <c r="BH182" s="229">
        <v>1</v>
      </c>
      <c r="BI182" s="228">
        <v>171</v>
      </c>
      <c r="BJ182" s="228">
        <v>326</v>
      </c>
      <c r="BK182" s="228">
        <v>-154</v>
      </c>
      <c r="BL182" s="229">
        <v>-0.47410000000000002</v>
      </c>
      <c r="BM182" s="228">
        <v>82</v>
      </c>
      <c r="BN182" s="228">
        <v>173</v>
      </c>
      <c r="BO182" s="228">
        <v>-92</v>
      </c>
      <c r="BP182" s="229">
        <v>-0.52939999999999998</v>
      </c>
      <c r="BQ182" s="228">
        <v>395</v>
      </c>
      <c r="BR182" s="228">
        <v>638</v>
      </c>
      <c r="BS182" s="228">
        <v>-242</v>
      </c>
      <c r="BT182" s="229">
        <v>-0.38009999999999999</v>
      </c>
      <c r="BU182" s="230">
        <v>465229</v>
      </c>
      <c r="BV182" s="230">
        <v>389536</v>
      </c>
      <c r="BW182" s="230">
        <v>75693</v>
      </c>
      <c r="BX182" s="229">
        <v>0.1943</v>
      </c>
      <c r="BY182" s="228">
        <v>922</v>
      </c>
      <c r="BZ182" s="228">
        <v>940</v>
      </c>
      <c r="CA182" s="228">
        <v>-18</v>
      </c>
      <c r="CB182" s="229">
        <v>-1.9599999999999999E-2</v>
      </c>
      <c r="CC182" s="228">
        <v>905</v>
      </c>
      <c r="CD182" s="228">
        <v>924</v>
      </c>
      <c r="CE182" s="228">
        <v>-18</v>
      </c>
      <c r="CF182" s="229">
        <v>-0.02</v>
      </c>
      <c r="CG182" s="228">
        <v>15</v>
      </c>
      <c r="CH182" s="228">
        <v>15</v>
      </c>
      <c r="CI182" s="228">
        <v>0</v>
      </c>
      <c r="CJ182" s="229">
        <v>-1.01E-2</v>
      </c>
      <c r="CK182" s="228">
        <v>1</v>
      </c>
      <c r="CL182" s="228">
        <v>1</v>
      </c>
      <c r="CM182" s="228">
        <v>0</v>
      </c>
      <c r="CN182" s="229">
        <v>0.18179999999999999</v>
      </c>
      <c r="CO182" s="228">
        <v>354</v>
      </c>
      <c r="CP182" s="228">
        <v>348</v>
      </c>
      <c r="CQ182" s="228">
        <v>6</v>
      </c>
      <c r="CR182" s="229">
        <v>1.6299999999999999E-2</v>
      </c>
      <c r="CS182" s="228">
        <v>283</v>
      </c>
      <c r="CT182" s="228">
        <v>287</v>
      </c>
      <c r="CU182" s="228">
        <v>-4</v>
      </c>
      <c r="CV182" s="229">
        <v>-1.35E-2</v>
      </c>
      <c r="CW182" s="230">
        <v>1558</v>
      </c>
      <c r="CX182" s="230">
        <v>1575</v>
      </c>
      <c r="CY182" s="228">
        <v>-17</v>
      </c>
      <c r="CZ182" s="229">
        <v>-1.06E-2</v>
      </c>
      <c r="DA182" s="228">
        <v>26.51</v>
      </c>
      <c r="DB182" s="228">
        <v>29.38</v>
      </c>
      <c r="DC182" s="228">
        <v>-2.87</v>
      </c>
      <c r="DD182" s="228">
        <v>-2.87</v>
      </c>
      <c r="DE182" s="228">
        <v>32.71</v>
      </c>
      <c r="DF182" s="228">
        <v>32.76</v>
      </c>
      <c r="DG182" s="228">
        <v>-6.2</v>
      </c>
      <c r="DH182" s="228">
        <v>-0.05</v>
      </c>
      <c r="DI182" s="228">
        <v>25.71</v>
      </c>
      <c r="DJ182" s="228">
        <v>28.81</v>
      </c>
      <c r="DK182" s="228">
        <v>-3.1</v>
      </c>
      <c r="DL182" s="228">
        <v>-3.1</v>
      </c>
      <c r="DM182" s="228">
        <v>28.17</v>
      </c>
      <c r="DN182" s="228">
        <v>30.45</v>
      </c>
      <c r="DO182" s="228">
        <v>-2.2799999999999998</v>
      </c>
      <c r="DP182" s="228">
        <v>-2.2799999999999998</v>
      </c>
      <c r="DQ182" s="228">
        <v>0.8</v>
      </c>
      <c r="DR182" s="228">
        <v>0.82</v>
      </c>
      <c r="DS182" s="228">
        <v>-0.02</v>
      </c>
      <c r="DT182" s="229">
        <v>-2.4400000000000002E-2</v>
      </c>
      <c r="DU182" s="231">
        <v>2800</v>
      </c>
      <c r="DV182" s="231">
        <v>2600</v>
      </c>
      <c r="DW182" s="228">
        <v>0.48</v>
      </c>
      <c r="DX182" s="228">
        <v>0.53</v>
      </c>
      <c r="DY182" s="228">
        <v>-0.05</v>
      </c>
      <c r="DZ182" s="229">
        <v>-9.4299999999999995E-2</v>
      </c>
      <c r="EA182" s="229">
        <v>1.7899999999999999E-2</v>
      </c>
      <c r="EB182" s="230">
        <v>63800</v>
      </c>
      <c r="EC182" s="229">
        <v>4.4999999999999997E-3</v>
      </c>
      <c r="ED182" s="229">
        <v>1.7899999999999999E-2</v>
      </c>
      <c r="EE182" s="228">
        <v>13.13</v>
      </c>
      <c r="EF182" s="229">
        <v>5.1000000000000004E-3</v>
      </c>
      <c r="EG182" s="230">
        <v>288690</v>
      </c>
      <c r="EH182" s="230">
        <v>244983</v>
      </c>
      <c r="EI182" s="229">
        <v>0.1784</v>
      </c>
      <c r="EJ182" s="229">
        <v>0.62050000000000005</v>
      </c>
      <c r="EK182" s="228">
        <v>179.75</v>
      </c>
      <c r="EL182" s="228">
        <v>80.209999999999994</v>
      </c>
      <c r="EM182" s="228">
        <v>141.99</v>
      </c>
      <c r="EN182" s="228">
        <v>31.57</v>
      </c>
      <c r="EO182" s="228">
        <v>401.95</v>
      </c>
      <c r="EP182" s="228">
        <v>645.14</v>
      </c>
      <c r="EQ182" s="228">
        <v>-243.2</v>
      </c>
      <c r="ER182" s="229">
        <v>-0.377</v>
      </c>
      <c r="ES182" s="228">
        <v>380.41</v>
      </c>
      <c r="ET182" s="228">
        <v>282.48</v>
      </c>
      <c r="EU182" s="228">
        <v>921.73</v>
      </c>
      <c r="EV182" s="231">
        <v>18529108</v>
      </c>
      <c r="EW182" s="231">
        <v>1584.62</v>
      </c>
      <c r="EX182" s="231">
        <v>1588.16</v>
      </c>
      <c r="EY182" s="228">
        <v>-3.54</v>
      </c>
      <c r="EZ182" s="229">
        <v>-2.2000000000000001E-3</v>
      </c>
      <c r="FA182" s="229">
        <v>0.3266</v>
      </c>
      <c r="FB182" s="227" t="s">
        <v>556</v>
      </c>
      <c r="FC182">
        <f t="shared" si="3"/>
        <v>0</v>
      </c>
    </row>
    <row r="183" spans="1:159" ht="17.25" thickBot="1" x14ac:dyDescent="0.3">
      <c r="A183" s="226">
        <v>46086</v>
      </c>
      <c r="B183" s="227" t="s">
        <v>170</v>
      </c>
      <c r="C183" s="227" t="s">
        <v>288</v>
      </c>
      <c r="D183" s="228">
        <v>350</v>
      </c>
      <c r="E183" s="228">
        <v>25</v>
      </c>
      <c r="F183" s="231">
        <v>1790.1</v>
      </c>
      <c r="G183" s="231">
        <v>1755</v>
      </c>
      <c r="H183" s="228">
        <v>35.1</v>
      </c>
      <c r="I183" s="229">
        <v>0.02</v>
      </c>
      <c r="J183" s="231">
        <v>1784.5</v>
      </c>
      <c r="K183" s="231">
        <v>1750.5</v>
      </c>
      <c r="L183" s="228">
        <v>34</v>
      </c>
      <c r="M183" s="229">
        <v>1.9400000000000001E-2</v>
      </c>
      <c r="N183" s="231">
        <v>1790.1</v>
      </c>
      <c r="O183" s="231">
        <v>1755</v>
      </c>
      <c r="P183" s="228">
        <v>35.1</v>
      </c>
      <c r="Q183" s="229">
        <v>0.02</v>
      </c>
      <c r="R183" s="231">
        <v>1802.2</v>
      </c>
      <c r="S183" s="231">
        <v>1764.2</v>
      </c>
      <c r="T183" s="228">
        <v>38</v>
      </c>
      <c r="U183" s="229">
        <v>2.1499999999999998E-2</v>
      </c>
      <c r="V183" s="231">
        <v>1810</v>
      </c>
      <c r="W183" s="231">
        <v>1763.6</v>
      </c>
      <c r="X183" s="228">
        <v>46.4</v>
      </c>
      <c r="Y183" s="229">
        <v>2.63E-2</v>
      </c>
      <c r="Z183" s="228">
        <v>5.6</v>
      </c>
      <c r="AA183" s="228">
        <v>4.5</v>
      </c>
      <c r="AB183" s="228">
        <v>1.1000000000000001</v>
      </c>
      <c r="AC183" s="229">
        <v>3.0999999999999999E-3</v>
      </c>
      <c r="AD183" s="228">
        <v>5.6</v>
      </c>
      <c r="AE183" s="228">
        <v>4.5</v>
      </c>
      <c r="AF183" s="228">
        <v>1.1000000000000001</v>
      </c>
      <c r="AG183" s="229">
        <v>3.0999999999999999E-3</v>
      </c>
      <c r="AH183" s="228">
        <v>17.7</v>
      </c>
      <c r="AI183" s="228">
        <v>13.7</v>
      </c>
      <c r="AJ183" s="228">
        <v>4</v>
      </c>
      <c r="AK183" s="229">
        <v>9.9000000000000008E-3</v>
      </c>
      <c r="AL183" s="228">
        <v>25.5</v>
      </c>
      <c r="AM183" s="228">
        <v>13.1</v>
      </c>
      <c r="AN183" s="228">
        <v>12.4</v>
      </c>
      <c r="AO183" s="229">
        <v>1.43E-2</v>
      </c>
      <c r="AP183" s="231">
        <v>1785.51</v>
      </c>
      <c r="AQ183" s="231">
        <v>1796.8</v>
      </c>
      <c r="AR183" s="228">
        <v>0</v>
      </c>
      <c r="AS183" s="228">
        <v>594</v>
      </c>
      <c r="AT183" s="228">
        <v>608</v>
      </c>
      <c r="AU183" s="228">
        <v>-13</v>
      </c>
      <c r="AV183" s="229">
        <v>-2.2200000000000001E-2</v>
      </c>
      <c r="AW183" s="228">
        <v>581</v>
      </c>
      <c r="AX183" s="228">
        <v>600</v>
      </c>
      <c r="AY183" s="228">
        <v>-20</v>
      </c>
      <c r="AZ183" s="229">
        <v>-3.2800000000000003E-2</v>
      </c>
      <c r="BA183" s="228">
        <v>12</v>
      </c>
      <c r="BB183" s="228">
        <v>7</v>
      </c>
      <c r="BC183" s="228">
        <v>5</v>
      </c>
      <c r="BD183" s="229">
        <v>0.70689999999999997</v>
      </c>
      <c r="BE183" s="228">
        <v>1</v>
      </c>
      <c r="BF183" s="228">
        <v>0</v>
      </c>
      <c r="BG183" s="228">
        <v>1</v>
      </c>
      <c r="BH183" s="229">
        <v>4.25</v>
      </c>
      <c r="BI183" s="230">
        <v>2276</v>
      </c>
      <c r="BJ183" s="230">
        <v>1905</v>
      </c>
      <c r="BK183" s="228">
        <v>371</v>
      </c>
      <c r="BL183" s="229">
        <v>0.19489999999999999</v>
      </c>
      <c r="BM183" s="230">
        <v>1193</v>
      </c>
      <c r="BN183" s="230">
        <v>1099</v>
      </c>
      <c r="BO183" s="228">
        <v>94</v>
      </c>
      <c r="BP183" s="229">
        <v>8.5300000000000001E-2</v>
      </c>
      <c r="BQ183" s="230">
        <v>4063</v>
      </c>
      <c r="BR183" s="230">
        <v>3612</v>
      </c>
      <c r="BS183" s="228">
        <v>452</v>
      </c>
      <c r="BT183" s="229">
        <v>0.125</v>
      </c>
      <c r="BU183" s="230">
        <v>3838828</v>
      </c>
      <c r="BV183" s="230">
        <v>4992956</v>
      </c>
      <c r="BW183" s="230">
        <v>-1154128</v>
      </c>
      <c r="BX183" s="229">
        <v>-0.23119999999999999</v>
      </c>
      <c r="BY183" s="230">
        <v>3920</v>
      </c>
      <c r="BZ183" s="230">
        <v>3878</v>
      </c>
      <c r="CA183" s="228">
        <v>42</v>
      </c>
      <c r="CB183" s="229">
        <v>1.0800000000000001E-2</v>
      </c>
      <c r="CC183" s="230">
        <v>3892</v>
      </c>
      <c r="CD183" s="230">
        <v>3851</v>
      </c>
      <c r="CE183" s="228">
        <v>41</v>
      </c>
      <c r="CF183" s="229">
        <v>1.06E-2</v>
      </c>
      <c r="CG183" s="228">
        <v>25</v>
      </c>
      <c r="CH183" s="228">
        <v>25</v>
      </c>
      <c r="CI183" s="228">
        <v>1</v>
      </c>
      <c r="CJ183" s="229">
        <v>2.81E-2</v>
      </c>
      <c r="CK183" s="228">
        <v>3</v>
      </c>
      <c r="CL183" s="228">
        <v>2</v>
      </c>
      <c r="CM183" s="228">
        <v>0</v>
      </c>
      <c r="CN183" s="229">
        <v>0.1351</v>
      </c>
      <c r="CO183" s="230">
        <v>1287</v>
      </c>
      <c r="CP183" s="230">
        <v>1186</v>
      </c>
      <c r="CQ183" s="228">
        <v>101</v>
      </c>
      <c r="CR183" s="229">
        <v>8.5199999999999998E-2</v>
      </c>
      <c r="CS183" s="228">
        <v>709</v>
      </c>
      <c r="CT183" s="228">
        <v>574</v>
      </c>
      <c r="CU183" s="228">
        <v>136</v>
      </c>
      <c r="CV183" s="229">
        <v>0.2369</v>
      </c>
      <c r="CW183" s="230">
        <v>5917</v>
      </c>
      <c r="CX183" s="230">
        <v>5638</v>
      </c>
      <c r="CY183" s="228">
        <v>279</v>
      </c>
      <c r="CZ183" s="229">
        <v>4.9500000000000002E-2</v>
      </c>
      <c r="DA183" s="228">
        <v>17.170000000000002</v>
      </c>
      <c r="DB183" s="228">
        <v>19.68</v>
      </c>
      <c r="DC183" s="228">
        <v>-2.5099999999999998</v>
      </c>
      <c r="DD183" s="228">
        <v>-2.5099999999999998</v>
      </c>
      <c r="DE183" s="228">
        <v>23.18</v>
      </c>
      <c r="DF183" s="228">
        <v>23.1</v>
      </c>
      <c r="DG183" s="228">
        <v>-6.01</v>
      </c>
      <c r="DH183" s="228">
        <v>0.08</v>
      </c>
      <c r="DI183" s="228">
        <v>16.32</v>
      </c>
      <c r="DJ183" s="228">
        <v>18.350000000000001</v>
      </c>
      <c r="DK183" s="228">
        <v>-2.0299999999999998</v>
      </c>
      <c r="DL183" s="228">
        <v>-2.0299999999999998</v>
      </c>
      <c r="DM183" s="228">
        <v>18.809999999999999</v>
      </c>
      <c r="DN183" s="228">
        <v>21.99</v>
      </c>
      <c r="DO183" s="228">
        <v>-3.18</v>
      </c>
      <c r="DP183" s="228">
        <v>-3.18</v>
      </c>
      <c r="DQ183" s="228">
        <v>0.55000000000000004</v>
      </c>
      <c r="DR183" s="228">
        <v>0.48</v>
      </c>
      <c r="DS183" s="228">
        <v>7.0000000000000007E-2</v>
      </c>
      <c r="DT183" s="229">
        <v>0.14580000000000001</v>
      </c>
      <c r="DU183" s="231">
        <v>1800</v>
      </c>
      <c r="DV183" s="231">
        <v>1780</v>
      </c>
      <c r="DW183" s="228">
        <v>0.52</v>
      </c>
      <c r="DX183" s="228">
        <v>0.57999999999999996</v>
      </c>
      <c r="DY183" s="228">
        <v>-0.06</v>
      </c>
      <c r="DZ183" s="229">
        <v>-0.10340000000000001</v>
      </c>
      <c r="EA183" s="229">
        <v>7.1000000000000004E-3</v>
      </c>
      <c r="EB183" s="230">
        <v>150150</v>
      </c>
      <c r="EC183" s="229">
        <v>6.7999999999999996E-3</v>
      </c>
      <c r="ED183" s="229">
        <v>7.1000000000000004E-3</v>
      </c>
      <c r="EE183" s="228">
        <v>11.29</v>
      </c>
      <c r="EF183" s="229">
        <v>6.3E-3</v>
      </c>
      <c r="EG183" s="230">
        <v>2375577</v>
      </c>
      <c r="EH183" s="230">
        <v>3853875</v>
      </c>
      <c r="EI183" s="229">
        <v>-0.3836</v>
      </c>
      <c r="EJ183" s="229">
        <v>0.61880000000000002</v>
      </c>
      <c r="EK183" s="231">
        <v>2328.0300000000002</v>
      </c>
      <c r="EL183" s="231">
        <v>1173.72</v>
      </c>
      <c r="EM183" s="228">
        <v>592.96</v>
      </c>
      <c r="EN183" s="228">
        <v>70.400000000000006</v>
      </c>
      <c r="EO183" s="231">
        <v>4094.71</v>
      </c>
      <c r="EP183" s="231">
        <v>3569.95</v>
      </c>
      <c r="EQ183" s="228">
        <v>524.76</v>
      </c>
      <c r="ER183" s="229">
        <v>0.14699999999999999</v>
      </c>
      <c r="ES183" s="231">
        <v>1296.6199999999999</v>
      </c>
      <c r="ET183" s="228">
        <v>675.61</v>
      </c>
      <c r="EU183" s="231">
        <v>3919.93</v>
      </c>
      <c r="EV183" s="231">
        <v>109220043</v>
      </c>
      <c r="EW183" s="231">
        <v>5892.15</v>
      </c>
      <c r="EX183" s="231">
        <v>5535.19</v>
      </c>
      <c r="EY183" s="228">
        <v>356.96</v>
      </c>
      <c r="EZ183" s="229">
        <v>6.4500000000000002E-2</v>
      </c>
      <c r="FA183" s="229">
        <v>0.30259999999999998</v>
      </c>
      <c r="FB183" s="227" t="s">
        <v>555</v>
      </c>
      <c r="FC183">
        <f t="shared" si="3"/>
        <v>0</v>
      </c>
    </row>
    <row r="184" spans="1:159" ht="17.25" thickBot="1" x14ac:dyDescent="0.3">
      <c r="A184" s="226">
        <v>46086</v>
      </c>
      <c r="B184" s="227" t="s">
        <v>184</v>
      </c>
      <c r="C184" s="227" t="s">
        <v>574</v>
      </c>
      <c r="D184" s="228">
        <v>175</v>
      </c>
      <c r="E184" s="228">
        <v>25</v>
      </c>
      <c r="F184" s="231">
        <v>3961.9</v>
      </c>
      <c r="G184" s="231">
        <v>3910</v>
      </c>
      <c r="H184" s="228">
        <v>51.9</v>
      </c>
      <c r="I184" s="229">
        <v>1.3299999999999999E-2</v>
      </c>
      <c r="J184" s="231">
        <v>3950.2</v>
      </c>
      <c r="K184" s="231">
        <v>3898.2</v>
      </c>
      <c r="L184" s="228">
        <v>52</v>
      </c>
      <c r="M184" s="229">
        <v>1.3299999999999999E-2</v>
      </c>
      <c r="N184" s="231">
        <v>3961.9</v>
      </c>
      <c r="O184" s="231">
        <v>3910</v>
      </c>
      <c r="P184" s="228">
        <v>51.9</v>
      </c>
      <c r="Q184" s="229">
        <v>1.3299999999999999E-2</v>
      </c>
      <c r="R184" s="231">
        <v>3963.4</v>
      </c>
      <c r="S184" s="231">
        <v>3906.8</v>
      </c>
      <c r="T184" s="228">
        <v>56.6</v>
      </c>
      <c r="U184" s="229">
        <v>1.4500000000000001E-2</v>
      </c>
      <c r="V184" s="231">
        <v>3937</v>
      </c>
      <c r="W184" s="231">
        <v>3937</v>
      </c>
      <c r="X184" s="228">
        <v>0</v>
      </c>
      <c r="Y184" s="229">
        <v>0</v>
      </c>
      <c r="Z184" s="228">
        <v>11.7</v>
      </c>
      <c r="AA184" s="228">
        <v>11.8</v>
      </c>
      <c r="AB184" s="228">
        <v>-0.1</v>
      </c>
      <c r="AC184" s="229">
        <v>3.0000000000000001E-3</v>
      </c>
      <c r="AD184" s="228">
        <v>11.7</v>
      </c>
      <c r="AE184" s="228">
        <v>11.8</v>
      </c>
      <c r="AF184" s="228">
        <v>-0.1</v>
      </c>
      <c r="AG184" s="229">
        <v>3.0000000000000001E-3</v>
      </c>
      <c r="AH184" s="228">
        <v>13.2</v>
      </c>
      <c r="AI184" s="228">
        <v>8.6</v>
      </c>
      <c r="AJ184" s="228">
        <v>4.5999999999999996</v>
      </c>
      <c r="AK184" s="229">
        <v>3.3E-3</v>
      </c>
      <c r="AL184" s="228">
        <v>-13.2</v>
      </c>
      <c r="AM184" s="228">
        <v>38.799999999999997</v>
      </c>
      <c r="AN184" s="228">
        <v>-52</v>
      </c>
      <c r="AO184" s="229">
        <v>-3.3E-3</v>
      </c>
      <c r="AP184" s="231">
        <v>3915.72</v>
      </c>
      <c r="AQ184" s="231">
        <v>3930.79</v>
      </c>
      <c r="AR184" s="228">
        <v>0</v>
      </c>
      <c r="AS184" s="228">
        <v>144</v>
      </c>
      <c r="AT184" s="228">
        <v>178</v>
      </c>
      <c r="AU184" s="228">
        <v>-34</v>
      </c>
      <c r="AV184" s="229">
        <v>-0.19</v>
      </c>
      <c r="AW184" s="228">
        <v>142</v>
      </c>
      <c r="AX184" s="228">
        <v>175</v>
      </c>
      <c r="AY184" s="228">
        <v>-33</v>
      </c>
      <c r="AZ184" s="229">
        <v>-0.18720000000000001</v>
      </c>
      <c r="BA184" s="228">
        <v>2</v>
      </c>
      <c r="BB184" s="228">
        <v>3</v>
      </c>
      <c r="BC184" s="228">
        <v>-1</v>
      </c>
      <c r="BD184" s="229">
        <v>-0.34150000000000003</v>
      </c>
      <c r="BE184" s="228">
        <v>0</v>
      </c>
      <c r="BF184" s="228">
        <v>0</v>
      </c>
      <c r="BG184" s="228">
        <v>0</v>
      </c>
      <c r="BH184" s="229">
        <v>-1</v>
      </c>
      <c r="BI184" s="228">
        <v>169</v>
      </c>
      <c r="BJ184" s="228">
        <v>155</v>
      </c>
      <c r="BK184" s="228">
        <v>14</v>
      </c>
      <c r="BL184" s="229">
        <v>8.8200000000000001E-2</v>
      </c>
      <c r="BM184" s="228">
        <v>53</v>
      </c>
      <c r="BN184" s="228">
        <v>58</v>
      </c>
      <c r="BO184" s="228">
        <v>-5</v>
      </c>
      <c r="BP184" s="229">
        <v>-8.48E-2</v>
      </c>
      <c r="BQ184" s="228">
        <v>366</v>
      </c>
      <c r="BR184" s="228">
        <v>391</v>
      </c>
      <c r="BS184" s="228">
        <v>-25</v>
      </c>
      <c r="BT184" s="229">
        <v>-6.4100000000000004E-2</v>
      </c>
      <c r="BU184" s="230">
        <v>204060</v>
      </c>
      <c r="BV184" s="230">
        <v>380187</v>
      </c>
      <c r="BW184" s="230">
        <v>-176127</v>
      </c>
      <c r="BX184" s="229">
        <v>-0.46329999999999999</v>
      </c>
      <c r="BY184" s="228">
        <v>620</v>
      </c>
      <c r="BZ184" s="228">
        <v>616</v>
      </c>
      <c r="CA184" s="228">
        <v>4</v>
      </c>
      <c r="CB184" s="229">
        <v>6.6E-3</v>
      </c>
      <c r="CC184" s="228">
        <v>611</v>
      </c>
      <c r="CD184" s="228">
        <v>607</v>
      </c>
      <c r="CE184" s="228">
        <v>4</v>
      </c>
      <c r="CF184" s="229">
        <v>6.4000000000000003E-3</v>
      </c>
      <c r="CG184" s="228">
        <v>8</v>
      </c>
      <c r="CH184" s="228">
        <v>8</v>
      </c>
      <c r="CI184" s="228">
        <v>0</v>
      </c>
      <c r="CJ184" s="229">
        <v>2.5399999999999999E-2</v>
      </c>
      <c r="CK184" s="228">
        <v>0</v>
      </c>
      <c r="CL184" s="228">
        <v>0</v>
      </c>
      <c r="CM184" s="228">
        <v>0</v>
      </c>
      <c r="CN184" s="229">
        <v>0</v>
      </c>
      <c r="CO184" s="228">
        <v>154</v>
      </c>
      <c r="CP184" s="228">
        <v>136</v>
      </c>
      <c r="CQ184" s="228">
        <v>18</v>
      </c>
      <c r="CR184" s="229">
        <v>0.13009999999999999</v>
      </c>
      <c r="CS184" s="228">
        <v>61</v>
      </c>
      <c r="CT184" s="228">
        <v>57</v>
      </c>
      <c r="CU184" s="228">
        <v>4</v>
      </c>
      <c r="CV184" s="229">
        <v>6.4199999999999993E-2</v>
      </c>
      <c r="CW184" s="228">
        <v>834</v>
      </c>
      <c r="CX184" s="228">
        <v>809</v>
      </c>
      <c r="CY184" s="228">
        <v>25</v>
      </c>
      <c r="CZ184" s="229">
        <v>3.15E-2</v>
      </c>
      <c r="DA184" s="228">
        <v>27.44</v>
      </c>
      <c r="DB184" s="228">
        <v>30.6</v>
      </c>
      <c r="DC184" s="228">
        <v>-3.16</v>
      </c>
      <c r="DD184" s="228">
        <v>-3.16</v>
      </c>
      <c r="DE184" s="228">
        <v>37.93</v>
      </c>
      <c r="DF184" s="228">
        <v>37.979999999999997</v>
      </c>
      <c r="DG184" s="228">
        <v>-10.49</v>
      </c>
      <c r="DH184" s="228">
        <v>-0.05</v>
      </c>
      <c r="DI184" s="228">
        <v>26.89</v>
      </c>
      <c r="DJ184" s="228">
        <v>30.01</v>
      </c>
      <c r="DK184" s="228">
        <v>-3.12</v>
      </c>
      <c r="DL184" s="228">
        <v>-3.12</v>
      </c>
      <c r="DM184" s="228">
        <v>29.19</v>
      </c>
      <c r="DN184" s="228">
        <v>32.18</v>
      </c>
      <c r="DO184" s="228">
        <v>-2.99</v>
      </c>
      <c r="DP184" s="228">
        <v>-2.99</v>
      </c>
      <c r="DQ184" s="228">
        <v>0.4</v>
      </c>
      <c r="DR184" s="228">
        <v>0.42</v>
      </c>
      <c r="DS184" s="228">
        <v>-0.02</v>
      </c>
      <c r="DT184" s="229">
        <v>-4.7600000000000003E-2</v>
      </c>
      <c r="DU184" s="231">
        <v>4400</v>
      </c>
      <c r="DV184" s="231">
        <v>4000</v>
      </c>
      <c r="DW184" s="228">
        <v>0.32</v>
      </c>
      <c r="DX184" s="228">
        <v>0.37</v>
      </c>
      <c r="DY184" s="228">
        <v>-0.05</v>
      </c>
      <c r="DZ184" s="229">
        <v>-0.1351</v>
      </c>
      <c r="EA184" s="229">
        <v>1.3899999999999999E-2</v>
      </c>
      <c r="EB184" s="230">
        <v>21175</v>
      </c>
      <c r="EC184" s="229">
        <v>4.0000000000000002E-4</v>
      </c>
      <c r="ED184" s="229">
        <v>1.3899999999999999E-2</v>
      </c>
      <c r="EE184" s="228">
        <v>15.07</v>
      </c>
      <c r="EF184" s="229">
        <v>3.8E-3</v>
      </c>
      <c r="EG184" s="230">
        <v>96150</v>
      </c>
      <c r="EH184" s="230">
        <v>219256</v>
      </c>
      <c r="EI184" s="229">
        <v>-0.5615</v>
      </c>
      <c r="EJ184" s="229">
        <v>0.47120000000000001</v>
      </c>
      <c r="EK184" s="228">
        <v>181.68</v>
      </c>
      <c r="EL184" s="228">
        <v>51.41</v>
      </c>
      <c r="EM184" s="228">
        <v>142.27000000000001</v>
      </c>
      <c r="EN184" s="228">
        <v>18.29</v>
      </c>
      <c r="EO184" s="228">
        <v>375.36</v>
      </c>
      <c r="EP184" s="228">
        <v>398.13</v>
      </c>
      <c r="EQ184" s="228">
        <v>-22.77</v>
      </c>
      <c r="ER184" s="229">
        <v>-5.7200000000000001E-2</v>
      </c>
      <c r="ES184" s="228">
        <v>163.56</v>
      </c>
      <c r="ET184" s="228">
        <v>57.91</v>
      </c>
      <c r="EU184" s="228">
        <v>619.84</v>
      </c>
      <c r="EV184" s="231">
        <v>9736357</v>
      </c>
      <c r="EW184" s="228">
        <v>841.3</v>
      </c>
      <c r="EX184" s="228">
        <v>806.37</v>
      </c>
      <c r="EY184" s="228">
        <v>34.93</v>
      </c>
      <c r="EZ184" s="229">
        <v>4.3299999999999998E-2</v>
      </c>
      <c r="FA184" s="229">
        <v>0.21629999999999999</v>
      </c>
      <c r="FB184" s="227" t="s">
        <v>555</v>
      </c>
      <c r="FC184">
        <f t="shared" si="3"/>
        <v>0</v>
      </c>
    </row>
    <row r="185" spans="1:159" ht="17.25" thickBot="1" x14ac:dyDescent="0.3">
      <c r="A185" s="226">
        <v>46086</v>
      </c>
      <c r="B185" s="227" t="s">
        <v>161</v>
      </c>
      <c r="C185" s="227" t="s">
        <v>683</v>
      </c>
      <c r="D185" s="228">
        <v>9025</v>
      </c>
      <c r="E185" s="228">
        <v>25</v>
      </c>
      <c r="F185" s="228">
        <v>40.42</v>
      </c>
      <c r="G185" s="228">
        <v>40.1</v>
      </c>
      <c r="H185" s="228">
        <v>0.32</v>
      </c>
      <c r="I185" s="229">
        <v>8.0000000000000002E-3</v>
      </c>
      <c r="J185" s="228">
        <v>40.25</v>
      </c>
      <c r="K185" s="228">
        <v>39.93</v>
      </c>
      <c r="L185" s="228">
        <v>0.32</v>
      </c>
      <c r="M185" s="229">
        <v>8.0000000000000002E-3</v>
      </c>
      <c r="N185" s="228">
        <v>40.42</v>
      </c>
      <c r="O185" s="228">
        <v>40.1</v>
      </c>
      <c r="P185" s="228">
        <v>0.32</v>
      </c>
      <c r="Q185" s="229">
        <v>8.0000000000000002E-3</v>
      </c>
      <c r="R185" s="228">
        <v>40.67</v>
      </c>
      <c r="S185" s="228">
        <v>40.35</v>
      </c>
      <c r="T185" s="228">
        <v>0.32</v>
      </c>
      <c r="U185" s="229">
        <v>7.9000000000000008E-3</v>
      </c>
      <c r="V185" s="228">
        <v>40.79</v>
      </c>
      <c r="W185" s="228">
        <v>40.61</v>
      </c>
      <c r="X185" s="228">
        <v>0.18</v>
      </c>
      <c r="Y185" s="229">
        <v>4.4000000000000003E-3</v>
      </c>
      <c r="Z185" s="228">
        <v>0.17</v>
      </c>
      <c r="AA185" s="228">
        <v>0.17</v>
      </c>
      <c r="AB185" s="228">
        <v>0</v>
      </c>
      <c r="AC185" s="229">
        <v>4.1999999999999997E-3</v>
      </c>
      <c r="AD185" s="228">
        <v>0.17</v>
      </c>
      <c r="AE185" s="228">
        <v>0.17</v>
      </c>
      <c r="AF185" s="228">
        <v>0</v>
      </c>
      <c r="AG185" s="229">
        <v>4.1999999999999997E-3</v>
      </c>
      <c r="AH185" s="228">
        <v>0.42</v>
      </c>
      <c r="AI185" s="228">
        <v>0.42</v>
      </c>
      <c r="AJ185" s="228">
        <v>0</v>
      </c>
      <c r="AK185" s="229">
        <v>1.04E-2</v>
      </c>
      <c r="AL185" s="228">
        <v>0.54</v>
      </c>
      <c r="AM185" s="228">
        <v>0.68</v>
      </c>
      <c r="AN185" s="228">
        <v>-0.14000000000000001</v>
      </c>
      <c r="AO185" s="229">
        <v>1.34E-2</v>
      </c>
      <c r="AP185" s="228">
        <v>40.020000000000003</v>
      </c>
      <c r="AQ185" s="228">
        <v>40.33</v>
      </c>
      <c r="AR185" s="228">
        <v>0</v>
      </c>
      <c r="AS185" s="228">
        <v>224</v>
      </c>
      <c r="AT185" s="228">
        <v>202</v>
      </c>
      <c r="AU185" s="228">
        <v>22</v>
      </c>
      <c r="AV185" s="229">
        <v>0.1066</v>
      </c>
      <c r="AW185" s="228">
        <v>197</v>
      </c>
      <c r="AX185" s="228">
        <v>176</v>
      </c>
      <c r="AY185" s="228">
        <v>21</v>
      </c>
      <c r="AZ185" s="229">
        <v>0.1174</v>
      </c>
      <c r="BA185" s="228">
        <v>21</v>
      </c>
      <c r="BB185" s="228">
        <v>18</v>
      </c>
      <c r="BC185" s="228">
        <v>3</v>
      </c>
      <c r="BD185" s="229">
        <v>0.1663</v>
      </c>
      <c r="BE185" s="228">
        <v>5</v>
      </c>
      <c r="BF185" s="228">
        <v>8</v>
      </c>
      <c r="BG185" s="228">
        <v>-2</v>
      </c>
      <c r="BH185" s="229">
        <v>-0.28849999999999998</v>
      </c>
      <c r="BI185" s="228">
        <v>732</v>
      </c>
      <c r="BJ185" s="228">
        <v>392</v>
      </c>
      <c r="BK185" s="228">
        <v>340</v>
      </c>
      <c r="BL185" s="229">
        <v>0.86739999999999995</v>
      </c>
      <c r="BM185" s="228">
        <v>144</v>
      </c>
      <c r="BN185" s="228">
        <v>207</v>
      </c>
      <c r="BO185" s="228">
        <v>-63</v>
      </c>
      <c r="BP185" s="229">
        <v>-0.30549999999999999</v>
      </c>
      <c r="BQ185" s="230">
        <v>1099</v>
      </c>
      <c r="BR185" s="228">
        <v>801</v>
      </c>
      <c r="BS185" s="228">
        <v>298</v>
      </c>
      <c r="BT185" s="229">
        <v>0.3725</v>
      </c>
      <c r="BU185" s="230">
        <v>97379429</v>
      </c>
      <c r="BV185" s="230">
        <v>83801008</v>
      </c>
      <c r="BW185" s="230">
        <v>13578421</v>
      </c>
      <c r="BX185" s="229">
        <v>0.16200000000000001</v>
      </c>
      <c r="BY185" s="230">
        <v>1325</v>
      </c>
      <c r="BZ185" s="230">
        <v>1341</v>
      </c>
      <c r="CA185" s="228">
        <v>-17</v>
      </c>
      <c r="CB185" s="229">
        <v>-1.24E-2</v>
      </c>
      <c r="CC185" s="230">
        <v>1250</v>
      </c>
      <c r="CD185" s="230">
        <v>1271</v>
      </c>
      <c r="CE185" s="228">
        <v>-21</v>
      </c>
      <c r="CF185" s="229">
        <v>-1.6799999999999999E-2</v>
      </c>
      <c r="CG185" s="228">
        <v>62</v>
      </c>
      <c r="CH185" s="228">
        <v>58</v>
      </c>
      <c r="CI185" s="228">
        <v>4</v>
      </c>
      <c r="CJ185" s="229">
        <v>7.2700000000000001E-2</v>
      </c>
      <c r="CK185" s="228">
        <v>12</v>
      </c>
      <c r="CL185" s="228">
        <v>12</v>
      </c>
      <c r="CM185" s="228">
        <v>0</v>
      </c>
      <c r="CN185" s="229">
        <v>4.02E-2</v>
      </c>
      <c r="CO185" s="228">
        <v>717</v>
      </c>
      <c r="CP185" s="228">
        <v>561</v>
      </c>
      <c r="CQ185" s="228">
        <v>157</v>
      </c>
      <c r="CR185" s="229">
        <v>0.27929999999999999</v>
      </c>
      <c r="CS185" s="228">
        <v>288</v>
      </c>
      <c r="CT185" s="228">
        <v>279</v>
      </c>
      <c r="CU185" s="228">
        <v>9</v>
      </c>
      <c r="CV185" s="229">
        <v>3.2899999999999999E-2</v>
      </c>
      <c r="CW185" s="230">
        <v>2330</v>
      </c>
      <c r="CX185" s="230">
        <v>2181</v>
      </c>
      <c r="CY185" s="228">
        <v>149</v>
      </c>
      <c r="CZ185" s="229">
        <v>6.8400000000000002E-2</v>
      </c>
      <c r="DA185" s="228">
        <v>36.840000000000003</v>
      </c>
      <c r="DB185" s="228">
        <v>43.36</v>
      </c>
      <c r="DC185" s="228">
        <v>-6.52</v>
      </c>
      <c r="DD185" s="228">
        <v>-6.52</v>
      </c>
      <c r="DE185" s="228">
        <v>45.55</v>
      </c>
      <c r="DF185" s="228">
        <v>45.65</v>
      </c>
      <c r="DG185" s="228">
        <v>-8.7100000000000009</v>
      </c>
      <c r="DH185" s="228">
        <v>-0.1</v>
      </c>
      <c r="DI185" s="228">
        <v>36.65</v>
      </c>
      <c r="DJ185" s="228">
        <v>43.3</v>
      </c>
      <c r="DK185" s="228">
        <v>-6.65</v>
      </c>
      <c r="DL185" s="228">
        <v>-6.65</v>
      </c>
      <c r="DM185" s="228">
        <v>37.83</v>
      </c>
      <c r="DN185" s="228">
        <v>43.48</v>
      </c>
      <c r="DO185" s="228">
        <v>-5.65</v>
      </c>
      <c r="DP185" s="228">
        <v>-5.65</v>
      </c>
      <c r="DQ185" s="228">
        <v>0.4</v>
      </c>
      <c r="DR185" s="228">
        <v>0.5</v>
      </c>
      <c r="DS185" s="228">
        <v>-0.1</v>
      </c>
      <c r="DT185" s="229">
        <v>-0.2</v>
      </c>
      <c r="DU185" s="228">
        <v>50</v>
      </c>
      <c r="DV185" s="228">
        <v>45</v>
      </c>
      <c r="DW185" s="228">
        <v>0.2</v>
      </c>
      <c r="DX185" s="228">
        <v>0.53</v>
      </c>
      <c r="DY185" s="228">
        <v>-0.33</v>
      </c>
      <c r="DZ185" s="229">
        <v>-0.62260000000000004</v>
      </c>
      <c r="EA185" s="229">
        <v>5.6399999999999999E-2</v>
      </c>
      <c r="EB185" s="230">
        <v>17318975</v>
      </c>
      <c r="EC185" s="229">
        <v>6.1999999999999998E-3</v>
      </c>
      <c r="ED185" s="229">
        <v>5.6399999999999999E-2</v>
      </c>
      <c r="EE185" s="228">
        <v>0.31</v>
      </c>
      <c r="EF185" s="229">
        <v>7.7000000000000002E-3</v>
      </c>
      <c r="EG185" s="230">
        <v>35618868</v>
      </c>
      <c r="EH185" s="230">
        <v>37225288</v>
      </c>
      <c r="EI185" s="229">
        <v>-4.3200000000000002E-2</v>
      </c>
      <c r="EJ185" s="229">
        <v>0.36580000000000001</v>
      </c>
      <c r="EK185" s="228">
        <v>811.78</v>
      </c>
      <c r="EL185" s="228">
        <v>143.26</v>
      </c>
      <c r="EM185" s="228">
        <v>221.56</v>
      </c>
      <c r="EN185" s="228">
        <v>54</v>
      </c>
      <c r="EO185" s="231">
        <v>1176.5999999999999</v>
      </c>
      <c r="EP185" s="228">
        <v>851.83</v>
      </c>
      <c r="EQ185" s="228">
        <v>324.77</v>
      </c>
      <c r="ER185" s="229">
        <v>0.38129999999999997</v>
      </c>
      <c r="ES185" s="228">
        <v>825.41</v>
      </c>
      <c r="ET185" s="228">
        <v>311.73</v>
      </c>
      <c r="EU185" s="231">
        <v>1325.2</v>
      </c>
      <c r="EV185" s="231">
        <v>1814982173</v>
      </c>
      <c r="EW185" s="231">
        <v>2462.34</v>
      </c>
      <c r="EX185" s="231">
        <v>2291.52</v>
      </c>
      <c r="EY185" s="228">
        <v>170.82</v>
      </c>
      <c r="EZ185" s="229">
        <v>7.4499999999999997E-2</v>
      </c>
      <c r="FA185" s="229">
        <v>0.31759999999999999</v>
      </c>
      <c r="FB185" s="227" t="s">
        <v>556</v>
      </c>
      <c r="FC185">
        <f t="shared" si="3"/>
        <v>0</v>
      </c>
    </row>
    <row r="186" spans="1:159" ht="17.25" thickBot="1" x14ac:dyDescent="0.3">
      <c r="A186" s="226">
        <v>46086</v>
      </c>
      <c r="B186" s="227" t="s">
        <v>615</v>
      </c>
      <c r="C186" s="227" t="s">
        <v>692</v>
      </c>
      <c r="D186" s="228">
        <v>1300</v>
      </c>
      <c r="E186" s="228">
        <v>25</v>
      </c>
      <c r="F186" s="228">
        <v>298.05</v>
      </c>
      <c r="G186" s="228">
        <v>294.7</v>
      </c>
      <c r="H186" s="228">
        <v>3.35</v>
      </c>
      <c r="I186" s="229">
        <v>1.14E-2</v>
      </c>
      <c r="J186" s="228">
        <v>298.39999999999998</v>
      </c>
      <c r="K186" s="228">
        <v>297.75</v>
      </c>
      <c r="L186" s="228">
        <v>0.65</v>
      </c>
      <c r="M186" s="229">
        <v>2.2000000000000001E-3</v>
      </c>
      <c r="N186" s="228">
        <v>298.05</v>
      </c>
      <c r="O186" s="228">
        <v>294.7</v>
      </c>
      <c r="P186" s="228">
        <v>3.35</v>
      </c>
      <c r="Q186" s="229">
        <v>1.14E-2</v>
      </c>
      <c r="R186" s="228">
        <v>295.64999999999998</v>
      </c>
      <c r="S186" s="228">
        <v>291.3</v>
      </c>
      <c r="T186" s="228">
        <v>4.3499999999999996</v>
      </c>
      <c r="U186" s="229">
        <v>1.49E-2</v>
      </c>
      <c r="V186" s="228">
        <v>294.05</v>
      </c>
      <c r="W186" s="228">
        <v>290.5</v>
      </c>
      <c r="X186" s="228">
        <v>3.55</v>
      </c>
      <c r="Y186" s="229">
        <v>1.2200000000000001E-2</v>
      </c>
      <c r="Z186" s="228">
        <v>-0.35</v>
      </c>
      <c r="AA186" s="228">
        <v>-3.05</v>
      </c>
      <c r="AB186" s="228">
        <v>2.7</v>
      </c>
      <c r="AC186" s="229">
        <v>-1.1999999999999999E-3</v>
      </c>
      <c r="AD186" s="228">
        <v>-0.35</v>
      </c>
      <c r="AE186" s="228">
        <v>-3.05</v>
      </c>
      <c r="AF186" s="228">
        <v>2.7</v>
      </c>
      <c r="AG186" s="229">
        <v>-1.1999999999999999E-3</v>
      </c>
      <c r="AH186" s="228">
        <v>-2.75</v>
      </c>
      <c r="AI186" s="228">
        <v>-6.45</v>
      </c>
      <c r="AJ186" s="228">
        <v>3.7</v>
      </c>
      <c r="AK186" s="229">
        <v>-9.1999999999999998E-3</v>
      </c>
      <c r="AL186" s="228">
        <v>-4.3499999999999996</v>
      </c>
      <c r="AM186" s="228">
        <v>-7.25</v>
      </c>
      <c r="AN186" s="228">
        <v>2.9</v>
      </c>
      <c r="AO186" s="229">
        <v>-1.46E-2</v>
      </c>
      <c r="AP186" s="228">
        <v>292.43</v>
      </c>
      <c r="AQ186" s="228">
        <v>290.64999999999998</v>
      </c>
      <c r="AR186" s="228">
        <v>0</v>
      </c>
      <c r="AS186" s="228">
        <v>212</v>
      </c>
      <c r="AT186" s="228">
        <v>340</v>
      </c>
      <c r="AU186" s="228">
        <v>-128</v>
      </c>
      <c r="AV186" s="229">
        <v>-0.37719999999999998</v>
      </c>
      <c r="AW186" s="228">
        <v>201</v>
      </c>
      <c r="AX186" s="228">
        <v>324</v>
      </c>
      <c r="AY186" s="228">
        <v>-123</v>
      </c>
      <c r="AZ186" s="229">
        <v>-0.37890000000000001</v>
      </c>
      <c r="BA186" s="228">
        <v>10</v>
      </c>
      <c r="BB186" s="228">
        <v>14</v>
      </c>
      <c r="BC186" s="228">
        <v>-5</v>
      </c>
      <c r="BD186" s="229">
        <v>-0.32429999999999998</v>
      </c>
      <c r="BE186" s="228">
        <v>1</v>
      </c>
      <c r="BF186" s="228">
        <v>1</v>
      </c>
      <c r="BG186" s="228">
        <v>-1</v>
      </c>
      <c r="BH186" s="229">
        <v>-0.51429999999999998</v>
      </c>
      <c r="BI186" s="228">
        <v>200</v>
      </c>
      <c r="BJ186" s="228">
        <v>416</v>
      </c>
      <c r="BK186" s="228">
        <v>-216</v>
      </c>
      <c r="BL186" s="229">
        <v>-0.51949999999999996</v>
      </c>
      <c r="BM186" s="228">
        <v>147</v>
      </c>
      <c r="BN186" s="228">
        <v>211</v>
      </c>
      <c r="BO186" s="228">
        <v>-65</v>
      </c>
      <c r="BP186" s="229">
        <v>-0.30549999999999999</v>
      </c>
      <c r="BQ186" s="228">
        <v>558</v>
      </c>
      <c r="BR186" s="228">
        <v>967</v>
      </c>
      <c r="BS186" s="228">
        <v>-409</v>
      </c>
      <c r="BT186" s="229">
        <v>-0.42280000000000001</v>
      </c>
      <c r="BU186" s="230">
        <v>6170662</v>
      </c>
      <c r="BV186" s="230">
        <v>18441389</v>
      </c>
      <c r="BW186" s="230">
        <v>-12270727</v>
      </c>
      <c r="BX186" s="229">
        <v>-0.66539999999999999</v>
      </c>
      <c r="BY186" s="230">
        <v>1504</v>
      </c>
      <c r="BZ186" s="230">
        <v>1494</v>
      </c>
      <c r="CA186" s="228">
        <v>10</v>
      </c>
      <c r="CB186" s="229">
        <v>6.7000000000000002E-3</v>
      </c>
      <c r="CC186" s="230">
        <v>1479</v>
      </c>
      <c r="CD186" s="230">
        <v>1469</v>
      </c>
      <c r="CE186" s="228">
        <v>10</v>
      </c>
      <c r="CF186" s="229">
        <v>6.4999999999999997E-3</v>
      </c>
      <c r="CG186" s="228">
        <v>21</v>
      </c>
      <c r="CH186" s="228">
        <v>21</v>
      </c>
      <c r="CI186" s="228">
        <v>1</v>
      </c>
      <c r="CJ186" s="229">
        <v>2.81E-2</v>
      </c>
      <c r="CK186" s="228">
        <v>4</v>
      </c>
      <c r="CL186" s="228">
        <v>4</v>
      </c>
      <c r="CM186" s="228">
        <v>0</v>
      </c>
      <c r="CN186" s="229">
        <v>-9.7000000000000003E-3</v>
      </c>
      <c r="CO186" s="228">
        <v>194</v>
      </c>
      <c r="CP186" s="228">
        <v>194</v>
      </c>
      <c r="CQ186" s="228">
        <v>-1</v>
      </c>
      <c r="CR186" s="229">
        <v>-4.5999999999999999E-3</v>
      </c>
      <c r="CS186" s="228">
        <v>156</v>
      </c>
      <c r="CT186" s="228">
        <v>153</v>
      </c>
      <c r="CU186" s="228">
        <v>3</v>
      </c>
      <c r="CV186" s="229">
        <v>1.77E-2</v>
      </c>
      <c r="CW186" s="230">
        <v>1853</v>
      </c>
      <c r="CX186" s="230">
        <v>1841</v>
      </c>
      <c r="CY186" s="228">
        <v>12</v>
      </c>
      <c r="CZ186" s="229">
        <v>6.4999999999999997E-3</v>
      </c>
      <c r="DA186" s="228">
        <v>39.22</v>
      </c>
      <c r="DB186" s="228">
        <v>43.13</v>
      </c>
      <c r="DC186" s="228">
        <v>-3.91</v>
      </c>
      <c r="DD186" s="228">
        <v>-3.91</v>
      </c>
      <c r="DE186" s="228">
        <v>45.2</v>
      </c>
      <c r="DF186" s="228">
        <v>45.32</v>
      </c>
      <c r="DG186" s="228">
        <v>-5.98</v>
      </c>
      <c r="DH186" s="228">
        <v>-0.12</v>
      </c>
      <c r="DI186" s="228">
        <v>38.29</v>
      </c>
      <c r="DJ186" s="228">
        <v>41.68</v>
      </c>
      <c r="DK186" s="228">
        <v>-3.39</v>
      </c>
      <c r="DL186" s="228">
        <v>-3.39</v>
      </c>
      <c r="DM186" s="228">
        <v>40.479999999999997</v>
      </c>
      <c r="DN186" s="228">
        <v>45.98</v>
      </c>
      <c r="DO186" s="228">
        <v>-5.5</v>
      </c>
      <c r="DP186" s="228">
        <v>-5.5</v>
      </c>
      <c r="DQ186" s="228">
        <v>0.81</v>
      </c>
      <c r="DR186" s="228">
        <v>0.79</v>
      </c>
      <c r="DS186" s="228">
        <v>0.02</v>
      </c>
      <c r="DT186" s="229">
        <v>2.53E-2</v>
      </c>
      <c r="DU186" s="228">
        <v>350</v>
      </c>
      <c r="DV186" s="228">
        <v>280</v>
      </c>
      <c r="DW186" s="228">
        <v>0.73</v>
      </c>
      <c r="DX186" s="228">
        <v>0.51</v>
      </c>
      <c r="DY186" s="228">
        <v>0.22</v>
      </c>
      <c r="DZ186" s="229">
        <v>0.43140000000000001</v>
      </c>
      <c r="EA186" s="229">
        <v>1.6799999999999999E-2</v>
      </c>
      <c r="EB186" s="230">
        <v>828100</v>
      </c>
      <c r="EC186" s="229">
        <v>-8.0999999999999996E-3</v>
      </c>
      <c r="ED186" s="229">
        <v>1.6799999999999999E-2</v>
      </c>
      <c r="EE186" s="228">
        <v>-1.78</v>
      </c>
      <c r="EF186" s="229">
        <v>-6.1000000000000004E-3</v>
      </c>
      <c r="EG186" s="230">
        <v>1886258</v>
      </c>
      <c r="EH186" s="230">
        <v>7466299</v>
      </c>
      <c r="EI186" s="229">
        <v>-0.74739999999999995</v>
      </c>
      <c r="EJ186" s="229">
        <v>0.30570000000000003</v>
      </c>
      <c r="EK186" s="228">
        <v>212.03</v>
      </c>
      <c r="EL186" s="228">
        <v>143.87</v>
      </c>
      <c r="EM186" s="228">
        <v>207.46</v>
      </c>
      <c r="EN186" s="228">
        <v>60.66</v>
      </c>
      <c r="EO186" s="228">
        <v>563.37</v>
      </c>
      <c r="EP186" s="228">
        <v>981.6</v>
      </c>
      <c r="EQ186" s="228">
        <v>-418.23</v>
      </c>
      <c r="ER186" s="229">
        <v>-0.42609999999999998</v>
      </c>
      <c r="ES186" s="228">
        <v>211.5</v>
      </c>
      <c r="ET186" s="228">
        <v>153.69</v>
      </c>
      <c r="EU186" s="231">
        <v>1503.57</v>
      </c>
      <c r="EV186" s="231">
        <v>375529891</v>
      </c>
      <c r="EW186" s="231">
        <v>1868.76</v>
      </c>
      <c r="EX186" s="231">
        <v>1839.55</v>
      </c>
      <c r="EY186" s="228">
        <v>29.21</v>
      </c>
      <c r="EZ186" s="229">
        <v>1.5900000000000001E-2</v>
      </c>
      <c r="FA186" s="229">
        <v>0.1656</v>
      </c>
      <c r="FB186" s="227" t="s">
        <v>555</v>
      </c>
      <c r="FC186">
        <f t="shared" si="3"/>
        <v>0</v>
      </c>
    </row>
    <row r="187" spans="1:159" ht="17.25" thickBot="1" x14ac:dyDescent="0.3">
      <c r="A187" s="226">
        <v>46086</v>
      </c>
      <c r="B187" s="227" t="s">
        <v>170</v>
      </c>
      <c r="C187" s="227" t="s">
        <v>520</v>
      </c>
      <c r="D187" s="228">
        <v>1000</v>
      </c>
      <c r="E187" s="228">
        <v>25</v>
      </c>
      <c r="F187" s="228">
        <v>405.8</v>
      </c>
      <c r="G187" s="228">
        <v>401.55</v>
      </c>
      <c r="H187" s="228">
        <v>4.25</v>
      </c>
      <c r="I187" s="229">
        <v>1.06E-2</v>
      </c>
      <c r="J187" s="228">
        <v>403.7</v>
      </c>
      <c r="K187" s="228">
        <v>400.7</v>
      </c>
      <c r="L187" s="228">
        <v>3</v>
      </c>
      <c r="M187" s="229">
        <v>7.4999999999999997E-3</v>
      </c>
      <c r="N187" s="228">
        <v>405.8</v>
      </c>
      <c r="O187" s="228">
        <v>401.55</v>
      </c>
      <c r="P187" s="228">
        <v>4.25</v>
      </c>
      <c r="Q187" s="229">
        <v>1.06E-2</v>
      </c>
      <c r="R187" s="228">
        <v>0</v>
      </c>
      <c r="S187" s="228">
        <v>0</v>
      </c>
      <c r="T187" s="228">
        <v>0</v>
      </c>
      <c r="U187" s="229">
        <v>0</v>
      </c>
      <c r="V187" s="228">
        <v>0</v>
      </c>
      <c r="W187" s="228">
        <v>0</v>
      </c>
      <c r="X187" s="228">
        <v>0</v>
      </c>
      <c r="Y187" s="229">
        <v>0</v>
      </c>
      <c r="Z187" s="228">
        <v>2.1</v>
      </c>
      <c r="AA187" s="228">
        <v>0.85</v>
      </c>
      <c r="AB187" s="228">
        <v>1.25</v>
      </c>
      <c r="AC187" s="229">
        <v>5.1999999999999998E-3</v>
      </c>
      <c r="AD187" s="228">
        <v>2.1</v>
      </c>
      <c r="AE187" s="228">
        <v>0.85</v>
      </c>
      <c r="AF187" s="228">
        <v>1.25</v>
      </c>
      <c r="AG187" s="229">
        <v>5.1999999999999998E-3</v>
      </c>
      <c r="AH187" s="228">
        <v>0</v>
      </c>
      <c r="AI187" s="228">
        <v>0</v>
      </c>
      <c r="AJ187" s="228">
        <v>0</v>
      </c>
      <c r="AK187" s="229">
        <v>0</v>
      </c>
      <c r="AL187" s="228">
        <v>0</v>
      </c>
      <c r="AM187" s="228">
        <v>0</v>
      </c>
      <c r="AN187" s="228">
        <v>0</v>
      </c>
      <c r="AO187" s="229">
        <v>0</v>
      </c>
      <c r="AP187" s="228">
        <v>402.74</v>
      </c>
      <c r="AQ187" s="228">
        <v>0</v>
      </c>
      <c r="AR187" s="228">
        <v>0</v>
      </c>
      <c r="AS187" s="228">
        <v>36</v>
      </c>
      <c r="AT187" s="228">
        <v>48</v>
      </c>
      <c r="AU187" s="228">
        <v>-12</v>
      </c>
      <c r="AV187" s="229">
        <v>-0.25419999999999998</v>
      </c>
      <c r="AW187" s="228">
        <v>36</v>
      </c>
      <c r="AX187" s="228">
        <v>48</v>
      </c>
      <c r="AY187" s="228">
        <v>-12</v>
      </c>
      <c r="AZ187" s="229">
        <v>-0.25419999999999998</v>
      </c>
      <c r="BA187" s="228">
        <v>0</v>
      </c>
      <c r="BB187" s="228">
        <v>0</v>
      </c>
      <c r="BC187" s="228">
        <v>0</v>
      </c>
      <c r="BD187" s="229">
        <v>0</v>
      </c>
      <c r="BE187" s="228">
        <v>0</v>
      </c>
      <c r="BF187" s="228">
        <v>0</v>
      </c>
      <c r="BG187" s="228">
        <v>0</v>
      </c>
      <c r="BH187" s="229">
        <v>0</v>
      </c>
      <c r="BI187" s="228">
        <v>90</v>
      </c>
      <c r="BJ187" s="228">
        <v>111</v>
      </c>
      <c r="BK187" s="228">
        <v>-21</v>
      </c>
      <c r="BL187" s="229">
        <v>-0.19159999999999999</v>
      </c>
      <c r="BM187" s="228">
        <v>33</v>
      </c>
      <c r="BN187" s="228">
        <v>53</v>
      </c>
      <c r="BO187" s="228">
        <v>-20</v>
      </c>
      <c r="BP187" s="229">
        <v>-0.37830000000000003</v>
      </c>
      <c r="BQ187" s="228">
        <v>158</v>
      </c>
      <c r="BR187" s="228">
        <v>212</v>
      </c>
      <c r="BS187" s="228">
        <v>-53</v>
      </c>
      <c r="BT187" s="229">
        <v>-0.25230000000000002</v>
      </c>
      <c r="BU187" s="230">
        <v>629190</v>
      </c>
      <c r="BV187" s="230">
        <v>895377</v>
      </c>
      <c r="BW187" s="230">
        <v>-266187</v>
      </c>
      <c r="BX187" s="229">
        <v>-0.29730000000000001</v>
      </c>
      <c r="BY187" s="228">
        <v>359</v>
      </c>
      <c r="BZ187" s="228">
        <v>357</v>
      </c>
      <c r="CA187" s="228">
        <v>2</v>
      </c>
      <c r="CB187" s="229">
        <v>4.4999999999999997E-3</v>
      </c>
      <c r="CC187" s="228">
        <v>359</v>
      </c>
      <c r="CD187" s="228">
        <v>357</v>
      </c>
      <c r="CE187" s="228">
        <v>2</v>
      </c>
      <c r="CF187" s="229">
        <v>4.4999999999999997E-3</v>
      </c>
      <c r="CG187" s="228">
        <v>0</v>
      </c>
      <c r="CH187" s="228">
        <v>0</v>
      </c>
      <c r="CI187" s="228">
        <v>0</v>
      </c>
      <c r="CJ187" s="229">
        <v>0</v>
      </c>
      <c r="CK187" s="228">
        <v>0</v>
      </c>
      <c r="CL187" s="228">
        <v>0</v>
      </c>
      <c r="CM187" s="228">
        <v>0</v>
      </c>
      <c r="CN187" s="229">
        <v>0</v>
      </c>
      <c r="CO187" s="228">
        <v>197</v>
      </c>
      <c r="CP187" s="228">
        <v>181</v>
      </c>
      <c r="CQ187" s="228">
        <v>15</v>
      </c>
      <c r="CR187" s="229">
        <v>8.5300000000000001E-2</v>
      </c>
      <c r="CS187" s="228">
        <v>114</v>
      </c>
      <c r="CT187" s="228">
        <v>114</v>
      </c>
      <c r="CU187" s="228">
        <v>0</v>
      </c>
      <c r="CV187" s="229">
        <v>-3.2000000000000002E-3</v>
      </c>
      <c r="CW187" s="228">
        <v>669</v>
      </c>
      <c r="CX187" s="228">
        <v>653</v>
      </c>
      <c r="CY187" s="228">
        <v>17</v>
      </c>
      <c r="CZ187" s="229">
        <v>2.5600000000000001E-2</v>
      </c>
      <c r="DA187" s="228">
        <v>34.14</v>
      </c>
      <c r="DB187" s="228">
        <v>37.47</v>
      </c>
      <c r="DC187" s="228">
        <v>-3.33</v>
      </c>
      <c r="DD187" s="228">
        <v>-3.33</v>
      </c>
      <c r="DE187" s="228">
        <v>36.07</v>
      </c>
      <c r="DF187" s="228">
        <v>36.130000000000003</v>
      </c>
      <c r="DG187" s="228">
        <v>-1.93</v>
      </c>
      <c r="DH187" s="228">
        <v>-0.06</v>
      </c>
      <c r="DI187" s="228">
        <v>33.54</v>
      </c>
      <c r="DJ187" s="228">
        <v>37.51</v>
      </c>
      <c r="DK187" s="228">
        <v>-3.97</v>
      </c>
      <c r="DL187" s="228">
        <v>-3.97</v>
      </c>
      <c r="DM187" s="228">
        <v>35.79</v>
      </c>
      <c r="DN187" s="228">
        <v>37.4</v>
      </c>
      <c r="DO187" s="228">
        <v>-1.61</v>
      </c>
      <c r="DP187" s="228">
        <v>-1.61</v>
      </c>
      <c r="DQ187" s="228">
        <v>0.57999999999999996</v>
      </c>
      <c r="DR187" s="228">
        <v>0.63</v>
      </c>
      <c r="DS187" s="228">
        <v>-0.05</v>
      </c>
      <c r="DT187" s="229">
        <v>-7.9399999999999998E-2</v>
      </c>
      <c r="DU187" s="228">
        <v>450</v>
      </c>
      <c r="DV187" s="228">
        <v>440</v>
      </c>
      <c r="DW187" s="228">
        <v>0.37</v>
      </c>
      <c r="DX187" s="228">
        <v>0.48</v>
      </c>
      <c r="DY187" s="228">
        <v>-0.11</v>
      </c>
      <c r="DZ187" s="229">
        <v>-0.22919999999999999</v>
      </c>
      <c r="EA187" s="229">
        <v>0</v>
      </c>
      <c r="EB187" s="228">
        <v>0</v>
      </c>
      <c r="EC187" s="229">
        <v>0</v>
      </c>
      <c r="ED187" s="229">
        <v>0</v>
      </c>
      <c r="EE187" s="228">
        <v>0</v>
      </c>
      <c r="EF187" s="229">
        <v>0</v>
      </c>
      <c r="EG187" s="230">
        <v>288096</v>
      </c>
      <c r="EH187" s="230">
        <v>452192</v>
      </c>
      <c r="EI187" s="229">
        <v>-0.3629</v>
      </c>
      <c r="EJ187" s="229">
        <v>0.45789999999999997</v>
      </c>
      <c r="EK187" s="228">
        <v>98.53</v>
      </c>
      <c r="EL187" s="228">
        <v>32.61</v>
      </c>
      <c r="EM187" s="228">
        <v>35.799999999999997</v>
      </c>
      <c r="EN187" s="228">
        <v>17.8</v>
      </c>
      <c r="EO187" s="228">
        <v>166.94</v>
      </c>
      <c r="EP187" s="228">
        <v>225.78</v>
      </c>
      <c r="EQ187" s="228">
        <v>-58.84</v>
      </c>
      <c r="ER187" s="229">
        <v>-0.2606</v>
      </c>
      <c r="ES187" s="228">
        <v>225.05</v>
      </c>
      <c r="ET187" s="228">
        <v>124.33</v>
      </c>
      <c r="EU187" s="228">
        <v>358.65</v>
      </c>
      <c r="EV187" s="231">
        <v>24733183</v>
      </c>
      <c r="EW187" s="228">
        <v>708.02</v>
      </c>
      <c r="EX187" s="228">
        <v>686.5</v>
      </c>
      <c r="EY187" s="228">
        <v>21.52</v>
      </c>
      <c r="EZ187" s="229">
        <v>3.1300000000000001E-2</v>
      </c>
      <c r="FA187" s="229">
        <v>0.66690000000000005</v>
      </c>
      <c r="FB187" s="227" t="s">
        <v>555</v>
      </c>
      <c r="FC187">
        <f t="shared" si="3"/>
        <v>0</v>
      </c>
    </row>
    <row r="188" spans="1:159" ht="17.25" thickBot="1" x14ac:dyDescent="0.3">
      <c r="A188" s="226">
        <v>46086</v>
      </c>
      <c r="B188" s="227" t="s">
        <v>168</v>
      </c>
      <c r="C188" s="227" t="s">
        <v>291</v>
      </c>
      <c r="D188" s="228">
        <v>550</v>
      </c>
      <c r="E188" s="228">
        <v>25</v>
      </c>
      <c r="F188" s="231">
        <v>1121.7</v>
      </c>
      <c r="G188" s="231">
        <v>1115</v>
      </c>
      <c r="H188" s="228">
        <v>6.7</v>
      </c>
      <c r="I188" s="229">
        <v>6.0000000000000001E-3</v>
      </c>
      <c r="J188" s="231">
        <v>1119.0999999999999</v>
      </c>
      <c r="K188" s="231">
        <v>1110.5999999999999</v>
      </c>
      <c r="L188" s="228">
        <v>8.5</v>
      </c>
      <c r="M188" s="229">
        <v>7.7000000000000002E-3</v>
      </c>
      <c r="N188" s="231">
        <v>1121.7</v>
      </c>
      <c r="O188" s="231">
        <v>1115</v>
      </c>
      <c r="P188" s="228">
        <v>6.7</v>
      </c>
      <c r="Q188" s="229">
        <v>6.0000000000000001E-3</v>
      </c>
      <c r="R188" s="231">
        <v>1130.9000000000001</v>
      </c>
      <c r="S188" s="231">
        <v>1124.5999999999999</v>
      </c>
      <c r="T188" s="228">
        <v>6.3</v>
      </c>
      <c r="U188" s="229">
        <v>5.5999999999999999E-3</v>
      </c>
      <c r="V188" s="231">
        <v>1135.2</v>
      </c>
      <c r="W188" s="231">
        <v>1129.5</v>
      </c>
      <c r="X188" s="228">
        <v>5.7</v>
      </c>
      <c r="Y188" s="229">
        <v>5.0000000000000001E-3</v>
      </c>
      <c r="Z188" s="228">
        <v>2.6</v>
      </c>
      <c r="AA188" s="228">
        <v>4.4000000000000004</v>
      </c>
      <c r="AB188" s="228">
        <v>-1.8</v>
      </c>
      <c r="AC188" s="229">
        <v>2.3E-3</v>
      </c>
      <c r="AD188" s="228">
        <v>2.6</v>
      </c>
      <c r="AE188" s="228">
        <v>4.4000000000000004</v>
      </c>
      <c r="AF188" s="228">
        <v>-1.8</v>
      </c>
      <c r="AG188" s="229">
        <v>2.3E-3</v>
      </c>
      <c r="AH188" s="228">
        <v>11.8</v>
      </c>
      <c r="AI188" s="228">
        <v>14</v>
      </c>
      <c r="AJ188" s="228">
        <v>-2.2000000000000002</v>
      </c>
      <c r="AK188" s="229">
        <v>1.0500000000000001E-2</v>
      </c>
      <c r="AL188" s="228">
        <v>16.100000000000001</v>
      </c>
      <c r="AM188" s="228">
        <v>18.899999999999999</v>
      </c>
      <c r="AN188" s="228">
        <v>-2.8</v>
      </c>
      <c r="AO188" s="229">
        <v>1.44E-2</v>
      </c>
      <c r="AP188" s="231">
        <v>1112.97</v>
      </c>
      <c r="AQ188" s="231">
        <v>1119.23</v>
      </c>
      <c r="AR188" s="228">
        <v>0</v>
      </c>
      <c r="AS188" s="228">
        <v>171</v>
      </c>
      <c r="AT188" s="228">
        <v>200</v>
      </c>
      <c r="AU188" s="228">
        <v>-30</v>
      </c>
      <c r="AV188" s="229">
        <v>-0.14849999999999999</v>
      </c>
      <c r="AW188" s="228">
        <v>166</v>
      </c>
      <c r="AX188" s="228">
        <v>192</v>
      </c>
      <c r="AY188" s="228">
        <v>-27</v>
      </c>
      <c r="AZ188" s="229">
        <v>-0.13800000000000001</v>
      </c>
      <c r="BA188" s="228">
        <v>5</v>
      </c>
      <c r="BB188" s="228">
        <v>8</v>
      </c>
      <c r="BC188" s="228">
        <v>-3</v>
      </c>
      <c r="BD188" s="229">
        <v>-0.3906</v>
      </c>
      <c r="BE188" s="228">
        <v>0</v>
      </c>
      <c r="BF188" s="228">
        <v>0</v>
      </c>
      <c r="BG188" s="228">
        <v>0</v>
      </c>
      <c r="BH188" s="229">
        <v>-0.66669999999999996</v>
      </c>
      <c r="BI188" s="228">
        <v>160</v>
      </c>
      <c r="BJ188" s="228">
        <v>136</v>
      </c>
      <c r="BK188" s="228">
        <v>23</v>
      </c>
      <c r="BL188" s="229">
        <v>0.17150000000000001</v>
      </c>
      <c r="BM188" s="228">
        <v>100</v>
      </c>
      <c r="BN188" s="228">
        <v>145</v>
      </c>
      <c r="BO188" s="228">
        <v>-45</v>
      </c>
      <c r="BP188" s="229">
        <v>-0.30819999999999997</v>
      </c>
      <c r="BQ188" s="228">
        <v>430</v>
      </c>
      <c r="BR188" s="228">
        <v>481</v>
      </c>
      <c r="BS188" s="228">
        <v>-51</v>
      </c>
      <c r="BT188" s="229">
        <v>-0.10589999999999999</v>
      </c>
      <c r="BU188" s="230">
        <v>1405998</v>
      </c>
      <c r="BV188" s="230">
        <v>1244107</v>
      </c>
      <c r="BW188" s="230">
        <v>161891</v>
      </c>
      <c r="BX188" s="229">
        <v>0.13009999999999999</v>
      </c>
      <c r="BY188" s="230">
        <v>1483</v>
      </c>
      <c r="BZ188" s="230">
        <v>1477</v>
      </c>
      <c r="CA188" s="228">
        <v>5</v>
      </c>
      <c r="CB188" s="229">
        <v>3.5999999999999999E-3</v>
      </c>
      <c r="CC188" s="230">
        <v>1469</v>
      </c>
      <c r="CD188" s="230">
        <v>1465</v>
      </c>
      <c r="CE188" s="228">
        <v>4</v>
      </c>
      <c r="CF188" s="229">
        <v>2.8999999999999998E-3</v>
      </c>
      <c r="CG188" s="228">
        <v>13</v>
      </c>
      <c r="CH188" s="228">
        <v>12</v>
      </c>
      <c r="CI188" s="228">
        <v>1</v>
      </c>
      <c r="CJ188" s="229">
        <v>9.0899999999999995E-2</v>
      </c>
      <c r="CK188" s="228">
        <v>1</v>
      </c>
      <c r="CL188" s="228">
        <v>1</v>
      </c>
      <c r="CM188" s="228">
        <v>0</v>
      </c>
      <c r="CN188" s="229">
        <v>5.8799999999999998E-2</v>
      </c>
      <c r="CO188" s="228">
        <v>261</v>
      </c>
      <c r="CP188" s="228">
        <v>250</v>
      </c>
      <c r="CQ188" s="228">
        <v>10</v>
      </c>
      <c r="CR188" s="229">
        <v>4.1099999999999998E-2</v>
      </c>
      <c r="CS188" s="228">
        <v>160</v>
      </c>
      <c r="CT188" s="228">
        <v>157</v>
      </c>
      <c r="CU188" s="228">
        <v>3</v>
      </c>
      <c r="CV188" s="229">
        <v>1.7299999999999999E-2</v>
      </c>
      <c r="CW188" s="230">
        <v>1903</v>
      </c>
      <c r="CX188" s="230">
        <v>1885</v>
      </c>
      <c r="CY188" s="228">
        <v>18</v>
      </c>
      <c r="CZ188" s="229">
        <v>9.7000000000000003E-3</v>
      </c>
      <c r="DA188" s="228">
        <v>22.32</v>
      </c>
      <c r="DB188" s="228">
        <v>24.57</v>
      </c>
      <c r="DC188" s="228">
        <v>-2.25</v>
      </c>
      <c r="DD188" s="228">
        <v>-2.25</v>
      </c>
      <c r="DE188" s="228">
        <v>27.09</v>
      </c>
      <c r="DF188" s="228">
        <v>27.13</v>
      </c>
      <c r="DG188" s="228">
        <v>-4.7699999999999996</v>
      </c>
      <c r="DH188" s="228">
        <v>-0.04</v>
      </c>
      <c r="DI188" s="228">
        <v>21.4</v>
      </c>
      <c r="DJ188" s="228">
        <v>23.77</v>
      </c>
      <c r="DK188" s="228">
        <v>-2.37</v>
      </c>
      <c r="DL188" s="228">
        <v>-2.37</v>
      </c>
      <c r="DM188" s="228">
        <v>23.78</v>
      </c>
      <c r="DN188" s="228">
        <v>25.33</v>
      </c>
      <c r="DO188" s="228">
        <v>-1.55</v>
      </c>
      <c r="DP188" s="228">
        <v>-1.55</v>
      </c>
      <c r="DQ188" s="228">
        <v>0.61</v>
      </c>
      <c r="DR188" s="228">
        <v>0.63</v>
      </c>
      <c r="DS188" s="228">
        <v>-0.02</v>
      </c>
      <c r="DT188" s="229">
        <v>-3.1699999999999999E-2</v>
      </c>
      <c r="DU188" s="231">
        <v>1300</v>
      </c>
      <c r="DV188" s="231">
        <v>1100</v>
      </c>
      <c r="DW188" s="228">
        <v>0.63</v>
      </c>
      <c r="DX188" s="228">
        <v>1.06</v>
      </c>
      <c r="DY188" s="228">
        <v>-0.43</v>
      </c>
      <c r="DZ188" s="229">
        <v>-0.40570000000000001</v>
      </c>
      <c r="EA188" s="229">
        <v>9.1999999999999998E-3</v>
      </c>
      <c r="EB188" s="230">
        <v>112200</v>
      </c>
      <c r="EC188" s="229">
        <v>8.2000000000000007E-3</v>
      </c>
      <c r="ED188" s="229">
        <v>9.1999999999999998E-3</v>
      </c>
      <c r="EE188" s="228">
        <v>6.26</v>
      </c>
      <c r="EF188" s="229">
        <v>5.5999999999999999E-3</v>
      </c>
      <c r="EG188" s="230">
        <v>863936</v>
      </c>
      <c r="EH188" s="230">
        <v>708953</v>
      </c>
      <c r="EI188" s="229">
        <v>0.21859999999999999</v>
      </c>
      <c r="EJ188" s="229">
        <v>0.61450000000000005</v>
      </c>
      <c r="EK188" s="228">
        <v>166.99</v>
      </c>
      <c r="EL188" s="228">
        <v>97.39</v>
      </c>
      <c r="EM188" s="228">
        <v>169.22</v>
      </c>
      <c r="EN188" s="228">
        <v>35.07</v>
      </c>
      <c r="EO188" s="228">
        <v>433.6</v>
      </c>
      <c r="EP188" s="228">
        <v>485.56</v>
      </c>
      <c r="EQ188" s="228">
        <v>-51.96</v>
      </c>
      <c r="ER188" s="229">
        <v>-0.107</v>
      </c>
      <c r="ES188" s="228">
        <v>283.77</v>
      </c>
      <c r="ET188" s="228">
        <v>157.1</v>
      </c>
      <c r="EU188" s="231">
        <v>1482.73</v>
      </c>
      <c r="EV188" s="231">
        <v>65472326</v>
      </c>
      <c r="EW188" s="231">
        <v>1923.6</v>
      </c>
      <c r="EX188" s="231">
        <v>1896.42</v>
      </c>
      <c r="EY188" s="228">
        <v>27.18</v>
      </c>
      <c r="EZ188" s="229">
        <v>1.43E-2</v>
      </c>
      <c r="FA188" s="229">
        <v>0.2591</v>
      </c>
      <c r="FB188" s="227" t="s">
        <v>555</v>
      </c>
      <c r="FC188">
        <f t="shared" si="3"/>
        <v>0</v>
      </c>
    </row>
    <row r="189" spans="1:159" ht="17.25" thickBot="1" x14ac:dyDescent="0.3">
      <c r="A189" s="226">
        <v>46086</v>
      </c>
      <c r="B189" s="227" t="s">
        <v>221</v>
      </c>
      <c r="C189" s="227" t="s">
        <v>604</v>
      </c>
      <c r="D189" s="228">
        <v>100</v>
      </c>
      <c r="E189" s="228">
        <v>25</v>
      </c>
      <c r="F189" s="231">
        <v>4380</v>
      </c>
      <c r="G189" s="231">
        <v>4365</v>
      </c>
      <c r="H189" s="228">
        <v>15</v>
      </c>
      <c r="I189" s="229">
        <v>3.3999999999999998E-3</v>
      </c>
      <c r="J189" s="231">
        <v>4400</v>
      </c>
      <c r="K189" s="231">
        <v>4357.7</v>
      </c>
      <c r="L189" s="228">
        <v>42.3</v>
      </c>
      <c r="M189" s="229">
        <v>9.7000000000000003E-3</v>
      </c>
      <c r="N189" s="231">
        <v>4380</v>
      </c>
      <c r="O189" s="231">
        <v>4365</v>
      </c>
      <c r="P189" s="228">
        <v>15</v>
      </c>
      <c r="Q189" s="229">
        <v>3.3999999999999998E-3</v>
      </c>
      <c r="R189" s="231">
        <v>4378.5</v>
      </c>
      <c r="S189" s="231">
        <v>4368.2</v>
      </c>
      <c r="T189" s="228">
        <v>10.3</v>
      </c>
      <c r="U189" s="229">
        <v>2.3999999999999998E-3</v>
      </c>
      <c r="V189" s="231">
        <v>4365.8</v>
      </c>
      <c r="W189" s="231">
        <v>4375</v>
      </c>
      <c r="X189" s="228">
        <v>-9.1999999999999993</v>
      </c>
      <c r="Y189" s="229">
        <v>-2.0999999999999999E-3</v>
      </c>
      <c r="Z189" s="228">
        <v>-20</v>
      </c>
      <c r="AA189" s="228">
        <v>7.3</v>
      </c>
      <c r="AB189" s="228">
        <v>-27.3</v>
      </c>
      <c r="AC189" s="229">
        <v>-4.4999999999999997E-3</v>
      </c>
      <c r="AD189" s="228">
        <v>-20</v>
      </c>
      <c r="AE189" s="228">
        <v>7.3</v>
      </c>
      <c r="AF189" s="228">
        <v>-27.3</v>
      </c>
      <c r="AG189" s="229">
        <v>-4.4999999999999997E-3</v>
      </c>
      <c r="AH189" s="228">
        <v>-21.5</v>
      </c>
      <c r="AI189" s="228">
        <v>10.5</v>
      </c>
      <c r="AJ189" s="228">
        <v>-32</v>
      </c>
      <c r="AK189" s="229">
        <v>-4.8999999999999998E-3</v>
      </c>
      <c r="AL189" s="228">
        <v>-34.200000000000003</v>
      </c>
      <c r="AM189" s="228">
        <v>17.3</v>
      </c>
      <c r="AN189" s="228">
        <v>-51.5</v>
      </c>
      <c r="AO189" s="229">
        <v>-7.7999999999999996E-3</v>
      </c>
      <c r="AP189" s="231">
        <v>4371.55</v>
      </c>
      <c r="AQ189" s="231">
        <v>4365.99</v>
      </c>
      <c r="AR189" s="228">
        <v>0</v>
      </c>
      <c r="AS189" s="228">
        <v>147</v>
      </c>
      <c r="AT189" s="228">
        <v>90</v>
      </c>
      <c r="AU189" s="228">
        <v>57</v>
      </c>
      <c r="AV189" s="229">
        <v>0.6341</v>
      </c>
      <c r="AW189" s="228">
        <v>129</v>
      </c>
      <c r="AX189" s="228">
        <v>82</v>
      </c>
      <c r="AY189" s="228">
        <v>46</v>
      </c>
      <c r="AZ189" s="229">
        <v>0.56120000000000003</v>
      </c>
      <c r="BA189" s="228">
        <v>17</v>
      </c>
      <c r="BB189" s="228">
        <v>7</v>
      </c>
      <c r="BC189" s="228">
        <v>11</v>
      </c>
      <c r="BD189" s="229">
        <v>1.5960000000000001</v>
      </c>
      <c r="BE189" s="228">
        <v>1</v>
      </c>
      <c r="BF189" s="228">
        <v>1</v>
      </c>
      <c r="BG189" s="228">
        <v>0</v>
      </c>
      <c r="BH189" s="229">
        <v>0.125</v>
      </c>
      <c r="BI189" s="228">
        <v>422</v>
      </c>
      <c r="BJ189" s="228">
        <v>453</v>
      </c>
      <c r="BK189" s="228">
        <v>-31</v>
      </c>
      <c r="BL189" s="229">
        <v>-6.88E-2</v>
      </c>
      <c r="BM189" s="228">
        <v>135</v>
      </c>
      <c r="BN189" s="228">
        <v>283</v>
      </c>
      <c r="BO189" s="228">
        <v>-148</v>
      </c>
      <c r="BP189" s="229">
        <v>-0.52310000000000001</v>
      </c>
      <c r="BQ189" s="228">
        <v>704</v>
      </c>
      <c r="BR189" s="228">
        <v>826</v>
      </c>
      <c r="BS189" s="228">
        <v>-123</v>
      </c>
      <c r="BT189" s="229">
        <v>-0.14829999999999999</v>
      </c>
      <c r="BU189" s="230">
        <v>205250</v>
      </c>
      <c r="BV189" s="230">
        <v>302798</v>
      </c>
      <c r="BW189" s="230">
        <v>-97548</v>
      </c>
      <c r="BX189" s="229">
        <v>-0.32219999999999999</v>
      </c>
      <c r="BY189" s="228">
        <v>735</v>
      </c>
      <c r="BZ189" s="228">
        <v>718</v>
      </c>
      <c r="CA189" s="228">
        <v>17</v>
      </c>
      <c r="CB189" s="229">
        <v>2.41E-2</v>
      </c>
      <c r="CC189" s="228">
        <v>694</v>
      </c>
      <c r="CD189" s="228">
        <v>684</v>
      </c>
      <c r="CE189" s="228">
        <v>10</v>
      </c>
      <c r="CF189" s="229">
        <v>1.49E-2</v>
      </c>
      <c r="CG189" s="228">
        <v>40</v>
      </c>
      <c r="CH189" s="228">
        <v>33</v>
      </c>
      <c r="CI189" s="228">
        <v>7</v>
      </c>
      <c r="CJ189" s="229">
        <v>0.21529999999999999</v>
      </c>
      <c r="CK189" s="228">
        <v>1</v>
      </c>
      <c r="CL189" s="228">
        <v>1</v>
      </c>
      <c r="CM189" s="228">
        <v>0</v>
      </c>
      <c r="CN189" s="229">
        <v>6.4500000000000002E-2</v>
      </c>
      <c r="CO189" s="228">
        <v>607</v>
      </c>
      <c r="CP189" s="228">
        <v>590</v>
      </c>
      <c r="CQ189" s="228">
        <v>16</v>
      </c>
      <c r="CR189" s="229">
        <v>2.7300000000000001E-2</v>
      </c>
      <c r="CS189" s="228">
        <v>289</v>
      </c>
      <c r="CT189" s="228">
        <v>282</v>
      </c>
      <c r="CU189" s="228">
        <v>7</v>
      </c>
      <c r="CV189" s="229">
        <v>2.3300000000000001E-2</v>
      </c>
      <c r="CW189" s="230">
        <v>1631</v>
      </c>
      <c r="CX189" s="230">
        <v>1591</v>
      </c>
      <c r="CY189" s="228">
        <v>40</v>
      </c>
      <c r="CZ189" s="229">
        <v>2.5100000000000001E-2</v>
      </c>
      <c r="DA189" s="228">
        <v>37.369999999999997</v>
      </c>
      <c r="DB189" s="228">
        <v>39.119999999999997</v>
      </c>
      <c r="DC189" s="228">
        <v>-1.75</v>
      </c>
      <c r="DD189" s="228">
        <v>-1.75</v>
      </c>
      <c r="DE189" s="228">
        <v>38.25</v>
      </c>
      <c r="DF189" s="228">
        <v>38.340000000000003</v>
      </c>
      <c r="DG189" s="228">
        <v>-0.88</v>
      </c>
      <c r="DH189" s="228">
        <v>-0.09</v>
      </c>
      <c r="DI189" s="228">
        <v>38.24</v>
      </c>
      <c r="DJ189" s="228">
        <v>38.97</v>
      </c>
      <c r="DK189" s="228">
        <v>-0.73</v>
      </c>
      <c r="DL189" s="228">
        <v>-0.73</v>
      </c>
      <c r="DM189" s="228">
        <v>34.659999999999997</v>
      </c>
      <c r="DN189" s="228">
        <v>39.36</v>
      </c>
      <c r="DO189" s="228">
        <v>-4.7</v>
      </c>
      <c r="DP189" s="228">
        <v>-4.7</v>
      </c>
      <c r="DQ189" s="228">
        <v>0.48</v>
      </c>
      <c r="DR189" s="228">
        <v>0.48</v>
      </c>
      <c r="DS189" s="228">
        <v>0</v>
      </c>
      <c r="DT189" s="229">
        <v>0</v>
      </c>
      <c r="DU189" s="231">
        <v>5000</v>
      </c>
      <c r="DV189" s="231">
        <v>4600</v>
      </c>
      <c r="DW189" s="228">
        <v>0.32</v>
      </c>
      <c r="DX189" s="228">
        <v>0.62</v>
      </c>
      <c r="DY189" s="228">
        <v>-0.3</v>
      </c>
      <c r="DZ189" s="229">
        <v>-0.4839</v>
      </c>
      <c r="EA189" s="229">
        <v>5.5800000000000002E-2</v>
      </c>
      <c r="EB189" s="230">
        <v>77400</v>
      </c>
      <c r="EC189" s="229">
        <v>-2.9999999999999997E-4</v>
      </c>
      <c r="ED189" s="229">
        <v>5.5800000000000002E-2</v>
      </c>
      <c r="EE189" s="228">
        <v>-5.56</v>
      </c>
      <c r="EF189" s="229">
        <v>-1.2999999999999999E-3</v>
      </c>
      <c r="EG189" s="230">
        <v>78228</v>
      </c>
      <c r="EH189" s="230">
        <v>134572</v>
      </c>
      <c r="EI189" s="229">
        <v>-0.41870000000000002</v>
      </c>
      <c r="EJ189" s="229">
        <v>0.38109999999999999</v>
      </c>
      <c r="EK189" s="228">
        <v>475.39</v>
      </c>
      <c r="EL189" s="228">
        <v>135.97</v>
      </c>
      <c r="EM189" s="228">
        <v>146.19999999999999</v>
      </c>
      <c r="EN189" s="228">
        <v>44.2</v>
      </c>
      <c r="EO189" s="228">
        <v>757.56</v>
      </c>
      <c r="EP189" s="228">
        <v>867.52</v>
      </c>
      <c r="EQ189" s="228">
        <v>-109.96</v>
      </c>
      <c r="ER189" s="229">
        <v>-0.1268</v>
      </c>
      <c r="ES189" s="228">
        <v>689.04</v>
      </c>
      <c r="ET189" s="228">
        <v>298.13</v>
      </c>
      <c r="EU189" s="228">
        <v>735.3</v>
      </c>
      <c r="EV189" s="231">
        <v>5241546</v>
      </c>
      <c r="EW189" s="231">
        <v>1722.47</v>
      </c>
      <c r="EX189" s="231">
        <v>1677.93</v>
      </c>
      <c r="EY189" s="228">
        <v>44.54</v>
      </c>
      <c r="EZ189" s="229">
        <v>2.6499999999999999E-2</v>
      </c>
      <c r="FA189" s="229">
        <v>0.71030000000000004</v>
      </c>
      <c r="FB189" s="227" t="s">
        <v>555</v>
      </c>
      <c r="FC189">
        <f t="shared" si="3"/>
        <v>0</v>
      </c>
    </row>
    <row r="190" spans="1:159" ht="17.25" thickBot="1" x14ac:dyDescent="0.3">
      <c r="A190" s="226">
        <v>46086</v>
      </c>
      <c r="B190" s="227" t="s">
        <v>161</v>
      </c>
      <c r="C190" s="227" t="s">
        <v>293</v>
      </c>
      <c r="D190" s="228">
        <v>1450</v>
      </c>
      <c r="E190" s="228">
        <v>25</v>
      </c>
      <c r="F190" s="228">
        <v>378.65</v>
      </c>
      <c r="G190" s="228">
        <v>367.5</v>
      </c>
      <c r="H190" s="228">
        <v>11.15</v>
      </c>
      <c r="I190" s="229">
        <v>3.0300000000000001E-2</v>
      </c>
      <c r="J190" s="228">
        <v>376.85</v>
      </c>
      <c r="K190" s="228">
        <v>365.85</v>
      </c>
      <c r="L190" s="228">
        <v>11</v>
      </c>
      <c r="M190" s="229">
        <v>3.0099999999999998E-2</v>
      </c>
      <c r="N190" s="228">
        <v>378.65</v>
      </c>
      <c r="O190" s="228">
        <v>367.5</v>
      </c>
      <c r="P190" s="228">
        <v>11.15</v>
      </c>
      <c r="Q190" s="229">
        <v>3.0300000000000001E-2</v>
      </c>
      <c r="R190" s="228">
        <v>381</v>
      </c>
      <c r="S190" s="228">
        <v>369.85</v>
      </c>
      <c r="T190" s="228">
        <v>11.15</v>
      </c>
      <c r="U190" s="229">
        <v>3.0099999999999998E-2</v>
      </c>
      <c r="V190" s="228">
        <v>383.2</v>
      </c>
      <c r="W190" s="228">
        <v>371.75</v>
      </c>
      <c r="X190" s="228">
        <v>11.45</v>
      </c>
      <c r="Y190" s="229">
        <v>3.0800000000000001E-2</v>
      </c>
      <c r="Z190" s="228">
        <v>1.8</v>
      </c>
      <c r="AA190" s="228">
        <v>1.65</v>
      </c>
      <c r="AB190" s="228">
        <v>0.15</v>
      </c>
      <c r="AC190" s="229">
        <v>4.7999999999999996E-3</v>
      </c>
      <c r="AD190" s="228">
        <v>1.8</v>
      </c>
      <c r="AE190" s="228">
        <v>1.65</v>
      </c>
      <c r="AF190" s="228">
        <v>0.15</v>
      </c>
      <c r="AG190" s="229">
        <v>4.7999999999999996E-3</v>
      </c>
      <c r="AH190" s="228">
        <v>4.1500000000000004</v>
      </c>
      <c r="AI190" s="228">
        <v>4</v>
      </c>
      <c r="AJ190" s="228">
        <v>0.15</v>
      </c>
      <c r="AK190" s="229">
        <v>1.0999999999999999E-2</v>
      </c>
      <c r="AL190" s="228">
        <v>6.35</v>
      </c>
      <c r="AM190" s="228">
        <v>5.9</v>
      </c>
      <c r="AN190" s="228">
        <v>0.45</v>
      </c>
      <c r="AO190" s="229">
        <v>1.6899999999999998E-2</v>
      </c>
      <c r="AP190" s="228">
        <v>376.63</v>
      </c>
      <c r="AQ190" s="228">
        <v>378.54</v>
      </c>
      <c r="AR190" s="228">
        <v>0</v>
      </c>
      <c r="AS190" s="228">
        <v>439</v>
      </c>
      <c r="AT190" s="228">
        <v>353</v>
      </c>
      <c r="AU190" s="228">
        <v>85</v>
      </c>
      <c r="AV190" s="229">
        <v>0.24179999999999999</v>
      </c>
      <c r="AW190" s="228">
        <v>418</v>
      </c>
      <c r="AX190" s="228">
        <v>324</v>
      </c>
      <c r="AY190" s="228">
        <v>94</v>
      </c>
      <c r="AZ190" s="229">
        <v>0.29139999999999999</v>
      </c>
      <c r="BA190" s="228">
        <v>18</v>
      </c>
      <c r="BB190" s="228">
        <v>26</v>
      </c>
      <c r="BC190" s="228">
        <v>-8</v>
      </c>
      <c r="BD190" s="229">
        <v>-0.31</v>
      </c>
      <c r="BE190" s="228">
        <v>3</v>
      </c>
      <c r="BF190" s="228">
        <v>4</v>
      </c>
      <c r="BG190" s="228">
        <v>-1</v>
      </c>
      <c r="BH190" s="229">
        <v>-0.26150000000000001</v>
      </c>
      <c r="BI190" s="230">
        <v>1433</v>
      </c>
      <c r="BJ190" s="230">
        <v>1133</v>
      </c>
      <c r="BK190" s="228">
        <v>300</v>
      </c>
      <c r="BL190" s="229">
        <v>0.26529999999999998</v>
      </c>
      <c r="BM190" s="228">
        <v>716</v>
      </c>
      <c r="BN190" s="228">
        <v>702</v>
      </c>
      <c r="BO190" s="228">
        <v>14</v>
      </c>
      <c r="BP190" s="229">
        <v>1.9599999999999999E-2</v>
      </c>
      <c r="BQ190" s="230">
        <v>2588</v>
      </c>
      <c r="BR190" s="230">
        <v>2188</v>
      </c>
      <c r="BS190" s="228">
        <v>400</v>
      </c>
      <c r="BT190" s="229">
        <v>0.18260000000000001</v>
      </c>
      <c r="BU190" s="230">
        <v>6329693</v>
      </c>
      <c r="BV190" s="230">
        <v>5963515</v>
      </c>
      <c r="BW190" s="230">
        <v>366178</v>
      </c>
      <c r="BX190" s="229">
        <v>6.1400000000000003E-2</v>
      </c>
      <c r="BY190" s="230">
        <v>1871</v>
      </c>
      <c r="BZ190" s="230">
        <v>1895</v>
      </c>
      <c r="CA190" s="228">
        <v>-25</v>
      </c>
      <c r="CB190" s="229">
        <v>-1.2999999999999999E-2</v>
      </c>
      <c r="CC190" s="230">
        <v>1805</v>
      </c>
      <c r="CD190" s="230">
        <v>1830</v>
      </c>
      <c r="CE190" s="228">
        <v>-25</v>
      </c>
      <c r="CF190" s="229">
        <v>-1.38E-2</v>
      </c>
      <c r="CG190" s="228">
        <v>60</v>
      </c>
      <c r="CH190" s="228">
        <v>60</v>
      </c>
      <c r="CI190" s="228">
        <v>0</v>
      </c>
      <c r="CJ190" s="229">
        <v>-6.4000000000000003E-3</v>
      </c>
      <c r="CK190" s="228">
        <v>6</v>
      </c>
      <c r="CL190" s="228">
        <v>5</v>
      </c>
      <c r="CM190" s="228">
        <v>1</v>
      </c>
      <c r="CN190" s="229">
        <v>0.2</v>
      </c>
      <c r="CO190" s="230">
        <v>1131</v>
      </c>
      <c r="CP190" s="230">
        <v>1164</v>
      </c>
      <c r="CQ190" s="228">
        <v>-33</v>
      </c>
      <c r="CR190" s="229">
        <v>-2.7900000000000001E-2</v>
      </c>
      <c r="CS190" s="228">
        <v>810</v>
      </c>
      <c r="CT190" s="228">
        <v>779</v>
      </c>
      <c r="CU190" s="228">
        <v>31</v>
      </c>
      <c r="CV190" s="229">
        <v>3.95E-2</v>
      </c>
      <c r="CW190" s="230">
        <v>3812</v>
      </c>
      <c r="CX190" s="230">
        <v>3838</v>
      </c>
      <c r="CY190" s="228">
        <v>-26</v>
      </c>
      <c r="CZ190" s="229">
        <v>-6.8999999999999999E-3</v>
      </c>
      <c r="DA190" s="228">
        <v>25.44</v>
      </c>
      <c r="DB190" s="228">
        <v>28.03</v>
      </c>
      <c r="DC190" s="228">
        <v>-2.59</v>
      </c>
      <c r="DD190" s="228">
        <v>-2.59</v>
      </c>
      <c r="DE190" s="228">
        <v>31.29</v>
      </c>
      <c r="DF190" s="228">
        <v>31.11</v>
      </c>
      <c r="DG190" s="228">
        <v>-5.85</v>
      </c>
      <c r="DH190" s="228">
        <v>0.18</v>
      </c>
      <c r="DI190" s="228">
        <v>24.96</v>
      </c>
      <c r="DJ190" s="228">
        <v>27.67</v>
      </c>
      <c r="DK190" s="228">
        <v>-2.71</v>
      </c>
      <c r="DL190" s="228">
        <v>-2.71</v>
      </c>
      <c r="DM190" s="228">
        <v>26.41</v>
      </c>
      <c r="DN190" s="228">
        <v>28.63</v>
      </c>
      <c r="DO190" s="228">
        <v>-2.2200000000000002</v>
      </c>
      <c r="DP190" s="228">
        <v>-2.2200000000000002</v>
      </c>
      <c r="DQ190" s="228">
        <v>0.72</v>
      </c>
      <c r="DR190" s="228">
        <v>0.67</v>
      </c>
      <c r="DS190" s="228">
        <v>0.05</v>
      </c>
      <c r="DT190" s="229">
        <v>7.46E-2</v>
      </c>
      <c r="DU190" s="228">
        <v>420</v>
      </c>
      <c r="DV190" s="228">
        <v>380</v>
      </c>
      <c r="DW190" s="228">
        <v>0.5</v>
      </c>
      <c r="DX190" s="228">
        <v>0.62</v>
      </c>
      <c r="DY190" s="228">
        <v>-0.12</v>
      </c>
      <c r="DZ190" s="229">
        <v>-0.19350000000000001</v>
      </c>
      <c r="EA190" s="229">
        <v>3.5400000000000001E-2</v>
      </c>
      <c r="EB190" s="230">
        <v>1731300</v>
      </c>
      <c r="EC190" s="229">
        <v>6.1999999999999998E-3</v>
      </c>
      <c r="ED190" s="229">
        <v>3.5400000000000001E-2</v>
      </c>
      <c r="EE190" s="228">
        <v>1.91</v>
      </c>
      <c r="EF190" s="229">
        <v>5.1000000000000004E-3</v>
      </c>
      <c r="EG190" s="230">
        <v>2834115</v>
      </c>
      <c r="EH190" s="230">
        <v>2968078</v>
      </c>
      <c r="EI190" s="229">
        <v>-4.5100000000000001E-2</v>
      </c>
      <c r="EJ190" s="229">
        <v>0.44769999999999999</v>
      </c>
      <c r="EK190" s="231">
        <v>1496.53</v>
      </c>
      <c r="EL190" s="228">
        <v>704.7</v>
      </c>
      <c r="EM190" s="228">
        <v>436.52</v>
      </c>
      <c r="EN190" s="228">
        <v>46.63</v>
      </c>
      <c r="EO190" s="231">
        <v>2637.76</v>
      </c>
      <c r="EP190" s="231">
        <v>2190.48</v>
      </c>
      <c r="EQ190" s="228">
        <v>447.28</v>
      </c>
      <c r="ER190" s="229">
        <v>0.20419999999999999</v>
      </c>
      <c r="ES190" s="231">
        <v>1195.78</v>
      </c>
      <c r="ET190" s="228">
        <v>813.01</v>
      </c>
      <c r="EU190" s="231">
        <v>1871.25</v>
      </c>
      <c r="EV190" s="231">
        <v>202215001</v>
      </c>
      <c r="EW190" s="231">
        <v>3880.04</v>
      </c>
      <c r="EX190" s="231">
        <v>3853.07</v>
      </c>
      <c r="EY190" s="228">
        <v>26.97</v>
      </c>
      <c r="EZ190" s="229">
        <v>7.0000000000000001E-3</v>
      </c>
      <c r="FA190" s="229">
        <v>0.49780000000000002</v>
      </c>
      <c r="FB190" s="227" t="s">
        <v>556</v>
      </c>
      <c r="FC190">
        <f t="shared" si="3"/>
        <v>0</v>
      </c>
    </row>
    <row r="191" spans="1:159" ht="17.25" thickBot="1" x14ac:dyDescent="0.3">
      <c r="A191" s="226">
        <v>46086</v>
      </c>
      <c r="B191" s="227" t="s">
        <v>227</v>
      </c>
      <c r="C191" s="227" t="s">
        <v>294</v>
      </c>
      <c r="D191" s="228">
        <v>5500</v>
      </c>
      <c r="E191" s="228">
        <v>25</v>
      </c>
      <c r="F191" s="228">
        <v>200.9</v>
      </c>
      <c r="G191" s="228">
        <v>197.06</v>
      </c>
      <c r="H191" s="228">
        <v>3.84</v>
      </c>
      <c r="I191" s="229">
        <v>1.95E-2</v>
      </c>
      <c r="J191" s="228">
        <v>200.57</v>
      </c>
      <c r="K191" s="228">
        <v>196.73</v>
      </c>
      <c r="L191" s="228">
        <v>3.84</v>
      </c>
      <c r="M191" s="229">
        <v>1.95E-2</v>
      </c>
      <c r="N191" s="228">
        <v>200.9</v>
      </c>
      <c r="O191" s="228">
        <v>197.06</v>
      </c>
      <c r="P191" s="228">
        <v>3.84</v>
      </c>
      <c r="Q191" s="229">
        <v>1.95E-2</v>
      </c>
      <c r="R191" s="228">
        <v>202.31</v>
      </c>
      <c r="S191" s="228">
        <v>198.38</v>
      </c>
      <c r="T191" s="228">
        <v>3.93</v>
      </c>
      <c r="U191" s="229">
        <v>1.9800000000000002E-2</v>
      </c>
      <c r="V191" s="228">
        <v>203.36</v>
      </c>
      <c r="W191" s="228">
        <v>199.4</v>
      </c>
      <c r="X191" s="228">
        <v>3.96</v>
      </c>
      <c r="Y191" s="229">
        <v>1.9900000000000001E-2</v>
      </c>
      <c r="Z191" s="228">
        <v>0.33</v>
      </c>
      <c r="AA191" s="228">
        <v>0.33</v>
      </c>
      <c r="AB191" s="228">
        <v>0</v>
      </c>
      <c r="AC191" s="229">
        <v>1.6000000000000001E-3</v>
      </c>
      <c r="AD191" s="228">
        <v>0.33</v>
      </c>
      <c r="AE191" s="228">
        <v>0.33</v>
      </c>
      <c r="AF191" s="228">
        <v>0</v>
      </c>
      <c r="AG191" s="229">
        <v>1.6000000000000001E-3</v>
      </c>
      <c r="AH191" s="228">
        <v>1.74</v>
      </c>
      <c r="AI191" s="228">
        <v>1.65</v>
      </c>
      <c r="AJ191" s="228">
        <v>0.09</v>
      </c>
      <c r="AK191" s="229">
        <v>8.6999999999999994E-3</v>
      </c>
      <c r="AL191" s="228">
        <v>2.79</v>
      </c>
      <c r="AM191" s="228">
        <v>2.67</v>
      </c>
      <c r="AN191" s="228">
        <v>0.12</v>
      </c>
      <c r="AO191" s="229">
        <v>1.3899999999999999E-2</v>
      </c>
      <c r="AP191" s="228">
        <v>200.63</v>
      </c>
      <c r="AQ191" s="228">
        <v>201.88</v>
      </c>
      <c r="AR191" s="228">
        <v>0</v>
      </c>
      <c r="AS191" s="230">
        <v>1573</v>
      </c>
      <c r="AT191" s="230">
        <v>2386</v>
      </c>
      <c r="AU191" s="228">
        <v>-813</v>
      </c>
      <c r="AV191" s="229">
        <v>-0.34060000000000001</v>
      </c>
      <c r="AW191" s="230">
        <v>1438</v>
      </c>
      <c r="AX191" s="230">
        <v>1923</v>
      </c>
      <c r="AY191" s="228">
        <v>-486</v>
      </c>
      <c r="AZ191" s="229">
        <v>-0.2525</v>
      </c>
      <c r="BA191" s="228">
        <v>111</v>
      </c>
      <c r="BB191" s="228">
        <v>202</v>
      </c>
      <c r="BC191" s="228">
        <v>-91</v>
      </c>
      <c r="BD191" s="229">
        <v>-0.44979999999999998</v>
      </c>
      <c r="BE191" s="228">
        <v>24</v>
      </c>
      <c r="BF191" s="228">
        <v>260</v>
      </c>
      <c r="BG191" s="228">
        <v>-236</v>
      </c>
      <c r="BH191" s="229">
        <v>-0.90620000000000001</v>
      </c>
      <c r="BI191" s="230">
        <v>3866</v>
      </c>
      <c r="BJ191" s="230">
        <v>5468</v>
      </c>
      <c r="BK191" s="230">
        <v>-1602</v>
      </c>
      <c r="BL191" s="229">
        <v>-0.29299999999999998</v>
      </c>
      <c r="BM191" s="230">
        <v>1990</v>
      </c>
      <c r="BN191" s="230">
        <v>5137</v>
      </c>
      <c r="BO191" s="230">
        <v>-3147</v>
      </c>
      <c r="BP191" s="229">
        <v>-0.61260000000000003</v>
      </c>
      <c r="BQ191" s="230">
        <v>7430</v>
      </c>
      <c r="BR191" s="230">
        <v>12992</v>
      </c>
      <c r="BS191" s="230">
        <v>-5562</v>
      </c>
      <c r="BT191" s="229">
        <v>-0.42809999999999998</v>
      </c>
      <c r="BU191" s="230">
        <v>43604544</v>
      </c>
      <c r="BV191" s="230">
        <v>75007940</v>
      </c>
      <c r="BW191" s="230">
        <v>-31403396</v>
      </c>
      <c r="BX191" s="229">
        <v>-0.41870000000000002</v>
      </c>
      <c r="BY191" s="230">
        <v>4517</v>
      </c>
      <c r="BZ191" s="230">
        <v>4531</v>
      </c>
      <c r="CA191" s="228">
        <v>-14</v>
      </c>
      <c r="CB191" s="229">
        <v>-3.0000000000000001E-3</v>
      </c>
      <c r="CC191" s="230">
        <v>4001</v>
      </c>
      <c r="CD191" s="230">
        <v>4012</v>
      </c>
      <c r="CE191" s="228">
        <v>-11</v>
      </c>
      <c r="CF191" s="229">
        <v>-2.8E-3</v>
      </c>
      <c r="CG191" s="228">
        <v>308</v>
      </c>
      <c r="CH191" s="228">
        <v>312</v>
      </c>
      <c r="CI191" s="228">
        <v>-4</v>
      </c>
      <c r="CJ191" s="229">
        <v>-1.3100000000000001E-2</v>
      </c>
      <c r="CK191" s="228">
        <v>209</v>
      </c>
      <c r="CL191" s="228">
        <v>207</v>
      </c>
      <c r="CM191" s="228">
        <v>2</v>
      </c>
      <c r="CN191" s="229">
        <v>8.6E-3</v>
      </c>
      <c r="CO191" s="230">
        <v>2374</v>
      </c>
      <c r="CP191" s="230">
        <v>2341</v>
      </c>
      <c r="CQ191" s="228">
        <v>33</v>
      </c>
      <c r="CR191" s="229">
        <v>1.4E-2</v>
      </c>
      <c r="CS191" s="230">
        <v>1595</v>
      </c>
      <c r="CT191" s="230">
        <v>1640</v>
      </c>
      <c r="CU191" s="228">
        <v>-44</v>
      </c>
      <c r="CV191" s="229">
        <v>-2.7099999999999999E-2</v>
      </c>
      <c r="CW191" s="230">
        <v>8486</v>
      </c>
      <c r="CX191" s="230">
        <v>8511</v>
      </c>
      <c r="CY191" s="228">
        <v>-25</v>
      </c>
      <c r="CZ191" s="229">
        <v>-3.0000000000000001E-3</v>
      </c>
      <c r="DA191" s="228">
        <v>31.97</v>
      </c>
      <c r="DB191" s="228">
        <v>36.74</v>
      </c>
      <c r="DC191" s="228">
        <v>-4.7699999999999996</v>
      </c>
      <c r="DD191" s="228">
        <v>-4.7699999999999996</v>
      </c>
      <c r="DE191" s="228">
        <v>34.82</v>
      </c>
      <c r="DF191" s="228">
        <v>34.81</v>
      </c>
      <c r="DG191" s="228">
        <v>-2.85</v>
      </c>
      <c r="DH191" s="228">
        <v>0.01</v>
      </c>
      <c r="DI191" s="228">
        <v>31.6</v>
      </c>
      <c r="DJ191" s="228">
        <v>35.85</v>
      </c>
      <c r="DK191" s="228">
        <v>-4.25</v>
      </c>
      <c r="DL191" s="228">
        <v>-4.25</v>
      </c>
      <c r="DM191" s="228">
        <v>32.68</v>
      </c>
      <c r="DN191" s="228">
        <v>37.69</v>
      </c>
      <c r="DO191" s="228">
        <v>-5.01</v>
      </c>
      <c r="DP191" s="228">
        <v>-5.01</v>
      </c>
      <c r="DQ191" s="228">
        <v>0.67</v>
      </c>
      <c r="DR191" s="228">
        <v>0.7</v>
      </c>
      <c r="DS191" s="228">
        <v>-0.03</v>
      </c>
      <c r="DT191" s="229">
        <v>-4.2900000000000001E-2</v>
      </c>
      <c r="DU191" s="228">
        <v>220</v>
      </c>
      <c r="DV191" s="228">
        <v>200</v>
      </c>
      <c r="DW191" s="228">
        <v>0.51</v>
      </c>
      <c r="DX191" s="228">
        <v>0.94</v>
      </c>
      <c r="DY191" s="228">
        <v>-0.43</v>
      </c>
      <c r="DZ191" s="229">
        <v>-0.45739999999999997</v>
      </c>
      <c r="EA191" s="229">
        <v>0.1143</v>
      </c>
      <c r="EB191" s="230">
        <v>25822500</v>
      </c>
      <c r="EC191" s="229">
        <v>7.0000000000000001E-3</v>
      </c>
      <c r="ED191" s="229">
        <v>0.1143</v>
      </c>
      <c r="EE191" s="228">
        <v>1.25</v>
      </c>
      <c r="EF191" s="229">
        <v>6.1999999999999998E-3</v>
      </c>
      <c r="EG191" s="230">
        <v>15697744</v>
      </c>
      <c r="EH191" s="230">
        <v>28944207</v>
      </c>
      <c r="EI191" s="229">
        <v>-0.4577</v>
      </c>
      <c r="EJ191" s="229">
        <v>0.36</v>
      </c>
      <c r="EK191" s="231">
        <v>4116.41</v>
      </c>
      <c r="EL191" s="231">
        <v>1944.08</v>
      </c>
      <c r="EM191" s="231">
        <v>1572.31</v>
      </c>
      <c r="EN191" s="228">
        <v>111.12</v>
      </c>
      <c r="EO191" s="231">
        <v>7632.81</v>
      </c>
      <c r="EP191" s="231">
        <v>13244.35</v>
      </c>
      <c r="EQ191" s="231">
        <v>-5611.54</v>
      </c>
      <c r="ER191" s="229">
        <v>-0.42370000000000002</v>
      </c>
      <c r="ES191" s="231">
        <v>2530.17</v>
      </c>
      <c r="ET191" s="231">
        <v>1565.2</v>
      </c>
      <c r="EU191" s="231">
        <v>4521.75</v>
      </c>
      <c r="EV191" s="231">
        <v>872935214</v>
      </c>
      <c r="EW191" s="231">
        <v>8617.1299999999992</v>
      </c>
      <c r="EX191" s="231">
        <v>8544.26</v>
      </c>
      <c r="EY191" s="228">
        <v>72.87</v>
      </c>
      <c r="EZ191" s="229">
        <v>8.5000000000000006E-3</v>
      </c>
      <c r="FA191" s="229">
        <v>0.4839</v>
      </c>
      <c r="FB191" s="227" t="s">
        <v>556</v>
      </c>
      <c r="FC191">
        <f t="shared" si="3"/>
        <v>0</v>
      </c>
    </row>
    <row r="192" spans="1:159" ht="17.25" thickBot="1" x14ac:dyDescent="0.3">
      <c r="A192" s="226">
        <v>46086</v>
      </c>
      <c r="B192" s="227" t="s">
        <v>221</v>
      </c>
      <c r="C192" s="227" t="s">
        <v>663</v>
      </c>
      <c r="D192" s="228">
        <v>800</v>
      </c>
      <c r="E192" s="228">
        <v>25</v>
      </c>
      <c r="F192" s="228">
        <v>578.85</v>
      </c>
      <c r="G192" s="228">
        <v>574.79999999999995</v>
      </c>
      <c r="H192" s="228">
        <v>4.05</v>
      </c>
      <c r="I192" s="229">
        <v>7.0000000000000001E-3</v>
      </c>
      <c r="J192" s="228">
        <v>576.1</v>
      </c>
      <c r="K192" s="228">
        <v>571.95000000000005</v>
      </c>
      <c r="L192" s="228">
        <v>4.1500000000000004</v>
      </c>
      <c r="M192" s="229">
        <v>7.3000000000000001E-3</v>
      </c>
      <c r="N192" s="228">
        <v>578.85</v>
      </c>
      <c r="O192" s="228">
        <v>574.79999999999995</v>
      </c>
      <c r="P192" s="228">
        <v>4.05</v>
      </c>
      <c r="Q192" s="229">
        <v>7.0000000000000001E-3</v>
      </c>
      <c r="R192" s="228">
        <v>581.5</v>
      </c>
      <c r="S192" s="228">
        <v>576.95000000000005</v>
      </c>
      <c r="T192" s="228">
        <v>4.55</v>
      </c>
      <c r="U192" s="229">
        <v>7.9000000000000008E-3</v>
      </c>
      <c r="V192" s="228">
        <v>0</v>
      </c>
      <c r="W192" s="228">
        <v>0</v>
      </c>
      <c r="X192" s="228">
        <v>0</v>
      </c>
      <c r="Y192" s="229">
        <v>0</v>
      </c>
      <c r="Z192" s="228">
        <v>2.75</v>
      </c>
      <c r="AA192" s="228">
        <v>2.85</v>
      </c>
      <c r="AB192" s="228">
        <v>-0.1</v>
      </c>
      <c r="AC192" s="229">
        <v>4.7999999999999996E-3</v>
      </c>
      <c r="AD192" s="228">
        <v>2.75</v>
      </c>
      <c r="AE192" s="228">
        <v>2.85</v>
      </c>
      <c r="AF192" s="228">
        <v>-0.1</v>
      </c>
      <c r="AG192" s="229">
        <v>4.7999999999999996E-3</v>
      </c>
      <c r="AH192" s="228">
        <v>5.4</v>
      </c>
      <c r="AI192" s="228">
        <v>5</v>
      </c>
      <c r="AJ192" s="228">
        <v>0.4</v>
      </c>
      <c r="AK192" s="229">
        <v>9.4000000000000004E-3</v>
      </c>
      <c r="AL192" s="228">
        <v>0</v>
      </c>
      <c r="AM192" s="228">
        <v>0</v>
      </c>
      <c r="AN192" s="228">
        <v>0</v>
      </c>
      <c r="AO192" s="229">
        <v>0</v>
      </c>
      <c r="AP192" s="228">
        <v>576.04999999999995</v>
      </c>
      <c r="AQ192" s="228">
        <v>578.48</v>
      </c>
      <c r="AR192" s="228">
        <v>0</v>
      </c>
      <c r="AS192" s="228">
        <v>82</v>
      </c>
      <c r="AT192" s="228">
        <v>99</v>
      </c>
      <c r="AU192" s="228">
        <v>-18</v>
      </c>
      <c r="AV192" s="229">
        <v>-0.17749999999999999</v>
      </c>
      <c r="AW192" s="228">
        <v>73</v>
      </c>
      <c r="AX192" s="228">
        <v>92</v>
      </c>
      <c r="AY192" s="228">
        <v>-19</v>
      </c>
      <c r="AZ192" s="229">
        <v>-0.20780000000000001</v>
      </c>
      <c r="BA192" s="228">
        <v>8</v>
      </c>
      <c r="BB192" s="228">
        <v>7</v>
      </c>
      <c r="BC192" s="228">
        <v>2</v>
      </c>
      <c r="BD192" s="229">
        <v>0.22819999999999999</v>
      </c>
      <c r="BE192" s="228">
        <v>0</v>
      </c>
      <c r="BF192" s="228">
        <v>0</v>
      </c>
      <c r="BG192" s="228">
        <v>0</v>
      </c>
      <c r="BH192" s="229">
        <v>0</v>
      </c>
      <c r="BI192" s="228">
        <v>85</v>
      </c>
      <c r="BJ192" s="228">
        <v>93</v>
      </c>
      <c r="BK192" s="228">
        <v>-8</v>
      </c>
      <c r="BL192" s="229">
        <v>-8.5699999999999998E-2</v>
      </c>
      <c r="BM192" s="228">
        <v>37</v>
      </c>
      <c r="BN192" s="228">
        <v>36</v>
      </c>
      <c r="BO192" s="228">
        <v>1</v>
      </c>
      <c r="BP192" s="229">
        <v>3.3500000000000002E-2</v>
      </c>
      <c r="BQ192" s="228">
        <v>204</v>
      </c>
      <c r="BR192" s="228">
        <v>228</v>
      </c>
      <c r="BS192" s="228">
        <v>-24</v>
      </c>
      <c r="BT192" s="229">
        <v>-0.1069</v>
      </c>
      <c r="BU192" s="230">
        <v>640646</v>
      </c>
      <c r="BV192" s="230">
        <v>996175</v>
      </c>
      <c r="BW192" s="230">
        <v>-355529</v>
      </c>
      <c r="BX192" s="229">
        <v>-0.3569</v>
      </c>
      <c r="BY192" s="228">
        <v>654</v>
      </c>
      <c r="BZ192" s="228">
        <v>659</v>
      </c>
      <c r="CA192" s="228">
        <v>-6</v>
      </c>
      <c r="CB192" s="229">
        <v>-8.6999999999999994E-3</v>
      </c>
      <c r="CC192" s="228">
        <v>606</v>
      </c>
      <c r="CD192" s="228">
        <v>611</v>
      </c>
      <c r="CE192" s="228">
        <v>-5</v>
      </c>
      <c r="CF192" s="229">
        <v>-8.8999999999999999E-3</v>
      </c>
      <c r="CG192" s="228">
        <v>48</v>
      </c>
      <c r="CH192" s="228">
        <v>48</v>
      </c>
      <c r="CI192" s="228">
        <v>0</v>
      </c>
      <c r="CJ192" s="229">
        <v>-6.7999999999999996E-3</v>
      </c>
      <c r="CK192" s="228">
        <v>0</v>
      </c>
      <c r="CL192" s="228">
        <v>0</v>
      </c>
      <c r="CM192" s="228">
        <v>0</v>
      </c>
      <c r="CN192" s="229">
        <v>0</v>
      </c>
      <c r="CO192" s="228">
        <v>232</v>
      </c>
      <c r="CP192" s="228">
        <v>230</v>
      </c>
      <c r="CQ192" s="228">
        <v>2</v>
      </c>
      <c r="CR192" s="229">
        <v>1.03E-2</v>
      </c>
      <c r="CS192" s="228">
        <v>144</v>
      </c>
      <c r="CT192" s="228">
        <v>147</v>
      </c>
      <c r="CU192" s="228">
        <v>-3</v>
      </c>
      <c r="CV192" s="229">
        <v>-1.95E-2</v>
      </c>
      <c r="CW192" s="230">
        <v>1031</v>
      </c>
      <c r="CX192" s="230">
        <v>1037</v>
      </c>
      <c r="CY192" s="228">
        <v>-6</v>
      </c>
      <c r="CZ192" s="229">
        <v>-6.0000000000000001E-3</v>
      </c>
      <c r="DA192" s="228">
        <v>29.97</v>
      </c>
      <c r="DB192" s="228">
        <v>34.14</v>
      </c>
      <c r="DC192" s="228">
        <v>-4.17</v>
      </c>
      <c r="DD192" s="228">
        <v>-4.17</v>
      </c>
      <c r="DE192" s="228">
        <v>30.77</v>
      </c>
      <c r="DF192" s="228">
        <v>30.83</v>
      </c>
      <c r="DG192" s="228">
        <v>-0.8</v>
      </c>
      <c r="DH192" s="228">
        <v>-0.06</v>
      </c>
      <c r="DI192" s="228">
        <v>29.07</v>
      </c>
      <c r="DJ192" s="228">
        <v>34.06</v>
      </c>
      <c r="DK192" s="228">
        <v>-4.99</v>
      </c>
      <c r="DL192" s="228">
        <v>-4.99</v>
      </c>
      <c r="DM192" s="228">
        <v>32.04</v>
      </c>
      <c r="DN192" s="228">
        <v>34.36</v>
      </c>
      <c r="DO192" s="228">
        <v>-2.3199999999999998</v>
      </c>
      <c r="DP192" s="228">
        <v>-2.3199999999999998</v>
      </c>
      <c r="DQ192" s="228">
        <v>0.62</v>
      </c>
      <c r="DR192" s="228">
        <v>0.64</v>
      </c>
      <c r="DS192" s="228">
        <v>-0.02</v>
      </c>
      <c r="DT192" s="229">
        <v>-3.1300000000000001E-2</v>
      </c>
      <c r="DU192" s="228">
        <v>700</v>
      </c>
      <c r="DV192" s="228">
        <v>600</v>
      </c>
      <c r="DW192" s="228">
        <v>0.44</v>
      </c>
      <c r="DX192" s="228">
        <v>0.39</v>
      </c>
      <c r="DY192" s="228">
        <v>0.05</v>
      </c>
      <c r="DZ192" s="229">
        <v>0.12820000000000001</v>
      </c>
      <c r="EA192" s="229">
        <v>7.2999999999999995E-2</v>
      </c>
      <c r="EB192" s="230">
        <v>829600</v>
      </c>
      <c r="EC192" s="229">
        <v>4.5999999999999999E-3</v>
      </c>
      <c r="ED192" s="229">
        <v>7.2999999999999995E-2</v>
      </c>
      <c r="EE192" s="228">
        <v>2.4300000000000002</v>
      </c>
      <c r="EF192" s="229">
        <v>4.1999999999999997E-3</v>
      </c>
      <c r="EG192" s="230">
        <v>300438</v>
      </c>
      <c r="EH192" s="230">
        <v>515853</v>
      </c>
      <c r="EI192" s="229">
        <v>-0.41760000000000003</v>
      </c>
      <c r="EJ192" s="229">
        <v>0.46899999999999997</v>
      </c>
      <c r="EK192" s="228">
        <v>93.27</v>
      </c>
      <c r="EL192" s="228">
        <v>35.53</v>
      </c>
      <c r="EM192" s="228">
        <v>81.37</v>
      </c>
      <c r="EN192" s="228">
        <v>23.32</v>
      </c>
      <c r="EO192" s="228">
        <v>210.17</v>
      </c>
      <c r="EP192" s="228">
        <v>236.26</v>
      </c>
      <c r="EQ192" s="228">
        <v>-26.09</v>
      </c>
      <c r="ER192" s="229">
        <v>-0.1104</v>
      </c>
      <c r="ES192" s="228">
        <v>258.07</v>
      </c>
      <c r="ET192" s="228">
        <v>149.47999999999999</v>
      </c>
      <c r="EU192" s="228">
        <v>653.9</v>
      </c>
      <c r="EV192" s="231">
        <v>25116370</v>
      </c>
      <c r="EW192" s="231">
        <v>1061.45</v>
      </c>
      <c r="EX192" s="231">
        <v>1062.49</v>
      </c>
      <c r="EY192" s="228">
        <v>-1.04</v>
      </c>
      <c r="EZ192" s="229">
        <v>-1E-3</v>
      </c>
      <c r="FA192" s="229">
        <v>0.70889999999999997</v>
      </c>
      <c r="FB192" s="227" t="s">
        <v>556</v>
      </c>
      <c r="FC192">
        <f t="shared" si="3"/>
        <v>0</v>
      </c>
    </row>
    <row r="193" spans="1:159" ht="17.25" thickBot="1" x14ac:dyDescent="0.3">
      <c r="A193" s="226">
        <v>46086</v>
      </c>
      <c r="B193" s="227" t="s">
        <v>221</v>
      </c>
      <c r="C193" s="227" t="s">
        <v>295</v>
      </c>
      <c r="D193" s="228">
        <v>175</v>
      </c>
      <c r="E193" s="228">
        <v>25</v>
      </c>
      <c r="F193" s="231">
        <v>2589.5</v>
      </c>
      <c r="G193" s="231">
        <v>2597</v>
      </c>
      <c r="H193" s="228">
        <v>-7.5</v>
      </c>
      <c r="I193" s="229">
        <v>-2.8999999999999998E-3</v>
      </c>
      <c r="J193" s="231">
        <v>2578.8000000000002</v>
      </c>
      <c r="K193" s="231">
        <v>2587.8000000000002</v>
      </c>
      <c r="L193" s="228">
        <v>-9</v>
      </c>
      <c r="M193" s="229">
        <v>-3.5000000000000001E-3</v>
      </c>
      <c r="N193" s="231">
        <v>2589.5</v>
      </c>
      <c r="O193" s="231">
        <v>2597</v>
      </c>
      <c r="P193" s="228">
        <v>-7.5</v>
      </c>
      <c r="Q193" s="229">
        <v>-2.8999999999999998E-3</v>
      </c>
      <c r="R193" s="231">
        <v>2599.9</v>
      </c>
      <c r="S193" s="231">
        <v>2607.1999999999998</v>
      </c>
      <c r="T193" s="228">
        <v>-7.3</v>
      </c>
      <c r="U193" s="229">
        <v>-2.8E-3</v>
      </c>
      <c r="V193" s="231">
        <v>2603.6999999999998</v>
      </c>
      <c r="W193" s="231">
        <v>2612.8000000000002</v>
      </c>
      <c r="X193" s="228">
        <v>-9.1</v>
      </c>
      <c r="Y193" s="229">
        <v>-3.5000000000000001E-3</v>
      </c>
      <c r="Z193" s="228">
        <v>10.7</v>
      </c>
      <c r="AA193" s="228">
        <v>9.1999999999999993</v>
      </c>
      <c r="AB193" s="228">
        <v>1.5</v>
      </c>
      <c r="AC193" s="229">
        <v>4.1000000000000003E-3</v>
      </c>
      <c r="AD193" s="228">
        <v>10.7</v>
      </c>
      <c r="AE193" s="228">
        <v>9.1999999999999993</v>
      </c>
      <c r="AF193" s="228">
        <v>1.5</v>
      </c>
      <c r="AG193" s="229">
        <v>4.1000000000000003E-3</v>
      </c>
      <c r="AH193" s="228">
        <v>21.1</v>
      </c>
      <c r="AI193" s="228">
        <v>19.399999999999999</v>
      </c>
      <c r="AJ193" s="228">
        <v>1.7</v>
      </c>
      <c r="AK193" s="229">
        <v>8.2000000000000007E-3</v>
      </c>
      <c r="AL193" s="228">
        <v>24.9</v>
      </c>
      <c r="AM193" s="228">
        <v>25</v>
      </c>
      <c r="AN193" s="228">
        <v>-0.1</v>
      </c>
      <c r="AO193" s="229">
        <v>9.7000000000000003E-3</v>
      </c>
      <c r="AP193" s="231">
        <v>2577.11</v>
      </c>
      <c r="AQ193" s="231">
        <v>2585.1799999999998</v>
      </c>
      <c r="AR193" s="228">
        <v>0</v>
      </c>
      <c r="AS193" s="228">
        <v>919</v>
      </c>
      <c r="AT193" s="228">
        <v>997</v>
      </c>
      <c r="AU193" s="228">
        <v>-78</v>
      </c>
      <c r="AV193" s="229">
        <v>-7.8200000000000006E-2</v>
      </c>
      <c r="AW193" s="228">
        <v>837</v>
      </c>
      <c r="AX193" s="228">
        <v>759</v>
      </c>
      <c r="AY193" s="228">
        <v>78</v>
      </c>
      <c r="AZ193" s="229">
        <v>0.10290000000000001</v>
      </c>
      <c r="BA193" s="228">
        <v>64</v>
      </c>
      <c r="BB193" s="228">
        <v>135</v>
      </c>
      <c r="BC193" s="228">
        <v>-71</v>
      </c>
      <c r="BD193" s="229">
        <v>-0.52680000000000005</v>
      </c>
      <c r="BE193" s="228">
        <v>17</v>
      </c>
      <c r="BF193" s="228">
        <v>102</v>
      </c>
      <c r="BG193" s="228">
        <v>-85</v>
      </c>
      <c r="BH193" s="229">
        <v>-0.82879999999999998</v>
      </c>
      <c r="BI193" s="230">
        <v>2933</v>
      </c>
      <c r="BJ193" s="230">
        <v>3104</v>
      </c>
      <c r="BK193" s="228">
        <v>-171</v>
      </c>
      <c r="BL193" s="229">
        <v>-5.4899999999999997E-2</v>
      </c>
      <c r="BM193" s="230">
        <v>1945</v>
      </c>
      <c r="BN193" s="230">
        <v>1439</v>
      </c>
      <c r="BO193" s="228">
        <v>506</v>
      </c>
      <c r="BP193" s="229">
        <v>0.3518</v>
      </c>
      <c r="BQ193" s="230">
        <v>5797</v>
      </c>
      <c r="BR193" s="230">
        <v>5539</v>
      </c>
      <c r="BS193" s="228">
        <v>258</v>
      </c>
      <c r="BT193" s="229">
        <v>4.65E-2</v>
      </c>
      <c r="BU193" s="230">
        <v>3167790</v>
      </c>
      <c r="BV193" s="230">
        <v>3554276</v>
      </c>
      <c r="BW193" s="230">
        <v>-386486</v>
      </c>
      <c r="BX193" s="229">
        <v>-0.1087</v>
      </c>
      <c r="BY193" s="230">
        <v>7285</v>
      </c>
      <c r="BZ193" s="230">
        <v>7254</v>
      </c>
      <c r="CA193" s="228">
        <v>31</v>
      </c>
      <c r="CB193" s="229">
        <v>4.3E-3</v>
      </c>
      <c r="CC193" s="230">
        <v>6297</v>
      </c>
      <c r="CD193" s="230">
        <v>6283</v>
      </c>
      <c r="CE193" s="228">
        <v>13</v>
      </c>
      <c r="CF193" s="229">
        <v>2.0999999999999999E-3</v>
      </c>
      <c r="CG193" s="228">
        <v>675</v>
      </c>
      <c r="CH193" s="228">
        <v>663</v>
      </c>
      <c r="CI193" s="228">
        <v>12</v>
      </c>
      <c r="CJ193" s="229">
        <v>1.8700000000000001E-2</v>
      </c>
      <c r="CK193" s="228">
        <v>313</v>
      </c>
      <c r="CL193" s="228">
        <v>308</v>
      </c>
      <c r="CM193" s="228">
        <v>6</v>
      </c>
      <c r="CN193" s="229">
        <v>1.83E-2</v>
      </c>
      <c r="CO193" s="230">
        <v>3591</v>
      </c>
      <c r="CP193" s="230">
        <v>3510</v>
      </c>
      <c r="CQ193" s="228">
        <v>81</v>
      </c>
      <c r="CR193" s="229">
        <v>2.3199999999999998E-2</v>
      </c>
      <c r="CS193" s="230">
        <v>2279</v>
      </c>
      <c r="CT193" s="230">
        <v>2330</v>
      </c>
      <c r="CU193" s="228">
        <v>-51</v>
      </c>
      <c r="CV193" s="229">
        <v>-2.1700000000000001E-2</v>
      </c>
      <c r="CW193" s="230">
        <v>13155</v>
      </c>
      <c r="CX193" s="230">
        <v>13093</v>
      </c>
      <c r="CY193" s="228">
        <v>62</v>
      </c>
      <c r="CZ193" s="229">
        <v>4.7000000000000002E-3</v>
      </c>
      <c r="DA193" s="228">
        <v>27.64</v>
      </c>
      <c r="DB193" s="228">
        <v>29.64</v>
      </c>
      <c r="DC193" s="228">
        <v>-2</v>
      </c>
      <c r="DD193" s="228">
        <v>-2</v>
      </c>
      <c r="DE193" s="228">
        <v>26.74</v>
      </c>
      <c r="DF193" s="228">
        <v>26.8</v>
      </c>
      <c r="DG193" s="228">
        <v>0.9</v>
      </c>
      <c r="DH193" s="228">
        <v>-0.06</v>
      </c>
      <c r="DI193" s="228">
        <v>27.17</v>
      </c>
      <c r="DJ193" s="228">
        <v>29</v>
      </c>
      <c r="DK193" s="228">
        <v>-1.83</v>
      </c>
      <c r="DL193" s="228">
        <v>-1.83</v>
      </c>
      <c r="DM193" s="228">
        <v>28.34</v>
      </c>
      <c r="DN193" s="228">
        <v>31.02</v>
      </c>
      <c r="DO193" s="228">
        <v>-2.68</v>
      </c>
      <c r="DP193" s="228">
        <v>-2.68</v>
      </c>
      <c r="DQ193" s="228">
        <v>0.63</v>
      </c>
      <c r="DR193" s="228">
        <v>0.66</v>
      </c>
      <c r="DS193" s="228">
        <v>-0.03</v>
      </c>
      <c r="DT193" s="229">
        <v>-4.5499999999999999E-2</v>
      </c>
      <c r="DU193" s="231">
        <v>3000</v>
      </c>
      <c r="DV193" s="231">
        <v>2600</v>
      </c>
      <c r="DW193" s="228">
        <v>0.66</v>
      </c>
      <c r="DX193" s="228">
        <v>0.46</v>
      </c>
      <c r="DY193" s="228">
        <v>0.2</v>
      </c>
      <c r="DZ193" s="229">
        <v>0.43480000000000002</v>
      </c>
      <c r="EA193" s="229">
        <v>0.13569999999999999</v>
      </c>
      <c r="EB193" s="230">
        <v>3747625</v>
      </c>
      <c r="EC193" s="229">
        <v>4.0000000000000001E-3</v>
      </c>
      <c r="ED193" s="229">
        <v>0.13569999999999999</v>
      </c>
      <c r="EE193" s="228">
        <v>8.07</v>
      </c>
      <c r="EF193" s="229">
        <v>3.0999999999999999E-3</v>
      </c>
      <c r="EG193" s="230">
        <v>1142525</v>
      </c>
      <c r="EH193" s="230">
        <v>1955429</v>
      </c>
      <c r="EI193" s="229">
        <v>-0.41570000000000001</v>
      </c>
      <c r="EJ193" s="229">
        <v>0.36070000000000002</v>
      </c>
      <c r="EK193" s="231">
        <v>3119.7</v>
      </c>
      <c r="EL193" s="231">
        <v>1933.31</v>
      </c>
      <c r="EM193" s="228">
        <v>914.53</v>
      </c>
      <c r="EN193" s="228">
        <v>200.77</v>
      </c>
      <c r="EO193" s="231">
        <v>5967.53</v>
      </c>
      <c r="EP193" s="231">
        <v>5800.66</v>
      </c>
      <c r="EQ193" s="228">
        <v>166.87</v>
      </c>
      <c r="ER193" s="229">
        <v>2.8799999999999999E-2</v>
      </c>
      <c r="ES193" s="231">
        <v>3954.65</v>
      </c>
      <c r="ET193" s="231">
        <v>2371.12</v>
      </c>
      <c r="EU193" s="231">
        <v>7289.42</v>
      </c>
      <c r="EV193" s="231">
        <v>126444612</v>
      </c>
      <c r="EW193" s="231">
        <v>13615.2</v>
      </c>
      <c r="EX193" s="231">
        <v>13580.45</v>
      </c>
      <c r="EY193" s="228">
        <v>34.75</v>
      </c>
      <c r="EZ193" s="229">
        <v>2.5999999999999999E-3</v>
      </c>
      <c r="FA193" s="229">
        <v>0.40179999999999999</v>
      </c>
      <c r="FB193" s="227" t="s">
        <v>567</v>
      </c>
      <c r="FC193">
        <f t="shared" si="3"/>
        <v>0</v>
      </c>
    </row>
    <row r="194" spans="1:159" ht="17.25" thickBot="1" x14ac:dyDescent="0.3">
      <c r="A194" s="226">
        <v>46086</v>
      </c>
      <c r="B194" s="227" t="s">
        <v>221</v>
      </c>
      <c r="C194" s="227" t="s">
        <v>296</v>
      </c>
      <c r="D194" s="228">
        <v>600</v>
      </c>
      <c r="E194" s="228">
        <v>25</v>
      </c>
      <c r="F194" s="231">
        <v>1336.5</v>
      </c>
      <c r="G194" s="231">
        <v>1354.2</v>
      </c>
      <c r="H194" s="228">
        <v>-17.7</v>
      </c>
      <c r="I194" s="229">
        <v>-1.3100000000000001E-2</v>
      </c>
      <c r="J194" s="231">
        <v>1333.3</v>
      </c>
      <c r="K194" s="231">
        <v>1351.2</v>
      </c>
      <c r="L194" s="228">
        <v>-17.899999999999999</v>
      </c>
      <c r="M194" s="229">
        <v>-1.32E-2</v>
      </c>
      <c r="N194" s="231">
        <v>1336.5</v>
      </c>
      <c r="O194" s="231">
        <v>1354.2</v>
      </c>
      <c r="P194" s="228">
        <v>-17.7</v>
      </c>
      <c r="Q194" s="229">
        <v>-1.3100000000000001E-2</v>
      </c>
      <c r="R194" s="231">
        <v>1344.4</v>
      </c>
      <c r="S194" s="231">
        <v>1361.8</v>
      </c>
      <c r="T194" s="228">
        <v>-17.399999999999999</v>
      </c>
      <c r="U194" s="229">
        <v>-1.2800000000000001E-2</v>
      </c>
      <c r="V194" s="231">
        <v>1349.7</v>
      </c>
      <c r="W194" s="231">
        <v>1365.4</v>
      </c>
      <c r="X194" s="228">
        <v>-15.7</v>
      </c>
      <c r="Y194" s="229">
        <v>-1.15E-2</v>
      </c>
      <c r="Z194" s="228">
        <v>3.2</v>
      </c>
      <c r="AA194" s="228">
        <v>3</v>
      </c>
      <c r="AB194" s="228">
        <v>0.2</v>
      </c>
      <c r="AC194" s="229">
        <v>2.3999999999999998E-3</v>
      </c>
      <c r="AD194" s="228">
        <v>3.2</v>
      </c>
      <c r="AE194" s="228">
        <v>3</v>
      </c>
      <c r="AF194" s="228">
        <v>0.2</v>
      </c>
      <c r="AG194" s="229">
        <v>2.3999999999999998E-3</v>
      </c>
      <c r="AH194" s="228">
        <v>11.1</v>
      </c>
      <c r="AI194" s="228">
        <v>10.6</v>
      </c>
      <c r="AJ194" s="228">
        <v>0.5</v>
      </c>
      <c r="AK194" s="229">
        <v>8.3000000000000001E-3</v>
      </c>
      <c r="AL194" s="228">
        <v>16.399999999999999</v>
      </c>
      <c r="AM194" s="228">
        <v>14.2</v>
      </c>
      <c r="AN194" s="228">
        <v>2.2000000000000002</v>
      </c>
      <c r="AO194" s="229">
        <v>1.23E-2</v>
      </c>
      <c r="AP194" s="231">
        <v>1339.55</v>
      </c>
      <c r="AQ194" s="231">
        <v>1345.39</v>
      </c>
      <c r="AR194" s="228">
        <v>0</v>
      </c>
      <c r="AS194" s="228">
        <v>327</v>
      </c>
      <c r="AT194" s="228">
        <v>444</v>
      </c>
      <c r="AU194" s="228">
        <v>-117</v>
      </c>
      <c r="AV194" s="229">
        <v>-0.2626</v>
      </c>
      <c r="AW194" s="228">
        <v>303</v>
      </c>
      <c r="AX194" s="228">
        <v>435</v>
      </c>
      <c r="AY194" s="228">
        <v>-132</v>
      </c>
      <c r="AZ194" s="229">
        <v>-0.3024</v>
      </c>
      <c r="BA194" s="228">
        <v>20</v>
      </c>
      <c r="BB194" s="228">
        <v>8</v>
      </c>
      <c r="BC194" s="228">
        <v>13</v>
      </c>
      <c r="BD194" s="229">
        <v>1.6354</v>
      </c>
      <c r="BE194" s="228">
        <v>4</v>
      </c>
      <c r="BF194" s="228">
        <v>1</v>
      </c>
      <c r="BG194" s="228">
        <v>2</v>
      </c>
      <c r="BH194" s="229">
        <v>1.6111</v>
      </c>
      <c r="BI194" s="228">
        <v>908</v>
      </c>
      <c r="BJ194" s="230">
        <v>1094</v>
      </c>
      <c r="BK194" s="228">
        <v>-187</v>
      </c>
      <c r="BL194" s="229">
        <v>-0.1706</v>
      </c>
      <c r="BM194" s="228">
        <v>472</v>
      </c>
      <c r="BN194" s="228">
        <v>494</v>
      </c>
      <c r="BO194" s="228">
        <v>-22</v>
      </c>
      <c r="BP194" s="229">
        <v>-4.4699999999999997E-2</v>
      </c>
      <c r="BQ194" s="230">
        <v>1707</v>
      </c>
      <c r="BR194" s="230">
        <v>2032</v>
      </c>
      <c r="BS194" s="228">
        <v>-325</v>
      </c>
      <c r="BT194" s="229">
        <v>-0.16009999999999999</v>
      </c>
      <c r="BU194" s="230">
        <v>1251103</v>
      </c>
      <c r="BV194" s="230">
        <v>1864673</v>
      </c>
      <c r="BW194" s="230">
        <v>-613570</v>
      </c>
      <c r="BX194" s="229">
        <v>-0.32900000000000001</v>
      </c>
      <c r="BY194" s="230">
        <v>2626</v>
      </c>
      <c r="BZ194" s="230">
        <v>2621</v>
      </c>
      <c r="CA194" s="228">
        <v>5</v>
      </c>
      <c r="CB194" s="229">
        <v>2E-3</v>
      </c>
      <c r="CC194" s="230">
        <v>2581</v>
      </c>
      <c r="CD194" s="230">
        <v>2583</v>
      </c>
      <c r="CE194" s="228">
        <v>-2</v>
      </c>
      <c r="CF194" s="229">
        <v>-8.9999999999999998E-4</v>
      </c>
      <c r="CG194" s="228">
        <v>41</v>
      </c>
      <c r="CH194" s="228">
        <v>35</v>
      </c>
      <c r="CI194" s="228">
        <v>6</v>
      </c>
      <c r="CJ194" s="229">
        <v>0.1736</v>
      </c>
      <c r="CK194" s="228">
        <v>5</v>
      </c>
      <c r="CL194" s="228">
        <v>3</v>
      </c>
      <c r="CM194" s="228">
        <v>2</v>
      </c>
      <c r="CN194" s="229">
        <v>0.51280000000000003</v>
      </c>
      <c r="CO194" s="230">
        <v>1225</v>
      </c>
      <c r="CP194" s="230">
        <v>1165</v>
      </c>
      <c r="CQ194" s="228">
        <v>60</v>
      </c>
      <c r="CR194" s="229">
        <v>5.16E-2</v>
      </c>
      <c r="CS194" s="228">
        <v>726</v>
      </c>
      <c r="CT194" s="228">
        <v>738</v>
      </c>
      <c r="CU194" s="228">
        <v>-12</v>
      </c>
      <c r="CV194" s="229">
        <v>-1.6299999999999999E-2</v>
      </c>
      <c r="CW194" s="230">
        <v>4577</v>
      </c>
      <c r="CX194" s="230">
        <v>4524</v>
      </c>
      <c r="CY194" s="228">
        <v>53</v>
      </c>
      <c r="CZ194" s="229">
        <v>1.18E-2</v>
      </c>
      <c r="DA194" s="228">
        <v>31.52</v>
      </c>
      <c r="DB194" s="228">
        <v>33.01</v>
      </c>
      <c r="DC194" s="228">
        <v>-1.49</v>
      </c>
      <c r="DD194" s="228">
        <v>-1.49</v>
      </c>
      <c r="DE194" s="228">
        <v>31.01</v>
      </c>
      <c r="DF194" s="228">
        <v>31.03</v>
      </c>
      <c r="DG194" s="228">
        <v>0.51</v>
      </c>
      <c r="DH194" s="228">
        <v>-0.02</v>
      </c>
      <c r="DI194" s="228">
        <v>30.96</v>
      </c>
      <c r="DJ194" s="228">
        <v>31.74</v>
      </c>
      <c r="DK194" s="228">
        <v>-0.78</v>
      </c>
      <c r="DL194" s="228">
        <v>-0.78</v>
      </c>
      <c r="DM194" s="228">
        <v>32.61</v>
      </c>
      <c r="DN194" s="228">
        <v>35.840000000000003</v>
      </c>
      <c r="DO194" s="228">
        <v>-3.23</v>
      </c>
      <c r="DP194" s="228">
        <v>-3.23</v>
      </c>
      <c r="DQ194" s="228">
        <v>0.59</v>
      </c>
      <c r="DR194" s="228">
        <v>0.63</v>
      </c>
      <c r="DS194" s="228">
        <v>-0.04</v>
      </c>
      <c r="DT194" s="229">
        <v>-6.3500000000000001E-2</v>
      </c>
      <c r="DU194" s="231">
        <v>1440</v>
      </c>
      <c r="DV194" s="231">
        <v>1340</v>
      </c>
      <c r="DW194" s="228">
        <v>0.52</v>
      </c>
      <c r="DX194" s="228">
        <v>0.45</v>
      </c>
      <c r="DY194" s="228">
        <v>7.0000000000000007E-2</v>
      </c>
      <c r="DZ194" s="229">
        <v>0.15559999999999999</v>
      </c>
      <c r="EA194" s="229">
        <v>1.7299999999999999E-2</v>
      </c>
      <c r="EB194" s="230">
        <v>282600</v>
      </c>
      <c r="EC194" s="229">
        <v>5.8999999999999999E-3</v>
      </c>
      <c r="ED194" s="229">
        <v>1.7299999999999999E-2</v>
      </c>
      <c r="EE194" s="228">
        <v>5.84</v>
      </c>
      <c r="EF194" s="229">
        <v>4.4000000000000003E-3</v>
      </c>
      <c r="EG194" s="230">
        <v>550222</v>
      </c>
      <c r="EH194" s="230">
        <v>964917</v>
      </c>
      <c r="EI194" s="229">
        <v>-0.42980000000000002</v>
      </c>
      <c r="EJ194" s="229">
        <v>0.43980000000000002</v>
      </c>
      <c r="EK194" s="228">
        <v>978.82</v>
      </c>
      <c r="EL194" s="228">
        <v>470.18</v>
      </c>
      <c r="EM194" s="228">
        <v>328.28</v>
      </c>
      <c r="EN194" s="228">
        <v>49.84</v>
      </c>
      <c r="EO194" s="231">
        <v>1777.28</v>
      </c>
      <c r="EP194" s="231">
        <v>2124.5700000000002</v>
      </c>
      <c r="EQ194" s="228">
        <v>-347.29</v>
      </c>
      <c r="ER194" s="229">
        <v>-0.16350000000000001</v>
      </c>
      <c r="ES194" s="231">
        <v>1356.53</v>
      </c>
      <c r="ET194" s="228">
        <v>740.62</v>
      </c>
      <c r="EU194" s="231">
        <v>2626.75</v>
      </c>
      <c r="EV194" s="231">
        <v>80031540</v>
      </c>
      <c r="EW194" s="231">
        <v>4723.8999999999996</v>
      </c>
      <c r="EX194" s="231">
        <v>4702.6499999999996</v>
      </c>
      <c r="EY194" s="228">
        <v>21.25</v>
      </c>
      <c r="EZ194" s="229">
        <v>4.4999999999999997E-3</v>
      </c>
      <c r="FA194" s="229">
        <v>0.4279</v>
      </c>
      <c r="FB194" s="227" t="s">
        <v>567</v>
      </c>
      <c r="FC194">
        <f t="shared" si="3"/>
        <v>0</v>
      </c>
    </row>
    <row r="195" spans="1:159" ht="17.25" thickBot="1" x14ac:dyDescent="0.3">
      <c r="A195" s="226">
        <v>46086</v>
      </c>
      <c r="B195" s="227" t="s">
        <v>184</v>
      </c>
      <c r="C195" s="227" t="s">
        <v>595</v>
      </c>
      <c r="D195" s="228">
        <v>200</v>
      </c>
      <c r="E195" s="228">
        <v>25</v>
      </c>
      <c r="F195" s="231">
        <v>2768.4</v>
      </c>
      <c r="G195" s="231">
        <v>2767.6</v>
      </c>
      <c r="H195" s="228">
        <v>0.8</v>
      </c>
      <c r="I195" s="229">
        <v>2.9999999999999997E-4</v>
      </c>
      <c r="J195" s="231">
        <v>2781.9</v>
      </c>
      <c r="K195" s="231">
        <v>2771.1</v>
      </c>
      <c r="L195" s="228">
        <v>10.8</v>
      </c>
      <c r="M195" s="229">
        <v>3.8999999999999998E-3</v>
      </c>
      <c r="N195" s="231">
        <v>2768.4</v>
      </c>
      <c r="O195" s="231">
        <v>2767.6</v>
      </c>
      <c r="P195" s="228">
        <v>0.8</v>
      </c>
      <c r="Q195" s="229">
        <v>2.9999999999999997E-4</v>
      </c>
      <c r="R195" s="231">
        <v>2766.4</v>
      </c>
      <c r="S195" s="231">
        <v>2755</v>
      </c>
      <c r="T195" s="228">
        <v>11.4</v>
      </c>
      <c r="U195" s="229">
        <v>4.1000000000000003E-3</v>
      </c>
      <c r="V195" s="231">
        <v>2740</v>
      </c>
      <c r="W195" s="231">
        <v>2762.2</v>
      </c>
      <c r="X195" s="228">
        <v>-22.2</v>
      </c>
      <c r="Y195" s="229">
        <v>-8.0000000000000002E-3</v>
      </c>
      <c r="Z195" s="228">
        <v>-13.5</v>
      </c>
      <c r="AA195" s="228">
        <v>-3.5</v>
      </c>
      <c r="AB195" s="228">
        <v>-10</v>
      </c>
      <c r="AC195" s="229">
        <v>-4.8999999999999998E-3</v>
      </c>
      <c r="AD195" s="228">
        <v>-13.5</v>
      </c>
      <c r="AE195" s="228">
        <v>-3.5</v>
      </c>
      <c r="AF195" s="228">
        <v>-10</v>
      </c>
      <c r="AG195" s="229">
        <v>-4.8999999999999998E-3</v>
      </c>
      <c r="AH195" s="228">
        <v>-15.5</v>
      </c>
      <c r="AI195" s="228">
        <v>-16.100000000000001</v>
      </c>
      <c r="AJ195" s="228">
        <v>0.6</v>
      </c>
      <c r="AK195" s="229">
        <v>-5.5999999999999999E-3</v>
      </c>
      <c r="AL195" s="228">
        <v>-41.9</v>
      </c>
      <c r="AM195" s="228">
        <v>-8.9</v>
      </c>
      <c r="AN195" s="228">
        <v>-33</v>
      </c>
      <c r="AO195" s="229">
        <v>-1.5100000000000001E-2</v>
      </c>
      <c r="AP195" s="231">
        <v>2756.77</v>
      </c>
      <c r="AQ195" s="231">
        <v>2750.73</v>
      </c>
      <c r="AR195" s="228">
        <v>0</v>
      </c>
      <c r="AS195" s="228">
        <v>157</v>
      </c>
      <c r="AT195" s="228">
        <v>205</v>
      </c>
      <c r="AU195" s="228">
        <v>-48</v>
      </c>
      <c r="AV195" s="229">
        <v>-0.23200000000000001</v>
      </c>
      <c r="AW195" s="228">
        <v>149</v>
      </c>
      <c r="AX195" s="228">
        <v>198</v>
      </c>
      <c r="AY195" s="228">
        <v>-49</v>
      </c>
      <c r="AZ195" s="229">
        <v>-0.2485</v>
      </c>
      <c r="BA195" s="228">
        <v>8</v>
      </c>
      <c r="BB195" s="228">
        <v>6</v>
      </c>
      <c r="BC195" s="228">
        <v>2</v>
      </c>
      <c r="BD195" s="229">
        <v>0.313</v>
      </c>
      <c r="BE195" s="228">
        <v>0</v>
      </c>
      <c r="BF195" s="228">
        <v>1</v>
      </c>
      <c r="BG195" s="228">
        <v>0</v>
      </c>
      <c r="BH195" s="229">
        <v>-0.6</v>
      </c>
      <c r="BI195" s="228">
        <v>155</v>
      </c>
      <c r="BJ195" s="228">
        <v>245</v>
      </c>
      <c r="BK195" s="228">
        <v>-91</v>
      </c>
      <c r="BL195" s="229">
        <v>-0.36909999999999998</v>
      </c>
      <c r="BM195" s="228">
        <v>69</v>
      </c>
      <c r="BN195" s="228">
        <v>193</v>
      </c>
      <c r="BO195" s="228">
        <v>-124</v>
      </c>
      <c r="BP195" s="229">
        <v>-0.64390000000000003</v>
      </c>
      <c r="BQ195" s="228">
        <v>381</v>
      </c>
      <c r="BR195" s="228">
        <v>643</v>
      </c>
      <c r="BS195" s="228">
        <v>-262</v>
      </c>
      <c r="BT195" s="229">
        <v>-0.40770000000000001</v>
      </c>
      <c r="BU195" s="230">
        <v>533464</v>
      </c>
      <c r="BV195" s="230">
        <v>710713</v>
      </c>
      <c r="BW195" s="230">
        <v>-177249</v>
      </c>
      <c r="BX195" s="229">
        <v>-0.24940000000000001</v>
      </c>
      <c r="BY195" s="228">
        <v>880</v>
      </c>
      <c r="BZ195" s="228">
        <v>857</v>
      </c>
      <c r="CA195" s="228">
        <v>23</v>
      </c>
      <c r="CB195" s="229">
        <v>2.6599999999999999E-2</v>
      </c>
      <c r="CC195" s="228">
        <v>860</v>
      </c>
      <c r="CD195" s="228">
        <v>840</v>
      </c>
      <c r="CE195" s="228">
        <v>20</v>
      </c>
      <c r="CF195" s="229">
        <v>2.3400000000000001E-2</v>
      </c>
      <c r="CG195" s="228">
        <v>18</v>
      </c>
      <c r="CH195" s="228">
        <v>15</v>
      </c>
      <c r="CI195" s="228">
        <v>3</v>
      </c>
      <c r="CJ195" s="229">
        <v>0.19620000000000001</v>
      </c>
      <c r="CK195" s="228">
        <v>2</v>
      </c>
      <c r="CL195" s="228">
        <v>2</v>
      </c>
      <c r="CM195" s="228">
        <v>0</v>
      </c>
      <c r="CN195" s="229">
        <v>0.1026</v>
      </c>
      <c r="CO195" s="228">
        <v>165</v>
      </c>
      <c r="CP195" s="228">
        <v>167</v>
      </c>
      <c r="CQ195" s="228">
        <v>-2</v>
      </c>
      <c r="CR195" s="229">
        <v>-1.29E-2</v>
      </c>
      <c r="CS195" s="228">
        <v>128</v>
      </c>
      <c r="CT195" s="228">
        <v>128</v>
      </c>
      <c r="CU195" s="228">
        <v>-1</v>
      </c>
      <c r="CV195" s="229">
        <v>-6.8999999999999999E-3</v>
      </c>
      <c r="CW195" s="230">
        <v>1172</v>
      </c>
      <c r="CX195" s="230">
        <v>1152</v>
      </c>
      <c r="CY195" s="228">
        <v>20</v>
      </c>
      <c r="CZ195" s="229">
        <v>1.7100000000000001E-2</v>
      </c>
      <c r="DA195" s="228">
        <v>33.9</v>
      </c>
      <c r="DB195" s="228">
        <v>36.9</v>
      </c>
      <c r="DC195" s="228">
        <v>-3</v>
      </c>
      <c r="DD195" s="228">
        <v>-3</v>
      </c>
      <c r="DE195" s="228">
        <v>43.24</v>
      </c>
      <c r="DF195" s="228">
        <v>43.35</v>
      </c>
      <c r="DG195" s="228">
        <v>-9.34</v>
      </c>
      <c r="DH195" s="228">
        <v>-0.11</v>
      </c>
      <c r="DI195" s="228">
        <v>33.36</v>
      </c>
      <c r="DJ195" s="228">
        <v>36.04</v>
      </c>
      <c r="DK195" s="228">
        <v>-2.68</v>
      </c>
      <c r="DL195" s="228">
        <v>-2.68</v>
      </c>
      <c r="DM195" s="228">
        <v>35.119999999999997</v>
      </c>
      <c r="DN195" s="228">
        <v>38</v>
      </c>
      <c r="DO195" s="228">
        <v>-2.88</v>
      </c>
      <c r="DP195" s="228">
        <v>-2.88</v>
      </c>
      <c r="DQ195" s="228">
        <v>0.77</v>
      </c>
      <c r="DR195" s="228">
        <v>0.77</v>
      </c>
      <c r="DS195" s="228">
        <v>0</v>
      </c>
      <c r="DT195" s="229">
        <v>0</v>
      </c>
      <c r="DU195" s="231">
        <v>2800</v>
      </c>
      <c r="DV195" s="231">
        <v>2700</v>
      </c>
      <c r="DW195" s="228">
        <v>0.44</v>
      </c>
      <c r="DX195" s="228">
        <v>0.78</v>
      </c>
      <c r="DY195" s="228">
        <v>-0.34</v>
      </c>
      <c r="DZ195" s="229">
        <v>-0.43590000000000001</v>
      </c>
      <c r="EA195" s="229">
        <v>2.2700000000000001E-2</v>
      </c>
      <c r="EB195" s="230">
        <v>60800</v>
      </c>
      <c r="EC195" s="229">
        <v>-6.9999999999999999E-4</v>
      </c>
      <c r="ED195" s="229">
        <v>2.2700000000000001E-2</v>
      </c>
      <c r="EE195" s="228">
        <v>-6.04</v>
      </c>
      <c r="EF195" s="229">
        <v>-2.2000000000000001E-3</v>
      </c>
      <c r="EG195" s="230">
        <v>273819</v>
      </c>
      <c r="EH195" s="230">
        <v>420169</v>
      </c>
      <c r="EI195" s="229">
        <v>-0.3483</v>
      </c>
      <c r="EJ195" s="229">
        <v>0.51329999999999998</v>
      </c>
      <c r="EK195" s="228">
        <v>163.11000000000001</v>
      </c>
      <c r="EL195" s="228">
        <v>68.540000000000006</v>
      </c>
      <c r="EM195" s="228">
        <v>156.79</v>
      </c>
      <c r="EN195" s="228">
        <v>59.08</v>
      </c>
      <c r="EO195" s="228">
        <v>388.44</v>
      </c>
      <c r="EP195" s="228">
        <v>656.31</v>
      </c>
      <c r="EQ195" s="228">
        <v>-267.87</v>
      </c>
      <c r="ER195" s="229">
        <v>-0.40820000000000001</v>
      </c>
      <c r="ES195" s="228">
        <v>168.21</v>
      </c>
      <c r="ET195" s="228">
        <v>119.53</v>
      </c>
      <c r="EU195" s="228">
        <v>879.54</v>
      </c>
      <c r="EV195" s="231">
        <v>15879795</v>
      </c>
      <c r="EW195" s="231">
        <v>1167.28</v>
      </c>
      <c r="EX195" s="231">
        <v>1147.1600000000001</v>
      </c>
      <c r="EY195" s="228">
        <v>20.12</v>
      </c>
      <c r="EZ195" s="229">
        <v>1.7500000000000002E-2</v>
      </c>
      <c r="FA195" s="229">
        <v>0.2666</v>
      </c>
      <c r="FB195" s="227" t="s">
        <v>555</v>
      </c>
      <c r="FC195">
        <f t="shared" ref="FC195:FC258" si="4">BY259-CC259</f>
        <v>0</v>
      </c>
    </row>
    <row r="196" spans="1:159" ht="17.25" thickBot="1" x14ac:dyDescent="0.3">
      <c r="A196" s="226">
        <v>46086</v>
      </c>
      <c r="B196" s="227" t="s">
        <v>168</v>
      </c>
      <c r="C196" s="227" t="s">
        <v>297</v>
      </c>
      <c r="D196" s="228">
        <v>175</v>
      </c>
      <c r="E196" s="228">
        <v>25</v>
      </c>
      <c r="F196" s="231">
        <v>4288.3</v>
      </c>
      <c r="G196" s="231">
        <v>4219.6000000000004</v>
      </c>
      <c r="H196" s="228">
        <v>68.7</v>
      </c>
      <c r="I196" s="229">
        <v>1.6299999999999999E-2</v>
      </c>
      <c r="J196" s="231">
        <v>4275.2</v>
      </c>
      <c r="K196" s="231">
        <v>4204.3999999999996</v>
      </c>
      <c r="L196" s="228">
        <v>70.8</v>
      </c>
      <c r="M196" s="229">
        <v>1.6799999999999999E-2</v>
      </c>
      <c r="N196" s="231">
        <v>4288.3</v>
      </c>
      <c r="O196" s="231">
        <v>4219.6000000000004</v>
      </c>
      <c r="P196" s="228">
        <v>68.7</v>
      </c>
      <c r="Q196" s="229">
        <v>1.6299999999999999E-2</v>
      </c>
      <c r="R196" s="231">
        <v>4314.1000000000004</v>
      </c>
      <c r="S196" s="231">
        <v>4246.1000000000004</v>
      </c>
      <c r="T196" s="228">
        <v>68</v>
      </c>
      <c r="U196" s="229">
        <v>1.6E-2</v>
      </c>
      <c r="V196" s="231">
        <v>4338.1000000000004</v>
      </c>
      <c r="W196" s="231">
        <v>4269.3</v>
      </c>
      <c r="X196" s="228">
        <v>68.8</v>
      </c>
      <c r="Y196" s="229">
        <v>1.61E-2</v>
      </c>
      <c r="Z196" s="228">
        <v>13.1</v>
      </c>
      <c r="AA196" s="228">
        <v>15.2</v>
      </c>
      <c r="AB196" s="228">
        <v>-2.1</v>
      </c>
      <c r="AC196" s="229">
        <v>3.0999999999999999E-3</v>
      </c>
      <c r="AD196" s="228">
        <v>13.1</v>
      </c>
      <c r="AE196" s="228">
        <v>15.2</v>
      </c>
      <c r="AF196" s="228">
        <v>-2.1</v>
      </c>
      <c r="AG196" s="229">
        <v>3.0999999999999999E-3</v>
      </c>
      <c r="AH196" s="228">
        <v>38.9</v>
      </c>
      <c r="AI196" s="228">
        <v>41.7</v>
      </c>
      <c r="AJ196" s="228">
        <v>-2.8</v>
      </c>
      <c r="AK196" s="229">
        <v>9.1000000000000004E-3</v>
      </c>
      <c r="AL196" s="228">
        <v>62.9</v>
      </c>
      <c r="AM196" s="228">
        <v>64.900000000000006</v>
      </c>
      <c r="AN196" s="228">
        <v>-2</v>
      </c>
      <c r="AO196" s="229">
        <v>1.47E-2</v>
      </c>
      <c r="AP196" s="231">
        <v>4255.58</v>
      </c>
      <c r="AQ196" s="231">
        <v>4279.55</v>
      </c>
      <c r="AR196" s="228">
        <v>0</v>
      </c>
      <c r="AS196" s="228">
        <v>411</v>
      </c>
      <c r="AT196" s="228">
        <v>564</v>
      </c>
      <c r="AU196" s="228">
        <v>-153</v>
      </c>
      <c r="AV196" s="229">
        <v>-0.27189999999999998</v>
      </c>
      <c r="AW196" s="228">
        <v>397</v>
      </c>
      <c r="AX196" s="228">
        <v>542</v>
      </c>
      <c r="AY196" s="228">
        <v>-145</v>
      </c>
      <c r="AZ196" s="229">
        <v>-0.26790000000000003</v>
      </c>
      <c r="BA196" s="228">
        <v>12</v>
      </c>
      <c r="BB196" s="228">
        <v>17</v>
      </c>
      <c r="BC196" s="228">
        <v>-5</v>
      </c>
      <c r="BD196" s="229">
        <v>-0.28139999999999998</v>
      </c>
      <c r="BE196" s="228">
        <v>2</v>
      </c>
      <c r="BF196" s="228">
        <v>5</v>
      </c>
      <c r="BG196" s="228">
        <v>-3</v>
      </c>
      <c r="BH196" s="229">
        <v>-0.67159999999999997</v>
      </c>
      <c r="BI196" s="230">
        <v>1427</v>
      </c>
      <c r="BJ196" s="230">
        <v>1632</v>
      </c>
      <c r="BK196" s="228">
        <v>-205</v>
      </c>
      <c r="BL196" s="229">
        <v>-0.12540000000000001</v>
      </c>
      <c r="BM196" s="228">
        <v>827</v>
      </c>
      <c r="BN196" s="230">
        <v>1641</v>
      </c>
      <c r="BO196" s="228">
        <v>-814</v>
      </c>
      <c r="BP196" s="229">
        <v>-0.49590000000000001</v>
      </c>
      <c r="BQ196" s="230">
        <v>2665</v>
      </c>
      <c r="BR196" s="230">
        <v>3837</v>
      </c>
      <c r="BS196" s="230">
        <v>-1172</v>
      </c>
      <c r="BT196" s="229">
        <v>-0.3054</v>
      </c>
      <c r="BU196" s="230">
        <v>719147</v>
      </c>
      <c r="BV196" s="230">
        <v>1053944</v>
      </c>
      <c r="BW196" s="230">
        <v>-334797</v>
      </c>
      <c r="BX196" s="229">
        <v>-0.31769999999999998</v>
      </c>
      <c r="BY196" s="230">
        <v>4198</v>
      </c>
      <c r="BZ196" s="230">
        <v>4231</v>
      </c>
      <c r="CA196" s="228">
        <v>-33</v>
      </c>
      <c r="CB196" s="229">
        <v>-7.7999999999999996E-3</v>
      </c>
      <c r="CC196" s="230">
        <v>4148</v>
      </c>
      <c r="CD196" s="230">
        <v>4184</v>
      </c>
      <c r="CE196" s="228">
        <v>-36</v>
      </c>
      <c r="CF196" s="229">
        <v>-8.6999999999999994E-3</v>
      </c>
      <c r="CG196" s="228">
        <v>44</v>
      </c>
      <c r="CH196" s="228">
        <v>41</v>
      </c>
      <c r="CI196" s="228">
        <v>3</v>
      </c>
      <c r="CJ196" s="229">
        <v>7.8899999999999998E-2</v>
      </c>
      <c r="CK196" s="228">
        <v>6</v>
      </c>
      <c r="CL196" s="228">
        <v>6</v>
      </c>
      <c r="CM196" s="228">
        <v>0</v>
      </c>
      <c r="CN196" s="229">
        <v>7.5899999999999995E-2</v>
      </c>
      <c r="CO196" s="228">
        <v>868</v>
      </c>
      <c r="CP196" s="228">
        <v>804</v>
      </c>
      <c r="CQ196" s="228">
        <v>64</v>
      </c>
      <c r="CR196" s="229">
        <v>7.9000000000000001E-2</v>
      </c>
      <c r="CS196" s="228">
        <v>576</v>
      </c>
      <c r="CT196" s="228">
        <v>569</v>
      </c>
      <c r="CU196" s="228">
        <v>7</v>
      </c>
      <c r="CV196" s="229">
        <v>1.2500000000000001E-2</v>
      </c>
      <c r="CW196" s="230">
        <v>5643</v>
      </c>
      <c r="CX196" s="230">
        <v>5605</v>
      </c>
      <c r="CY196" s="228">
        <v>38</v>
      </c>
      <c r="CZ196" s="229">
        <v>6.7999999999999996E-3</v>
      </c>
      <c r="DA196" s="228">
        <v>20.83</v>
      </c>
      <c r="DB196" s="228">
        <v>24.52</v>
      </c>
      <c r="DC196" s="228">
        <v>-3.69</v>
      </c>
      <c r="DD196" s="228">
        <v>-3.69</v>
      </c>
      <c r="DE196" s="228">
        <v>24.42</v>
      </c>
      <c r="DF196" s="228">
        <v>24.37</v>
      </c>
      <c r="DG196" s="228">
        <v>-3.59</v>
      </c>
      <c r="DH196" s="228">
        <v>0.05</v>
      </c>
      <c r="DI196" s="228">
        <v>19.87</v>
      </c>
      <c r="DJ196" s="228">
        <v>22.95</v>
      </c>
      <c r="DK196" s="228">
        <v>-3.08</v>
      </c>
      <c r="DL196" s="228">
        <v>-3.08</v>
      </c>
      <c r="DM196" s="228">
        <v>22.5</v>
      </c>
      <c r="DN196" s="228">
        <v>26.08</v>
      </c>
      <c r="DO196" s="228">
        <v>-3.58</v>
      </c>
      <c r="DP196" s="228">
        <v>-3.58</v>
      </c>
      <c r="DQ196" s="228">
        <v>0.66</v>
      </c>
      <c r="DR196" s="228">
        <v>0.71</v>
      </c>
      <c r="DS196" s="228">
        <v>-0.05</v>
      </c>
      <c r="DT196" s="229">
        <v>-7.0400000000000004E-2</v>
      </c>
      <c r="DU196" s="231">
        <v>4300</v>
      </c>
      <c r="DV196" s="231">
        <v>4000</v>
      </c>
      <c r="DW196" s="228">
        <v>0.57999999999999996</v>
      </c>
      <c r="DX196" s="228">
        <v>1.01</v>
      </c>
      <c r="DY196" s="228">
        <v>-0.43</v>
      </c>
      <c r="DZ196" s="229">
        <v>-0.42570000000000002</v>
      </c>
      <c r="EA196" s="229">
        <v>1.2E-2</v>
      </c>
      <c r="EB196" s="230">
        <v>109200</v>
      </c>
      <c r="EC196" s="229">
        <v>6.0000000000000001E-3</v>
      </c>
      <c r="ED196" s="229">
        <v>1.2E-2</v>
      </c>
      <c r="EE196" s="228">
        <v>23.97</v>
      </c>
      <c r="EF196" s="229">
        <v>5.5999999999999999E-3</v>
      </c>
      <c r="EG196" s="230">
        <v>367883</v>
      </c>
      <c r="EH196" s="230">
        <v>548840</v>
      </c>
      <c r="EI196" s="229">
        <v>-0.32969999999999999</v>
      </c>
      <c r="EJ196" s="229">
        <v>0.51160000000000005</v>
      </c>
      <c r="EK196" s="231">
        <v>1465.88</v>
      </c>
      <c r="EL196" s="228">
        <v>806.37</v>
      </c>
      <c r="EM196" s="228">
        <v>407.9</v>
      </c>
      <c r="EN196" s="228">
        <v>54.46</v>
      </c>
      <c r="EO196" s="231">
        <v>2680.15</v>
      </c>
      <c r="EP196" s="231">
        <v>3806.71</v>
      </c>
      <c r="EQ196" s="231">
        <v>-1126.56</v>
      </c>
      <c r="ER196" s="229">
        <v>-0.2959</v>
      </c>
      <c r="ES196" s="228">
        <v>885.32</v>
      </c>
      <c r="ET196" s="228">
        <v>552.71</v>
      </c>
      <c r="EU196" s="231">
        <v>4198.6000000000004</v>
      </c>
      <c r="EV196" s="231">
        <v>45680146</v>
      </c>
      <c r="EW196" s="231">
        <v>5636.62</v>
      </c>
      <c r="EX196" s="231">
        <v>5528.21</v>
      </c>
      <c r="EY196" s="228">
        <v>108.41</v>
      </c>
      <c r="EZ196" s="229">
        <v>1.9599999999999999E-2</v>
      </c>
      <c r="FA196" s="229">
        <v>0.28810000000000002</v>
      </c>
      <c r="FB196" s="227" t="s">
        <v>556</v>
      </c>
      <c r="FC196">
        <f t="shared" si="4"/>
        <v>0</v>
      </c>
    </row>
    <row r="197" spans="1:159" ht="17.25" thickBot="1" x14ac:dyDescent="0.3">
      <c r="A197" s="226">
        <v>46086</v>
      </c>
      <c r="B197" s="227" t="s">
        <v>162</v>
      </c>
      <c r="C197" s="227" t="s">
        <v>688</v>
      </c>
      <c r="D197" s="228">
        <v>800</v>
      </c>
      <c r="E197" s="228">
        <v>25</v>
      </c>
      <c r="F197" s="228">
        <v>356.55</v>
      </c>
      <c r="G197" s="228">
        <v>352.35</v>
      </c>
      <c r="H197" s="228">
        <v>4.2</v>
      </c>
      <c r="I197" s="229">
        <v>1.1900000000000001E-2</v>
      </c>
      <c r="J197" s="228">
        <v>355.15</v>
      </c>
      <c r="K197" s="228">
        <v>351.2</v>
      </c>
      <c r="L197" s="228">
        <v>3.95</v>
      </c>
      <c r="M197" s="229">
        <v>1.12E-2</v>
      </c>
      <c r="N197" s="228">
        <v>356.55</v>
      </c>
      <c r="O197" s="228">
        <v>352.35</v>
      </c>
      <c r="P197" s="228">
        <v>4.2</v>
      </c>
      <c r="Q197" s="229">
        <v>1.1900000000000001E-2</v>
      </c>
      <c r="R197" s="228">
        <v>358.8</v>
      </c>
      <c r="S197" s="228">
        <v>354.6</v>
      </c>
      <c r="T197" s="228">
        <v>4.2</v>
      </c>
      <c r="U197" s="229">
        <v>1.18E-2</v>
      </c>
      <c r="V197" s="228">
        <v>360.8</v>
      </c>
      <c r="W197" s="228">
        <v>356.5</v>
      </c>
      <c r="X197" s="228">
        <v>4.3</v>
      </c>
      <c r="Y197" s="229">
        <v>1.21E-2</v>
      </c>
      <c r="Z197" s="228">
        <v>1.4</v>
      </c>
      <c r="AA197" s="228">
        <v>1.1499999999999999</v>
      </c>
      <c r="AB197" s="228">
        <v>0.25</v>
      </c>
      <c r="AC197" s="229">
        <v>3.8999999999999998E-3</v>
      </c>
      <c r="AD197" s="228">
        <v>1.4</v>
      </c>
      <c r="AE197" s="228">
        <v>1.1499999999999999</v>
      </c>
      <c r="AF197" s="228">
        <v>0.25</v>
      </c>
      <c r="AG197" s="229">
        <v>3.8999999999999998E-3</v>
      </c>
      <c r="AH197" s="228">
        <v>3.65</v>
      </c>
      <c r="AI197" s="228">
        <v>3.4</v>
      </c>
      <c r="AJ197" s="228">
        <v>0.25</v>
      </c>
      <c r="AK197" s="229">
        <v>1.03E-2</v>
      </c>
      <c r="AL197" s="228">
        <v>5.65</v>
      </c>
      <c r="AM197" s="228">
        <v>5.3</v>
      </c>
      <c r="AN197" s="228">
        <v>0.35</v>
      </c>
      <c r="AO197" s="229">
        <v>1.5900000000000001E-2</v>
      </c>
      <c r="AP197" s="228">
        <v>353.61</v>
      </c>
      <c r="AQ197" s="228">
        <v>355.65</v>
      </c>
      <c r="AR197" s="228">
        <v>0</v>
      </c>
      <c r="AS197" s="228">
        <v>502</v>
      </c>
      <c r="AT197" s="228">
        <v>550</v>
      </c>
      <c r="AU197" s="228">
        <v>-48</v>
      </c>
      <c r="AV197" s="229">
        <v>-8.6699999999999999E-2</v>
      </c>
      <c r="AW197" s="228">
        <v>419</v>
      </c>
      <c r="AX197" s="228">
        <v>454</v>
      </c>
      <c r="AY197" s="228">
        <v>-35</v>
      </c>
      <c r="AZ197" s="229">
        <v>-7.8E-2</v>
      </c>
      <c r="BA197" s="228">
        <v>65</v>
      </c>
      <c r="BB197" s="228">
        <v>68</v>
      </c>
      <c r="BC197" s="228">
        <v>-3</v>
      </c>
      <c r="BD197" s="229">
        <v>-4.1300000000000003E-2</v>
      </c>
      <c r="BE197" s="228">
        <v>18</v>
      </c>
      <c r="BF197" s="228">
        <v>28</v>
      </c>
      <c r="BG197" s="228">
        <v>-9</v>
      </c>
      <c r="BH197" s="229">
        <v>-0.34189999999999998</v>
      </c>
      <c r="BI197" s="230">
        <v>1564</v>
      </c>
      <c r="BJ197" s="230">
        <v>2168</v>
      </c>
      <c r="BK197" s="228">
        <v>-603</v>
      </c>
      <c r="BL197" s="229">
        <v>-0.27829999999999999</v>
      </c>
      <c r="BM197" s="228">
        <v>883</v>
      </c>
      <c r="BN197" s="230">
        <v>1526</v>
      </c>
      <c r="BO197" s="228">
        <v>-643</v>
      </c>
      <c r="BP197" s="229">
        <v>-0.42149999999999999</v>
      </c>
      <c r="BQ197" s="230">
        <v>2949</v>
      </c>
      <c r="BR197" s="230">
        <v>4244</v>
      </c>
      <c r="BS197" s="230">
        <v>-1294</v>
      </c>
      <c r="BT197" s="229">
        <v>-0.30499999999999999</v>
      </c>
      <c r="BU197" s="230">
        <v>10574236</v>
      </c>
      <c r="BV197" s="230">
        <v>17733124</v>
      </c>
      <c r="BW197" s="230">
        <v>-7158888</v>
      </c>
      <c r="BX197" s="229">
        <v>-0.4037</v>
      </c>
      <c r="BY197" s="230">
        <v>2682</v>
      </c>
      <c r="BZ197" s="230">
        <v>2667</v>
      </c>
      <c r="CA197" s="228">
        <v>15</v>
      </c>
      <c r="CB197" s="229">
        <v>5.7000000000000002E-3</v>
      </c>
      <c r="CC197" s="230">
        <v>2532</v>
      </c>
      <c r="CD197" s="230">
        <v>2536</v>
      </c>
      <c r="CE197" s="228">
        <v>-4</v>
      </c>
      <c r="CF197" s="229">
        <v>-1.5E-3</v>
      </c>
      <c r="CG197" s="228">
        <v>120</v>
      </c>
      <c r="CH197" s="228">
        <v>107</v>
      </c>
      <c r="CI197" s="228">
        <v>13</v>
      </c>
      <c r="CJ197" s="229">
        <v>0.12239999999999999</v>
      </c>
      <c r="CK197" s="228">
        <v>30</v>
      </c>
      <c r="CL197" s="228">
        <v>24</v>
      </c>
      <c r="CM197" s="228">
        <v>6</v>
      </c>
      <c r="CN197" s="229">
        <v>0.24</v>
      </c>
      <c r="CO197" s="230">
        <v>1539</v>
      </c>
      <c r="CP197" s="230">
        <v>1447</v>
      </c>
      <c r="CQ197" s="228">
        <v>92</v>
      </c>
      <c r="CR197" s="229">
        <v>6.3299999999999995E-2</v>
      </c>
      <c r="CS197" s="228">
        <v>933</v>
      </c>
      <c r="CT197" s="228">
        <v>903</v>
      </c>
      <c r="CU197" s="228">
        <v>30</v>
      </c>
      <c r="CV197" s="229">
        <v>3.3700000000000001E-2</v>
      </c>
      <c r="CW197" s="230">
        <v>5154</v>
      </c>
      <c r="CX197" s="230">
        <v>5017</v>
      </c>
      <c r="CY197" s="228">
        <v>137</v>
      </c>
      <c r="CZ197" s="229">
        <v>2.7300000000000001E-2</v>
      </c>
      <c r="DA197" s="228">
        <v>31.55</v>
      </c>
      <c r="DB197" s="228">
        <v>34.799999999999997</v>
      </c>
      <c r="DC197" s="228">
        <v>-3.25</v>
      </c>
      <c r="DD197" s="228">
        <v>-3.25</v>
      </c>
      <c r="DE197" s="228">
        <v>34.28</v>
      </c>
      <c r="DF197" s="228">
        <v>34.33</v>
      </c>
      <c r="DG197" s="228">
        <v>-2.73</v>
      </c>
      <c r="DH197" s="228">
        <v>-0.05</v>
      </c>
      <c r="DI197" s="228">
        <v>30.5</v>
      </c>
      <c r="DJ197" s="228">
        <v>33.53</v>
      </c>
      <c r="DK197" s="228">
        <v>-3.03</v>
      </c>
      <c r="DL197" s="228">
        <v>-3.03</v>
      </c>
      <c r="DM197" s="228">
        <v>33.4</v>
      </c>
      <c r="DN197" s="228">
        <v>36.6</v>
      </c>
      <c r="DO197" s="228">
        <v>-3.2</v>
      </c>
      <c r="DP197" s="228">
        <v>-3.2</v>
      </c>
      <c r="DQ197" s="228">
        <v>0.61</v>
      </c>
      <c r="DR197" s="228">
        <v>0.62</v>
      </c>
      <c r="DS197" s="228">
        <v>-0.01</v>
      </c>
      <c r="DT197" s="229">
        <v>-1.61E-2</v>
      </c>
      <c r="DU197" s="228">
        <v>400</v>
      </c>
      <c r="DV197" s="228">
        <v>350</v>
      </c>
      <c r="DW197" s="228">
        <v>0.56000000000000005</v>
      </c>
      <c r="DX197" s="228">
        <v>0.7</v>
      </c>
      <c r="DY197" s="228">
        <v>-0.14000000000000001</v>
      </c>
      <c r="DZ197" s="229">
        <v>-0.2</v>
      </c>
      <c r="EA197" s="229">
        <v>5.6099999999999997E-2</v>
      </c>
      <c r="EB197" s="230">
        <v>3690400</v>
      </c>
      <c r="EC197" s="229">
        <v>6.3E-3</v>
      </c>
      <c r="ED197" s="229">
        <v>5.6099999999999997E-2</v>
      </c>
      <c r="EE197" s="228">
        <v>2.04</v>
      </c>
      <c r="EF197" s="229">
        <v>5.7999999999999996E-3</v>
      </c>
      <c r="EG197" s="230">
        <v>4933946</v>
      </c>
      <c r="EH197" s="230">
        <v>10211891</v>
      </c>
      <c r="EI197" s="229">
        <v>-0.51680000000000004</v>
      </c>
      <c r="EJ197" s="229">
        <v>0.46660000000000001</v>
      </c>
      <c r="EK197" s="231">
        <v>1689.23</v>
      </c>
      <c r="EL197" s="228">
        <v>851.45</v>
      </c>
      <c r="EM197" s="228">
        <v>498.76</v>
      </c>
      <c r="EN197" s="228">
        <v>190.99</v>
      </c>
      <c r="EO197" s="231">
        <v>3039.44</v>
      </c>
      <c r="EP197" s="231">
        <v>4403.45</v>
      </c>
      <c r="EQ197" s="231">
        <v>-1364.01</v>
      </c>
      <c r="ER197" s="229">
        <v>-0.30980000000000002</v>
      </c>
      <c r="ES197" s="231">
        <v>1695.28</v>
      </c>
      <c r="ET197" s="228">
        <v>928.66</v>
      </c>
      <c r="EU197" s="231">
        <v>2683.54</v>
      </c>
      <c r="EV197" s="231">
        <v>317235726</v>
      </c>
      <c r="EW197" s="231">
        <v>5307.48</v>
      </c>
      <c r="EX197" s="231">
        <v>5133.71</v>
      </c>
      <c r="EY197" s="228">
        <v>173.77</v>
      </c>
      <c r="EZ197" s="229">
        <v>3.3799999999999997E-2</v>
      </c>
      <c r="FA197" s="229">
        <v>0.45569999999999999</v>
      </c>
      <c r="FB197" s="227" t="s">
        <v>555</v>
      </c>
      <c r="FC197">
        <f t="shared" si="4"/>
        <v>0</v>
      </c>
    </row>
    <row r="198" spans="1:159" ht="17.25" thickBot="1" x14ac:dyDescent="0.3">
      <c r="A198" s="226">
        <v>46086</v>
      </c>
      <c r="B198" s="227" t="s">
        <v>170</v>
      </c>
      <c r="C198" s="227" t="s">
        <v>298</v>
      </c>
      <c r="D198" s="228">
        <v>250</v>
      </c>
      <c r="E198" s="228">
        <v>25</v>
      </c>
      <c r="F198" s="231">
        <v>4372.3</v>
      </c>
      <c r="G198" s="231">
        <v>4354.7</v>
      </c>
      <c r="H198" s="228">
        <v>17.600000000000001</v>
      </c>
      <c r="I198" s="229">
        <v>4.0000000000000001E-3</v>
      </c>
      <c r="J198" s="231">
        <v>4353.3999999999996</v>
      </c>
      <c r="K198" s="231">
        <v>4341</v>
      </c>
      <c r="L198" s="228">
        <v>12.4</v>
      </c>
      <c r="M198" s="229">
        <v>2.8999999999999998E-3</v>
      </c>
      <c r="N198" s="231">
        <v>4372.3</v>
      </c>
      <c r="O198" s="231">
        <v>4354.7</v>
      </c>
      <c r="P198" s="228">
        <v>17.600000000000001</v>
      </c>
      <c r="Q198" s="229">
        <v>4.0000000000000001E-3</v>
      </c>
      <c r="R198" s="231">
        <v>4375</v>
      </c>
      <c r="S198" s="231">
        <v>4377.1000000000004</v>
      </c>
      <c r="T198" s="228">
        <v>-2.1</v>
      </c>
      <c r="U198" s="229">
        <v>-5.0000000000000001E-4</v>
      </c>
      <c r="V198" s="231">
        <v>4428.6000000000004</v>
      </c>
      <c r="W198" s="231">
        <v>4428.6000000000004</v>
      </c>
      <c r="X198" s="228">
        <v>0</v>
      </c>
      <c r="Y198" s="229">
        <v>0</v>
      </c>
      <c r="Z198" s="228">
        <v>18.899999999999999</v>
      </c>
      <c r="AA198" s="228">
        <v>13.7</v>
      </c>
      <c r="AB198" s="228">
        <v>5.2</v>
      </c>
      <c r="AC198" s="229">
        <v>4.3E-3</v>
      </c>
      <c r="AD198" s="228">
        <v>18.899999999999999</v>
      </c>
      <c r="AE198" s="228">
        <v>13.7</v>
      </c>
      <c r="AF198" s="228">
        <v>5.2</v>
      </c>
      <c r="AG198" s="229">
        <v>4.3E-3</v>
      </c>
      <c r="AH198" s="228">
        <v>21.6</v>
      </c>
      <c r="AI198" s="228">
        <v>36.1</v>
      </c>
      <c r="AJ198" s="228">
        <v>-14.5</v>
      </c>
      <c r="AK198" s="229">
        <v>5.0000000000000001E-3</v>
      </c>
      <c r="AL198" s="228">
        <v>75.2</v>
      </c>
      <c r="AM198" s="228">
        <v>87.6</v>
      </c>
      <c r="AN198" s="228">
        <v>-12.4</v>
      </c>
      <c r="AO198" s="229">
        <v>1.7299999999999999E-2</v>
      </c>
      <c r="AP198" s="231">
        <v>4375.1000000000004</v>
      </c>
      <c r="AQ198" s="231">
        <v>4376.1000000000004</v>
      </c>
      <c r="AR198" s="228">
        <v>0</v>
      </c>
      <c r="AS198" s="228">
        <v>169</v>
      </c>
      <c r="AT198" s="228">
        <v>168</v>
      </c>
      <c r="AU198" s="228">
        <v>1</v>
      </c>
      <c r="AV198" s="229">
        <v>8.5000000000000006E-3</v>
      </c>
      <c r="AW198" s="228">
        <v>161</v>
      </c>
      <c r="AX198" s="228">
        <v>165</v>
      </c>
      <c r="AY198" s="228">
        <v>-4</v>
      </c>
      <c r="AZ198" s="229">
        <v>-2.46E-2</v>
      </c>
      <c r="BA198" s="228">
        <v>8</v>
      </c>
      <c r="BB198" s="228">
        <v>3</v>
      </c>
      <c r="BC198" s="228">
        <v>5</v>
      </c>
      <c r="BD198" s="229">
        <v>1.8519000000000001</v>
      </c>
      <c r="BE198" s="228">
        <v>0</v>
      </c>
      <c r="BF198" s="228">
        <v>0</v>
      </c>
      <c r="BG198" s="228">
        <v>0</v>
      </c>
      <c r="BH198" s="229">
        <v>0</v>
      </c>
      <c r="BI198" s="228">
        <v>188</v>
      </c>
      <c r="BJ198" s="228">
        <v>292</v>
      </c>
      <c r="BK198" s="228">
        <v>-104</v>
      </c>
      <c r="BL198" s="229">
        <v>-0.35649999999999998</v>
      </c>
      <c r="BM198" s="228">
        <v>96</v>
      </c>
      <c r="BN198" s="228">
        <v>244</v>
      </c>
      <c r="BO198" s="228">
        <v>-148</v>
      </c>
      <c r="BP198" s="229">
        <v>-0.6069</v>
      </c>
      <c r="BQ198" s="228">
        <v>453</v>
      </c>
      <c r="BR198" s="228">
        <v>704</v>
      </c>
      <c r="BS198" s="228">
        <v>-251</v>
      </c>
      <c r="BT198" s="229">
        <v>-0.35639999999999999</v>
      </c>
      <c r="BU198" s="230">
        <v>288527</v>
      </c>
      <c r="BV198" s="230">
        <v>443269</v>
      </c>
      <c r="BW198" s="230">
        <v>-154742</v>
      </c>
      <c r="BX198" s="229">
        <v>-0.34910000000000002</v>
      </c>
      <c r="BY198" s="230">
        <v>1240</v>
      </c>
      <c r="BZ198" s="230">
        <v>1242</v>
      </c>
      <c r="CA198" s="228">
        <v>-3</v>
      </c>
      <c r="CB198" s="229">
        <v>-2.3E-3</v>
      </c>
      <c r="CC198" s="230">
        <v>1229</v>
      </c>
      <c r="CD198" s="230">
        <v>1234</v>
      </c>
      <c r="CE198" s="228">
        <v>-5</v>
      </c>
      <c r="CF198" s="229">
        <v>-4.3E-3</v>
      </c>
      <c r="CG198" s="228">
        <v>11</v>
      </c>
      <c r="CH198" s="228">
        <v>8</v>
      </c>
      <c r="CI198" s="228">
        <v>2</v>
      </c>
      <c r="CJ198" s="229">
        <v>0.29330000000000001</v>
      </c>
      <c r="CK198" s="228">
        <v>0</v>
      </c>
      <c r="CL198" s="228">
        <v>0</v>
      </c>
      <c r="CM198" s="228">
        <v>0</v>
      </c>
      <c r="CN198" s="229">
        <v>0</v>
      </c>
      <c r="CO198" s="228">
        <v>292</v>
      </c>
      <c r="CP198" s="228">
        <v>283</v>
      </c>
      <c r="CQ198" s="228">
        <v>9</v>
      </c>
      <c r="CR198" s="229">
        <v>3.2800000000000003E-2</v>
      </c>
      <c r="CS198" s="228">
        <v>208</v>
      </c>
      <c r="CT198" s="228">
        <v>192</v>
      </c>
      <c r="CU198" s="228">
        <v>17</v>
      </c>
      <c r="CV198" s="229">
        <v>8.7800000000000003E-2</v>
      </c>
      <c r="CW198" s="230">
        <v>1740</v>
      </c>
      <c r="CX198" s="230">
        <v>1717</v>
      </c>
      <c r="CY198" s="228">
        <v>23</v>
      </c>
      <c r="CZ198" s="229">
        <v>1.3599999999999999E-2</v>
      </c>
      <c r="DA198" s="228">
        <v>21.43</v>
      </c>
      <c r="DB198" s="228">
        <v>22.93</v>
      </c>
      <c r="DC198" s="228">
        <v>-1.5</v>
      </c>
      <c r="DD198" s="228">
        <v>-1.5</v>
      </c>
      <c r="DE198" s="228">
        <v>25.38</v>
      </c>
      <c r="DF198" s="228">
        <v>25.45</v>
      </c>
      <c r="DG198" s="228">
        <v>-3.95</v>
      </c>
      <c r="DH198" s="228">
        <v>-7.0000000000000007E-2</v>
      </c>
      <c r="DI198" s="228">
        <v>20.94</v>
      </c>
      <c r="DJ198" s="228">
        <v>22.21</v>
      </c>
      <c r="DK198" s="228">
        <v>-1.27</v>
      </c>
      <c r="DL198" s="228">
        <v>-1.27</v>
      </c>
      <c r="DM198" s="228">
        <v>22.41</v>
      </c>
      <c r="DN198" s="228">
        <v>23.78</v>
      </c>
      <c r="DO198" s="228">
        <v>-1.37</v>
      </c>
      <c r="DP198" s="228">
        <v>-1.37</v>
      </c>
      <c r="DQ198" s="228">
        <v>0.71</v>
      </c>
      <c r="DR198" s="228">
        <v>0.68</v>
      </c>
      <c r="DS198" s="228">
        <v>0.03</v>
      </c>
      <c r="DT198" s="229">
        <v>4.41E-2</v>
      </c>
      <c r="DU198" s="231">
        <v>4600</v>
      </c>
      <c r="DV198" s="231">
        <v>4100</v>
      </c>
      <c r="DW198" s="228">
        <v>0.51</v>
      </c>
      <c r="DX198" s="228">
        <v>0.83</v>
      </c>
      <c r="DY198" s="228">
        <v>-0.32</v>
      </c>
      <c r="DZ198" s="229">
        <v>-0.38550000000000001</v>
      </c>
      <c r="EA198" s="229">
        <v>8.8999999999999999E-3</v>
      </c>
      <c r="EB198" s="230">
        <v>19750</v>
      </c>
      <c r="EC198" s="229">
        <v>5.9999999999999995E-4</v>
      </c>
      <c r="ED198" s="229">
        <v>8.8999999999999999E-3</v>
      </c>
      <c r="EE198" s="228">
        <v>1</v>
      </c>
      <c r="EF198" s="229">
        <v>2.0000000000000001E-4</v>
      </c>
      <c r="EG198" s="230">
        <v>172272</v>
      </c>
      <c r="EH198" s="230">
        <v>275452</v>
      </c>
      <c r="EI198" s="229">
        <v>-0.37459999999999999</v>
      </c>
      <c r="EJ198" s="229">
        <v>0.59709999999999996</v>
      </c>
      <c r="EK198" s="228">
        <v>195.72</v>
      </c>
      <c r="EL198" s="228">
        <v>94.7</v>
      </c>
      <c r="EM198" s="228">
        <v>169.1</v>
      </c>
      <c r="EN198" s="228">
        <v>15.69</v>
      </c>
      <c r="EO198" s="228">
        <v>459.52</v>
      </c>
      <c r="EP198" s="228">
        <v>709.64</v>
      </c>
      <c r="EQ198" s="228">
        <v>-250.11</v>
      </c>
      <c r="ER198" s="229">
        <v>-0.35249999999999998</v>
      </c>
      <c r="ES198" s="228">
        <v>298.89999999999998</v>
      </c>
      <c r="ET198" s="228">
        <v>198.97</v>
      </c>
      <c r="EU198" s="231">
        <v>1239.67</v>
      </c>
      <c r="EV198" s="231">
        <v>10726004</v>
      </c>
      <c r="EW198" s="231">
        <v>1737.54</v>
      </c>
      <c r="EX198" s="231">
        <v>1708.72</v>
      </c>
      <c r="EY198" s="228">
        <v>28.82</v>
      </c>
      <c r="EZ198" s="229">
        <v>1.6899999999999998E-2</v>
      </c>
      <c r="FA198" s="229">
        <v>0.37109999999999999</v>
      </c>
      <c r="FB198" s="227" t="s">
        <v>556</v>
      </c>
      <c r="FC198">
        <f t="shared" si="4"/>
        <v>0</v>
      </c>
    </row>
    <row r="199" spans="1:159" ht="17.25" thickBot="1" x14ac:dyDescent="0.3">
      <c r="A199" s="226">
        <v>46086</v>
      </c>
      <c r="B199" s="227" t="s">
        <v>161</v>
      </c>
      <c r="C199" s="227" t="s">
        <v>299</v>
      </c>
      <c r="D199" s="228">
        <v>425</v>
      </c>
      <c r="E199" s="228">
        <v>25</v>
      </c>
      <c r="F199" s="231">
        <v>1507.3</v>
      </c>
      <c r="G199" s="231">
        <v>1465.7</v>
      </c>
      <c r="H199" s="228">
        <v>41.6</v>
      </c>
      <c r="I199" s="229">
        <v>2.8400000000000002E-2</v>
      </c>
      <c r="J199" s="231">
        <v>1503.9</v>
      </c>
      <c r="K199" s="231">
        <v>1475.9</v>
      </c>
      <c r="L199" s="228">
        <v>28</v>
      </c>
      <c r="M199" s="229">
        <v>1.9E-2</v>
      </c>
      <c r="N199" s="231">
        <v>1507.3</v>
      </c>
      <c r="O199" s="231">
        <v>1465.7</v>
      </c>
      <c r="P199" s="228">
        <v>41.6</v>
      </c>
      <c r="Q199" s="229">
        <v>2.8400000000000002E-2</v>
      </c>
      <c r="R199" s="231">
        <v>1505.4</v>
      </c>
      <c r="S199" s="231">
        <v>1465</v>
      </c>
      <c r="T199" s="228">
        <v>40.4</v>
      </c>
      <c r="U199" s="229">
        <v>2.76E-2</v>
      </c>
      <c r="V199" s="228">
        <v>0</v>
      </c>
      <c r="W199" s="228">
        <v>0</v>
      </c>
      <c r="X199" s="228">
        <v>0</v>
      </c>
      <c r="Y199" s="229">
        <v>0</v>
      </c>
      <c r="Z199" s="228">
        <v>3.4</v>
      </c>
      <c r="AA199" s="228">
        <v>-10.199999999999999</v>
      </c>
      <c r="AB199" s="228">
        <v>13.6</v>
      </c>
      <c r="AC199" s="229">
        <v>2.3E-3</v>
      </c>
      <c r="AD199" s="228">
        <v>3.4</v>
      </c>
      <c r="AE199" s="228">
        <v>-10.199999999999999</v>
      </c>
      <c r="AF199" s="228">
        <v>13.6</v>
      </c>
      <c r="AG199" s="229">
        <v>2.3E-3</v>
      </c>
      <c r="AH199" s="228">
        <v>1.5</v>
      </c>
      <c r="AI199" s="228">
        <v>-10.9</v>
      </c>
      <c r="AJ199" s="228">
        <v>12.4</v>
      </c>
      <c r="AK199" s="229">
        <v>1E-3</v>
      </c>
      <c r="AL199" s="228">
        <v>0</v>
      </c>
      <c r="AM199" s="228">
        <v>0</v>
      </c>
      <c r="AN199" s="228">
        <v>0</v>
      </c>
      <c r="AO199" s="229">
        <v>0</v>
      </c>
      <c r="AP199" s="231">
        <v>1491.86</v>
      </c>
      <c r="AQ199" s="231">
        <v>1490.47</v>
      </c>
      <c r="AR199" s="228">
        <v>0</v>
      </c>
      <c r="AS199" s="228">
        <v>165</v>
      </c>
      <c r="AT199" s="228">
        <v>363</v>
      </c>
      <c r="AU199" s="228">
        <v>-199</v>
      </c>
      <c r="AV199" s="229">
        <v>-0.54630000000000001</v>
      </c>
      <c r="AW199" s="228">
        <v>161</v>
      </c>
      <c r="AX199" s="228">
        <v>353</v>
      </c>
      <c r="AY199" s="228">
        <v>-192</v>
      </c>
      <c r="AZ199" s="229">
        <v>-0.54369999999999996</v>
      </c>
      <c r="BA199" s="228">
        <v>4</v>
      </c>
      <c r="BB199" s="228">
        <v>11</v>
      </c>
      <c r="BC199" s="228">
        <v>-7</v>
      </c>
      <c r="BD199" s="229">
        <v>-0.6341</v>
      </c>
      <c r="BE199" s="228">
        <v>0</v>
      </c>
      <c r="BF199" s="228">
        <v>0</v>
      </c>
      <c r="BG199" s="228">
        <v>0</v>
      </c>
      <c r="BH199" s="229">
        <v>0</v>
      </c>
      <c r="BI199" s="228">
        <v>205</v>
      </c>
      <c r="BJ199" s="228">
        <v>394</v>
      </c>
      <c r="BK199" s="228">
        <v>-189</v>
      </c>
      <c r="BL199" s="229">
        <v>-0.48</v>
      </c>
      <c r="BM199" s="228">
        <v>106</v>
      </c>
      <c r="BN199" s="228">
        <v>265</v>
      </c>
      <c r="BO199" s="228">
        <v>-159</v>
      </c>
      <c r="BP199" s="229">
        <v>-0.60009999999999997</v>
      </c>
      <c r="BQ199" s="228">
        <v>476</v>
      </c>
      <c r="BR199" s="230">
        <v>1023</v>
      </c>
      <c r="BS199" s="228">
        <v>-547</v>
      </c>
      <c r="BT199" s="229">
        <v>-0.53469999999999995</v>
      </c>
      <c r="BU199" s="230">
        <v>505554</v>
      </c>
      <c r="BV199" s="230">
        <v>1736076</v>
      </c>
      <c r="BW199" s="230">
        <v>-1230522</v>
      </c>
      <c r="BX199" s="229">
        <v>-0.70879999999999999</v>
      </c>
      <c r="BY199" s="228">
        <v>564</v>
      </c>
      <c r="BZ199" s="228">
        <v>554</v>
      </c>
      <c r="CA199" s="228">
        <v>10</v>
      </c>
      <c r="CB199" s="229">
        <v>1.7500000000000002E-2</v>
      </c>
      <c r="CC199" s="228">
        <v>556</v>
      </c>
      <c r="CD199" s="228">
        <v>547</v>
      </c>
      <c r="CE199" s="228">
        <v>9</v>
      </c>
      <c r="CF199" s="229">
        <v>1.6799999999999999E-2</v>
      </c>
      <c r="CG199" s="228">
        <v>8</v>
      </c>
      <c r="CH199" s="228">
        <v>7</v>
      </c>
      <c r="CI199" s="228">
        <v>1</v>
      </c>
      <c r="CJ199" s="229">
        <v>6.8400000000000002E-2</v>
      </c>
      <c r="CK199" s="228">
        <v>0</v>
      </c>
      <c r="CL199" s="228">
        <v>0</v>
      </c>
      <c r="CM199" s="228">
        <v>0</v>
      </c>
      <c r="CN199" s="229">
        <v>0</v>
      </c>
      <c r="CO199" s="228">
        <v>221</v>
      </c>
      <c r="CP199" s="228">
        <v>200</v>
      </c>
      <c r="CQ199" s="228">
        <v>21</v>
      </c>
      <c r="CR199" s="229">
        <v>0.1066</v>
      </c>
      <c r="CS199" s="228">
        <v>124</v>
      </c>
      <c r="CT199" s="228">
        <v>111</v>
      </c>
      <c r="CU199" s="228">
        <v>12</v>
      </c>
      <c r="CV199" s="229">
        <v>0.1116</v>
      </c>
      <c r="CW199" s="228">
        <v>909</v>
      </c>
      <c r="CX199" s="228">
        <v>866</v>
      </c>
      <c r="CY199" s="228">
        <v>43</v>
      </c>
      <c r="CZ199" s="229">
        <v>5.0200000000000002E-2</v>
      </c>
      <c r="DA199" s="228">
        <v>32.979999999999997</v>
      </c>
      <c r="DB199" s="228">
        <v>37.21</v>
      </c>
      <c r="DC199" s="228">
        <v>-4.2300000000000004</v>
      </c>
      <c r="DD199" s="228">
        <v>-4.2300000000000004</v>
      </c>
      <c r="DE199" s="228">
        <v>41.12</v>
      </c>
      <c r="DF199" s="228">
        <v>41.05</v>
      </c>
      <c r="DG199" s="228">
        <v>-8.14</v>
      </c>
      <c r="DH199" s="228">
        <v>7.0000000000000007E-2</v>
      </c>
      <c r="DI199" s="228">
        <v>31.86</v>
      </c>
      <c r="DJ199" s="228">
        <v>36.340000000000003</v>
      </c>
      <c r="DK199" s="228">
        <v>-4.4800000000000004</v>
      </c>
      <c r="DL199" s="228">
        <v>-4.4800000000000004</v>
      </c>
      <c r="DM199" s="228">
        <v>35.14</v>
      </c>
      <c r="DN199" s="228">
        <v>38.51</v>
      </c>
      <c r="DO199" s="228">
        <v>-3.37</v>
      </c>
      <c r="DP199" s="228">
        <v>-3.37</v>
      </c>
      <c r="DQ199" s="228">
        <v>0.56000000000000005</v>
      </c>
      <c r="DR199" s="228">
        <v>0.56000000000000005</v>
      </c>
      <c r="DS199" s="228">
        <v>0</v>
      </c>
      <c r="DT199" s="229">
        <v>0</v>
      </c>
      <c r="DU199" s="231">
        <v>1700</v>
      </c>
      <c r="DV199" s="231">
        <v>1400</v>
      </c>
      <c r="DW199" s="228">
        <v>0.52</v>
      </c>
      <c r="DX199" s="228">
        <v>0.67</v>
      </c>
      <c r="DY199" s="228">
        <v>-0.15</v>
      </c>
      <c r="DZ199" s="229">
        <v>-0.22389999999999999</v>
      </c>
      <c r="EA199" s="229">
        <v>1.4200000000000001E-2</v>
      </c>
      <c r="EB199" s="230">
        <v>49725</v>
      </c>
      <c r="EC199" s="229">
        <v>-1.2999999999999999E-3</v>
      </c>
      <c r="ED199" s="229">
        <v>1.4200000000000001E-2</v>
      </c>
      <c r="EE199" s="228">
        <v>-1.39</v>
      </c>
      <c r="EF199" s="229">
        <v>-8.9999999999999998E-4</v>
      </c>
      <c r="EG199" s="230">
        <v>235248</v>
      </c>
      <c r="EH199" s="230">
        <v>930122</v>
      </c>
      <c r="EI199" s="229">
        <v>-0.74709999999999999</v>
      </c>
      <c r="EJ199" s="229">
        <v>0.46529999999999999</v>
      </c>
      <c r="EK199" s="228">
        <v>217.3</v>
      </c>
      <c r="EL199" s="228">
        <v>103.53</v>
      </c>
      <c r="EM199" s="228">
        <v>163.19999999999999</v>
      </c>
      <c r="EN199" s="228">
        <v>38.79</v>
      </c>
      <c r="EO199" s="228">
        <v>484.03</v>
      </c>
      <c r="EP199" s="231">
        <v>1043.92</v>
      </c>
      <c r="EQ199" s="228">
        <v>-559.89</v>
      </c>
      <c r="ER199" s="229">
        <v>-0.5363</v>
      </c>
      <c r="ES199" s="228">
        <v>235.55</v>
      </c>
      <c r="ET199" s="228">
        <v>120.33</v>
      </c>
      <c r="EU199" s="228">
        <v>563.98</v>
      </c>
      <c r="EV199" s="231">
        <v>24646022</v>
      </c>
      <c r="EW199" s="228">
        <v>919.86</v>
      </c>
      <c r="EX199" s="228">
        <v>860.56</v>
      </c>
      <c r="EY199" s="228">
        <v>59.3</v>
      </c>
      <c r="EZ199" s="229">
        <v>6.8900000000000003E-2</v>
      </c>
      <c r="FA199" s="229">
        <v>0.2447</v>
      </c>
      <c r="FB199" s="227" t="s">
        <v>555</v>
      </c>
      <c r="FC199">
        <f t="shared" si="4"/>
        <v>0</v>
      </c>
    </row>
    <row r="200" spans="1:159" ht="17.25" thickBot="1" x14ac:dyDescent="0.3">
      <c r="A200" s="226">
        <v>46086</v>
      </c>
      <c r="B200" s="227" t="s">
        <v>197</v>
      </c>
      <c r="C200" s="227" t="s">
        <v>482</v>
      </c>
      <c r="D200" s="228">
        <v>100</v>
      </c>
      <c r="E200" s="228">
        <v>25</v>
      </c>
      <c r="F200" s="231">
        <v>3796.1</v>
      </c>
      <c r="G200" s="231">
        <v>3763.8</v>
      </c>
      <c r="H200" s="228">
        <v>32.299999999999997</v>
      </c>
      <c r="I200" s="229">
        <v>8.6E-3</v>
      </c>
      <c r="J200" s="231">
        <v>3790.9</v>
      </c>
      <c r="K200" s="231">
        <v>3756.8</v>
      </c>
      <c r="L200" s="228">
        <v>34.1</v>
      </c>
      <c r="M200" s="229">
        <v>9.1000000000000004E-3</v>
      </c>
      <c r="N200" s="231">
        <v>3796.1</v>
      </c>
      <c r="O200" s="231">
        <v>3763.8</v>
      </c>
      <c r="P200" s="228">
        <v>32.299999999999997</v>
      </c>
      <c r="Q200" s="229">
        <v>8.6E-3</v>
      </c>
      <c r="R200" s="231">
        <v>3820.8</v>
      </c>
      <c r="S200" s="231">
        <v>3789.9</v>
      </c>
      <c r="T200" s="228">
        <v>30.9</v>
      </c>
      <c r="U200" s="229">
        <v>8.2000000000000007E-3</v>
      </c>
      <c r="V200" s="231">
        <v>3841.6</v>
      </c>
      <c r="W200" s="231">
        <v>3806.5</v>
      </c>
      <c r="X200" s="228">
        <v>35.1</v>
      </c>
      <c r="Y200" s="229">
        <v>9.1999999999999998E-3</v>
      </c>
      <c r="Z200" s="228">
        <v>5.2</v>
      </c>
      <c r="AA200" s="228">
        <v>7</v>
      </c>
      <c r="AB200" s="228">
        <v>-1.8</v>
      </c>
      <c r="AC200" s="229">
        <v>1.4E-3</v>
      </c>
      <c r="AD200" s="228">
        <v>5.2</v>
      </c>
      <c r="AE200" s="228">
        <v>7</v>
      </c>
      <c r="AF200" s="228">
        <v>-1.8</v>
      </c>
      <c r="AG200" s="229">
        <v>1.4E-3</v>
      </c>
      <c r="AH200" s="228">
        <v>29.9</v>
      </c>
      <c r="AI200" s="228">
        <v>33.1</v>
      </c>
      <c r="AJ200" s="228">
        <v>-3.2</v>
      </c>
      <c r="AK200" s="229">
        <v>7.9000000000000008E-3</v>
      </c>
      <c r="AL200" s="228">
        <v>50.7</v>
      </c>
      <c r="AM200" s="228">
        <v>49.7</v>
      </c>
      <c r="AN200" s="228">
        <v>1</v>
      </c>
      <c r="AO200" s="229">
        <v>1.34E-2</v>
      </c>
      <c r="AP200" s="231">
        <v>3763.39</v>
      </c>
      <c r="AQ200" s="231">
        <v>3782.97</v>
      </c>
      <c r="AR200" s="228">
        <v>0</v>
      </c>
      <c r="AS200" s="228">
        <v>237</v>
      </c>
      <c r="AT200" s="228">
        <v>301</v>
      </c>
      <c r="AU200" s="228">
        <v>-65</v>
      </c>
      <c r="AV200" s="229">
        <v>-0.21490000000000001</v>
      </c>
      <c r="AW200" s="228">
        <v>222</v>
      </c>
      <c r="AX200" s="228">
        <v>286</v>
      </c>
      <c r="AY200" s="228">
        <v>-64</v>
      </c>
      <c r="AZ200" s="229">
        <v>-0.2228</v>
      </c>
      <c r="BA200" s="228">
        <v>11</v>
      </c>
      <c r="BB200" s="228">
        <v>14</v>
      </c>
      <c r="BC200" s="228">
        <v>-3</v>
      </c>
      <c r="BD200" s="229">
        <v>-0.1928</v>
      </c>
      <c r="BE200" s="228">
        <v>3</v>
      </c>
      <c r="BF200" s="228">
        <v>2</v>
      </c>
      <c r="BG200" s="228">
        <v>2</v>
      </c>
      <c r="BH200" s="229">
        <v>1.0488</v>
      </c>
      <c r="BI200" s="228">
        <v>840</v>
      </c>
      <c r="BJ200" s="228">
        <v>895</v>
      </c>
      <c r="BK200" s="228">
        <v>-55</v>
      </c>
      <c r="BL200" s="229">
        <v>-6.1800000000000001E-2</v>
      </c>
      <c r="BM200" s="228">
        <v>350</v>
      </c>
      <c r="BN200" s="228">
        <v>640</v>
      </c>
      <c r="BO200" s="228">
        <v>-290</v>
      </c>
      <c r="BP200" s="229">
        <v>-0.45369999999999999</v>
      </c>
      <c r="BQ200" s="230">
        <v>1426</v>
      </c>
      <c r="BR200" s="230">
        <v>1837</v>
      </c>
      <c r="BS200" s="228">
        <v>-411</v>
      </c>
      <c r="BT200" s="229">
        <v>-0.2235</v>
      </c>
      <c r="BU200" s="230">
        <v>731036</v>
      </c>
      <c r="BV200" s="230">
        <v>852174</v>
      </c>
      <c r="BW200" s="230">
        <v>-121138</v>
      </c>
      <c r="BX200" s="229">
        <v>-0.14219999999999999</v>
      </c>
      <c r="BY200" s="230">
        <v>2451</v>
      </c>
      <c r="BZ200" s="230">
        <v>2512</v>
      </c>
      <c r="CA200" s="228">
        <v>-60</v>
      </c>
      <c r="CB200" s="229">
        <v>-2.4E-2</v>
      </c>
      <c r="CC200" s="230">
        <v>2371</v>
      </c>
      <c r="CD200" s="230">
        <v>2432</v>
      </c>
      <c r="CE200" s="228">
        <v>-61</v>
      </c>
      <c r="CF200" s="229">
        <v>-2.5000000000000001E-2</v>
      </c>
      <c r="CG200" s="228">
        <v>75</v>
      </c>
      <c r="CH200" s="228">
        <v>75</v>
      </c>
      <c r="CI200" s="228">
        <v>0</v>
      </c>
      <c r="CJ200" s="229">
        <v>-4.0000000000000001E-3</v>
      </c>
      <c r="CK200" s="228">
        <v>6</v>
      </c>
      <c r="CL200" s="228">
        <v>5</v>
      </c>
      <c r="CM200" s="228">
        <v>1</v>
      </c>
      <c r="CN200" s="229">
        <v>0.1885</v>
      </c>
      <c r="CO200" s="228">
        <v>777</v>
      </c>
      <c r="CP200" s="228">
        <v>735</v>
      </c>
      <c r="CQ200" s="228">
        <v>42</v>
      </c>
      <c r="CR200" s="229">
        <v>5.6500000000000002E-2</v>
      </c>
      <c r="CS200" s="228">
        <v>563</v>
      </c>
      <c r="CT200" s="228">
        <v>561</v>
      </c>
      <c r="CU200" s="228">
        <v>2</v>
      </c>
      <c r="CV200" s="229">
        <v>3.0000000000000001E-3</v>
      </c>
      <c r="CW200" s="230">
        <v>3791</v>
      </c>
      <c r="CX200" s="230">
        <v>3808</v>
      </c>
      <c r="CY200" s="228">
        <v>-17</v>
      </c>
      <c r="CZ200" s="229">
        <v>-4.4999999999999997E-3</v>
      </c>
      <c r="DA200" s="228">
        <v>29.21</v>
      </c>
      <c r="DB200" s="228">
        <v>33.270000000000003</v>
      </c>
      <c r="DC200" s="228">
        <v>-4.0599999999999996</v>
      </c>
      <c r="DD200" s="228">
        <v>-4.0599999999999996</v>
      </c>
      <c r="DE200" s="228">
        <v>41.81</v>
      </c>
      <c r="DF200" s="228">
        <v>41.9</v>
      </c>
      <c r="DG200" s="228">
        <v>-12.6</v>
      </c>
      <c r="DH200" s="228">
        <v>-0.09</v>
      </c>
      <c r="DI200" s="228">
        <v>28.72</v>
      </c>
      <c r="DJ200" s="228">
        <v>32.619999999999997</v>
      </c>
      <c r="DK200" s="228">
        <v>-3.9</v>
      </c>
      <c r="DL200" s="228">
        <v>-3.9</v>
      </c>
      <c r="DM200" s="228">
        <v>30.36</v>
      </c>
      <c r="DN200" s="228">
        <v>34.18</v>
      </c>
      <c r="DO200" s="228">
        <v>-3.82</v>
      </c>
      <c r="DP200" s="228">
        <v>-3.82</v>
      </c>
      <c r="DQ200" s="228">
        <v>0.72</v>
      </c>
      <c r="DR200" s="228">
        <v>0.76</v>
      </c>
      <c r="DS200" s="228">
        <v>-0.04</v>
      </c>
      <c r="DT200" s="229">
        <v>-5.2600000000000001E-2</v>
      </c>
      <c r="DU200" s="231">
        <v>4500</v>
      </c>
      <c r="DV200" s="231">
        <v>3700</v>
      </c>
      <c r="DW200" s="228">
        <v>0.42</v>
      </c>
      <c r="DX200" s="228">
        <v>0.72</v>
      </c>
      <c r="DY200" s="228">
        <v>-0.3</v>
      </c>
      <c r="DZ200" s="229">
        <v>-0.41670000000000001</v>
      </c>
      <c r="EA200" s="229">
        <v>3.2800000000000003E-2</v>
      </c>
      <c r="EB200" s="230">
        <v>210200</v>
      </c>
      <c r="EC200" s="229">
        <v>6.4999999999999997E-3</v>
      </c>
      <c r="ED200" s="229">
        <v>3.2800000000000003E-2</v>
      </c>
      <c r="EE200" s="228">
        <v>19.579999999999998</v>
      </c>
      <c r="EF200" s="229">
        <v>5.1999999999999998E-3</v>
      </c>
      <c r="EG200" s="230">
        <v>396766</v>
      </c>
      <c r="EH200" s="230">
        <v>457472</v>
      </c>
      <c r="EI200" s="229">
        <v>-0.13270000000000001</v>
      </c>
      <c r="EJ200" s="229">
        <v>0.54269999999999996</v>
      </c>
      <c r="EK200" s="228">
        <v>893.48</v>
      </c>
      <c r="EL200" s="228">
        <v>343.94</v>
      </c>
      <c r="EM200" s="228">
        <v>234.7</v>
      </c>
      <c r="EN200" s="228">
        <v>84.44</v>
      </c>
      <c r="EO200" s="231">
        <v>1472.12</v>
      </c>
      <c r="EP200" s="231">
        <v>1898.92</v>
      </c>
      <c r="EQ200" s="228">
        <v>-426.81</v>
      </c>
      <c r="ER200" s="229">
        <v>-0.2248</v>
      </c>
      <c r="ES200" s="228">
        <v>848.74</v>
      </c>
      <c r="ET200" s="228">
        <v>583.26</v>
      </c>
      <c r="EU200" s="231">
        <v>2452</v>
      </c>
      <c r="EV200" s="231">
        <v>33590487</v>
      </c>
      <c r="EW200" s="231">
        <v>3884</v>
      </c>
      <c r="EX200" s="231">
        <v>3878.6</v>
      </c>
      <c r="EY200" s="228">
        <v>5.4</v>
      </c>
      <c r="EZ200" s="229">
        <v>1.4E-3</v>
      </c>
      <c r="FA200" s="229">
        <v>0.29730000000000001</v>
      </c>
      <c r="FB200" s="227" t="s">
        <v>556</v>
      </c>
      <c r="FC200">
        <f t="shared" si="4"/>
        <v>0</v>
      </c>
    </row>
    <row r="201" spans="1:159" ht="17.25" thickBot="1" x14ac:dyDescent="0.3">
      <c r="A201" s="226">
        <v>46086</v>
      </c>
      <c r="B201" s="227" t="s">
        <v>162</v>
      </c>
      <c r="C201" s="227" t="s">
        <v>300</v>
      </c>
      <c r="D201" s="228">
        <v>175</v>
      </c>
      <c r="E201" s="228">
        <v>25</v>
      </c>
      <c r="F201" s="231">
        <v>3814.6</v>
      </c>
      <c r="G201" s="231">
        <v>3743</v>
      </c>
      <c r="H201" s="228">
        <v>71.599999999999994</v>
      </c>
      <c r="I201" s="229">
        <v>1.9099999999999999E-2</v>
      </c>
      <c r="J201" s="231">
        <v>3818.4</v>
      </c>
      <c r="K201" s="231">
        <v>3746.7</v>
      </c>
      <c r="L201" s="228">
        <v>71.7</v>
      </c>
      <c r="M201" s="229">
        <v>1.9099999999999999E-2</v>
      </c>
      <c r="N201" s="231">
        <v>3814.6</v>
      </c>
      <c r="O201" s="231">
        <v>3743</v>
      </c>
      <c r="P201" s="228">
        <v>71.599999999999994</v>
      </c>
      <c r="Q201" s="229">
        <v>1.9099999999999999E-2</v>
      </c>
      <c r="R201" s="231">
        <v>3833.3</v>
      </c>
      <c r="S201" s="231">
        <v>3761.8</v>
      </c>
      <c r="T201" s="228">
        <v>71.5</v>
      </c>
      <c r="U201" s="229">
        <v>1.9E-2</v>
      </c>
      <c r="V201" s="231">
        <v>3850</v>
      </c>
      <c r="W201" s="231">
        <v>3775</v>
      </c>
      <c r="X201" s="228">
        <v>75</v>
      </c>
      <c r="Y201" s="229">
        <v>1.9900000000000001E-2</v>
      </c>
      <c r="Z201" s="228">
        <v>-3.8</v>
      </c>
      <c r="AA201" s="228">
        <v>-3.7</v>
      </c>
      <c r="AB201" s="228">
        <v>-0.1</v>
      </c>
      <c r="AC201" s="229">
        <v>-1E-3</v>
      </c>
      <c r="AD201" s="228">
        <v>-3.8</v>
      </c>
      <c r="AE201" s="228">
        <v>-3.7</v>
      </c>
      <c r="AF201" s="228">
        <v>-0.1</v>
      </c>
      <c r="AG201" s="229">
        <v>-1E-3</v>
      </c>
      <c r="AH201" s="228">
        <v>14.9</v>
      </c>
      <c r="AI201" s="228">
        <v>15.1</v>
      </c>
      <c r="AJ201" s="228">
        <v>-0.2</v>
      </c>
      <c r="AK201" s="229">
        <v>3.8999999999999998E-3</v>
      </c>
      <c r="AL201" s="228">
        <v>31.6</v>
      </c>
      <c r="AM201" s="228">
        <v>28.3</v>
      </c>
      <c r="AN201" s="228">
        <v>3.3</v>
      </c>
      <c r="AO201" s="229">
        <v>8.3000000000000001E-3</v>
      </c>
      <c r="AP201" s="231">
        <v>3783.21</v>
      </c>
      <c r="AQ201" s="231">
        <v>3793.96</v>
      </c>
      <c r="AR201" s="228">
        <v>0</v>
      </c>
      <c r="AS201" s="228">
        <v>324</v>
      </c>
      <c r="AT201" s="228">
        <v>450</v>
      </c>
      <c r="AU201" s="228">
        <v>-126</v>
      </c>
      <c r="AV201" s="229">
        <v>-0.2797</v>
      </c>
      <c r="AW201" s="228">
        <v>309</v>
      </c>
      <c r="AX201" s="228">
        <v>438</v>
      </c>
      <c r="AY201" s="228">
        <v>-129</v>
      </c>
      <c r="AZ201" s="229">
        <v>-0.29480000000000001</v>
      </c>
      <c r="BA201" s="228">
        <v>14</v>
      </c>
      <c r="BB201" s="228">
        <v>11</v>
      </c>
      <c r="BC201" s="228">
        <v>3</v>
      </c>
      <c r="BD201" s="229">
        <v>0.30859999999999999</v>
      </c>
      <c r="BE201" s="228">
        <v>1</v>
      </c>
      <c r="BF201" s="228">
        <v>1</v>
      </c>
      <c r="BG201" s="228">
        <v>0</v>
      </c>
      <c r="BH201" s="229">
        <v>0.1</v>
      </c>
      <c r="BI201" s="228">
        <v>679</v>
      </c>
      <c r="BJ201" s="230">
        <v>1020</v>
      </c>
      <c r="BK201" s="228">
        <v>-341</v>
      </c>
      <c r="BL201" s="229">
        <v>-0.33410000000000001</v>
      </c>
      <c r="BM201" s="228">
        <v>295</v>
      </c>
      <c r="BN201" s="228">
        <v>875</v>
      </c>
      <c r="BO201" s="228">
        <v>-580</v>
      </c>
      <c r="BP201" s="229">
        <v>-0.66310000000000002</v>
      </c>
      <c r="BQ201" s="230">
        <v>1298</v>
      </c>
      <c r="BR201" s="230">
        <v>2344</v>
      </c>
      <c r="BS201" s="230">
        <v>-1047</v>
      </c>
      <c r="BT201" s="229">
        <v>-0.44640000000000002</v>
      </c>
      <c r="BU201" s="230">
        <v>729589</v>
      </c>
      <c r="BV201" s="230">
        <v>1248205</v>
      </c>
      <c r="BW201" s="230">
        <v>-518616</v>
      </c>
      <c r="BX201" s="229">
        <v>-0.41549999999999998</v>
      </c>
      <c r="BY201" s="230">
        <v>3179</v>
      </c>
      <c r="BZ201" s="230">
        <v>3197</v>
      </c>
      <c r="CA201" s="228">
        <v>-18</v>
      </c>
      <c r="CB201" s="229">
        <v>-5.5999999999999999E-3</v>
      </c>
      <c r="CC201" s="230">
        <v>3156</v>
      </c>
      <c r="CD201" s="230">
        <v>3178</v>
      </c>
      <c r="CE201" s="228">
        <v>-22</v>
      </c>
      <c r="CF201" s="229">
        <v>-6.7999999999999996E-3</v>
      </c>
      <c r="CG201" s="228">
        <v>21</v>
      </c>
      <c r="CH201" s="228">
        <v>17</v>
      </c>
      <c r="CI201" s="228">
        <v>4</v>
      </c>
      <c r="CJ201" s="229">
        <v>0.2218</v>
      </c>
      <c r="CK201" s="228">
        <v>2</v>
      </c>
      <c r="CL201" s="228">
        <v>2</v>
      </c>
      <c r="CM201" s="228">
        <v>0</v>
      </c>
      <c r="CN201" s="229">
        <v>0</v>
      </c>
      <c r="CO201" s="228">
        <v>684</v>
      </c>
      <c r="CP201" s="228">
        <v>708</v>
      </c>
      <c r="CQ201" s="228">
        <v>-24</v>
      </c>
      <c r="CR201" s="229">
        <v>-3.4099999999999998E-2</v>
      </c>
      <c r="CS201" s="228">
        <v>528</v>
      </c>
      <c r="CT201" s="228">
        <v>515</v>
      </c>
      <c r="CU201" s="228">
        <v>13</v>
      </c>
      <c r="CV201" s="229">
        <v>2.6100000000000002E-2</v>
      </c>
      <c r="CW201" s="230">
        <v>4391</v>
      </c>
      <c r="CX201" s="230">
        <v>4419</v>
      </c>
      <c r="CY201" s="228">
        <v>-29</v>
      </c>
      <c r="CZ201" s="229">
        <v>-6.4999999999999997E-3</v>
      </c>
      <c r="DA201" s="228">
        <v>26.6</v>
      </c>
      <c r="DB201" s="228">
        <v>29.89</v>
      </c>
      <c r="DC201" s="228">
        <v>-3.29</v>
      </c>
      <c r="DD201" s="228">
        <v>-3.29</v>
      </c>
      <c r="DE201" s="228">
        <v>29.37</v>
      </c>
      <c r="DF201" s="228">
        <v>29.33</v>
      </c>
      <c r="DG201" s="228">
        <v>-2.77</v>
      </c>
      <c r="DH201" s="228">
        <v>0.04</v>
      </c>
      <c r="DI201" s="228">
        <v>25.5</v>
      </c>
      <c r="DJ201" s="228">
        <v>28.7</v>
      </c>
      <c r="DK201" s="228">
        <v>-3.2</v>
      </c>
      <c r="DL201" s="228">
        <v>-3.2</v>
      </c>
      <c r="DM201" s="228">
        <v>29.11</v>
      </c>
      <c r="DN201" s="228">
        <v>31.27</v>
      </c>
      <c r="DO201" s="228">
        <v>-2.16</v>
      </c>
      <c r="DP201" s="228">
        <v>-2.16</v>
      </c>
      <c r="DQ201" s="228">
        <v>0.77</v>
      </c>
      <c r="DR201" s="228">
        <v>0.73</v>
      </c>
      <c r="DS201" s="228">
        <v>0.04</v>
      </c>
      <c r="DT201" s="229">
        <v>5.4800000000000001E-2</v>
      </c>
      <c r="DU201" s="231">
        <v>3900</v>
      </c>
      <c r="DV201" s="231">
        <v>3400</v>
      </c>
      <c r="DW201" s="228">
        <v>0.43</v>
      </c>
      <c r="DX201" s="228">
        <v>0.86</v>
      </c>
      <c r="DY201" s="228">
        <v>-0.43</v>
      </c>
      <c r="DZ201" s="229">
        <v>-0.5</v>
      </c>
      <c r="EA201" s="229">
        <v>7.1000000000000004E-3</v>
      </c>
      <c r="EB201" s="230">
        <v>49175</v>
      </c>
      <c r="EC201" s="229">
        <v>4.8999999999999998E-3</v>
      </c>
      <c r="ED201" s="229">
        <v>7.1000000000000004E-3</v>
      </c>
      <c r="EE201" s="228">
        <v>10.75</v>
      </c>
      <c r="EF201" s="229">
        <v>2.8E-3</v>
      </c>
      <c r="EG201" s="230">
        <v>406432</v>
      </c>
      <c r="EH201" s="230">
        <v>691486</v>
      </c>
      <c r="EI201" s="229">
        <v>-0.41220000000000001</v>
      </c>
      <c r="EJ201" s="229">
        <v>0.55710000000000004</v>
      </c>
      <c r="EK201" s="228">
        <v>706.79</v>
      </c>
      <c r="EL201" s="228">
        <v>280.97000000000003</v>
      </c>
      <c r="EM201" s="228">
        <v>321.20999999999998</v>
      </c>
      <c r="EN201" s="228">
        <v>74.31</v>
      </c>
      <c r="EO201" s="231">
        <v>1308.97</v>
      </c>
      <c r="EP201" s="231">
        <v>2344.84</v>
      </c>
      <c r="EQ201" s="231">
        <v>-1035.8699999999999</v>
      </c>
      <c r="ER201" s="229">
        <v>-0.44180000000000003</v>
      </c>
      <c r="ES201" s="228">
        <v>712.95</v>
      </c>
      <c r="ET201" s="228">
        <v>509.62</v>
      </c>
      <c r="EU201" s="231">
        <v>3178.75</v>
      </c>
      <c r="EV201" s="231">
        <v>31634588</v>
      </c>
      <c r="EW201" s="231">
        <v>4401.32</v>
      </c>
      <c r="EX201" s="231">
        <v>4371.6499999999996</v>
      </c>
      <c r="EY201" s="228">
        <v>29.67</v>
      </c>
      <c r="EZ201" s="229">
        <v>6.7999999999999996E-3</v>
      </c>
      <c r="FA201" s="229">
        <v>0.36380000000000001</v>
      </c>
      <c r="FB201" s="227" t="s">
        <v>556</v>
      </c>
      <c r="FC201">
        <f t="shared" si="4"/>
        <v>0</v>
      </c>
    </row>
    <row r="202" spans="1:159" ht="17.25" thickBot="1" x14ac:dyDescent="0.3">
      <c r="A202" s="226">
        <v>46086</v>
      </c>
      <c r="B202" s="227" t="s">
        <v>157</v>
      </c>
      <c r="C202" s="227" t="s">
        <v>302</v>
      </c>
      <c r="D202" s="228">
        <v>50</v>
      </c>
      <c r="E202" s="228">
        <v>25</v>
      </c>
      <c r="F202" s="231">
        <v>12303</v>
      </c>
      <c r="G202" s="231">
        <v>12142</v>
      </c>
      <c r="H202" s="228">
        <v>161</v>
      </c>
      <c r="I202" s="229">
        <v>1.3299999999999999E-2</v>
      </c>
      <c r="J202" s="231">
        <v>12288</v>
      </c>
      <c r="K202" s="231">
        <v>12107</v>
      </c>
      <c r="L202" s="228">
        <v>181</v>
      </c>
      <c r="M202" s="229">
        <v>1.4999999999999999E-2</v>
      </c>
      <c r="N202" s="231">
        <v>12303</v>
      </c>
      <c r="O202" s="231">
        <v>12142</v>
      </c>
      <c r="P202" s="228">
        <v>161</v>
      </c>
      <c r="Q202" s="229">
        <v>1.3299999999999999E-2</v>
      </c>
      <c r="R202" s="231">
        <v>12377</v>
      </c>
      <c r="S202" s="231">
        <v>12219</v>
      </c>
      <c r="T202" s="228">
        <v>158</v>
      </c>
      <c r="U202" s="229">
        <v>1.29E-2</v>
      </c>
      <c r="V202" s="231">
        <v>12290</v>
      </c>
      <c r="W202" s="231">
        <v>12274</v>
      </c>
      <c r="X202" s="228">
        <v>16</v>
      </c>
      <c r="Y202" s="229">
        <v>1.2999999999999999E-3</v>
      </c>
      <c r="Z202" s="228">
        <v>15</v>
      </c>
      <c r="AA202" s="228">
        <v>35</v>
      </c>
      <c r="AB202" s="228">
        <v>-20</v>
      </c>
      <c r="AC202" s="229">
        <v>1.1999999999999999E-3</v>
      </c>
      <c r="AD202" s="228">
        <v>15</v>
      </c>
      <c r="AE202" s="228">
        <v>35</v>
      </c>
      <c r="AF202" s="228">
        <v>-20</v>
      </c>
      <c r="AG202" s="229">
        <v>1.1999999999999999E-3</v>
      </c>
      <c r="AH202" s="228">
        <v>89</v>
      </c>
      <c r="AI202" s="228">
        <v>112</v>
      </c>
      <c r="AJ202" s="228">
        <v>-23</v>
      </c>
      <c r="AK202" s="229">
        <v>7.1999999999999998E-3</v>
      </c>
      <c r="AL202" s="228">
        <v>2</v>
      </c>
      <c r="AM202" s="228">
        <v>167</v>
      </c>
      <c r="AN202" s="228">
        <v>-165</v>
      </c>
      <c r="AO202" s="229">
        <v>2.0000000000000001E-4</v>
      </c>
      <c r="AP202" s="231">
        <v>12216.37</v>
      </c>
      <c r="AQ202" s="231">
        <v>12285.12</v>
      </c>
      <c r="AR202" s="228">
        <v>0</v>
      </c>
      <c r="AS202" s="228">
        <v>515</v>
      </c>
      <c r="AT202" s="228">
        <v>493</v>
      </c>
      <c r="AU202" s="228">
        <v>22</v>
      </c>
      <c r="AV202" s="229">
        <v>4.5499999999999999E-2</v>
      </c>
      <c r="AW202" s="228">
        <v>501</v>
      </c>
      <c r="AX202" s="228">
        <v>473</v>
      </c>
      <c r="AY202" s="228">
        <v>28</v>
      </c>
      <c r="AZ202" s="229">
        <v>5.9700000000000003E-2</v>
      </c>
      <c r="BA202" s="228">
        <v>13</v>
      </c>
      <c r="BB202" s="228">
        <v>17</v>
      </c>
      <c r="BC202" s="228">
        <v>-4</v>
      </c>
      <c r="BD202" s="229">
        <v>-0.21249999999999999</v>
      </c>
      <c r="BE202" s="228">
        <v>0</v>
      </c>
      <c r="BF202" s="228">
        <v>3</v>
      </c>
      <c r="BG202" s="228">
        <v>-2</v>
      </c>
      <c r="BH202" s="229">
        <v>-0.84089999999999998</v>
      </c>
      <c r="BI202" s="230">
        <v>1041</v>
      </c>
      <c r="BJ202" s="230">
        <v>1561</v>
      </c>
      <c r="BK202" s="228">
        <v>-520</v>
      </c>
      <c r="BL202" s="229">
        <v>-0.33300000000000002</v>
      </c>
      <c r="BM202" s="228">
        <v>473</v>
      </c>
      <c r="BN202" s="230">
        <v>1079</v>
      </c>
      <c r="BO202" s="228">
        <v>-607</v>
      </c>
      <c r="BP202" s="229">
        <v>-0.56189999999999996</v>
      </c>
      <c r="BQ202" s="230">
        <v>2029</v>
      </c>
      <c r="BR202" s="230">
        <v>3133</v>
      </c>
      <c r="BS202" s="230">
        <v>-1104</v>
      </c>
      <c r="BT202" s="229">
        <v>-0.35239999999999999</v>
      </c>
      <c r="BU202" s="230">
        <v>333778</v>
      </c>
      <c r="BV202" s="230">
        <v>402542</v>
      </c>
      <c r="BW202" s="230">
        <v>-68764</v>
      </c>
      <c r="BX202" s="229">
        <v>-0.17080000000000001</v>
      </c>
      <c r="BY202" s="230">
        <v>2505</v>
      </c>
      <c r="BZ202" s="230">
        <v>2495</v>
      </c>
      <c r="CA202" s="228">
        <v>10</v>
      </c>
      <c r="CB202" s="229">
        <v>4.1000000000000003E-3</v>
      </c>
      <c r="CC202" s="230">
        <v>2480</v>
      </c>
      <c r="CD202" s="230">
        <v>2472</v>
      </c>
      <c r="CE202" s="228">
        <v>8</v>
      </c>
      <c r="CF202" s="229">
        <v>3.3999999999999998E-3</v>
      </c>
      <c r="CG202" s="228">
        <v>22</v>
      </c>
      <c r="CH202" s="228">
        <v>21</v>
      </c>
      <c r="CI202" s="228">
        <v>2</v>
      </c>
      <c r="CJ202" s="229">
        <v>8.0799999999999997E-2</v>
      </c>
      <c r="CK202" s="228">
        <v>3</v>
      </c>
      <c r="CL202" s="228">
        <v>3</v>
      </c>
      <c r="CM202" s="228">
        <v>0</v>
      </c>
      <c r="CN202" s="229">
        <v>4.8800000000000003E-2</v>
      </c>
      <c r="CO202" s="228">
        <v>732</v>
      </c>
      <c r="CP202" s="228">
        <v>684</v>
      </c>
      <c r="CQ202" s="228">
        <v>48</v>
      </c>
      <c r="CR202" s="229">
        <v>6.9500000000000006E-2</v>
      </c>
      <c r="CS202" s="228">
        <v>421</v>
      </c>
      <c r="CT202" s="228">
        <v>366</v>
      </c>
      <c r="CU202" s="228">
        <v>55</v>
      </c>
      <c r="CV202" s="229">
        <v>0.1517</v>
      </c>
      <c r="CW202" s="230">
        <v>3658</v>
      </c>
      <c r="CX202" s="230">
        <v>3545</v>
      </c>
      <c r="CY202" s="228">
        <v>113</v>
      </c>
      <c r="CZ202" s="229">
        <v>3.1899999999999998E-2</v>
      </c>
      <c r="DA202" s="228">
        <v>23.01</v>
      </c>
      <c r="DB202" s="228">
        <v>26.33</v>
      </c>
      <c r="DC202" s="228">
        <v>-3.32</v>
      </c>
      <c r="DD202" s="228">
        <v>-3.32</v>
      </c>
      <c r="DE202" s="228">
        <v>24.22</v>
      </c>
      <c r="DF202" s="228">
        <v>24.19</v>
      </c>
      <c r="DG202" s="228">
        <v>-1.21</v>
      </c>
      <c r="DH202" s="228">
        <v>0.03</v>
      </c>
      <c r="DI202" s="228">
        <v>22.32</v>
      </c>
      <c r="DJ202" s="228">
        <v>25.32</v>
      </c>
      <c r="DK202" s="228">
        <v>-3</v>
      </c>
      <c r="DL202" s="228">
        <v>-3</v>
      </c>
      <c r="DM202" s="228">
        <v>24.53</v>
      </c>
      <c r="DN202" s="228">
        <v>27.78</v>
      </c>
      <c r="DO202" s="228">
        <v>-3.25</v>
      </c>
      <c r="DP202" s="228">
        <v>-3.25</v>
      </c>
      <c r="DQ202" s="228">
        <v>0.57999999999999996</v>
      </c>
      <c r="DR202" s="228">
        <v>0.53</v>
      </c>
      <c r="DS202" s="228">
        <v>0.05</v>
      </c>
      <c r="DT202" s="229">
        <v>9.4299999999999995E-2</v>
      </c>
      <c r="DU202" s="231">
        <v>13000</v>
      </c>
      <c r="DV202" s="231">
        <v>11500</v>
      </c>
      <c r="DW202" s="228">
        <v>0.45</v>
      </c>
      <c r="DX202" s="228">
        <v>0.69</v>
      </c>
      <c r="DY202" s="228">
        <v>-0.24</v>
      </c>
      <c r="DZ202" s="229">
        <v>-0.3478</v>
      </c>
      <c r="EA202" s="229">
        <v>9.9000000000000008E-3</v>
      </c>
      <c r="EB202" s="230">
        <v>18750</v>
      </c>
      <c r="EC202" s="229">
        <v>6.0000000000000001E-3</v>
      </c>
      <c r="ED202" s="229">
        <v>9.9000000000000008E-3</v>
      </c>
      <c r="EE202" s="228">
        <v>68.75</v>
      </c>
      <c r="EF202" s="229">
        <v>5.5999999999999999E-3</v>
      </c>
      <c r="EG202" s="230">
        <v>201490</v>
      </c>
      <c r="EH202" s="230">
        <v>217925</v>
      </c>
      <c r="EI202" s="229">
        <v>-7.5399999999999995E-2</v>
      </c>
      <c r="EJ202" s="229">
        <v>0.60370000000000001</v>
      </c>
      <c r="EK202" s="231">
        <v>1092.55</v>
      </c>
      <c r="EL202" s="228">
        <v>462.95</v>
      </c>
      <c r="EM202" s="228">
        <v>511.39</v>
      </c>
      <c r="EN202" s="228">
        <v>52.82</v>
      </c>
      <c r="EO202" s="231">
        <v>2066.88</v>
      </c>
      <c r="EP202" s="231">
        <v>3186.99</v>
      </c>
      <c r="EQ202" s="231">
        <v>-1120.0999999999999</v>
      </c>
      <c r="ER202" s="229">
        <v>-0.35149999999999998</v>
      </c>
      <c r="ES202" s="228">
        <v>778.14</v>
      </c>
      <c r="ET202" s="228">
        <v>413.93</v>
      </c>
      <c r="EU202" s="231">
        <v>2505.21</v>
      </c>
      <c r="EV202" s="231">
        <v>11955674</v>
      </c>
      <c r="EW202" s="231">
        <v>3697.28</v>
      </c>
      <c r="EX202" s="231">
        <v>3551.69</v>
      </c>
      <c r="EY202" s="228">
        <v>145.59</v>
      </c>
      <c r="EZ202" s="229">
        <v>4.1000000000000002E-2</v>
      </c>
      <c r="FA202" s="229">
        <v>0.2487</v>
      </c>
      <c r="FB202" s="227" t="s">
        <v>555</v>
      </c>
      <c r="FC202">
        <f t="shared" si="4"/>
        <v>0</v>
      </c>
    </row>
    <row r="203" spans="1:159" ht="17.25" thickBot="1" x14ac:dyDescent="0.3">
      <c r="A203" s="226">
        <v>46086</v>
      </c>
      <c r="B203" s="227" t="s">
        <v>172</v>
      </c>
      <c r="C203" s="227" t="s">
        <v>593</v>
      </c>
      <c r="D203" s="228">
        <v>4425</v>
      </c>
      <c r="E203" s="228">
        <v>25</v>
      </c>
      <c r="F203" s="228">
        <v>192.04</v>
      </c>
      <c r="G203" s="228">
        <v>192.03</v>
      </c>
      <c r="H203" s="228">
        <v>0.01</v>
      </c>
      <c r="I203" s="229">
        <v>1E-4</v>
      </c>
      <c r="J203" s="228">
        <v>191.2</v>
      </c>
      <c r="K203" s="228">
        <v>191.13</v>
      </c>
      <c r="L203" s="228">
        <v>7.0000000000000007E-2</v>
      </c>
      <c r="M203" s="229">
        <v>4.0000000000000002E-4</v>
      </c>
      <c r="N203" s="228">
        <v>192.04</v>
      </c>
      <c r="O203" s="228">
        <v>192.03</v>
      </c>
      <c r="P203" s="228">
        <v>0.01</v>
      </c>
      <c r="Q203" s="229">
        <v>1E-4</v>
      </c>
      <c r="R203" s="228">
        <v>192.84</v>
      </c>
      <c r="S203" s="228">
        <v>192.69</v>
      </c>
      <c r="T203" s="228">
        <v>0.15</v>
      </c>
      <c r="U203" s="229">
        <v>8.0000000000000004E-4</v>
      </c>
      <c r="V203" s="228">
        <v>193.69</v>
      </c>
      <c r="W203" s="228">
        <v>193.69</v>
      </c>
      <c r="X203" s="228">
        <v>0</v>
      </c>
      <c r="Y203" s="229">
        <v>0</v>
      </c>
      <c r="Z203" s="228">
        <v>0.84</v>
      </c>
      <c r="AA203" s="228">
        <v>0.9</v>
      </c>
      <c r="AB203" s="228">
        <v>-0.06</v>
      </c>
      <c r="AC203" s="229">
        <v>4.4000000000000003E-3</v>
      </c>
      <c r="AD203" s="228">
        <v>0.84</v>
      </c>
      <c r="AE203" s="228">
        <v>0.9</v>
      </c>
      <c r="AF203" s="228">
        <v>-0.06</v>
      </c>
      <c r="AG203" s="229">
        <v>4.4000000000000003E-3</v>
      </c>
      <c r="AH203" s="228">
        <v>1.64</v>
      </c>
      <c r="AI203" s="228">
        <v>1.56</v>
      </c>
      <c r="AJ203" s="228">
        <v>0.08</v>
      </c>
      <c r="AK203" s="229">
        <v>8.6E-3</v>
      </c>
      <c r="AL203" s="228">
        <v>2.4900000000000002</v>
      </c>
      <c r="AM203" s="228">
        <v>2.56</v>
      </c>
      <c r="AN203" s="228">
        <v>-7.0000000000000007E-2</v>
      </c>
      <c r="AO203" s="229">
        <v>1.2999999999999999E-2</v>
      </c>
      <c r="AP203" s="228">
        <v>192.4</v>
      </c>
      <c r="AQ203" s="228">
        <v>193.27</v>
      </c>
      <c r="AR203" s="228">
        <v>0</v>
      </c>
      <c r="AS203" s="228">
        <v>746</v>
      </c>
      <c r="AT203" s="228">
        <v>737</v>
      </c>
      <c r="AU203" s="228">
        <v>9</v>
      </c>
      <c r="AV203" s="229">
        <v>1.18E-2</v>
      </c>
      <c r="AW203" s="228">
        <v>522</v>
      </c>
      <c r="AX203" s="228">
        <v>643</v>
      </c>
      <c r="AY203" s="228">
        <v>-121</v>
      </c>
      <c r="AZ203" s="229">
        <v>-0.18859999999999999</v>
      </c>
      <c r="BA203" s="228">
        <v>47</v>
      </c>
      <c r="BB203" s="228">
        <v>31</v>
      </c>
      <c r="BC203" s="228">
        <v>16</v>
      </c>
      <c r="BD203" s="229">
        <v>0.52910000000000001</v>
      </c>
      <c r="BE203" s="228">
        <v>177</v>
      </c>
      <c r="BF203" s="228">
        <v>64</v>
      </c>
      <c r="BG203" s="228">
        <v>114</v>
      </c>
      <c r="BH203" s="229">
        <v>1.7887999999999999</v>
      </c>
      <c r="BI203" s="228">
        <v>757</v>
      </c>
      <c r="BJ203" s="230">
        <v>1008</v>
      </c>
      <c r="BK203" s="228">
        <v>-251</v>
      </c>
      <c r="BL203" s="229">
        <v>-0.24940000000000001</v>
      </c>
      <c r="BM203" s="228">
        <v>344</v>
      </c>
      <c r="BN203" s="228">
        <v>679</v>
      </c>
      <c r="BO203" s="228">
        <v>-335</v>
      </c>
      <c r="BP203" s="229">
        <v>-0.49299999999999999</v>
      </c>
      <c r="BQ203" s="230">
        <v>1847</v>
      </c>
      <c r="BR203" s="230">
        <v>2425</v>
      </c>
      <c r="BS203" s="228">
        <v>-578</v>
      </c>
      <c r="BT203" s="229">
        <v>-0.2382</v>
      </c>
      <c r="BU203" s="230">
        <v>18214072</v>
      </c>
      <c r="BV203" s="230">
        <v>24580497</v>
      </c>
      <c r="BW203" s="230">
        <v>-6366425</v>
      </c>
      <c r="BX203" s="229">
        <v>-0.25900000000000001</v>
      </c>
      <c r="BY203" s="230">
        <v>1473</v>
      </c>
      <c r="BZ203" s="230">
        <v>1417</v>
      </c>
      <c r="CA203" s="228">
        <v>57</v>
      </c>
      <c r="CB203" s="229">
        <v>0.04</v>
      </c>
      <c r="CC203" s="230">
        <v>1340</v>
      </c>
      <c r="CD203" s="230">
        <v>1295</v>
      </c>
      <c r="CE203" s="228">
        <v>45</v>
      </c>
      <c r="CF203" s="229">
        <v>3.5000000000000003E-2</v>
      </c>
      <c r="CG203" s="228">
        <v>88</v>
      </c>
      <c r="CH203" s="228">
        <v>78</v>
      </c>
      <c r="CI203" s="228">
        <v>10</v>
      </c>
      <c r="CJ203" s="229">
        <v>0.127</v>
      </c>
      <c r="CK203" s="228">
        <v>45</v>
      </c>
      <c r="CL203" s="228">
        <v>43</v>
      </c>
      <c r="CM203" s="228">
        <v>1</v>
      </c>
      <c r="CN203" s="229">
        <v>3.3300000000000003E-2</v>
      </c>
      <c r="CO203" s="228">
        <v>553</v>
      </c>
      <c r="CP203" s="228">
        <v>497</v>
      </c>
      <c r="CQ203" s="228">
        <v>56</v>
      </c>
      <c r="CR203" s="229">
        <v>0.11169999999999999</v>
      </c>
      <c r="CS203" s="228">
        <v>404</v>
      </c>
      <c r="CT203" s="228">
        <v>420</v>
      </c>
      <c r="CU203" s="228">
        <v>-16</v>
      </c>
      <c r="CV203" s="229">
        <v>-3.8399999999999997E-2</v>
      </c>
      <c r="CW203" s="230">
        <v>2431</v>
      </c>
      <c r="CX203" s="230">
        <v>2335</v>
      </c>
      <c r="CY203" s="228">
        <v>96</v>
      </c>
      <c r="CZ203" s="229">
        <v>4.1200000000000001E-2</v>
      </c>
      <c r="DA203" s="228">
        <v>34.130000000000003</v>
      </c>
      <c r="DB203" s="228">
        <v>36.79</v>
      </c>
      <c r="DC203" s="228">
        <v>-2.66</v>
      </c>
      <c r="DD203" s="228">
        <v>-2.66</v>
      </c>
      <c r="DE203" s="228">
        <v>40.64</v>
      </c>
      <c r="DF203" s="228">
        <v>40.74</v>
      </c>
      <c r="DG203" s="228">
        <v>-6.51</v>
      </c>
      <c r="DH203" s="228">
        <v>-0.1</v>
      </c>
      <c r="DI203" s="228">
        <v>33.68</v>
      </c>
      <c r="DJ203" s="228">
        <v>35.9</v>
      </c>
      <c r="DK203" s="228">
        <v>-2.2200000000000002</v>
      </c>
      <c r="DL203" s="228">
        <v>-2.2200000000000002</v>
      </c>
      <c r="DM203" s="228">
        <v>35.130000000000003</v>
      </c>
      <c r="DN203" s="228">
        <v>38.11</v>
      </c>
      <c r="DO203" s="228">
        <v>-2.98</v>
      </c>
      <c r="DP203" s="228">
        <v>-2.98</v>
      </c>
      <c r="DQ203" s="228">
        <v>0.73</v>
      </c>
      <c r="DR203" s="228">
        <v>0.85</v>
      </c>
      <c r="DS203" s="228">
        <v>-0.12</v>
      </c>
      <c r="DT203" s="229">
        <v>-0.14119999999999999</v>
      </c>
      <c r="DU203" s="228">
        <v>200</v>
      </c>
      <c r="DV203" s="228">
        <v>190</v>
      </c>
      <c r="DW203" s="228">
        <v>0.45</v>
      </c>
      <c r="DX203" s="228">
        <v>0.67</v>
      </c>
      <c r="DY203" s="228">
        <v>-0.22</v>
      </c>
      <c r="DZ203" s="229">
        <v>-0.32840000000000003</v>
      </c>
      <c r="EA203" s="229">
        <v>9.0300000000000005E-2</v>
      </c>
      <c r="EB203" s="230">
        <v>6332175</v>
      </c>
      <c r="EC203" s="229">
        <v>4.1999999999999997E-3</v>
      </c>
      <c r="ED203" s="229">
        <v>9.0300000000000005E-2</v>
      </c>
      <c r="EE203" s="228">
        <v>0.87</v>
      </c>
      <c r="EF203" s="229">
        <v>4.4999999999999997E-3</v>
      </c>
      <c r="EG203" s="230">
        <v>8239682</v>
      </c>
      <c r="EH203" s="230">
        <v>12204723</v>
      </c>
      <c r="EI203" s="229">
        <v>-0.32490000000000002</v>
      </c>
      <c r="EJ203" s="229">
        <v>0.45240000000000002</v>
      </c>
      <c r="EK203" s="228">
        <v>813.44</v>
      </c>
      <c r="EL203" s="228">
        <v>346.35</v>
      </c>
      <c r="EM203" s="228">
        <v>747.24</v>
      </c>
      <c r="EN203" s="228">
        <v>81.61</v>
      </c>
      <c r="EO203" s="231">
        <v>1907.03</v>
      </c>
      <c r="EP203" s="231">
        <v>2517.96</v>
      </c>
      <c r="EQ203" s="228">
        <v>-610.91999999999996</v>
      </c>
      <c r="ER203" s="229">
        <v>-0.24260000000000001</v>
      </c>
      <c r="ES203" s="228">
        <v>585.79</v>
      </c>
      <c r="ET203" s="228">
        <v>397.33</v>
      </c>
      <c r="EU203" s="231">
        <v>1474.18</v>
      </c>
      <c r="EV203" s="231">
        <v>289041713</v>
      </c>
      <c r="EW203" s="231">
        <v>2457.3000000000002</v>
      </c>
      <c r="EX203" s="231">
        <v>2360.67</v>
      </c>
      <c r="EY203" s="228">
        <v>96.63</v>
      </c>
      <c r="EZ203" s="229">
        <v>4.0899999999999999E-2</v>
      </c>
      <c r="FA203" s="229">
        <v>0.43790000000000001</v>
      </c>
      <c r="FB203" s="227" t="s">
        <v>555</v>
      </c>
      <c r="FC203">
        <f t="shared" si="4"/>
        <v>0</v>
      </c>
    </row>
    <row r="204" spans="1:159" ht="17.25" thickBot="1" x14ac:dyDescent="0.3">
      <c r="A204" s="226">
        <v>46086</v>
      </c>
      <c r="B204" s="227" t="s">
        <v>168</v>
      </c>
      <c r="C204" s="227" t="s">
        <v>569</v>
      </c>
      <c r="D204" s="228">
        <v>400</v>
      </c>
      <c r="E204" s="228">
        <v>25</v>
      </c>
      <c r="F204" s="231">
        <v>1329.5</v>
      </c>
      <c r="G204" s="231">
        <v>1319.3</v>
      </c>
      <c r="H204" s="228">
        <v>10.199999999999999</v>
      </c>
      <c r="I204" s="229">
        <v>7.7000000000000002E-3</v>
      </c>
      <c r="J204" s="231">
        <v>1325.8</v>
      </c>
      <c r="K204" s="231">
        <v>1316.8</v>
      </c>
      <c r="L204" s="228">
        <v>9</v>
      </c>
      <c r="M204" s="229">
        <v>6.7999999999999996E-3</v>
      </c>
      <c r="N204" s="231">
        <v>1329.5</v>
      </c>
      <c r="O204" s="231">
        <v>1319.3</v>
      </c>
      <c r="P204" s="228">
        <v>10.199999999999999</v>
      </c>
      <c r="Q204" s="229">
        <v>7.7000000000000002E-3</v>
      </c>
      <c r="R204" s="231">
        <v>1338.4</v>
      </c>
      <c r="S204" s="231">
        <v>1327.7</v>
      </c>
      <c r="T204" s="228">
        <v>10.7</v>
      </c>
      <c r="U204" s="229">
        <v>8.0999999999999996E-3</v>
      </c>
      <c r="V204" s="231">
        <v>1348</v>
      </c>
      <c r="W204" s="231">
        <v>1342.1</v>
      </c>
      <c r="X204" s="228">
        <v>5.9</v>
      </c>
      <c r="Y204" s="229">
        <v>4.4000000000000003E-3</v>
      </c>
      <c r="Z204" s="228">
        <v>3.7</v>
      </c>
      <c r="AA204" s="228">
        <v>2.5</v>
      </c>
      <c r="AB204" s="228">
        <v>1.2</v>
      </c>
      <c r="AC204" s="229">
        <v>2.8E-3</v>
      </c>
      <c r="AD204" s="228">
        <v>3.7</v>
      </c>
      <c r="AE204" s="228">
        <v>2.5</v>
      </c>
      <c r="AF204" s="228">
        <v>1.2</v>
      </c>
      <c r="AG204" s="229">
        <v>2.8E-3</v>
      </c>
      <c r="AH204" s="228">
        <v>12.6</v>
      </c>
      <c r="AI204" s="228">
        <v>10.9</v>
      </c>
      <c r="AJ204" s="228">
        <v>1.7</v>
      </c>
      <c r="AK204" s="229">
        <v>9.4999999999999998E-3</v>
      </c>
      <c r="AL204" s="228">
        <v>22.2</v>
      </c>
      <c r="AM204" s="228">
        <v>25.3</v>
      </c>
      <c r="AN204" s="228">
        <v>-3.1</v>
      </c>
      <c r="AO204" s="229">
        <v>1.67E-2</v>
      </c>
      <c r="AP204" s="231">
        <v>1326.14</v>
      </c>
      <c r="AQ204" s="231">
        <v>1333.94</v>
      </c>
      <c r="AR204" s="228">
        <v>0</v>
      </c>
      <c r="AS204" s="228">
        <v>163</v>
      </c>
      <c r="AT204" s="228">
        <v>166</v>
      </c>
      <c r="AU204" s="228">
        <v>-3</v>
      </c>
      <c r="AV204" s="229">
        <v>-1.83E-2</v>
      </c>
      <c r="AW204" s="228">
        <v>144</v>
      </c>
      <c r="AX204" s="228">
        <v>157</v>
      </c>
      <c r="AY204" s="228">
        <v>-13</v>
      </c>
      <c r="AZ204" s="229">
        <v>-8.1299999999999997E-2</v>
      </c>
      <c r="BA204" s="228">
        <v>18</v>
      </c>
      <c r="BB204" s="228">
        <v>8</v>
      </c>
      <c r="BC204" s="228">
        <v>10</v>
      </c>
      <c r="BD204" s="229">
        <v>1.1572</v>
      </c>
      <c r="BE204" s="228">
        <v>0</v>
      </c>
      <c r="BF204" s="228">
        <v>1</v>
      </c>
      <c r="BG204" s="228">
        <v>0</v>
      </c>
      <c r="BH204" s="229">
        <v>-0.1</v>
      </c>
      <c r="BI204" s="228">
        <v>279</v>
      </c>
      <c r="BJ204" s="228">
        <v>247</v>
      </c>
      <c r="BK204" s="228">
        <v>31</v>
      </c>
      <c r="BL204" s="229">
        <v>0.126</v>
      </c>
      <c r="BM204" s="228">
        <v>135</v>
      </c>
      <c r="BN204" s="228">
        <v>194</v>
      </c>
      <c r="BO204" s="228">
        <v>-59</v>
      </c>
      <c r="BP204" s="229">
        <v>-0.30380000000000001</v>
      </c>
      <c r="BQ204" s="228">
        <v>577</v>
      </c>
      <c r="BR204" s="228">
        <v>607</v>
      </c>
      <c r="BS204" s="228">
        <v>-31</v>
      </c>
      <c r="BT204" s="229">
        <v>-5.0700000000000002E-2</v>
      </c>
      <c r="BU204" s="230">
        <v>652534</v>
      </c>
      <c r="BV204" s="230">
        <v>874205</v>
      </c>
      <c r="BW204" s="230">
        <v>-221671</v>
      </c>
      <c r="BX204" s="229">
        <v>-0.25359999999999999</v>
      </c>
      <c r="BY204" s="230">
        <v>1298</v>
      </c>
      <c r="BZ204" s="230">
        <v>1293</v>
      </c>
      <c r="CA204" s="228">
        <v>6</v>
      </c>
      <c r="CB204" s="229">
        <v>4.3E-3</v>
      </c>
      <c r="CC204" s="230">
        <v>1283</v>
      </c>
      <c r="CD204" s="230">
        <v>1280</v>
      </c>
      <c r="CE204" s="228">
        <v>4</v>
      </c>
      <c r="CF204" s="229">
        <v>2.8999999999999998E-3</v>
      </c>
      <c r="CG204" s="228">
        <v>14</v>
      </c>
      <c r="CH204" s="228">
        <v>12</v>
      </c>
      <c r="CI204" s="228">
        <v>2</v>
      </c>
      <c r="CJ204" s="229">
        <v>0.13730000000000001</v>
      </c>
      <c r="CK204" s="228">
        <v>1</v>
      </c>
      <c r="CL204" s="228">
        <v>1</v>
      </c>
      <c r="CM204" s="228">
        <v>0</v>
      </c>
      <c r="CN204" s="229">
        <v>0.2</v>
      </c>
      <c r="CO204" s="228">
        <v>251</v>
      </c>
      <c r="CP204" s="228">
        <v>230</v>
      </c>
      <c r="CQ204" s="228">
        <v>21</v>
      </c>
      <c r="CR204" s="229">
        <v>9.2999999999999999E-2</v>
      </c>
      <c r="CS204" s="228">
        <v>193</v>
      </c>
      <c r="CT204" s="228">
        <v>191</v>
      </c>
      <c r="CU204" s="228">
        <v>1</v>
      </c>
      <c r="CV204" s="229">
        <v>7.1999999999999998E-3</v>
      </c>
      <c r="CW204" s="230">
        <v>1743</v>
      </c>
      <c r="CX204" s="230">
        <v>1714</v>
      </c>
      <c r="CY204" s="228">
        <v>28</v>
      </c>
      <c r="CZ204" s="229">
        <v>1.6500000000000001E-2</v>
      </c>
      <c r="DA204" s="228">
        <v>24.83</v>
      </c>
      <c r="DB204" s="228">
        <v>27.64</v>
      </c>
      <c r="DC204" s="228">
        <v>-2.81</v>
      </c>
      <c r="DD204" s="228">
        <v>-2.81</v>
      </c>
      <c r="DE204" s="228">
        <v>26.83</v>
      </c>
      <c r="DF204" s="228">
        <v>26.89</v>
      </c>
      <c r="DG204" s="228">
        <v>-2</v>
      </c>
      <c r="DH204" s="228">
        <v>-0.06</v>
      </c>
      <c r="DI204" s="228">
        <v>24.53</v>
      </c>
      <c r="DJ204" s="228">
        <v>27.31</v>
      </c>
      <c r="DK204" s="228">
        <v>-2.78</v>
      </c>
      <c r="DL204" s="228">
        <v>-2.78</v>
      </c>
      <c r="DM204" s="228">
        <v>25.44</v>
      </c>
      <c r="DN204" s="228">
        <v>28.05</v>
      </c>
      <c r="DO204" s="228">
        <v>-2.61</v>
      </c>
      <c r="DP204" s="228">
        <v>-2.61</v>
      </c>
      <c r="DQ204" s="228">
        <v>0.77</v>
      </c>
      <c r="DR204" s="228">
        <v>0.83</v>
      </c>
      <c r="DS204" s="228">
        <v>-0.06</v>
      </c>
      <c r="DT204" s="229">
        <v>-7.2300000000000003E-2</v>
      </c>
      <c r="DU204" s="231">
        <v>1500</v>
      </c>
      <c r="DV204" s="231">
        <v>1400</v>
      </c>
      <c r="DW204" s="228">
        <v>0.48</v>
      </c>
      <c r="DX204" s="228">
        <v>0.78</v>
      </c>
      <c r="DY204" s="228">
        <v>-0.3</v>
      </c>
      <c r="DZ204" s="229">
        <v>-0.3846</v>
      </c>
      <c r="EA204" s="229">
        <v>1.1599999999999999E-2</v>
      </c>
      <c r="EB204" s="230">
        <v>99200</v>
      </c>
      <c r="EC204" s="229">
        <v>6.7000000000000002E-3</v>
      </c>
      <c r="ED204" s="229">
        <v>1.1599999999999999E-2</v>
      </c>
      <c r="EE204" s="228">
        <v>7.8</v>
      </c>
      <c r="EF204" s="229">
        <v>5.8999999999999999E-3</v>
      </c>
      <c r="EG204" s="230">
        <v>259351</v>
      </c>
      <c r="EH204" s="230">
        <v>513686</v>
      </c>
      <c r="EI204" s="229">
        <v>-0.49509999999999998</v>
      </c>
      <c r="EJ204" s="229">
        <v>0.39750000000000002</v>
      </c>
      <c r="EK204" s="228">
        <v>292.06</v>
      </c>
      <c r="EL204" s="228">
        <v>135.94999999999999</v>
      </c>
      <c r="EM204" s="228">
        <v>162.69999999999999</v>
      </c>
      <c r="EN204" s="228">
        <v>33.43</v>
      </c>
      <c r="EO204" s="228">
        <v>590.71</v>
      </c>
      <c r="EP204" s="228">
        <v>628.25</v>
      </c>
      <c r="EQ204" s="228">
        <v>-37.54</v>
      </c>
      <c r="ER204" s="229">
        <v>-5.9799999999999999E-2</v>
      </c>
      <c r="ES204" s="228">
        <v>271.43</v>
      </c>
      <c r="ET204" s="228">
        <v>197.18</v>
      </c>
      <c r="EU204" s="231">
        <v>1298.5999999999999</v>
      </c>
      <c r="EV204" s="231">
        <v>37091426</v>
      </c>
      <c r="EW204" s="231">
        <v>1767.22</v>
      </c>
      <c r="EX204" s="231">
        <v>1728.92</v>
      </c>
      <c r="EY204" s="228">
        <v>38.299999999999997</v>
      </c>
      <c r="EZ204" s="229">
        <v>2.2200000000000001E-2</v>
      </c>
      <c r="FA204" s="229">
        <v>0.35339999999999999</v>
      </c>
      <c r="FB204" s="227" t="s">
        <v>555</v>
      </c>
      <c r="FC204">
        <f t="shared" si="4"/>
        <v>0</v>
      </c>
    </row>
    <row r="205" spans="1:159" ht="17.25" thickBot="1" x14ac:dyDescent="0.3">
      <c r="A205" s="226">
        <v>46086</v>
      </c>
      <c r="B205" s="227" t="s">
        <v>162</v>
      </c>
      <c r="C205" s="227" t="s">
        <v>673</v>
      </c>
      <c r="D205" s="228">
        <v>550</v>
      </c>
      <c r="E205" s="228">
        <v>25</v>
      </c>
      <c r="F205" s="231">
        <v>1121.4000000000001</v>
      </c>
      <c r="G205" s="231">
        <v>1126.7</v>
      </c>
      <c r="H205" s="228">
        <v>-5.3</v>
      </c>
      <c r="I205" s="229">
        <v>-4.7000000000000002E-3</v>
      </c>
      <c r="J205" s="231">
        <v>1118.3</v>
      </c>
      <c r="K205" s="231">
        <v>1124.5</v>
      </c>
      <c r="L205" s="228">
        <v>-6.2</v>
      </c>
      <c r="M205" s="229">
        <v>-5.4999999999999997E-3</v>
      </c>
      <c r="N205" s="231">
        <v>1121.4000000000001</v>
      </c>
      <c r="O205" s="231">
        <v>1126.7</v>
      </c>
      <c r="P205" s="228">
        <v>-5.3</v>
      </c>
      <c r="Q205" s="229">
        <v>-4.7000000000000002E-3</v>
      </c>
      <c r="R205" s="231">
        <v>1126.8</v>
      </c>
      <c r="S205" s="231">
        <v>1134.3</v>
      </c>
      <c r="T205" s="228">
        <v>-7.5</v>
      </c>
      <c r="U205" s="229">
        <v>-6.6E-3</v>
      </c>
      <c r="V205" s="231">
        <v>1130.4000000000001</v>
      </c>
      <c r="W205" s="231">
        <v>1141.5</v>
      </c>
      <c r="X205" s="228">
        <v>-11.1</v>
      </c>
      <c r="Y205" s="229">
        <v>-9.7000000000000003E-3</v>
      </c>
      <c r="Z205" s="228">
        <v>3.1</v>
      </c>
      <c r="AA205" s="228">
        <v>2.2000000000000002</v>
      </c>
      <c r="AB205" s="228">
        <v>0.9</v>
      </c>
      <c r="AC205" s="229">
        <v>2.8E-3</v>
      </c>
      <c r="AD205" s="228">
        <v>3.1</v>
      </c>
      <c r="AE205" s="228">
        <v>2.2000000000000002</v>
      </c>
      <c r="AF205" s="228">
        <v>0.9</v>
      </c>
      <c r="AG205" s="229">
        <v>2.8E-3</v>
      </c>
      <c r="AH205" s="228">
        <v>8.5</v>
      </c>
      <c r="AI205" s="228">
        <v>9.8000000000000007</v>
      </c>
      <c r="AJ205" s="228">
        <v>-1.3</v>
      </c>
      <c r="AK205" s="229">
        <v>7.6E-3</v>
      </c>
      <c r="AL205" s="228">
        <v>12.1</v>
      </c>
      <c r="AM205" s="228">
        <v>17</v>
      </c>
      <c r="AN205" s="228">
        <v>-4.9000000000000004</v>
      </c>
      <c r="AO205" s="229">
        <v>1.0800000000000001E-2</v>
      </c>
      <c r="AP205" s="231">
        <v>1115.81</v>
      </c>
      <c r="AQ205" s="231">
        <v>1122.17</v>
      </c>
      <c r="AR205" s="228">
        <v>0</v>
      </c>
      <c r="AS205" s="228">
        <v>163</v>
      </c>
      <c r="AT205" s="228">
        <v>169</v>
      </c>
      <c r="AU205" s="228">
        <v>-6</v>
      </c>
      <c r="AV205" s="229">
        <v>-3.4700000000000002E-2</v>
      </c>
      <c r="AW205" s="228">
        <v>159</v>
      </c>
      <c r="AX205" s="228">
        <v>164</v>
      </c>
      <c r="AY205" s="228">
        <v>-5</v>
      </c>
      <c r="AZ205" s="229">
        <v>-2.8299999999999999E-2</v>
      </c>
      <c r="BA205" s="228">
        <v>4</v>
      </c>
      <c r="BB205" s="228">
        <v>5</v>
      </c>
      <c r="BC205" s="228">
        <v>-1</v>
      </c>
      <c r="BD205" s="229">
        <v>-0.253</v>
      </c>
      <c r="BE205" s="228">
        <v>0</v>
      </c>
      <c r="BF205" s="228">
        <v>0</v>
      </c>
      <c r="BG205" s="228">
        <v>0</v>
      </c>
      <c r="BH205" s="229">
        <v>1</v>
      </c>
      <c r="BI205" s="228">
        <v>128</v>
      </c>
      <c r="BJ205" s="228">
        <v>125</v>
      </c>
      <c r="BK205" s="228">
        <v>3</v>
      </c>
      <c r="BL205" s="229">
        <v>2.46E-2</v>
      </c>
      <c r="BM205" s="228">
        <v>60</v>
      </c>
      <c r="BN205" s="228">
        <v>59</v>
      </c>
      <c r="BO205" s="228">
        <v>2</v>
      </c>
      <c r="BP205" s="229">
        <v>3.27E-2</v>
      </c>
      <c r="BQ205" s="228">
        <v>352</v>
      </c>
      <c r="BR205" s="228">
        <v>353</v>
      </c>
      <c r="BS205" s="228">
        <v>-1</v>
      </c>
      <c r="BT205" s="229">
        <v>-2.3999999999999998E-3</v>
      </c>
      <c r="BU205" s="230">
        <v>958523</v>
      </c>
      <c r="BV205" s="230">
        <v>1388973</v>
      </c>
      <c r="BW205" s="230">
        <v>-430450</v>
      </c>
      <c r="BX205" s="229">
        <v>-0.30990000000000001</v>
      </c>
      <c r="BY205" s="228">
        <v>725</v>
      </c>
      <c r="BZ205" s="228">
        <v>735</v>
      </c>
      <c r="CA205" s="228">
        <v>-10</v>
      </c>
      <c r="CB205" s="229">
        <v>-1.43E-2</v>
      </c>
      <c r="CC205" s="228">
        <v>717</v>
      </c>
      <c r="CD205" s="228">
        <v>728</v>
      </c>
      <c r="CE205" s="228">
        <v>-11</v>
      </c>
      <c r="CF205" s="229">
        <v>-1.5100000000000001E-2</v>
      </c>
      <c r="CG205" s="228">
        <v>7</v>
      </c>
      <c r="CH205" s="228">
        <v>7</v>
      </c>
      <c r="CI205" s="228">
        <v>0</v>
      </c>
      <c r="CJ205" s="229">
        <v>6.3100000000000003E-2</v>
      </c>
      <c r="CK205" s="228">
        <v>0</v>
      </c>
      <c r="CL205" s="228">
        <v>0</v>
      </c>
      <c r="CM205" s="228">
        <v>0</v>
      </c>
      <c r="CN205" s="229">
        <v>1</v>
      </c>
      <c r="CO205" s="228">
        <v>137</v>
      </c>
      <c r="CP205" s="228">
        <v>123</v>
      </c>
      <c r="CQ205" s="228">
        <v>14</v>
      </c>
      <c r="CR205" s="229">
        <v>0.113</v>
      </c>
      <c r="CS205" s="228">
        <v>91</v>
      </c>
      <c r="CT205" s="228">
        <v>82</v>
      </c>
      <c r="CU205" s="228">
        <v>9</v>
      </c>
      <c r="CV205" s="229">
        <v>0.1066</v>
      </c>
      <c r="CW205" s="228">
        <v>952</v>
      </c>
      <c r="CX205" s="228">
        <v>940</v>
      </c>
      <c r="CY205" s="228">
        <v>12</v>
      </c>
      <c r="CZ205" s="229">
        <v>1.29E-2</v>
      </c>
      <c r="DA205" s="228">
        <v>34.17</v>
      </c>
      <c r="DB205" s="228">
        <v>35.56</v>
      </c>
      <c r="DC205" s="228">
        <v>-1.39</v>
      </c>
      <c r="DD205" s="228">
        <v>-1.39</v>
      </c>
      <c r="DE205" s="228">
        <v>41.02</v>
      </c>
      <c r="DF205" s="228">
        <v>41.12</v>
      </c>
      <c r="DG205" s="228">
        <v>-6.85</v>
      </c>
      <c r="DH205" s="228">
        <v>-0.1</v>
      </c>
      <c r="DI205" s="228">
        <v>33.659999999999997</v>
      </c>
      <c r="DJ205" s="228">
        <v>35.03</v>
      </c>
      <c r="DK205" s="228">
        <v>-1.37</v>
      </c>
      <c r="DL205" s="228">
        <v>-1.37</v>
      </c>
      <c r="DM205" s="228">
        <v>35.270000000000003</v>
      </c>
      <c r="DN205" s="228">
        <v>36.72</v>
      </c>
      <c r="DO205" s="228">
        <v>-1.45</v>
      </c>
      <c r="DP205" s="228">
        <v>-1.45</v>
      </c>
      <c r="DQ205" s="228">
        <v>0.67</v>
      </c>
      <c r="DR205" s="228">
        <v>0.67</v>
      </c>
      <c r="DS205" s="228">
        <v>0</v>
      </c>
      <c r="DT205" s="229">
        <v>0</v>
      </c>
      <c r="DU205" s="231">
        <v>1240</v>
      </c>
      <c r="DV205" s="231">
        <v>1200</v>
      </c>
      <c r="DW205" s="228">
        <v>0.47</v>
      </c>
      <c r="DX205" s="228">
        <v>0.47</v>
      </c>
      <c r="DY205" s="228">
        <v>0</v>
      </c>
      <c r="DZ205" s="229">
        <v>0</v>
      </c>
      <c r="EA205" s="229">
        <v>1.0200000000000001E-2</v>
      </c>
      <c r="EB205" s="230">
        <v>61600</v>
      </c>
      <c r="EC205" s="229">
        <v>4.7999999999999996E-3</v>
      </c>
      <c r="ED205" s="229">
        <v>1.0200000000000001E-2</v>
      </c>
      <c r="EE205" s="228">
        <v>6.36</v>
      </c>
      <c r="EF205" s="229">
        <v>5.7000000000000002E-3</v>
      </c>
      <c r="EG205" s="230">
        <v>470150</v>
      </c>
      <c r="EH205" s="230">
        <v>785573</v>
      </c>
      <c r="EI205" s="229">
        <v>-0.40150000000000002</v>
      </c>
      <c r="EJ205" s="229">
        <v>0.49049999999999999</v>
      </c>
      <c r="EK205" s="228">
        <v>141.77000000000001</v>
      </c>
      <c r="EL205" s="228">
        <v>61.93</v>
      </c>
      <c r="EM205" s="228">
        <v>162.22</v>
      </c>
      <c r="EN205" s="228">
        <v>28.72</v>
      </c>
      <c r="EO205" s="228">
        <v>365.92</v>
      </c>
      <c r="EP205" s="228">
        <v>366.74</v>
      </c>
      <c r="EQ205" s="228">
        <v>-0.81</v>
      </c>
      <c r="ER205" s="229">
        <v>-2.2000000000000001E-3</v>
      </c>
      <c r="ES205" s="228">
        <v>151.96</v>
      </c>
      <c r="ET205" s="228">
        <v>93.27</v>
      </c>
      <c r="EU205" s="228">
        <v>724.56</v>
      </c>
      <c r="EV205" s="231">
        <v>27292222</v>
      </c>
      <c r="EW205" s="228">
        <v>969.79</v>
      </c>
      <c r="EX205" s="228">
        <v>960.77</v>
      </c>
      <c r="EY205" s="228">
        <v>9.02</v>
      </c>
      <c r="EZ205" s="229">
        <v>9.4000000000000004E-3</v>
      </c>
      <c r="FA205" s="229">
        <v>0.31109999999999999</v>
      </c>
      <c r="FB205" s="227" t="s">
        <v>568</v>
      </c>
      <c r="FC205">
        <f t="shared" si="4"/>
        <v>0</v>
      </c>
    </row>
    <row r="206" spans="1:159" ht="17.25" thickBot="1" x14ac:dyDescent="0.3">
      <c r="A206" s="226">
        <v>46086</v>
      </c>
      <c r="B206" s="227" t="s">
        <v>498</v>
      </c>
      <c r="C206" s="227" t="s">
        <v>303</v>
      </c>
      <c r="D206" s="228">
        <v>1355</v>
      </c>
      <c r="E206" s="228">
        <v>25</v>
      </c>
      <c r="F206" s="228">
        <v>631</v>
      </c>
      <c r="G206" s="228">
        <v>615.29999999999995</v>
      </c>
      <c r="H206" s="228">
        <v>15.7</v>
      </c>
      <c r="I206" s="229">
        <v>2.5499999999999998E-2</v>
      </c>
      <c r="J206" s="228">
        <v>629.6</v>
      </c>
      <c r="K206" s="228">
        <v>614.1</v>
      </c>
      <c r="L206" s="228">
        <v>15.5</v>
      </c>
      <c r="M206" s="229">
        <v>2.52E-2</v>
      </c>
      <c r="N206" s="228">
        <v>631</v>
      </c>
      <c r="O206" s="228">
        <v>615.29999999999995</v>
      </c>
      <c r="P206" s="228">
        <v>15.7</v>
      </c>
      <c r="Q206" s="229">
        <v>2.5499999999999998E-2</v>
      </c>
      <c r="R206" s="228">
        <v>634.65</v>
      </c>
      <c r="S206" s="228">
        <v>619.35</v>
      </c>
      <c r="T206" s="228">
        <v>15.3</v>
      </c>
      <c r="U206" s="229">
        <v>2.47E-2</v>
      </c>
      <c r="V206" s="228">
        <v>638.1</v>
      </c>
      <c r="W206" s="228">
        <v>622</v>
      </c>
      <c r="X206" s="228">
        <v>16.100000000000001</v>
      </c>
      <c r="Y206" s="229">
        <v>2.5899999999999999E-2</v>
      </c>
      <c r="Z206" s="228">
        <v>1.4</v>
      </c>
      <c r="AA206" s="228">
        <v>1.2</v>
      </c>
      <c r="AB206" s="228">
        <v>0.2</v>
      </c>
      <c r="AC206" s="229">
        <v>2.2000000000000001E-3</v>
      </c>
      <c r="AD206" s="228">
        <v>1.4</v>
      </c>
      <c r="AE206" s="228">
        <v>1.2</v>
      </c>
      <c r="AF206" s="228">
        <v>0.2</v>
      </c>
      <c r="AG206" s="229">
        <v>2.2000000000000001E-3</v>
      </c>
      <c r="AH206" s="228">
        <v>5.05</v>
      </c>
      <c r="AI206" s="228">
        <v>5.25</v>
      </c>
      <c r="AJ206" s="228">
        <v>-0.2</v>
      </c>
      <c r="AK206" s="229">
        <v>8.0000000000000002E-3</v>
      </c>
      <c r="AL206" s="228">
        <v>8.5</v>
      </c>
      <c r="AM206" s="228">
        <v>7.9</v>
      </c>
      <c r="AN206" s="228">
        <v>0.6</v>
      </c>
      <c r="AO206" s="229">
        <v>1.35E-2</v>
      </c>
      <c r="AP206" s="228">
        <v>625.1</v>
      </c>
      <c r="AQ206" s="228">
        <v>628.66</v>
      </c>
      <c r="AR206" s="228">
        <v>0</v>
      </c>
      <c r="AS206" s="228">
        <v>335</v>
      </c>
      <c r="AT206" s="228">
        <v>365</v>
      </c>
      <c r="AU206" s="228">
        <v>-31</v>
      </c>
      <c r="AV206" s="229">
        <v>-8.4199999999999997E-2</v>
      </c>
      <c r="AW206" s="228">
        <v>321</v>
      </c>
      <c r="AX206" s="228">
        <v>345</v>
      </c>
      <c r="AY206" s="228">
        <v>-24</v>
      </c>
      <c r="AZ206" s="229">
        <v>-7.0900000000000005E-2</v>
      </c>
      <c r="BA206" s="228">
        <v>11</v>
      </c>
      <c r="BB206" s="228">
        <v>19</v>
      </c>
      <c r="BC206" s="228">
        <v>-8</v>
      </c>
      <c r="BD206" s="229">
        <v>-0.43440000000000001</v>
      </c>
      <c r="BE206" s="228">
        <v>3</v>
      </c>
      <c r="BF206" s="228">
        <v>2</v>
      </c>
      <c r="BG206" s="228">
        <v>2</v>
      </c>
      <c r="BH206" s="229">
        <v>1.2222</v>
      </c>
      <c r="BI206" s="228">
        <v>754</v>
      </c>
      <c r="BJ206" s="228">
        <v>993</v>
      </c>
      <c r="BK206" s="228">
        <v>-239</v>
      </c>
      <c r="BL206" s="229">
        <v>-0.2404</v>
      </c>
      <c r="BM206" s="228">
        <v>282</v>
      </c>
      <c r="BN206" s="228">
        <v>558</v>
      </c>
      <c r="BO206" s="228">
        <v>-276</v>
      </c>
      <c r="BP206" s="229">
        <v>-0.49430000000000002</v>
      </c>
      <c r="BQ206" s="230">
        <v>1371</v>
      </c>
      <c r="BR206" s="230">
        <v>1916</v>
      </c>
      <c r="BS206" s="228">
        <v>-545</v>
      </c>
      <c r="BT206" s="229">
        <v>-0.28449999999999998</v>
      </c>
      <c r="BU206" s="230">
        <v>2556427</v>
      </c>
      <c r="BV206" s="230">
        <v>3953385</v>
      </c>
      <c r="BW206" s="230">
        <v>-1396958</v>
      </c>
      <c r="BX206" s="229">
        <v>-0.35339999999999999</v>
      </c>
      <c r="BY206" s="230">
        <v>2143</v>
      </c>
      <c r="BZ206" s="230">
        <v>2190</v>
      </c>
      <c r="CA206" s="228">
        <v>-47</v>
      </c>
      <c r="CB206" s="229">
        <v>-2.12E-2</v>
      </c>
      <c r="CC206" s="230">
        <v>2080</v>
      </c>
      <c r="CD206" s="230">
        <v>2126</v>
      </c>
      <c r="CE206" s="228">
        <v>-46</v>
      </c>
      <c r="CF206" s="229">
        <v>-2.1399999999999999E-2</v>
      </c>
      <c r="CG206" s="228">
        <v>60</v>
      </c>
      <c r="CH206" s="228">
        <v>61</v>
      </c>
      <c r="CI206" s="228">
        <v>0</v>
      </c>
      <c r="CJ206" s="229">
        <v>-5.5999999999999999E-3</v>
      </c>
      <c r="CK206" s="228">
        <v>3</v>
      </c>
      <c r="CL206" s="228">
        <v>3</v>
      </c>
      <c r="CM206" s="228">
        <v>-1</v>
      </c>
      <c r="CN206" s="229">
        <v>-0.17949999999999999</v>
      </c>
      <c r="CO206" s="230">
        <v>1364</v>
      </c>
      <c r="CP206" s="230">
        <v>1404</v>
      </c>
      <c r="CQ206" s="228">
        <v>-40</v>
      </c>
      <c r="CR206" s="229">
        <v>-2.8400000000000002E-2</v>
      </c>
      <c r="CS206" s="228">
        <v>627</v>
      </c>
      <c r="CT206" s="228">
        <v>621</v>
      </c>
      <c r="CU206" s="228">
        <v>7</v>
      </c>
      <c r="CV206" s="229">
        <v>1.0999999999999999E-2</v>
      </c>
      <c r="CW206" s="230">
        <v>4135</v>
      </c>
      <c r="CX206" s="230">
        <v>4215</v>
      </c>
      <c r="CY206" s="228">
        <v>-80</v>
      </c>
      <c r="CZ206" s="229">
        <v>-1.89E-2</v>
      </c>
      <c r="DA206" s="228">
        <v>31.59</v>
      </c>
      <c r="DB206" s="228">
        <v>35.130000000000003</v>
      </c>
      <c r="DC206" s="228">
        <v>-3.54</v>
      </c>
      <c r="DD206" s="228">
        <v>-3.54</v>
      </c>
      <c r="DE206" s="228">
        <v>40.9</v>
      </c>
      <c r="DF206" s="228">
        <v>40.86</v>
      </c>
      <c r="DG206" s="228">
        <v>-9.31</v>
      </c>
      <c r="DH206" s="228">
        <v>0.04</v>
      </c>
      <c r="DI206" s="228">
        <v>31.3</v>
      </c>
      <c r="DJ206" s="228">
        <v>34.35</v>
      </c>
      <c r="DK206" s="228">
        <v>-3.05</v>
      </c>
      <c r="DL206" s="228">
        <v>-3.05</v>
      </c>
      <c r="DM206" s="228">
        <v>32.36</v>
      </c>
      <c r="DN206" s="228">
        <v>36.53</v>
      </c>
      <c r="DO206" s="228">
        <v>-4.17</v>
      </c>
      <c r="DP206" s="228">
        <v>-4.17</v>
      </c>
      <c r="DQ206" s="228">
        <v>0.46</v>
      </c>
      <c r="DR206" s="228">
        <v>0.44</v>
      </c>
      <c r="DS206" s="228">
        <v>0.02</v>
      </c>
      <c r="DT206" s="229">
        <v>4.5499999999999999E-2</v>
      </c>
      <c r="DU206" s="228">
        <v>700</v>
      </c>
      <c r="DV206" s="228">
        <v>600</v>
      </c>
      <c r="DW206" s="228">
        <v>0.37</v>
      </c>
      <c r="DX206" s="228">
        <v>0.56000000000000005</v>
      </c>
      <c r="DY206" s="228">
        <v>-0.19</v>
      </c>
      <c r="DZ206" s="229">
        <v>-0.33929999999999999</v>
      </c>
      <c r="EA206" s="229">
        <v>2.9399999999999999E-2</v>
      </c>
      <c r="EB206" s="230">
        <v>1013540</v>
      </c>
      <c r="EC206" s="229">
        <v>5.7999999999999996E-3</v>
      </c>
      <c r="ED206" s="229">
        <v>2.9399999999999999E-2</v>
      </c>
      <c r="EE206" s="228">
        <v>3.56</v>
      </c>
      <c r="EF206" s="229">
        <v>5.7000000000000002E-3</v>
      </c>
      <c r="EG206" s="230">
        <v>1464830</v>
      </c>
      <c r="EH206" s="230">
        <v>2188297</v>
      </c>
      <c r="EI206" s="229">
        <v>-0.3306</v>
      </c>
      <c r="EJ206" s="229">
        <v>0.57299999999999995</v>
      </c>
      <c r="EK206" s="228">
        <v>808.5</v>
      </c>
      <c r="EL206" s="228">
        <v>275.39999999999998</v>
      </c>
      <c r="EM206" s="228">
        <v>331.63</v>
      </c>
      <c r="EN206" s="228">
        <v>49.01</v>
      </c>
      <c r="EO206" s="231">
        <v>1415.53</v>
      </c>
      <c r="EP206" s="231">
        <v>1949.08</v>
      </c>
      <c r="EQ206" s="228">
        <v>-533.54</v>
      </c>
      <c r="ER206" s="229">
        <v>-0.2737</v>
      </c>
      <c r="ES206" s="231">
        <v>1514.67</v>
      </c>
      <c r="ET206" s="228">
        <v>626.46</v>
      </c>
      <c r="EU206" s="231">
        <v>2143.88</v>
      </c>
      <c r="EV206" s="231">
        <v>84228583</v>
      </c>
      <c r="EW206" s="231">
        <v>4285.01</v>
      </c>
      <c r="EX206" s="231">
        <v>4313.9399999999996</v>
      </c>
      <c r="EY206" s="228">
        <v>-28.93</v>
      </c>
      <c r="EZ206" s="229">
        <v>-6.7000000000000002E-3</v>
      </c>
      <c r="FA206" s="229">
        <v>0.77810000000000001</v>
      </c>
      <c r="FB206" s="227" t="s">
        <v>556</v>
      </c>
      <c r="FC206">
        <f t="shared" si="4"/>
        <v>0</v>
      </c>
    </row>
    <row r="207" spans="1:159" ht="17.25" thickBot="1" x14ac:dyDescent="0.3">
      <c r="A207" s="226">
        <v>46086</v>
      </c>
      <c r="B207" s="227" t="s">
        <v>168</v>
      </c>
      <c r="C207" s="227" t="s">
        <v>586</v>
      </c>
      <c r="D207" s="228">
        <v>1125</v>
      </c>
      <c r="E207" s="228">
        <v>25</v>
      </c>
      <c r="F207" s="228">
        <v>446.25</v>
      </c>
      <c r="G207" s="228">
        <v>430.7</v>
      </c>
      <c r="H207" s="228">
        <v>15.55</v>
      </c>
      <c r="I207" s="229">
        <v>3.61E-2</v>
      </c>
      <c r="J207" s="228">
        <v>445.75</v>
      </c>
      <c r="K207" s="228">
        <v>429.75</v>
      </c>
      <c r="L207" s="228">
        <v>16</v>
      </c>
      <c r="M207" s="229">
        <v>3.7199999999999997E-2</v>
      </c>
      <c r="N207" s="228">
        <v>446.25</v>
      </c>
      <c r="O207" s="228">
        <v>430.7</v>
      </c>
      <c r="P207" s="228">
        <v>15.55</v>
      </c>
      <c r="Q207" s="229">
        <v>3.61E-2</v>
      </c>
      <c r="R207" s="228">
        <v>448.95</v>
      </c>
      <c r="S207" s="228">
        <v>433.1</v>
      </c>
      <c r="T207" s="228">
        <v>15.85</v>
      </c>
      <c r="U207" s="229">
        <v>3.6600000000000001E-2</v>
      </c>
      <c r="V207" s="228">
        <v>451.55</v>
      </c>
      <c r="W207" s="228">
        <v>436.05</v>
      </c>
      <c r="X207" s="228">
        <v>15.5</v>
      </c>
      <c r="Y207" s="229">
        <v>3.5499999999999997E-2</v>
      </c>
      <c r="Z207" s="228">
        <v>0.5</v>
      </c>
      <c r="AA207" s="228">
        <v>0.95</v>
      </c>
      <c r="AB207" s="228">
        <v>-0.45</v>
      </c>
      <c r="AC207" s="229">
        <v>1.1000000000000001E-3</v>
      </c>
      <c r="AD207" s="228">
        <v>0.5</v>
      </c>
      <c r="AE207" s="228">
        <v>0.95</v>
      </c>
      <c r="AF207" s="228">
        <v>-0.45</v>
      </c>
      <c r="AG207" s="229">
        <v>1.1000000000000001E-3</v>
      </c>
      <c r="AH207" s="228">
        <v>3.2</v>
      </c>
      <c r="AI207" s="228">
        <v>3.35</v>
      </c>
      <c r="AJ207" s="228">
        <v>-0.15</v>
      </c>
      <c r="AK207" s="229">
        <v>7.1999999999999998E-3</v>
      </c>
      <c r="AL207" s="228">
        <v>5.8</v>
      </c>
      <c r="AM207" s="228">
        <v>6.3</v>
      </c>
      <c r="AN207" s="228">
        <v>-0.5</v>
      </c>
      <c r="AO207" s="229">
        <v>1.2999999999999999E-2</v>
      </c>
      <c r="AP207" s="228">
        <v>440.93</v>
      </c>
      <c r="AQ207" s="228">
        <v>443.55</v>
      </c>
      <c r="AR207" s="228">
        <v>0</v>
      </c>
      <c r="AS207" s="228">
        <v>365</v>
      </c>
      <c r="AT207" s="228">
        <v>278</v>
      </c>
      <c r="AU207" s="228">
        <v>87</v>
      </c>
      <c r="AV207" s="229">
        <v>0.312</v>
      </c>
      <c r="AW207" s="228">
        <v>340</v>
      </c>
      <c r="AX207" s="228">
        <v>252</v>
      </c>
      <c r="AY207" s="228">
        <v>88</v>
      </c>
      <c r="AZ207" s="229">
        <v>0.35020000000000001</v>
      </c>
      <c r="BA207" s="228">
        <v>23</v>
      </c>
      <c r="BB207" s="228">
        <v>24</v>
      </c>
      <c r="BC207" s="228">
        <v>-1</v>
      </c>
      <c r="BD207" s="229">
        <v>-5.0099999999999999E-2</v>
      </c>
      <c r="BE207" s="228">
        <v>2</v>
      </c>
      <c r="BF207" s="228">
        <v>2</v>
      </c>
      <c r="BG207" s="228">
        <v>0</v>
      </c>
      <c r="BH207" s="229">
        <v>-8.6999999999999994E-2</v>
      </c>
      <c r="BI207" s="228">
        <v>580</v>
      </c>
      <c r="BJ207" s="228">
        <v>412</v>
      </c>
      <c r="BK207" s="228">
        <v>168</v>
      </c>
      <c r="BL207" s="229">
        <v>0.40660000000000002</v>
      </c>
      <c r="BM207" s="228">
        <v>255</v>
      </c>
      <c r="BN207" s="228">
        <v>209</v>
      </c>
      <c r="BO207" s="228">
        <v>45</v>
      </c>
      <c r="BP207" s="229">
        <v>0.21629999999999999</v>
      </c>
      <c r="BQ207" s="230">
        <v>1199</v>
      </c>
      <c r="BR207" s="228">
        <v>900</v>
      </c>
      <c r="BS207" s="228">
        <v>300</v>
      </c>
      <c r="BT207" s="229">
        <v>0.33310000000000001</v>
      </c>
      <c r="BU207" s="230">
        <v>6741422</v>
      </c>
      <c r="BV207" s="230">
        <v>8649777</v>
      </c>
      <c r="BW207" s="230">
        <v>-1908355</v>
      </c>
      <c r="BX207" s="229">
        <v>-0.22059999999999999</v>
      </c>
      <c r="BY207" s="230">
        <v>1813</v>
      </c>
      <c r="BZ207" s="230">
        <v>1865</v>
      </c>
      <c r="CA207" s="228">
        <v>-52</v>
      </c>
      <c r="CB207" s="229">
        <v>-2.7699999999999999E-2</v>
      </c>
      <c r="CC207" s="230">
        <v>1752</v>
      </c>
      <c r="CD207" s="230">
        <v>1809</v>
      </c>
      <c r="CE207" s="228">
        <v>-56</v>
      </c>
      <c r="CF207" s="229">
        <v>-3.1199999999999999E-2</v>
      </c>
      <c r="CG207" s="228">
        <v>57</v>
      </c>
      <c r="CH207" s="228">
        <v>53</v>
      </c>
      <c r="CI207" s="228">
        <v>5</v>
      </c>
      <c r="CJ207" s="229">
        <v>9.3700000000000006E-2</v>
      </c>
      <c r="CK207" s="228">
        <v>3</v>
      </c>
      <c r="CL207" s="228">
        <v>4</v>
      </c>
      <c r="CM207" s="228">
        <v>0</v>
      </c>
      <c r="CN207" s="229">
        <v>-4.2900000000000001E-2</v>
      </c>
      <c r="CO207" s="228">
        <v>433</v>
      </c>
      <c r="CP207" s="228">
        <v>396</v>
      </c>
      <c r="CQ207" s="228">
        <v>37</v>
      </c>
      <c r="CR207" s="229">
        <v>9.2499999999999999E-2</v>
      </c>
      <c r="CS207" s="228">
        <v>259</v>
      </c>
      <c r="CT207" s="228">
        <v>240</v>
      </c>
      <c r="CU207" s="228">
        <v>19</v>
      </c>
      <c r="CV207" s="229">
        <v>7.9399999999999998E-2</v>
      </c>
      <c r="CW207" s="230">
        <v>2505</v>
      </c>
      <c r="CX207" s="230">
        <v>2501</v>
      </c>
      <c r="CY207" s="228">
        <v>4</v>
      </c>
      <c r="CZ207" s="229">
        <v>1.6000000000000001E-3</v>
      </c>
      <c r="DA207" s="228">
        <v>28.5</v>
      </c>
      <c r="DB207" s="228">
        <v>31.98</v>
      </c>
      <c r="DC207" s="228">
        <v>-3.48</v>
      </c>
      <c r="DD207" s="228">
        <v>-3.48</v>
      </c>
      <c r="DE207" s="228">
        <v>36.380000000000003</v>
      </c>
      <c r="DF207" s="228">
        <v>36.130000000000003</v>
      </c>
      <c r="DG207" s="228">
        <v>-7.88</v>
      </c>
      <c r="DH207" s="228">
        <v>0.25</v>
      </c>
      <c r="DI207" s="228">
        <v>28.22</v>
      </c>
      <c r="DJ207" s="228">
        <v>31.6</v>
      </c>
      <c r="DK207" s="228">
        <v>-3.38</v>
      </c>
      <c r="DL207" s="228">
        <v>-3.38</v>
      </c>
      <c r="DM207" s="228">
        <v>29.13</v>
      </c>
      <c r="DN207" s="228">
        <v>32.729999999999997</v>
      </c>
      <c r="DO207" s="228">
        <v>-3.6</v>
      </c>
      <c r="DP207" s="228">
        <v>-3.6</v>
      </c>
      <c r="DQ207" s="228">
        <v>0.6</v>
      </c>
      <c r="DR207" s="228">
        <v>0.61</v>
      </c>
      <c r="DS207" s="228">
        <v>-0.01</v>
      </c>
      <c r="DT207" s="229">
        <v>-1.6400000000000001E-2</v>
      </c>
      <c r="DU207" s="228">
        <v>500</v>
      </c>
      <c r="DV207" s="228">
        <v>440</v>
      </c>
      <c r="DW207" s="228">
        <v>0.44</v>
      </c>
      <c r="DX207" s="228">
        <v>0.51</v>
      </c>
      <c r="DY207" s="228">
        <v>-7.0000000000000007E-2</v>
      </c>
      <c r="DZ207" s="229">
        <v>-0.13730000000000001</v>
      </c>
      <c r="EA207" s="229">
        <v>3.3500000000000002E-2</v>
      </c>
      <c r="EB207" s="230">
        <v>1255500</v>
      </c>
      <c r="EC207" s="229">
        <v>6.1000000000000004E-3</v>
      </c>
      <c r="ED207" s="229">
        <v>3.3500000000000002E-2</v>
      </c>
      <c r="EE207" s="228">
        <v>2.62</v>
      </c>
      <c r="EF207" s="229">
        <v>5.8999999999999999E-3</v>
      </c>
      <c r="EG207" s="230">
        <v>3959638</v>
      </c>
      <c r="EH207" s="230">
        <v>5096729</v>
      </c>
      <c r="EI207" s="229">
        <v>-0.22309999999999999</v>
      </c>
      <c r="EJ207" s="229">
        <v>0.58740000000000003</v>
      </c>
      <c r="EK207" s="228">
        <v>612.15</v>
      </c>
      <c r="EL207" s="228">
        <v>247.79</v>
      </c>
      <c r="EM207" s="228">
        <v>360.63</v>
      </c>
      <c r="EN207" s="228">
        <v>47.99</v>
      </c>
      <c r="EO207" s="231">
        <v>1220.57</v>
      </c>
      <c r="EP207" s="228">
        <v>904.4</v>
      </c>
      <c r="EQ207" s="228">
        <v>316.17</v>
      </c>
      <c r="ER207" s="229">
        <v>0.34960000000000002</v>
      </c>
      <c r="ES207" s="228">
        <v>463.86</v>
      </c>
      <c r="ET207" s="228">
        <v>253.01</v>
      </c>
      <c r="EU207" s="231">
        <v>1813.32</v>
      </c>
      <c r="EV207" s="231">
        <v>205761118</v>
      </c>
      <c r="EW207" s="231">
        <v>2530.1999999999998</v>
      </c>
      <c r="EX207" s="231">
        <v>2458.9899999999998</v>
      </c>
      <c r="EY207" s="228">
        <v>71.209999999999994</v>
      </c>
      <c r="EZ207" s="229">
        <v>2.9000000000000001E-2</v>
      </c>
      <c r="FA207" s="229">
        <v>0.27279999999999999</v>
      </c>
      <c r="FB207" s="227" t="s">
        <v>556</v>
      </c>
      <c r="FC207">
        <f t="shared" si="4"/>
        <v>0</v>
      </c>
    </row>
    <row r="208" spans="1:159" ht="17.25" thickBot="1" x14ac:dyDescent="0.3">
      <c r="A208" s="226">
        <v>46086</v>
      </c>
      <c r="B208" s="227" t="s">
        <v>227</v>
      </c>
      <c r="C208" s="227" t="s">
        <v>304</v>
      </c>
      <c r="D208" s="228">
        <v>1150</v>
      </c>
      <c r="E208" s="228">
        <v>25</v>
      </c>
      <c r="F208" s="228">
        <v>712.4</v>
      </c>
      <c r="G208" s="228">
        <v>703.55</v>
      </c>
      <c r="H208" s="228">
        <v>8.85</v>
      </c>
      <c r="I208" s="229">
        <v>1.26E-2</v>
      </c>
      <c r="J208" s="228">
        <v>711.25</v>
      </c>
      <c r="K208" s="228">
        <v>701</v>
      </c>
      <c r="L208" s="228">
        <v>10.25</v>
      </c>
      <c r="M208" s="229">
        <v>1.46E-2</v>
      </c>
      <c r="N208" s="228">
        <v>712.4</v>
      </c>
      <c r="O208" s="228">
        <v>703.55</v>
      </c>
      <c r="P208" s="228">
        <v>8.85</v>
      </c>
      <c r="Q208" s="229">
        <v>1.26E-2</v>
      </c>
      <c r="R208" s="228">
        <v>714.05</v>
      </c>
      <c r="S208" s="228">
        <v>704.85</v>
      </c>
      <c r="T208" s="228">
        <v>9.1999999999999993</v>
      </c>
      <c r="U208" s="229">
        <v>1.3100000000000001E-2</v>
      </c>
      <c r="V208" s="228">
        <v>715.6</v>
      </c>
      <c r="W208" s="228">
        <v>705.7</v>
      </c>
      <c r="X208" s="228">
        <v>9.9</v>
      </c>
      <c r="Y208" s="229">
        <v>1.4E-2</v>
      </c>
      <c r="Z208" s="228">
        <v>1.1499999999999999</v>
      </c>
      <c r="AA208" s="228">
        <v>2.5499999999999998</v>
      </c>
      <c r="AB208" s="228">
        <v>-1.4</v>
      </c>
      <c r="AC208" s="229">
        <v>1.6000000000000001E-3</v>
      </c>
      <c r="AD208" s="228">
        <v>1.1499999999999999</v>
      </c>
      <c r="AE208" s="228">
        <v>2.5499999999999998</v>
      </c>
      <c r="AF208" s="228">
        <v>-1.4</v>
      </c>
      <c r="AG208" s="229">
        <v>1.6000000000000001E-3</v>
      </c>
      <c r="AH208" s="228">
        <v>2.8</v>
      </c>
      <c r="AI208" s="228">
        <v>3.85</v>
      </c>
      <c r="AJ208" s="228">
        <v>-1.05</v>
      </c>
      <c r="AK208" s="229">
        <v>3.8999999999999998E-3</v>
      </c>
      <c r="AL208" s="228">
        <v>4.3499999999999996</v>
      </c>
      <c r="AM208" s="228">
        <v>4.7</v>
      </c>
      <c r="AN208" s="228">
        <v>-0.35</v>
      </c>
      <c r="AO208" s="229">
        <v>6.1000000000000004E-3</v>
      </c>
      <c r="AP208" s="228">
        <v>722.52</v>
      </c>
      <c r="AQ208" s="228">
        <v>724.19</v>
      </c>
      <c r="AR208" s="228">
        <v>0</v>
      </c>
      <c r="AS208" s="230">
        <v>2143</v>
      </c>
      <c r="AT208" s="230">
        <v>1564</v>
      </c>
      <c r="AU208" s="228">
        <v>578</v>
      </c>
      <c r="AV208" s="229">
        <v>0.36959999999999998</v>
      </c>
      <c r="AW208" s="230">
        <v>2034</v>
      </c>
      <c r="AX208" s="230">
        <v>1273</v>
      </c>
      <c r="AY208" s="228">
        <v>761</v>
      </c>
      <c r="AZ208" s="229">
        <v>0.5978</v>
      </c>
      <c r="BA208" s="228">
        <v>87</v>
      </c>
      <c r="BB208" s="228">
        <v>87</v>
      </c>
      <c r="BC208" s="228">
        <v>0</v>
      </c>
      <c r="BD208" s="229">
        <v>1.9E-3</v>
      </c>
      <c r="BE208" s="228">
        <v>22</v>
      </c>
      <c r="BF208" s="228">
        <v>205</v>
      </c>
      <c r="BG208" s="228">
        <v>-183</v>
      </c>
      <c r="BH208" s="229">
        <v>-0.89429999999999998</v>
      </c>
      <c r="BI208" s="230">
        <v>6311</v>
      </c>
      <c r="BJ208" s="230">
        <v>2933</v>
      </c>
      <c r="BK208" s="230">
        <v>3378</v>
      </c>
      <c r="BL208" s="229">
        <v>1.1515</v>
      </c>
      <c r="BM208" s="230">
        <v>2784</v>
      </c>
      <c r="BN208" s="230">
        <v>2278</v>
      </c>
      <c r="BO208" s="228">
        <v>505</v>
      </c>
      <c r="BP208" s="229">
        <v>0.2218</v>
      </c>
      <c r="BQ208" s="230">
        <v>11237</v>
      </c>
      <c r="BR208" s="230">
        <v>6776</v>
      </c>
      <c r="BS208" s="230">
        <v>4461</v>
      </c>
      <c r="BT208" s="229">
        <v>0.65839999999999999</v>
      </c>
      <c r="BU208" s="230">
        <v>23336229</v>
      </c>
      <c r="BV208" s="230">
        <v>15569019</v>
      </c>
      <c r="BW208" s="230">
        <v>7767210</v>
      </c>
      <c r="BX208" s="229">
        <v>0.49890000000000001</v>
      </c>
      <c r="BY208" s="230">
        <v>5079</v>
      </c>
      <c r="BZ208" s="230">
        <v>5052</v>
      </c>
      <c r="CA208" s="228">
        <v>27</v>
      </c>
      <c r="CB208" s="229">
        <v>5.4000000000000003E-3</v>
      </c>
      <c r="CC208" s="230">
        <v>4614</v>
      </c>
      <c r="CD208" s="230">
        <v>4596</v>
      </c>
      <c r="CE208" s="228">
        <v>18</v>
      </c>
      <c r="CF208" s="229">
        <v>3.8999999999999998E-3</v>
      </c>
      <c r="CG208" s="228">
        <v>300</v>
      </c>
      <c r="CH208" s="228">
        <v>290</v>
      </c>
      <c r="CI208" s="228">
        <v>9</v>
      </c>
      <c r="CJ208" s="229">
        <v>3.2399999999999998E-2</v>
      </c>
      <c r="CK208" s="228">
        <v>165</v>
      </c>
      <c r="CL208" s="228">
        <v>165</v>
      </c>
      <c r="CM208" s="228">
        <v>0</v>
      </c>
      <c r="CN208" s="229">
        <v>-1.5E-3</v>
      </c>
      <c r="CO208" s="230">
        <v>2199</v>
      </c>
      <c r="CP208" s="230">
        <v>2073</v>
      </c>
      <c r="CQ208" s="228">
        <v>126</v>
      </c>
      <c r="CR208" s="229">
        <v>6.0699999999999997E-2</v>
      </c>
      <c r="CS208" s="230">
        <v>1492</v>
      </c>
      <c r="CT208" s="230">
        <v>1415</v>
      </c>
      <c r="CU208" s="228">
        <v>77</v>
      </c>
      <c r="CV208" s="229">
        <v>5.4399999999999997E-2</v>
      </c>
      <c r="CW208" s="230">
        <v>8769</v>
      </c>
      <c r="CX208" s="230">
        <v>8539</v>
      </c>
      <c r="CY208" s="228">
        <v>230</v>
      </c>
      <c r="CZ208" s="229">
        <v>2.69E-2</v>
      </c>
      <c r="DA208" s="228">
        <v>37.5</v>
      </c>
      <c r="DB208" s="228">
        <v>40.21</v>
      </c>
      <c r="DC208" s="228">
        <v>-2.71</v>
      </c>
      <c r="DD208" s="228">
        <v>-2.71</v>
      </c>
      <c r="DE208" s="228">
        <v>40.9</v>
      </c>
      <c r="DF208" s="228">
        <v>40.96</v>
      </c>
      <c r="DG208" s="228">
        <v>-3.4</v>
      </c>
      <c r="DH208" s="228">
        <v>-0.06</v>
      </c>
      <c r="DI208" s="228">
        <v>37.590000000000003</v>
      </c>
      <c r="DJ208" s="228">
        <v>39.369999999999997</v>
      </c>
      <c r="DK208" s="228">
        <v>-1.78</v>
      </c>
      <c r="DL208" s="228">
        <v>-1.78</v>
      </c>
      <c r="DM208" s="228">
        <v>37.299999999999997</v>
      </c>
      <c r="DN208" s="228">
        <v>41.29</v>
      </c>
      <c r="DO208" s="228">
        <v>-3.99</v>
      </c>
      <c r="DP208" s="228">
        <v>-3.99</v>
      </c>
      <c r="DQ208" s="228">
        <v>0.68</v>
      </c>
      <c r="DR208" s="228">
        <v>0.68</v>
      </c>
      <c r="DS208" s="228">
        <v>0</v>
      </c>
      <c r="DT208" s="229">
        <v>0</v>
      </c>
      <c r="DU208" s="228">
        <v>750</v>
      </c>
      <c r="DV208" s="228">
        <v>700</v>
      </c>
      <c r="DW208" s="228">
        <v>0.44</v>
      </c>
      <c r="DX208" s="228">
        <v>0.78</v>
      </c>
      <c r="DY208" s="228">
        <v>-0.34</v>
      </c>
      <c r="DZ208" s="229">
        <v>-0.43590000000000001</v>
      </c>
      <c r="EA208" s="229">
        <v>9.1499999999999998E-2</v>
      </c>
      <c r="EB208" s="230">
        <v>6392850</v>
      </c>
      <c r="EC208" s="229">
        <v>2.3E-3</v>
      </c>
      <c r="ED208" s="229">
        <v>9.1499999999999998E-2</v>
      </c>
      <c r="EE208" s="228">
        <v>1.67</v>
      </c>
      <c r="EF208" s="229">
        <v>2.3E-3</v>
      </c>
      <c r="EG208" s="230">
        <v>8660093</v>
      </c>
      <c r="EH208" s="230">
        <v>6943643</v>
      </c>
      <c r="EI208" s="229">
        <v>0.2472</v>
      </c>
      <c r="EJ208" s="229">
        <v>0.37109999999999999</v>
      </c>
      <c r="EK208" s="231">
        <v>6831.49</v>
      </c>
      <c r="EL208" s="231">
        <v>2791.22</v>
      </c>
      <c r="EM208" s="231">
        <v>2173.36</v>
      </c>
      <c r="EN208" s="228">
        <v>137.9</v>
      </c>
      <c r="EO208" s="231">
        <v>11796.07</v>
      </c>
      <c r="EP208" s="231">
        <v>6884.73</v>
      </c>
      <c r="EQ208" s="231">
        <v>4911.33</v>
      </c>
      <c r="ER208" s="229">
        <v>0.71340000000000003</v>
      </c>
      <c r="ES208" s="231">
        <v>2297.79</v>
      </c>
      <c r="ET208" s="231">
        <v>1419.68</v>
      </c>
      <c r="EU208" s="231">
        <v>5080.3599999999997</v>
      </c>
      <c r="EV208" s="231">
        <v>255091106</v>
      </c>
      <c r="EW208" s="231">
        <v>8797.82</v>
      </c>
      <c r="EX208" s="231">
        <v>8481.52</v>
      </c>
      <c r="EY208" s="228">
        <v>316.3</v>
      </c>
      <c r="EZ208" s="229">
        <v>3.73E-2</v>
      </c>
      <c r="FA208" s="229">
        <v>0.48259999999999997</v>
      </c>
      <c r="FB208" s="227" t="s">
        <v>555</v>
      </c>
      <c r="FC208">
        <f t="shared" si="4"/>
        <v>0</v>
      </c>
    </row>
    <row r="209" spans="1:159" ht="17.25" thickBot="1" x14ac:dyDescent="0.3">
      <c r="A209" s="226">
        <v>46086</v>
      </c>
      <c r="B209" s="227" t="s">
        <v>184</v>
      </c>
      <c r="C209" s="227" t="s">
        <v>305</v>
      </c>
      <c r="D209" s="228">
        <v>375</v>
      </c>
      <c r="E209" s="228">
        <v>25</v>
      </c>
      <c r="F209" s="231">
        <v>1488.4</v>
      </c>
      <c r="G209" s="231">
        <v>1436.4</v>
      </c>
      <c r="H209" s="228">
        <v>52</v>
      </c>
      <c r="I209" s="229">
        <v>3.6200000000000003E-2</v>
      </c>
      <c r="J209" s="231">
        <v>1485.3</v>
      </c>
      <c r="K209" s="231">
        <v>1438.9</v>
      </c>
      <c r="L209" s="228">
        <v>46.4</v>
      </c>
      <c r="M209" s="229">
        <v>3.2199999999999999E-2</v>
      </c>
      <c r="N209" s="231">
        <v>1488.4</v>
      </c>
      <c r="O209" s="231">
        <v>1436.4</v>
      </c>
      <c r="P209" s="228">
        <v>52</v>
      </c>
      <c r="Q209" s="229">
        <v>3.6200000000000003E-2</v>
      </c>
      <c r="R209" s="231">
        <v>1484.3</v>
      </c>
      <c r="S209" s="231">
        <v>1427</v>
      </c>
      <c r="T209" s="228">
        <v>57.3</v>
      </c>
      <c r="U209" s="229">
        <v>4.02E-2</v>
      </c>
      <c r="V209" s="231">
        <v>1490.1</v>
      </c>
      <c r="W209" s="231">
        <v>1422</v>
      </c>
      <c r="X209" s="228">
        <v>68.099999999999994</v>
      </c>
      <c r="Y209" s="229">
        <v>4.7899999999999998E-2</v>
      </c>
      <c r="Z209" s="228">
        <v>3.1</v>
      </c>
      <c r="AA209" s="228">
        <v>-2.5</v>
      </c>
      <c r="AB209" s="228">
        <v>5.6</v>
      </c>
      <c r="AC209" s="229">
        <v>2.0999999999999999E-3</v>
      </c>
      <c r="AD209" s="228">
        <v>3.1</v>
      </c>
      <c r="AE209" s="228">
        <v>-2.5</v>
      </c>
      <c r="AF209" s="228">
        <v>5.6</v>
      </c>
      <c r="AG209" s="229">
        <v>2.0999999999999999E-3</v>
      </c>
      <c r="AH209" s="228">
        <v>-1</v>
      </c>
      <c r="AI209" s="228">
        <v>-11.9</v>
      </c>
      <c r="AJ209" s="228">
        <v>10.9</v>
      </c>
      <c r="AK209" s="229">
        <v>-6.9999999999999999E-4</v>
      </c>
      <c r="AL209" s="228">
        <v>4.8</v>
      </c>
      <c r="AM209" s="228">
        <v>-16.899999999999999</v>
      </c>
      <c r="AN209" s="228">
        <v>21.7</v>
      </c>
      <c r="AO209" s="229">
        <v>3.2000000000000002E-3</v>
      </c>
      <c r="AP209" s="231">
        <v>1465.44</v>
      </c>
      <c r="AQ209" s="231">
        <v>1461.24</v>
      </c>
      <c r="AR209" s="228">
        <v>0</v>
      </c>
      <c r="AS209" s="228">
        <v>396</v>
      </c>
      <c r="AT209" s="228">
        <v>318</v>
      </c>
      <c r="AU209" s="228">
        <v>78</v>
      </c>
      <c r="AV209" s="229">
        <v>0.24579999999999999</v>
      </c>
      <c r="AW209" s="228">
        <v>366</v>
      </c>
      <c r="AX209" s="228">
        <v>301</v>
      </c>
      <c r="AY209" s="228">
        <v>65</v>
      </c>
      <c r="AZ209" s="229">
        <v>0.21540000000000001</v>
      </c>
      <c r="BA209" s="228">
        <v>27</v>
      </c>
      <c r="BB209" s="228">
        <v>16</v>
      </c>
      <c r="BC209" s="228">
        <v>12</v>
      </c>
      <c r="BD209" s="229">
        <v>0.73929999999999996</v>
      </c>
      <c r="BE209" s="228">
        <v>3</v>
      </c>
      <c r="BF209" s="228">
        <v>1</v>
      </c>
      <c r="BG209" s="228">
        <v>2</v>
      </c>
      <c r="BH209" s="229">
        <v>1.4762</v>
      </c>
      <c r="BI209" s="230">
        <v>1417</v>
      </c>
      <c r="BJ209" s="228">
        <v>827</v>
      </c>
      <c r="BK209" s="228">
        <v>590</v>
      </c>
      <c r="BL209" s="229">
        <v>0.71279999999999999</v>
      </c>
      <c r="BM209" s="228">
        <v>561</v>
      </c>
      <c r="BN209" s="228">
        <v>445</v>
      </c>
      <c r="BO209" s="228">
        <v>116</v>
      </c>
      <c r="BP209" s="229">
        <v>0.26079999999999998</v>
      </c>
      <c r="BQ209" s="230">
        <v>2374</v>
      </c>
      <c r="BR209" s="230">
        <v>1590</v>
      </c>
      <c r="BS209" s="228">
        <v>784</v>
      </c>
      <c r="BT209" s="229">
        <v>0.4929</v>
      </c>
      <c r="BU209" s="230">
        <v>846868</v>
      </c>
      <c r="BV209" s="230">
        <v>706344</v>
      </c>
      <c r="BW209" s="230">
        <v>140524</v>
      </c>
      <c r="BX209" s="229">
        <v>0.19889999999999999</v>
      </c>
      <c r="BY209" s="230">
        <v>1496</v>
      </c>
      <c r="BZ209" s="230">
        <v>1514</v>
      </c>
      <c r="CA209" s="228">
        <v>-18</v>
      </c>
      <c r="CB209" s="229">
        <v>-1.18E-2</v>
      </c>
      <c r="CC209" s="230">
        <v>1448</v>
      </c>
      <c r="CD209" s="230">
        <v>1470</v>
      </c>
      <c r="CE209" s="228">
        <v>-22</v>
      </c>
      <c r="CF209" s="229">
        <v>-1.5100000000000001E-2</v>
      </c>
      <c r="CG209" s="228">
        <v>43</v>
      </c>
      <c r="CH209" s="228">
        <v>40</v>
      </c>
      <c r="CI209" s="228">
        <v>3</v>
      </c>
      <c r="CJ209" s="229">
        <v>7.4399999999999994E-2</v>
      </c>
      <c r="CK209" s="228">
        <v>6</v>
      </c>
      <c r="CL209" s="228">
        <v>5</v>
      </c>
      <c r="CM209" s="228">
        <v>1</v>
      </c>
      <c r="CN209" s="229">
        <v>0.26440000000000002</v>
      </c>
      <c r="CO209" s="228">
        <v>648</v>
      </c>
      <c r="CP209" s="228">
        <v>603</v>
      </c>
      <c r="CQ209" s="228">
        <v>45</v>
      </c>
      <c r="CR209" s="229">
        <v>7.3800000000000004E-2</v>
      </c>
      <c r="CS209" s="228">
        <v>431</v>
      </c>
      <c r="CT209" s="228">
        <v>393</v>
      </c>
      <c r="CU209" s="228">
        <v>38</v>
      </c>
      <c r="CV209" s="229">
        <v>9.5399999999999999E-2</v>
      </c>
      <c r="CW209" s="230">
        <v>2575</v>
      </c>
      <c r="CX209" s="230">
        <v>2511</v>
      </c>
      <c r="CY209" s="228">
        <v>64</v>
      </c>
      <c r="CZ209" s="229">
        <v>2.5499999999999998E-2</v>
      </c>
      <c r="DA209" s="228">
        <v>33.47</v>
      </c>
      <c r="DB209" s="228">
        <v>39.29</v>
      </c>
      <c r="DC209" s="228">
        <v>-5.82</v>
      </c>
      <c r="DD209" s="228">
        <v>-5.82</v>
      </c>
      <c r="DE209" s="228">
        <v>37.5</v>
      </c>
      <c r="DF209" s="228">
        <v>37.28</v>
      </c>
      <c r="DG209" s="228">
        <v>-4.03</v>
      </c>
      <c r="DH209" s="228">
        <v>0.22</v>
      </c>
      <c r="DI209" s="228">
        <v>33.03</v>
      </c>
      <c r="DJ209" s="228">
        <v>38.69</v>
      </c>
      <c r="DK209" s="228">
        <v>-5.66</v>
      </c>
      <c r="DL209" s="228">
        <v>-5.66</v>
      </c>
      <c r="DM209" s="228">
        <v>34.56</v>
      </c>
      <c r="DN209" s="228">
        <v>40.409999999999997</v>
      </c>
      <c r="DO209" s="228">
        <v>-5.85</v>
      </c>
      <c r="DP209" s="228">
        <v>-5.85</v>
      </c>
      <c r="DQ209" s="228">
        <v>0.66</v>
      </c>
      <c r="DR209" s="228">
        <v>0.65</v>
      </c>
      <c r="DS209" s="228">
        <v>0.01</v>
      </c>
      <c r="DT209" s="229">
        <v>1.54E-2</v>
      </c>
      <c r="DU209" s="231">
        <v>1600</v>
      </c>
      <c r="DV209" s="231">
        <v>1500</v>
      </c>
      <c r="DW209" s="228">
        <v>0.4</v>
      </c>
      <c r="DX209" s="228">
        <v>0.54</v>
      </c>
      <c r="DY209" s="228">
        <v>-0.14000000000000001</v>
      </c>
      <c r="DZ209" s="229">
        <v>-0.25929999999999997</v>
      </c>
      <c r="EA209" s="229">
        <v>3.2599999999999997E-2</v>
      </c>
      <c r="EB209" s="230">
        <v>299625</v>
      </c>
      <c r="EC209" s="229">
        <v>-2.8E-3</v>
      </c>
      <c r="ED209" s="229">
        <v>3.2599999999999997E-2</v>
      </c>
      <c r="EE209" s="228">
        <v>-4.2</v>
      </c>
      <c r="EF209" s="229">
        <v>-2.8999999999999998E-3</v>
      </c>
      <c r="EG209" s="230">
        <v>276880</v>
      </c>
      <c r="EH209" s="230">
        <v>265379</v>
      </c>
      <c r="EI209" s="229">
        <v>4.3299999999999998E-2</v>
      </c>
      <c r="EJ209" s="229">
        <v>0.32690000000000002</v>
      </c>
      <c r="EK209" s="231">
        <v>1485.8</v>
      </c>
      <c r="EL209" s="228">
        <v>553.74</v>
      </c>
      <c r="EM209" s="228">
        <v>389.83</v>
      </c>
      <c r="EN209" s="228">
        <v>71.459999999999994</v>
      </c>
      <c r="EO209" s="231">
        <v>2429.37</v>
      </c>
      <c r="EP209" s="231">
        <v>1619.1</v>
      </c>
      <c r="EQ209" s="228">
        <v>810.26</v>
      </c>
      <c r="ER209" s="229">
        <v>0.50039999999999996</v>
      </c>
      <c r="ES209" s="228">
        <v>682.69</v>
      </c>
      <c r="ET209" s="228">
        <v>418.1</v>
      </c>
      <c r="EU209" s="231">
        <v>1496.29</v>
      </c>
      <c r="EV209" s="231">
        <v>34594689</v>
      </c>
      <c r="EW209" s="231">
        <v>2597.08</v>
      </c>
      <c r="EX209" s="231">
        <v>2480.1799999999998</v>
      </c>
      <c r="EY209" s="228">
        <v>116.9</v>
      </c>
      <c r="EZ209" s="229">
        <v>4.7100000000000003E-2</v>
      </c>
      <c r="FA209" s="229">
        <v>0.5</v>
      </c>
      <c r="FB209" s="227" t="s">
        <v>556</v>
      </c>
      <c r="FC209">
        <f t="shared" si="4"/>
        <v>0</v>
      </c>
    </row>
    <row r="210" spans="1:159" ht="17.25" thickBot="1" x14ac:dyDescent="0.3">
      <c r="A210" s="226">
        <v>46086</v>
      </c>
      <c r="B210" s="227" t="s">
        <v>184</v>
      </c>
      <c r="C210" s="227" t="s">
        <v>691</v>
      </c>
      <c r="D210" s="228">
        <v>175</v>
      </c>
      <c r="E210" s="228">
        <v>25</v>
      </c>
      <c r="F210" s="231">
        <v>2658.8</v>
      </c>
      <c r="G210" s="231">
        <v>2646.2</v>
      </c>
      <c r="H210" s="228">
        <v>12.6</v>
      </c>
      <c r="I210" s="229">
        <v>4.7999999999999996E-3</v>
      </c>
      <c r="J210" s="231">
        <v>2646.2</v>
      </c>
      <c r="K210" s="231">
        <v>2634</v>
      </c>
      <c r="L210" s="228">
        <v>12.2</v>
      </c>
      <c r="M210" s="229">
        <v>4.5999999999999999E-3</v>
      </c>
      <c r="N210" s="231">
        <v>2658.8</v>
      </c>
      <c r="O210" s="231">
        <v>2646.2</v>
      </c>
      <c r="P210" s="228">
        <v>12.6</v>
      </c>
      <c r="Q210" s="229">
        <v>4.7999999999999996E-3</v>
      </c>
      <c r="R210" s="231">
        <v>2670.2</v>
      </c>
      <c r="S210" s="231">
        <v>2659.9</v>
      </c>
      <c r="T210" s="228">
        <v>10.3</v>
      </c>
      <c r="U210" s="229">
        <v>3.8999999999999998E-3</v>
      </c>
      <c r="V210" s="231">
        <v>2691</v>
      </c>
      <c r="W210" s="231">
        <v>2667.6</v>
      </c>
      <c r="X210" s="228">
        <v>23.4</v>
      </c>
      <c r="Y210" s="229">
        <v>8.8000000000000005E-3</v>
      </c>
      <c r="Z210" s="228">
        <v>12.6</v>
      </c>
      <c r="AA210" s="228">
        <v>12.2</v>
      </c>
      <c r="AB210" s="228">
        <v>0.4</v>
      </c>
      <c r="AC210" s="229">
        <v>4.7999999999999996E-3</v>
      </c>
      <c r="AD210" s="228">
        <v>12.6</v>
      </c>
      <c r="AE210" s="228">
        <v>12.2</v>
      </c>
      <c r="AF210" s="228">
        <v>0.4</v>
      </c>
      <c r="AG210" s="229">
        <v>4.7999999999999996E-3</v>
      </c>
      <c r="AH210" s="228">
        <v>24</v>
      </c>
      <c r="AI210" s="228">
        <v>25.9</v>
      </c>
      <c r="AJ210" s="228">
        <v>-1.9</v>
      </c>
      <c r="AK210" s="229">
        <v>9.1000000000000004E-3</v>
      </c>
      <c r="AL210" s="228">
        <v>44.8</v>
      </c>
      <c r="AM210" s="228">
        <v>33.6</v>
      </c>
      <c r="AN210" s="228">
        <v>11.2</v>
      </c>
      <c r="AO210" s="229">
        <v>1.6899999999999998E-2</v>
      </c>
      <c r="AP210" s="231">
        <v>2636.79</v>
      </c>
      <c r="AQ210" s="231">
        <v>2640.33</v>
      </c>
      <c r="AR210" s="228">
        <v>0</v>
      </c>
      <c r="AS210" s="228">
        <v>312</v>
      </c>
      <c r="AT210" s="228">
        <v>208</v>
      </c>
      <c r="AU210" s="228">
        <v>105</v>
      </c>
      <c r="AV210" s="229">
        <v>0.50429999999999997</v>
      </c>
      <c r="AW210" s="228">
        <v>286</v>
      </c>
      <c r="AX210" s="228">
        <v>197</v>
      </c>
      <c r="AY210" s="228">
        <v>89</v>
      </c>
      <c r="AZ210" s="229">
        <v>0.4496</v>
      </c>
      <c r="BA210" s="228">
        <v>25</v>
      </c>
      <c r="BB210" s="228">
        <v>9</v>
      </c>
      <c r="BC210" s="228">
        <v>15</v>
      </c>
      <c r="BD210" s="229">
        <v>1.6818</v>
      </c>
      <c r="BE210" s="228">
        <v>1</v>
      </c>
      <c r="BF210" s="228">
        <v>1</v>
      </c>
      <c r="BG210" s="228">
        <v>0</v>
      </c>
      <c r="BH210" s="229">
        <v>0.45450000000000002</v>
      </c>
      <c r="BI210" s="228">
        <v>744</v>
      </c>
      <c r="BJ210" s="228">
        <v>629</v>
      </c>
      <c r="BK210" s="228">
        <v>115</v>
      </c>
      <c r="BL210" s="229">
        <v>0.1832</v>
      </c>
      <c r="BM210" s="228">
        <v>298</v>
      </c>
      <c r="BN210" s="228">
        <v>276</v>
      </c>
      <c r="BO210" s="228">
        <v>21</v>
      </c>
      <c r="BP210" s="229">
        <v>7.7899999999999997E-2</v>
      </c>
      <c r="BQ210" s="230">
        <v>1354</v>
      </c>
      <c r="BR210" s="230">
        <v>1112</v>
      </c>
      <c r="BS210" s="228">
        <v>241</v>
      </c>
      <c r="BT210" s="229">
        <v>0.217</v>
      </c>
      <c r="BU210" s="230">
        <v>1237673</v>
      </c>
      <c r="BV210" s="230">
        <v>1084934</v>
      </c>
      <c r="BW210" s="230">
        <v>152739</v>
      </c>
      <c r="BX210" s="229">
        <v>0.14080000000000001</v>
      </c>
      <c r="BY210" s="230">
        <v>1091</v>
      </c>
      <c r="BZ210" s="230">
        <v>1104</v>
      </c>
      <c r="CA210" s="228">
        <v>-13</v>
      </c>
      <c r="CB210" s="229">
        <v>-1.1599999999999999E-2</v>
      </c>
      <c r="CC210" s="228">
        <v>973</v>
      </c>
      <c r="CD210" s="228">
        <v>982</v>
      </c>
      <c r="CE210" s="228">
        <v>-9</v>
      </c>
      <c r="CF210" s="229">
        <v>-9.5999999999999992E-3</v>
      </c>
      <c r="CG210" s="228">
        <v>110</v>
      </c>
      <c r="CH210" s="228">
        <v>114</v>
      </c>
      <c r="CI210" s="228">
        <v>-4</v>
      </c>
      <c r="CJ210" s="229">
        <v>-3.3000000000000002E-2</v>
      </c>
      <c r="CK210" s="228">
        <v>8</v>
      </c>
      <c r="CL210" s="228">
        <v>7</v>
      </c>
      <c r="CM210" s="228">
        <v>0</v>
      </c>
      <c r="CN210" s="229">
        <v>6.3299999999999995E-2</v>
      </c>
      <c r="CO210" s="228">
        <v>846</v>
      </c>
      <c r="CP210" s="228">
        <v>828</v>
      </c>
      <c r="CQ210" s="228">
        <v>18</v>
      </c>
      <c r="CR210" s="229">
        <v>2.18E-2</v>
      </c>
      <c r="CS210" s="228">
        <v>493</v>
      </c>
      <c r="CT210" s="228">
        <v>494</v>
      </c>
      <c r="CU210" s="228">
        <v>-1</v>
      </c>
      <c r="CV210" s="229">
        <v>-1.5E-3</v>
      </c>
      <c r="CW210" s="230">
        <v>2430</v>
      </c>
      <c r="CX210" s="230">
        <v>2426</v>
      </c>
      <c r="CY210" s="228">
        <v>5</v>
      </c>
      <c r="CZ210" s="229">
        <v>1.9E-3</v>
      </c>
      <c r="DA210" s="228">
        <v>44.05</v>
      </c>
      <c r="DB210" s="228">
        <v>50.48</v>
      </c>
      <c r="DC210" s="228">
        <v>-6.43</v>
      </c>
      <c r="DD210" s="228">
        <v>-6.43</v>
      </c>
      <c r="DE210" s="228">
        <v>53.35</v>
      </c>
      <c r="DF210" s="228">
        <v>53.48</v>
      </c>
      <c r="DG210" s="228">
        <v>-9.3000000000000007</v>
      </c>
      <c r="DH210" s="228">
        <v>-0.13</v>
      </c>
      <c r="DI210" s="228">
        <v>43.9</v>
      </c>
      <c r="DJ210" s="228">
        <v>49.8</v>
      </c>
      <c r="DK210" s="228">
        <v>-5.9</v>
      </c>
      <c r="DL210" s="228">
        <v>-5.9</v>
      </c>
      <c r="DM210" s="228">
        <v>44.42</v>
      </c>
      <c r="DN210" s="228">
        <v>52.02</v>
      </c>
      <c r="DO210" s="228">
        <v>-7.6</v>
      </c>
      <c r="DP210" s="228">
        <v>-7.6</v>
      </c>
      <c r="DQ210" s="228">
        <v>0.57999999999999996</v>
      </c>
      <c r="DR210" s="228">
        <v>0.6</v>
      </c>
      <c r="DS210" s="228">
        <v>-0.02</v>
      </c>
      <c r="DT210" s="229">
        <v>-3.3300000000000003E-2</v>
      </c>
      <c r="DU210" s="231">
        <v>3000</v>
      </c>
      <c r="DV210" s="231">
        <v>2700</v>
      </c>
      <c r="DW210" s="228">
        <v>0.4</v>
      </c>
      <c r="DX210" s="228">
        <v>0.44</v>
      </c>
      <c r="DY210" s="228">
        <v>-0.04</v>
      </c>
      <c r="DZ210" s="229">
        <v>-9.0899999999999995E-2</v>
      </c>
      <c r="EA210" s="229">
        <v>0.10829999999999999</v>
      </c>
      <c r="EB210" s="230">
        <v>456925</v>
      </c>
      <c r="EC210" s="229">
        <v>4.3E-3</v>
      </c>
      <c r="ED210" s="229">
        <v>0.10829999999999999</v>
      </c>
      <c r="EE210" s="228">
        <v>3.54</v>
      </c>
      <c r="EF210" s="229">
        <v>1.2999999999999999E-3</v>
      </c>
      <c r="EG210" s="230">
        <v>247576</v>
      </c>
      <c r="EH210" s="230">
        <v>289687</v>
      </c>
      <c r="EI210" s="229">
        <v>-0.1454</v>
      </c>
      <c r="EJ210" s="229">
        <v>0.2</v>
      </c>
      <c r="EK210" s="228">
        <v>812.92</v>
      </c>
      <c r="EL210" s="228">
        <v>294.55</v>
      </c>
      <c r="EM210" s="228">
        <v>309.76</v>
      </c>
      <c r="EN210" s="228">
        <v>86.92</v>
      </c>
      <c r="EO210" s="231">
        <v>1417.24</v>
      </c>
      <c r="EP210" s="231">
        <v>1164.94</v>
      </c>
      <c r="EQ210" s="228">
        <v>252.3</v>
      </c>
      <c r="ER210" s="229">
        <v>0.21659999999999999</v>
      </c>
      <c r="ES210" s="228">
        <v>936.86</v>
      </c>
      <c r="ET210" s="228">
        <v>481.83</v>
      </c>
      <c r="EU210" s="231">
        <v>1091.49</v>
      </c>
      <c r="EV210" s="231">
        <v>15436318</v>
      </c>
      <c r="EW210" s="231">
        <v>2510.1799999999998</v>
      </c>
      <c r="EX210" s="231">
        <v>2500.84</v>
      </c>
      <c r="EY210" s="228">
        <v>9.34</v>
      </c>
      <c r="EZ210" s="229">
        <v>3.7000000000000002E-3</v>
      </c>
      <c r="FA210" s="229">
        <v>0.59209999999999996</v>
      </c>
      <c r="FB210" s="227" t="s">
        <v>556</v>
      </c>
      <c r="FC210">
        <f t="shared" si="4"/>
        <v>0</v>
      </c>
    </row>
    <row r="211" spans="1:159" ht="17.25" thickBot="1" x14ac:dyDescent="0.3">
      <c r="A211" s="226">
        <v>46086</v>
      </c>
      <c r="B211" s="227" t="s">
        <v>221</v>
      </c>
      <c r="C211" s="227" t="s">
        <v>306</v>
      </c>
      <c r="D211" s="228">
        <v>3000</v>
      </c>
      <c r="E211" s="228">
        <v>25</v>
      </c>
      <c r="F211" s="228">
        <v>196.02</v>
      </c>
      <c r="G211" s="228">
        <v>195.86</v>
      </c>
      <c r="H211" s="228">
        <v>0.16</v>
      </c>
      <c r="I211" s="229">
        <v>8.0000000000000004E-4</v>
      </c>
      <c r="J211" s="228">
        <v>195.68</v>
      </c>
      <c r="K211" s="228">
        <v>195.55</v>
      </c>
      <c r="L211" s="228">
        <v>0.13</v>
      </c>
      <c r="M211" s="229">
        <v>6.9999999999999999E-4</v>
      </c>
      <c r="N211" s="228">
        <v>196.02</v>
      </c>
      <c r="O211" s="228">
        <v>195.86</v>
      </c>
      <c r="P211" s="228">
        <v>0.16</v>
      </c>
      <c r="Q211" s="229">
        <v>8.0000000000000004E-4</v>
      </c>
      <c r="R211" s="228">
        <v>196.25</v>
      </c>
      <c r="S211" s="228">
        <v>196.03</v>
      </c>
      <c r="T211" s="228">
        <v>0.22</v>
      </c>
      <c r="U211" s="229">
        <v>1.1000000000000001E-3</v>
      </c>
      <c r="V211" s="228">
        <v>196.21</v>
      </c>
      <c r="W211" s="228">
        <v>196.05</v>
      </c>
      <c r="X211" s="228">
        <v>0.16</v>
      </c>
      <c r="Y211" s="229">
        <v>8.0000000000000004E-4</v>
      </c>
      <c r="Z211" s="228">
        <v>0.34</v>
      </c>
      <c r="AA211" s="228">
        <v>0.31</v>
      </c>
      <c r="AB211" s="228">
        <v>0.03</v>
      </c>
      <c r="AC211" s="229">
        <v>1.6999999999999999E-3</v>
      </c>
      <c r="AD211" s="228">
        <v>0.34</v>
      </c>
      <c r="AE211" s="228">
        <v>0.31</v>
      </c>
      <c r="AF211" s="228">
        <v>0.03</v>
      </c>
      <c r="AG211" s="229">
        <v>1.6999999999999999E-3</v>
      </c>
      <c r="AH211" s="228">
        <v>0.56999999999999995</v>
      </c>
      <c r="AI211" s="228">
        <v>0.48</v>
      </c>
      <c r="AJ211" s="228">
        <v>0.09</v>
      </c>
      <c r="AK211" s="229">
        <v>2.8999999999999998E-3</v>
      </c>
      <c r="AL211" s="228">
        <v>0.53</v>
      </c>
      <c r="AM211" s="228">
        <v>0.5</v>
      </c>
      <c r="AN211" s="228">
        <v>0.03</v>
      </c>
      <c r="AO211" s="229">
        <v>2.7000000000000001E-3</v>
      </c>
      <c r="AP211" s="228">
        <v>195.36</v>
      </c>
      <c r="AQ211" s="228">
        <v>195.67</v>
      </c>
      <c r="AR211" s="228">
        <v>0</v>
      </c>
      <c r="AS211" s="228">
        <v>444</v>
      </c>
      <c r="AT211" s="228">
        <v>750</v>
      </c>
      <c r="AU211" s="228">
        <v>-306</v>
      </c>
      <c r="AV211" s="229">
        <v>-0.4083</v>
      </c>
      <c r="AW211" s="228">
        <v>397</v>
      </c>
      <c r="AX211" s="228">
        <v>697</v>
      </c>
      <c r="AY211" s="228">
        <v>-300</v>
      </c>
      <c r="AZ211" s="229">
        <v>-0.43090000000000001</v>
      </c>
      <c r="BA211" s="228">
        <v>39</v>
      </c>
      <c r="BB211" s="228">
        <v>43</v>
      </c>
      <c r="BC211" s="228">
        <v>-4</v>
      </c>
      <c r="BD211" s="229">
        <v>-9.3799999999999994E-2</v>
      </c>
      <c r="BE211" s="228">
        <v>8</v>
      </c>
      <c r="BF211" s="228">
        <v>10</v>
      </c>
      <c r="BG211" s="228">
        <v>-2</v>
      </c>
      <c r="BH211" s="229">
        <v>-0.184</v>
      </c>
      <c r="BI211" s="228">
        <v>911</v>
      </c>
      <c r="BJ211" s="230">
        <v>1456</v>
      </c>
      <c r="BK211" s="228">
        <v>-544</v>
      </c>
      <c r="BL211" s="229">
        <v>-0.37390000000000001</v>
      </c>
      <c r="BM211" s="228">
        <v>503</v>
      </c>
      <c r="BN211" s="228">
        <v>762</v>
      </c>
      <c r="BO211" s="228">
        <v>-259</v>
      </c>
      <c r="BP211" s="229">
        <v>-0.34</v>
      </c>
      <c r="BQ211" s="230">
        <v>1858</v>
      </c>
      <c r="BR211" s="230">
        <v>2967</v>
      </c>
      <c r="BS211" s="230">
        <v>-1109</v>
      </c>
      <c r="BT211" s="229">
        <v>-0.37390000000000001</v>
      </c>
      <c r="BU211" s="230">
        <v>13756001</v>
      </c>
      <c r="BV211" s="230">
        <v>19923379</v>
      </c>
      <c r="BW211" s="230">
        <v>-6167378</v>
      </c>
      <c r="BX211" s="229">
        <v>-0.30959999999999999</v>
      </c>
      <c r="BY211" s="230">
        <v>3129</v>
      </c>
      <c r="BZ211" s="230">
        <v>3201</v>
      </c>
      <c r="CA211" s="228">
        <v>-72</v>
      </c>
      <c r="CB211" s="229">
        <v>-2.2599999999999999E-2</v>
      </c>
      <c r="CC211" s="230">
        <v>2888</v>
      </c>
      <c r="CD211" s="230">
        <v>2973</v>
      </c>
      <c r="CE211" s="228">
        <v>-85</v>
      </c>
      <c r="CF211" s="229">
        <v>-2.87E-2</v>
      </c>
      <c r="CG211" s="228">
        <v>211</v>
      </c>
      <c r="CH211" s="228">
        <v>201</v>
      </c>
      <c r="CI211" s="228">
        <v>11</v>
      </c>
      <c r="CJ211" s="229">
        <v>5.28E-2</v>
      </c>
      <c r="CK211" s="228">
        <v>30</v>
      </c>
      <c r="CL211" s="228">
        <v>27</v>
      </c>
      <c r="CM211" s="228">
        <v>3</v>
      </c>
      <c r="CN211" s="229">
        <v>9.7799999999999998E-2</v>
      </c>
      <c r="CO211" s="230">
        <v>1544</v>
      </c>
      <c r="CP211" s="230">
        <v>1490</v>
      </c>
      <c r="CQ211" s="228">
        <v>53</v>
      </c>
      <c r="CR211" s="229">
        <v>3.5799999999999998E-2</v>
      </c>
      <c r="CS211" s="228">
        <v>792</v>
      </c>
      <c r="CT211" s="228">
        <v>766</v>
      </c>
      <c r="CU211" s="228">
        <v>27</v>
      </c>
      <c r="CV211" s="229">
        <v>3.4799999999999998E-2</v>
      </c>
      <c r="CW211" s="230">
        <v>5465</v>
      </c>
      <c r="CX211" s="230">
        <v>5457</v>
      </c>
      <c r="CY211" s="228">
        <v>8</v>
      </c>
      <c r="CZ211" s="229">
        <v>1.4E-3</v>
      </c>
      <c r="DA211" s="228">
        <v>31.32</v>
      </c>
      <c r="DB211" s="228">
        <v>33.99</v>
      </c>
      <c r="DC211" s="228">
        <v>-2.67</v>
      </c>
      <c r="DD211" s="228">
        <v>-2.67</v>
      </c>
      <c r="DE211" s="228">
        <v>31.17</v>
      </c>
      <c r="DF211" s="228">
        <v>31.25</v>
      </c>
      <c r="DG211" s="228">
        <v>0.15</v>
      </c>
      <c r="DH211" s="228">
        <v>-0.08</v>
      </c>
      <c r="DI211" s="228">
        <v>31.05</v>
      </c>
      <c r="DJ211" s="228">
        <v>33.71</v>
      </c>
      <c r="DK211" s="228">
        <v>-2.66</v>
      </c>
      <c r="DL211" s="228">
        <v>-2.66</v>
      </c>
      <c r="DM211" s="228">
        <v>31.81</v>
      </c>
      <c r="DN211" s="228">
        <v>34.53</v>
      </c>
      <c r="DO211" s="228">
        <v>-2.72</v>
      </c>
      <c r="DP211" s="228">
        <v>-2.72</v>
      </c>
      <c r="DQ211" s="228">
        <v>0.51</v>
      </c>
      <c r="DR211" s="228">
        <v>0.51</v>
      </c>
      <c r="DS211" s="228">
        <v>0</v>
      </c>
      <c r="DT211" s="229">
        <v>0</v>
      </c>
      <c r="DU211" s="228">
        <v>210</v>
      </c>
      <c r="DV211" s="228">
        <v>200</v>
      </c>
      <c r="DW211" s="228">
        <v>0.55000000000000004</v>
      </c>
      <c r="DX211" s="228">
        <v>0.52</v>
      </c>
      <c r="DY211" s="228">
        <v>0.03</v>
      </c>
      <c r="DZ211" s="229">
        <v>5.7700000000000001E-2</v>
      </c>
      <c r="EA211" s="229">
        <v>7.6999999999999999E-2</v>
      </c>
      <c r="EB211" s="230">
        <v>11616000</v>
      </c>
      <c r="EC211" s="229">
        <v>1.1999999999999999E-3</v>
      </c>
      <c r="ED211" s="229">
        <v>7.6999999999999999E-2</v>
      </c>
      <c r="EE211" s="228">
        <v>0.31</v>
      </c>
      <c r="EF211" s="229">
        <v>1.6000000000000001E-3</v>
      </c>
      <c r="EG211" s="230">
        <v>6329726</v>
      </c>
      <c r="EH211" s="230">
        <v>10187373</v>
      </c>
      <c r="EI211" s="229">
        <v>-0.37869999999999998</v>
      </c>
      <c r="EJ211" s="229">
        <v>0.46010000000000001</v>
      </c>
      <c r="EK211" s="228">
        <v>992.58</v>
      </c>
      <c r="EL211" s="228">
        <v>491.81</v>
      </c>
      <c r="EM211" s="228">
        <v>442.2</v>
      </c>
      <c r="EN211" s="228">
        <v>90.13</v>
      </c>
      <c r="EO211" s="231">
        <v>1926.6</v>
      </c>
      <c r="EP211" s="231">
        <v>3089.98</v>
      </c>
      <c r="EQ211" s="231">
        <v>-1163.3800000000001</v>
      </c>
      <c r="ER211" s="229">
        <v>-0.3765</v>
      </c>
      <c r="ES211" s="231">
        <v>1750.12</v>
      </c>
      <c r="ET211" s="228">
        <v>820.37</v>
      </c>
      <c r="EU211" s="231">
        <v>3129.23</v>
      </c>
      <c r="EV211" s="231">
        <v>358423198</v>
      </c>
      <c r="EW211" s="231">
        <v>5699.72</v>
      </c>
      <c r="EX211" s="231">
        <v>5686.18</v>
      </c>
      <c r="EY211" s="228">
        <v>13.54</v>
      </c>
      <c r="EZ211" s="229">
        <v>2.3999999999999998E-3</v>
      </c>
      <c r="FA211" s="229">
        <v>0.77780000000000005</v>
      </c>
      <c r="FB211" s="227" t="s">
        <v>556</v>
      </c>
      <c r="FC211">
        <f t="shared" si="4"/>
        <v>0</v>
      </c>
    </row>
    <row r="212" spans="1:159" ht="17.25" thickBot="1" x14ac:dyDescent="0.3">
      <c r="A212" s="226">
        <v>46086</v>
      </c>
      <c r="B212" s="227" t="s">
        <v>172</v>
      </c>
      <c r="C212" s="227" t="s">
        <v>590</v>
      </c>
      <c r="D212" s="228">
        <v>31100</v>
      </c>
      <c r="E212" s="228">
        <v>25</v>
      </c>
      <c r="F212" s="228">
        <v>20.32</v>
      </c>
      <c r="G212" s="228">
        <v>20.11</v>
      </c>
      <c r="H212" s="228">
        <v>0.21</v>
      </c>
      <c r="I212" s="229">
        <v>1.04E-2</v>
      </c>
      <c r="J212" s="228">
        <v>20.23</v>
      </c>
      <c r="K212" s="228">
        <v>20.010000000000002</v>
      </c>
      <c r="L212" s="228">
        <v>0.22</v>
      </c>
      <c r="M212" s="229">
        <v>1.0999999999999999E-2</v>
      </c>
      <c r="N212" s="228">
        <v>20.32</v>
      </c>
      <c r="O212" s="228">
        <v>20.11</v>
      </c>
      <c r="P212" s="228">
        <v>0.21</v>
      </c>
      <c r="Q212" s="229">
        <v>1.04E-2</v>
      </c>
      <c r="R212" s="228">
        <v>20.45</v>
      </c>
      <c r="S212" s="228">
        <v>20.25</v>
      </c>
      <c r="T212" s="228">
        <v>0.2</v>
      </c>
      <c r="U212" s="229">
        <v>9.9000000000000008E-3</v>
      </c>
      <c r="V212" s="228">
        <v>20.57</v>
      </c>
      <c r="W212" s="228">
        <v>20.34</v>
      </c>
      <c r="X212" s="228">
        <v>0.23</v>
      </c>
      <c r="Y212" s="229">
        <v>1.1299999999999999E-2</v>
      </c>
      <c r="Z212" s="228">
        <v>0.09</v>
      </c>
      <c r="AA212" s="228">
        <v>0.1</v>
      </c>
      <c r="AB212" s="228">
        <v>-0.01</v>
      </c>
      <c r="AC212" s="229">
        <v>4.4000000000000003E-3</v>
      </c>
      <c r="AD212" s="228">
        <v>0.09</v>
      </c>
      <c r="AE212" s="228">
        <v>0.1</v>
      </c>
      <c r="AF212" s="228">
        <v>-0.01</v>
      </c>
      <c r="AG212" s="229">
        <v>4.4000000000000003E-3</v>
      </c>
      <c r="AH212" s="228">
        <v>0.22</v>
      </c>
      <c r="AI212" s="228">
        <v>0.24</v>
      </c>
      <c r="AJ212" s="228">
        <v>-0.02</v>
      </c>
      <c r="AK212" s="229">
        <v>1.09E-2</v>
      </c>
      <c r="AL212" s="228">
        <v>0.34</v>
      </c>
      <c r="AM212" s="228">
        <v>0.33</v>
      </c>
      <c r="AN212" s="228">
        <v>0.01</v>
      </c>
      <c r="AO212" s="229">
        <v>1.6799999999999999E-2</v>
      </c>
      <c r="AP212" s="228">
        <v>20.16</v>
      </c>
      <c r="AQ212" s="228">
        <v>20.32</v>
      </c>
      <c r="AR212" s="228">
        <v>0</v>
      </c>
      <c r="AS212" s="228">
        <v>324</v>
      </c>
      <c r="AT212" s="228">
        <v>453</v>
      </c>
      <c r="AU212" s="228">
        <v>-129</v>
      </c>
      <c r="AV212" s="229">
        <v>-0.2853</v>
      </c>
      <c r="AW212" s="228">
        <v>291</v>
      </c>
      <c r="AX212" s="228">
        <v>380</v>
      </c>
      <c r="AY212" s="228">
        <v>-89</v>
      </c>
      <c r="AZ212" s="229">
        <v>-0.2351</v>
      </c>
      <c r="BA212" s="228">
        <v>30</v>
      </c>
      <c r="BB212" s="228">
        <v>52</v>
      </c>
      <c r="BC212" s="228">
        <v>-22</v>
      </c>
      <c r="BD212" s="229">
        <v>-0.42449999999999999</v>
      </c>
      <c r="BE212" s="228">
        <v>3</v>
      </c>
      <c r="BF212" s="228">
        <v>21</v>
      </c>
      <c r="BG212" s="228">
        <v>-18</v>
      </c>
      <c r="BH212" s="229">
        <v>-0.84319999999999995</v>
      </c>
      <c r="BI212" s="228">
        <v>353</v>
      </c>
      <c r="BJ212" s="228">
        <v>521</v>
      </c>
      <c r="BK212" s="228">
        <v>-168</v>
      </c>
      <c r="BL212" s="229">
        <v>-0.32240000000000002</v>
      </c>
      <c r="BM212" s="228">
        <v>158</v>
      </c>
      <c r="BN212" s="228">
        <v>290</v>
      </c>
      <c r="BO212" s="228">
        <v>-132</v>
      </c>
      <c r="BP212" s="229">
        <v>-0.4546</v>
      </c>
      <c r="BQ212" s="228">
        <v>835</v>
      </c>
      <c r="BR212" s="230">
        <v>1263</v>
      </c>
      <c r="BS212" s="228">
        <v>-429</v>
      </c>
      <c r="BT212" s="229">
        <v>-0.33939999999999998</v>
      </c>
      <c r="BU212" s="230">
        <v>74052261</v>
      </c>
      <c r="BV212" s="230">
        <v>119093402</v>
      </c>
      <c r="BW212" s="230">
        <v>-45041141</v>
      </c>
      <c r="BX212" s="229">
        <v>-0.37819999999999998</v>
      </c>
      <c r="BY212" s="230">
        <v>2184</v>
      </c>
      <c r="BZ212" s="230">
        <v>2177</v>
      </c>
      <c r="CA212" s="228">
        <v>8</v>
      </c>
      <c r="CB212" s="229">
        <v>3.5000000000000001E-3</v>
      </c>
      <c r="CC212" s="230">
        <v>2018</v>
      </c>
      <c r="CD212" s="230">
        <v>2014</v>
      </c>
      <c r="CE212" s="228">
        <v>3</v>
      </c>
      <c r="CF212" s="229">
        <v>1.6999999999999999E-3</v>
      </c>
      <c r="CG212" s="228">
        <v>136</v>
      </c>
      <c r="CH212" s="228">
        <v>133</v>
      </c>
      <c r="CI212" s="228">
        <v>3</v>
      </c>
      <c r="CJ212" s="229">
        <v>2.4299999999999999E-2</v>
      </c>
      <c r="CK212" s="228">
        <v>30</v>
      </c>
      <c r="CL212" s="228">
        <v>29</v>
      </c>
      <c r="CM212" s="228">
        <v>1</v>
      </c>
      <c r="CN212" s="229">
        <v>3.4599999999999999E-2</v>
      </c>
      <c r="CO212" s="228">
        <v>667</v>
      </c>
      <c r="CP212" s="228">
        <v>636</v>
      </c>
      <c r="CQ212" s="228">
        <v>32</v>
      </c>
      <c r="CR212" s="229">
        <v>4.9599999999999998E-2</v>
      </c>
      <c r="CS212" s="228">
        <v>471</v>
      </c>
      <c r="CT212" s="228">
        <v>462</v>
      </c>
      <c r="CU212" s="228">
        <v>9</v>
      </c>
      <c r="CV212" s="229">
        <v>1.8700000000000001E-2</v>
      </c>
      <c r="CW212" s="230">
        <v>3322</v>
      </c>
      <c r="CX212" s="230">
        <v>3274</v>
      </c>
      <c r="CY212" s="228">
        <v>48</v>
      </c>
      <c r="CZ212" s="229">
        <v>1.46E-2</v>
      </c>
      <c r="DA212" s="228">
        <v>27.89</v>
      </c>
      <c r="DB212" s="228">
        <v>29.53</v>
      </c>
      <c r="DC212" s="228">
        <v>-1.64</v>
      </c>
      <c r="DD212" s="228">
        <v>-1.64</v>
      </c>
      <c r="DE212" s="228">
        <v>37.42</v>
      </c>
      <c r="DF212" s="228">
        <v>37.49</v>
      </c>
      <c r="DG212" s="228">
        <v>-9.5299999999999994</v>
      </c>
      <c r="DH212" s="228">
        <v>-7.0000000000000007E-2</v>
      </c>
      <c r="DI212" s="228">
        <v>27.65</v>
      </c>
      <c r="DJ212" s="228">
        <v>29.86</v>
      </c>
      <c r="DK212" s="228">
        <v>-2.21</v>
      </c>
      <c r="DL212" s="228">
        <v>-2.21</v>
      </c>
      <c r="DM212" s="228">
        <v>28.42</v>
      </c>
      <c r="DN212" s="228">
        <v>28.94</v>
      </c>
      <c r="DO212" s="228">
        <v>-0.52</v>
      </c>
      <c r="DP212" s="228">
        <v>-0.52</v>
      </c>
      <c r="DQ212" s="228">
        <v>0.71</v>
      </c>
      <c r="DR212" s="228">
        <v>0.73</v>
      </c>
      <c r="DS212" s="228">
        <v>-0.02</v>
      </c>
      <c r="DT212" s="229">
        <v>-2.7400000000000001E-2</v>
      </c>
      <c r="DU212" s="228">
        <v>22</v>
      </c>
      <c r="DV212" s="228">
        <v>20</v>
      </c>
      <c r="DW212" s="228">
        <v>0.45</v>
      </c>
      <c r="DX212" s="228">
        <v>0.56000000000000005</v>
      </c>
      <c r="DY212" s="228">
        <v>-0.11</v>
      </c>
      <c r="DZ212" s="229">
        <v>-0.19639999999999999</v>
      </c>
      <c r="EA212" s="229">
        <v>7.6200000000000004E-2</v>
      </c>
      <c r="EB212" s="230">
        <v>79802600</v>
      </c>
      <c r="EC212" s="229">
        <v>6.4000000000000003E-3</v>
      </c>
      <c r="ED212" s="229">
        <v>7.6200000000000004E-2</v>
      </c>
      <c r="EE212" s="228">
        <v>0.16</v>
      </c>
      <c r="EF212" s="229">
        <v>7.9000000000000008E-3</v>
      </c>
      <c r="EG212" s="230">
        <v>29159156</v>
      </c>
      <c r="EH212" s="230">
        <v>58372590</v>
      </c>
      <c r="EI212" s="229">
        <v>-0.50049999999999994</v>
      </c>
      <c r="EJ212" s="229">
        <v>0.39379999999999998</v>
      </c>
      <c r="EK212" s="228">
        <v>376.48</v>
      </c>
      <c r="EL212" s="228">
        <v>153.31</v>
      </c>
      <c r="EM212" s="228">
        <v>321.27</v>
      </c>
      <c r="EN212" s="228">
        <v>72.349999999999994</v>
      </c>
      <c r="EO212" s="228">
        <v>851.06</v>
      </c>
      <c r="EP212" s="231">
        <v>1291.98</v>
      </c>
      <c r="EQ212" s="228">
        <v>-440.91</v>
      </c>
      <c r="ER212" s="229">
        <v>-0.34129999999999999</v>
      </c>
      <c r="ES212" s="228">
        <v>730.82</v>
      </c>
      <c r="ET212" s="228">
        <v>472.19</v>
      </c>
      <c r="EU212" s="231">
        <v>2185.4</v>
      </c>
      <c r="EV212" s="231">
        <v>3547322779</v>
      </c>
      <c r="EW212" s="231">
        <v>3388.41</v>
      </c>
      <c r="EX212" s="231">
        <v>3316.87</v>
      </c>
      <c r="EY212" s="228">
        <v>71.540000000000006</v>
      </c>
      <c r="EZ212" s="229">
        <v>2.1600000000000001E-2</v>
      </c>
      <c r="FA212" s="229">
        <v>0.46089999999999998</v>
      </c>
      <c r="FB212" s="227" t="s">
        <v>555</v>
      </c>
      <c r="FC212">
        <f t="shared" si="4"/>
        <v>0</v>
      </c>
    </row>
    <row r="213" spans="1:159" ht="17.25" thickBot="1" x14ac:dyDescent="0.3">
      <c r="A213" s="226">
        <v>46086</v>
      </c>
      <c r="B213" s="227" t="s">
        <v>170</v>
      </c>
      <c r="C213" s="227" t="s">
        <v>557</v>
      </c>
      <c r="D213" s="228">
        <v>900</v>
      </c>
      <c r="E213" s="228">
        <v>25</v>
      </c>
      <c r="F213" s="228">
        <v>916.4</v>
      </c>
      <c r="G213" s="228">
        <v>900.65</v>
      </c>
      <c r="H213" s="228">
        <v>15.75</v>
      </c>
      <c r="I213" s="229">
        <v>1.7500000000000002E-2</v>
      </c>
      <c r="J213" s="228">
        <v>914.65</v>
      </c>
      <c r="K213" s="228">
        <v>896.9</v>
      </c>
      <c r="L213" s="228">
        <v>17.75</v>
      </c>
      <c r="M213" s="229">
        <v>1.9800000000000002E-2</v>
      </c>
      <c r="N213" s="228">
        <v>916.4</v>
      </c>
      <c r="O213" s="228">
        <v>900.65</v>
      </c>
      <c r="P213" s="228">
        <v>15.75</v>
      </c>
      <c r="Q213" s="229">
        <v>1.7500000000000002E-2</v>
      </c>
      <c r="R213" s="228">
        <v>921.95</v>
      </c>
      <c r="S213" s="228">
        <v>905.8</v>
      </c>
      <c r="T213" s="228">
        <v>16.149999999999999</v>
      </c>
      <c r="U213" s="229">
        <v>1.78E-2</v>
      </c>
      <c r="V213" s="228">
        <v>925.95</v>
      </c>
      <c r="W213" s="228">
        <v>908.75</v>
      </c>
      <c r="X213" s="228">
        <v>17.2</v>
      </c>
      <c r="Y213" s="229">
        <v>1.89E-2</v>
      </c>
      <c r="Z213" s="228">
        <v>1.75</v>
      </c>
      <c r="AA213" s="228">
        <v>3.75</v>
      </c>
      <c r="AB213" s="228">
        <v>-2</v>
      </c>
      <c r="AC213" s="229">
        <v>1.9E-3</v>
      </c>
      <c r="AD213" s="228">
        <v>1.75</v>
      </c>
      <c r="AE213" s="228">
        <v>3.75</v>
      </c>
      <c r="AF213" s="228">
        <v>-2</v>
      </c>
      <c r="AG213" s="229">
        <v>1.9E-3</v>
      </c>
      <c r="AH213" s="228">
        <v>7.3</v>
      </c>
      <c r="AI213" s="228">
        <v>8.9</v>
      </c>
      <c r="AJ213" s="228">
        <v>-1.6</v>
      </c>
      <c r="AK213" s="229">
        <v>8.0000000000000002E-3</v>
      </c>
      <c r="AL213" s="228">
        <v>11.3</v>
      </c>
      <c r="AM213" s="228">
        <v>11.85</v>
      </c>
      <c r="AN213" s="228">
        <v>-0.55000000000000004</v>
      </c>
      <c r="AO213" s="229">
        <v>1.24E-2</v>
      </c>
      <c r="AP213" s="228">
        <v>914.29</v>
      </c>
      <c r="AQ213" s="228">
        <v>919.41</v>
      </c>
      <c r="AR213" s="228">
        <v>0</v>
      </c>
      <c r="AS213" s="228">
        <v>114</v>
      </c>
      <c r="AT213" s="228">
        <v>166</v>
      </c>
      <c r="AU213" s="228">
        <v>-51</v>
      </c>
      <c r="AV213" s="229">
        <v>-0.30880000000000002</v>
      </c>
      <c r="AW213" s="228">
        <v>107</v>
      </c>
      <c r="AX213" s="228">
        <v>159</v>
      </c>
      <c r="AY213" s="228">
        <v>-52</v>
      </c>
      <c r="AZ213" s="229">
        <v>-0.32729999999999998</v>
      </c>
      <c r="BA213" s="228">
        <v>7</v>
      </c>
      <c r="BB213" s="228">
        <v>6</v>
      </c>
      <c r="BC213" s="228">
        <v>1</v>
      </c>
      <c r="BD213" s="229">
        <v>0.12989999999999999</v>
      </c>
      <c r="BE213" s="228">
        <v>0</v>
      </c>
      <c r="BF213" s="228">
        <v>0</v>
      </c>
      <c r="BG213" s="228">
        <v>0</v>
      </c>
      <c r="BH213" s="229">
        <v>0</v>
      </c>
      <c r="BI213" s="228">
        <v>468</v>
      </c>
      <c r="BJ213" s="228">
        <v>322</v>
      </c>
      <c r="BK213" s="228">
        <v>146</v>
      </c>
      <c r="BL213" s="229">
        <v>0.45219999999999999</v>
      </c>
      <c r="BM213" s="228">
        <v>128</v>
      </c>
      <c r="BN213" s="228">
        <v>182</v>
      </c>
      <c r="BO213" s="228">
        <v>-54</v>
      </c>
      <c r="BP213" s="229">
        <v>-0.29499999999999998</v>
      </c>
      <c r="BQ213" s="228">
        <v>711</v>
      </c>
      <c r="BR213" s="228">
        <v>670</v>
      </c>
      <c r="BS213" s="228">
        <v>41</v>
      </c>
      <c r="BT213" s="229">
        <v>6.1199999999999997E-2</v>
      </c>
      <c r="BU213" s="230">
        <v>486410</v>
      </c>
      <c r="BV213" s="230">
        <v>1292097</v>
      </c>
      <c r="BW213" s="230">
        <v>-805687</v>
      </c>
      <c r="BX213" s="229">
        <v>-0.62350000000000005</v>
      </c>
      <c r="BY213" s="228">
        <v>880</v>
      </c>
      <c r="BZ213" s="228">
        <v>890</v>
      </c>
      <c r="CA213" s="228">
        <v>-9</v>
      </c>
      <c r="CB213" s="229">
        <v>-1.0200000000000001E-2</v>
      </c>
      <c r="CC213" s="228">
        <v>858</v>
      </c>
      <c r="CD213" s="228">
        <v>868</v>
      </c>
      <c r="CE213" s="228">
        <v>-10</v>
      </c>
      <c r="CF213" s="229">
        <v>-1.15E-2</v>
      </c>
      <c r="CG213" s="228">
        <v>21</v>
      </c>
      <c r="CH213" s="228">
        <v>20</v>
      </c>
      <c r="CI213" s="228">
        <v>1</v>
      </c>
      <c r="CJ213" s="229">
        <v>4.4400000000000002E-2</v>
      </c>
      <c r="CK213" s="228">
        <v>1</v>
      </c>
      <c r="CL213" s="228">
        <v>1</v>
      </c>
      <c r="CM213" s="228">
        <v>0</v>
      </c>
      <c r="CN213" s="229">
        <v>0</v>
      </c>
      <c r="CO213" s="228">
        <v>430</v>
      </c>
      <c r="CP213" s="228">
        <v>441</v>
      </c>
      <c r="CQ213" s="228">
        <v>-11</v>
      </c>
      <c r="CR213" s="229">
        <v>-2.47E-2</v>
      </c>
      <c r="CS213" s="228">
        <v>244</v>
      </c>
      <c r="CT213" s="228">
        <v>240</v>
      </c>
      <c r="CU213" s="228">
        <v>5</v>
      </c>
      <c r="CV213" s="229">
        <v>1.9599999999999999E-2</v>
      </c>
      <c r="CW213" s="230">
        <v>1554</v>
      </c>
      <c r="CX213" s="230">
        <v>1570</v>
      </c>
      <c r="CY213" s="228">
        <v>-15</v>
      </c>
      <c r="CZ213" s="229">
        <v>-9.7000000000000003E-3</v>
      </c>
      <c r="DA213" s="228">
        <v>23.18</v>
      </c>
      <c r="DB213" s="228">
        <v>25.27</v>
      </c>
      <c r="DC213" s="228">
        <v>-2.09</v>
      </c>
      <c r="DD213" s="228">
        <v>-2.09</v>
      </c>
      <c r="DE213" s="228">
        <v>27.99</v>
      </c>
      <c r="DF213" s="228">
        <v>27.97</v>
      </c>
      <c r="DG213" s="228">
        <v>-4.8099999999999996</v>
      </c>
      <c r="DH213" s="228">
        <v>0.02</v>
      </c>
      <c r="DI213" s="228">
        <v>22.84</v>
      </c>
      <c r="DJ213" s="228">
        <v>24.97</v>
      </c>
      <c r="DK213" s="228">
        <v>-2.13</v>
      </c>
      <c r="DL213" s="228">
        <v>-2.13</v>
      </c>
      <c r="DM213" s="228">
        <v>24.41</v>
      </c>
      <c r="DN213" s="228">
        <v>25.81</v>
      </c>
      <c r="DO213" s="228">
        <v>-1.4</v>
      </c>
      <c r="DP213" s="228">
        <v>-1.4</v>
      </c>
      <c r="DQ213" s="228">
        <v>0.56999999999999995</v>
      </c>
      <c r="DR213" s="228">
        <v>0.54</v>
      </c>
      <c r="DS213" s="228">
        <v>0.03</v>
      </c>
      <c r="DT213" s="229">
        <v>5.5599999999999997E-2</v>
      </c>
      <c r="DU213" s="228">
        <v>950</v>
      </c>
      <c r="DV213" s="228">
        <v>900</v>
      </c>
      <c r="DW213" s="228">
        <v>0.27</v>
      </c>
      <c r="DX213" s="228">
        <v>0.56000000000000005</v>
      </c>
      <c r="DY213" s="228">
        <v>-0.28999999999999998</v>
      </c>
      <c r="DZ213" s="229">
        <v>-0.51790000000000003</v>
      </c>
      <c r="EA213" s="229">
        <v>2.5100000000000001E-2</v>
      </c>
      <c r="EB213" s="230">
        <v>231300</v>
      </c>
      <c r="EC213" s="229">
        <v>6.1000000000000004E-3</v>
      </c>
      <c r="ED213" s="229">
        <v>2.5100000000000001E-2</v>
      </c>
      <c r="EE213" s="228">
        <v>5.12</v>
      </c>
      <c r="EF213" s="229">
        <v>5.5999999999999999E-3</v>
      </c>
      <c r="EG213" s="230">
        <v>252526</v>
      </c>
      <c r="EH213" s="230">
        <v>856763</v>
      </c>
      <c r="EI213" s="229">
        <v>-0.70530000000000004</v>
      </c>
      <c r="EJ213" s="229">
        <v>0.51919999999999999</v>
      </c>
      <c r="EK213" s="228">
        <v>487.5</v>
      </c>
      <c r="EL213" s="228">
        <v>125.96</v>
      </c>
      <c r="EM213" s="228">
        <v>114.26</v>
      </c>
      <c r="EN213" s="228">
        <v>25.77</v>
      </c>
      <c r="EO213" s="228">
        <v>727.72</v>
      </c>
      <c r="EP213" s="228">
        <v>677.34</v>
      </c>
      <c r="EQ213" s="228">
        <v>50.38</v>
      </c>
      <c r="ER213" s="229">
        <v>7.4399999999999994E-2</v>
      </c>
      <c r="ES213" s="228">
        <v>451.29</v>
      </c>
      <c r="ET213" s="228">
        <v>244.78</v>
      </c>
      <c r="EU213" s="228">
        <v>880.57</v>
      </c>
      <c r="EV213" s="231">
        <v>37741451</v>
      </c>
      <c r="EW213" s="231">
        <v>1576.64</v>
      </c>
      <c r="EX213" s="231">
        <v>1576.47</v>
      </c>
      <c r="EY213" s="228">
        <v>0.17</v>
      </c>
      <c r="EZ213" s="229">
        <v>1E-4</v>
      </c>
      <c r="FA213" s="229">
        <v>0.44940000000000002</v>
      </c>
      <c r="FB213" s="227" t="s">
        <v>556</v>
      </c>
      <c r="FC213">
        <f t="shared" si="4"/>
        <v>0</v>
      </c>
    </row>
    <row r="214" spans="1:159" x14ac:dyDescent="0.25">
      <c r="FC214">
        <f t="shared" si="4"/>
        <v>0</v>
      </c>
    </row>
    <row r="215" spans="1:159" x14ac:dyDescent="0.25">
      <c r="FC215">
        <f t="shared" si="4"/>
        <v>0</v>
      </c>
    </row>
    <row r="216" spans="1:159" x14ac:dyDescent="0.25">
      <c r="FC216">
        <f t="shared" si="4"/>
        <v>0</v>
      </c>
    </row>
    <row r="217" spans="1:159" x14ac:dyDescent="0.25">
      <c r="FC217">
        <f t="shared" si="4"/>
        <v>0</v>
      </c>
    </row>
    <row r="218" spans="1:159" x14ac:dyDescent="0.25">
      <c r="FC218">
        <f t="shared" si="4"/>
        <v>0</v>
      </c>
    </row>
    <row r="219" spans="1:159" x14ac:dyDescent="0.25">
      <c r="FC219">
        <f t="shared" si="4"/>
        <v>0</v>
      </c>
    </row>
    <row r="220" spans="1:159" x14ac:dyDescent="0.25">
      <c r="FC220">
        <f t="shared" si="4"/>
        <v>0</v>
      </c>
    </row>
    <row r="221" spans="1:159" x14ac:dyDescent="0.25">
      <c r="FC221">
        <f t="shared" si="4"/>
        <v>0</v>
      </c>
    </row>
    <row r="222" spans="1:159" x14ac:dyDescent="0.25">
      <c r="FC222">
        <f t="shared" si="4"/>
        <v>0</v>
      </c>
    </row>
    <row r="223" spans="1:159" x14ac:dyDescent="0.25">
      <c r="FC223">
        <f t="shared" si="4"/>
        <v>0</v>
      </c>
    </row>
    <row r="224" spans="1:159" x14ac:dyDescent="0.25">
      <c r="FC224">
        <f t="shared" si="4"/>
        <v>0</v>
      </c>
    </row>
    <row r="225" spans="159:159" x14ac:dyDescent="0.25">
      <c r="FC225">
        <f t="shared" si="4"/>
        <v>0</v>
      </c>
    </row>
    <row r="226" spans="159:159" x14ac:dyDescent="0.25">
      <c r="FC226">
        <f t="shared" si="4"/>
        <v>0</v>
      </c>
    </row>
    <row r="227" spans="159:159" x14ac:dyDescent="0.25">
      <c r="FC227">
        <f t="shared" si="4"/>
        <v>0</v>
      </c>
    </row>
    <row r="228" spans="159:159" x14ac:dyDescent="0.25">
      <c r="FC228">
        <f t="shared" si="4"/>
        <v>0</v>
      </c>
    </row>
    <row r="229" spans="159:159" x14ac:dyDescent="0.25">
      <c r="FC229">
        <f t="shared" si="4"/>
        <v>0</v>
      </c>
    </row>
    <row r="230" spans="159:159" x14ac:dyDescent="0.25">
      <c r="FC230">
        <f t="shared" si="4"/>
        <v>0</v>
      </c>
    </row>
    <row r="231" spans="159:159" x14ac:dyDescent="0.25">
      <c r="FC231">
        <f t="shared" si="4"/>
        <v>0</v>
      </c>
    </row>
    <row r="232" spans="159:159" x14ac:dyDescent="0.25">
      <c r="FC232">
        <f t="shared" si="4"/>
        <v>0</v>
      </c>
    </row>
    <row r="233" spans="159:159" x14ac:dyDescent="0.25">
      <c r="FC233">
        <f t="shared" si="4"/>
        <v>0</v>
      </c>
    </row>
    <row r="234" spans="159:159" x14ac:dyDescent="0.25">
      <c r="FC234">
        <f t="shared" si="4"/>
        <v>0</v>
      </c>
    </row>
    <row r="235" spans="159:159" x14ac:dyDescent="0.25">
      <c r="FC235">
        <f t="shared" si="4"/>
        <v>0</v>
      </c>
    </row>
    <row r="236" spans="159:159" x14ac:dyDescent="0.25">
      <c r="FC236">
        <f t="shared" si="4"/>
        <v>0</v>
      </c>
    </row>
    <row r="237" spans="159:159" x14ac:dyDescent="0.25">
      <c r="FC237">
        <f t="shared" si="4"/>
        <v>0</v>
      </c>
    </row>
    <row r="238" spans="159:159" x14ac:dyDescent="0.25">
      <c r="FC238">
        <f t="shared" si="4"/>
        <v>0</v>
      </c>
    </row>
    <row r="239" spans="159:159" x14ac:dyDescent="0.25">
      <c r="FC239">
        <f t="shared" si="4"/>
        <v>0</v>
      </c>
    </row>
    <row r="240" spans="159: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BY323-CC323</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BY387-CC387</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topLeftCell="A3" zoomScaleNormal="100" workbookViewId="0">
      <selection activeCell="CB9" sqref="CB9"/>
    </sheetView>
  </sheetViews>
  <sheetFormatPr defaultRowHeight="15" x14ac:dyDescent="0.25"/>
  <cols>
    <col min="1" max="1" width="12.28515625"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4" customWidth="1"/>
    <col min="79" max="79" width="9" customWidth="1"/>
    <col min="80" max="81" width="15.5703125" customWidth="1"/>
    <col min="82" max="82" width="13.5703125" customWidth="1"/>
    <col min="83" max="83" width="11.42578125" customWidth="1"/>
    <col min="84" max="84" width="14" customWidth="1"/>
    <col min="85" max="85" width="14.42578125" customWidth="1"/>
    <col min="86" max="86" width="13.5703125" customWidth="1"/>
    <col min="87" max="87" width="11.42578125" customWidth="1"/>
    <col min="88" max="89" width="12.7109375" customWidth="1"/>
    <col min="90" max="90" width="11.5703125" customWidth="1"/>
    <col min="91" max="91" width="10.140625" customWidth="1"/>
    <col min="92" max="93" width="15.5703125" customWidth="1"/>
    <col min="94" max="94" width="14" customWidth="1"/>
    <col min="95" max="95" width="10.42578125" customWidth="1"/>
    <col min="96" max="97" width="14" customWidth="1"/>
    <col min="98" max="98" width="12.7109375" customWidth="1"/>
    <col min="99" max="99" width="10.28515625" customWidth="1"/>
    <col min="100" max="101" width="15.5703125" customWidth="1"/>
    <col min="102" max="102" width="14" customWidth="1"/>
    <col min="103" max="103" width="11.7109375" customWidth="1"/>
    <col min="104" max="104" width="8" style="195" customWidth="1"/>
    <col min="105" max="105" width="8.7109375" customWidth="1"/>
    <col min="106" max="106" width="7.85546875" customWidth="1"/>
    <col min="107" max="107" width="7.7109375" customWidth="1"/>
    <col min="108"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42578125" customWidth="1"/>
    <col min="132" max="132" width="15" customWidth="1"/>
    <col min="133" max="133" width="12.42578125" customWidth="1"/>
    <col min="134" max="134" width="11.42578125" customWidth="1"/>
    <col min="135" max="135" width="13.5703125" customWidth="1"/>
    <col min="136" max="136" width="14"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9.5703125" customWidth="1"/>
    <col min="152" max="152" width="16.7109375" customWidth="1"/>
    <col min="153" max="154" width="15.570312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thickBot="1" x14ac:dyDescent="0.3">
      <c r="A2" s="226">
        <v>46086</v>
      </c>
      <c r="B2" s="227" t="s">
        <v>175</v>
      </c>
      <c r="C2" s="227" t="s">
        <v>681</v>
      </c>
      <c r="D2" s="228">
        <v>500</v>
      </c>
      <c r="E2" s="231">
        <v>1083</v>
      </c>
      <c r="F2" s="231">
        <v>1071.2</v>
      </c>
      <c r="G2" s="228">
        <v>11.8</v>
      </c>
      <c r="H2" s="229">
        <v>1.0999999999999999E-2</v>
      </c>
      <c r="I2" s="231">
        <v>1081</v>
      </c>
      <c r="J2" s="231">
        <v>1066.4000000000001</v>
      </c>
      <c r="K2" s="228">
        <v>14.6</v>
      </c>
      <c r="L2" s="229">
        <v>1.37E-2</v>
      </c>
      <c r="M2" s="231">
        <v>1083</v>
      </c>
      <c r="N2" s="231">
        <v>1071.2</v>
      </c>
      <c r="O2" s="228">
        <v>11.8</v>
      </c>
      <c r="P2" s="229">
        <v>1.0999999999999999E-2</v>
      </c>
      <c r="Q2" s="231">
        <v>1085.0999999999999</v>
      </c>
      <c r="R2" s="231">
        <v>1075.7</v>
      </c>
      <c r="S2" s="228">
        <v>9.4</v>
      </c>
      <c r="T2" s="229">
        <v>8.6999999999999994E-3</v>
      </c>
      <c r="U2" s="231">
        <v>1055</v>
      </c>
      <c r="V2" s="231">
        <v>1055</v>
      </c>
      <c r="W2" s="228">
        <v>0</v>
      </c>
      <c r="X2" s="229">
        <v>0</v>
      </c>
      <c r="Y2" s="228">
        <v>2</v>
      </c>
      <c r="Z2" s="228">
        <v>4.8</v>
      </c>
      <c r="AA2" s="228">
        <v>-2.8</v>
      </c>
      <c r="AB2" s="229">
        <v>1.9E-3</v>
      </c>
      <c r="AC2" s="228">
        <v>2</v>
      </c>
      <c r="AD2" s="228">
        <v>4.8</v>
      </c>
      <c r="AE2" s="228">
        <v>-2.8</v>
      </c>
      <c r="AF2" s="229">
        <v>1.9E-3</v>
      </c>
      <c r="AG2" s="228">
        <v>4.0999999999999996</v>
      </c>
      <c r="AH2" s="228">
        <v>9.3000000000000007</v>
      </c>
      <c r="AI2" s="228">
        <v>-5.2</v>
      </c>
      <c r="AJ2" s="229">
        <v>3.8E-3</v>
      </c>
      <c r="AK2" s="228">
        <v>-26</v>
      </c>
      <c r="AL2" s="228">
        <v>-11.4</v>
      </c>
      <c r="AM2" s="228">
        <v>-14.6</v>
      </c>
      <c r="AN2" s="229">
        <v>-2.41E-2</v>
      </c>
      <c r="AO2" s="231">
        <v>1078.3</v>
      </c>
      <c r="AP2" s="231">
        <v>1081.44</v>
      </c>
      <c r="AQ2" s="228">
        <v>0</v>
      </c>
      <c r="AR2" s="230">
        <v>494500</v>
      </c>
      <c r="AS2" s="230">
        <v>947000</v>
      </c>
      <c r="AT2" s="230">
        <v>-452500</v>
      </c>
      <c r="AU2" s="229">
        <v>-0.4778</v>
      </c>
      <c r="AV2" s="230">
        <v>482000</v>
      </c>
      <c r="AW2" s="230">
        <v>940500</v>
      </c>
      <c r="AX2" s="230">
        <v>-458500</v>
      </c>
      <c r="AY2" s="229">
        <v>-0.48749999999999999</v>
      </c>
      <c r="AZ2" s="230">
        <v>12500</v>
      </c>
      <c r="BA2" s="230">
        <v>6000</v>
      </c>
      <c r="BB2" s="230">
        <v>6500</v>
      </c>
      <c r="BC2" s="229">
        <v>1.0832999999999999</v>
      </c>
      <c r="BD2" s="228">
        <v>0</v>
      </c>
      <c r="BE2" s="228">
        <v>500</v>
      </c>
      <c r="BF2" s="228">
        <v>-500</v>
      </c>
      <c r="BG2" s="229">
        <v>-1</v>
      </c>
      <c r="BH2" s="230">
        <v>482500</v>
      </c>
      <c r="BI2" s="230">
        <v>814000</v>
      </c>
      <c r="BJ2" s="230">
        <v>-331500</v>
      </c>
      <c r="BK2" s="229">
        <v>-0.40720000000000001</v>
      </c>
      <c r="BL2" s="230">
        <v>113000</v>
      </c>
      <c r="BM2" s="230">
        <v>550000</v>
      </c>
      <c r="BN2" s="230">
        <v>-437000</v>
      </c>
      <c r="BO2" s="229">
        <v>-0.79449999999999998</v>
      </c>
      <c r="BP2" s="230">
        <v>1090000</v>
      </c>
      <c r="BQ2" s="230">
        <v>2311000</v>
      </c>
      <c r="BR2" s="230">
        <v>-1221000</v>
      </c>
      <c r="BS2" s="229">
        <v>-0.52829999999999999</v>
      </c>
      <c r="BT2" s="230">
        <v>318406</v>
      </c>
      <c r="BU2" s="230">
        <v>1216771</v>
      </c>
      <c r="BV2" s="230">
        <v>-898365</v>
      </c>
      <c r="BW2" s="229">
        <v>-0.73829999999999996</v>
      </c>
      <c r="BX2" s="230">
        <v>3080500</v>
      </c>
      <c r="BY2" s="230">
        <v>3151000</v>
      </c>
      <c r="BZ2" s="230">
        <v>-70500</v>
      </c>
      <c r="CA2" s="229">
        <v>-2.24E-2</v>
      </c>
      <c r="CB2" s="230">
        <v>3036500</v>
      </c>
      <c r="CC2" s="230">
        <v>3107000</v>
      </c>
      <c r="CD2" s="230">
        <v>-70500</v>
      </c>
      <c r="CE2" s="229">
        <v>-2.2700000000000001E-2</v>
      </c>
      <c r="CF2" s="230">
        <v>43000</v>
      </c>
      <c r="CG2" s="230">
        <v>43000</v>
      </c>
      <c r="CH2" s="228">
        <v>0</v>
      </c>
      <c r="CI2" s="229">
        <v>0</v>
      </c>
      <c r="CJ2" s="230">
        <v>1000</v>
      </c>
      <c r="CK2" s="230">
        <v>1000</v>
      </c>
      <c r="CL2" s="228">
        <v>0</v>
      </c>
      <c r="CM2" s="229">
        <v>0</v>
      </c>
      <c r="CN2" s="230">
        <v>785500</v>
      </c>
      <c r="CO2" s="230">
        <v>704000</v>
      </c>
      <c r="CP2" s="230">
        <v>81500</v>
      </c>
      <c r="CQ2" s="229">
        <v>0.1158</v>
      </c>
      <c r="CR2" s="230">
        <v>407500</v>
      </c>
      <c r="CS2" s="230">
        <v>413000</v>
      </c>
      <c r="CT2" s="230">
        <v>-5500</v>
      </c>
      <c r="CU2" s="229">
        <v>-1.3299999999999999E-2</v>
      </c>
      <c r="CV2" s="230">
        <v>4273500</v>
      </c>
      <c r="CW2" s="230">
        <v>4268000</v>
      </c>
      <c r="CX2" s="230">
        <v>5500</v>
      </c>
      <c r="CY2" s="229">
        <v>1.2999999999999999E-3</v>
      </c>
      <c r="CZ2" s="228">
        <v>29.79</v>
      </c>
      <c r="DA2" s="228">
        <v>35.03</v>
      </c>
      <c r="DB2" s="228">
        <v>-5.24</v>
      </c>
      <c r="DC2" s="228">
        <v>-5.24</v>
      </c>
      <c r="DD2" s="228">
        <v>41.63</v>
      </c>
      <c r="DE2" s="228">
        <v>41.7</v>
      </c>
      <c r="DF2" s="228">
        <v>-11.84</v>
      </c>
      <c r="DG2" s="228">
        <v>-7.0000000000000007E-2</v>
      </c>
      <c r="DH2" s="228">
        <v>28.93</v>
      </c>
      <c r="DI2" s="228">
        <v>33.03</v>
      </c>
      <c r="DJ2" s="228">
        <v>-4.0999999999999996</v>
      </c>
      <c r="DK2" s="228">
        <v>-4.0999999999999996</v>
      </c>
      <c r="DL2" s="228">
        <v>33.46</v>
      </c>
      <c r="DM2" s="228">
        <v>37.99</v>
      </c>
      <c r="DN2" s="228">
        <v>-4.53</v>
      </c>
      <c r="DO2" s="228">
        <v>-4.53</v>
      </c>
      <c r="DP2" s="228">
        <v>0.52</v>
      </c>
      <c r="DQ2" s="228">
        <v>0.59</v>
      </c>
      <c r="DR2" s="228">
        <v>-7.0000000000000007E-2</v>
      </c>
      <c r="DS2" s="229">
        <v>-0.1186</v>
      </c>
      <c r="DT2" s="231">
        <v>1140</v>
      </c>
      <c r="DU2" s="231">
        <v>1080</v>
      </c>
      <c r="DV2" s="228">
        <v>0.23</v>
      </c>
      <c r="DW2" s="228">
        <v>0.68</v>
      </c>
      <c r="DX2" s="228">
        <v>-0.45</v>
      </c>
      <c r="DY2" s="229">
        <v>-0.66180000000000005</v>
      </c>
      <c r="DZ2" s="229">
        <v>1.43E-2</v>
      </c>
      <c r="EA2" s="230">
        <v>44000</v>
      </c>
      <c r="EB2" s="229">
        <v>1.9E-3</v>
      </c>
      <c r="EC2" s="229">
        <v>1.43E-2</v>
      </c>
      <c r="ED2" s="228">
        <v>3.14</v>
      </c>
      <c r="EE2" s="229">
        <v>2.8999999999999998E-3</v>
      </c>
      <c r="EF2" s="230">
        <v>171943</v>
      </c>
      <c r="EG2" s="230">
        <v>724440</v>
      </c>
      <c r="EH2" s="229">
        <v>-0.76270000000000004</v>
      </c>
      <c r="EI2" s="229">
        <v>0.54</v>
      </c>
      <c r="EJ2" s="231">
        <v>5624.03</v>
      </c>
      <c r="EK2" s="231">
        <v>1177.69</v>
      </c>
      <c r="EL2" s="231">
        <v>5332.61</v>
      </c>
      <c r="EM2" s="231">
        <v>2054</v>
      </c>
      <c r="EN2" s="231">
        <v>12134.33</v>
      </c>
      <c r="EO2" s="231">
        <v>25377.37</v>
      </c>
      <c r="EP2" s="231">
        <v>-13243.04</v>
      </c>
      <c r="EQ2" s="229">
        <v>-0.52180000000000004</v>
      </c>
      <c r="ER2" s="231">
        <v>9102</v>
      </c>
      <c r="ES2" s="231">
        <v>4345</v>
      </c>
      <c r="ET2" s="231">
        <v>33362</v>
      </c>
      <c r="EU2" s="231">
        <v>36943219</v>
      </c>
      <c r="EV2" s="231">
        <v>46809</v>
      </c>
      <c r="EW2" s="231">
        <v>46283</v>
      </c>
      <c r="EX2" s="228">
        <v>526</v>
      </c>
      <c r="EY2" s="229">
        <v>1.14E-2</v>
      </c>
      <c r="EZ2" s="229">
        <v>0.1157</v>
      </c>
      <c r="FA2" s="227" t="s">
        <v>556</v>
      </c>
      <c r="FB2" s="161">
        <f>BX2-CB2</f>
        <v>44000</v>
      </c>
    </row>
    <row r="3" spans="1:158" ht="17.25" thickBot="1" x14ac:dyDescent="0.3">
      <c r="A3" s="226">
        <v>46086</v>
      </c>
      <c r="B3" s="227" t="s">
        <v>184</v>
      </c>
      <c r="C3" s="227" t="s">
        <v>553</v>
      </c>
      <c r="D3" s="228">
        <v>125</v>
      </c>
      <c r="E3" s="231">
        <v>5943</v>
      </c>
      <c r="F3" s="231">
        <v>5849</v>
      </c>
      <c r="G3" s="228">
        <v>94</v>
      </c>
      <c r="H3" s="229">
        <v>1.61E-2</v>
      </c>
      <c r="I3" s="231">
        <v>5929</v>
      </c>
      <c r="J3" s="231">
        <v>5830.5</v>
      </c>
      <c r="K3" s="228">
        <v>98.5</v>
      </c>
      <c r="L3" s="229">
        <v>1.6899999999999998E-2</v>
      </c>
      <c r="M3" s="231">
        <v>5943</v>
      </c>
      <c r="N3" s="231">
        <v>5849</v>
      </c>
      <c r="O3" s="228">
        <v>94</v>
      </c>
      <c r="P3" s="229">
        <v>1.61E-2</v>
      </c>
      <c r="Q3" s="231">
        <v>5959</v>
      </c>
      <c r="R3" s="231">
        <v>5869.5</v>
      </c>
      <c r="S3" s="228">
        <v>89.5</v>
      </c>
      <c r="T3" s="229">
        <v>1.52E-2</v>
      </c>
      <c r="U3" s="231">
        <v>5900</v>
      </c>
      <c r="V3" s="231">
        <v>5873</v>
      </c>
      <c r="W3" s="228">
        <v>27</v>
      </c>
      <c r="X3" s="229">
        <v>4.5999999999999999E-3</v>
      </c>
      <c r="Y3" s="228">
        <v>14</v>
      </c>
      <c r="Z3" s="228">
        <v>18.5</v>
      </c>
      <c r="AA3" s="228">
        <v>-4.5</v>
      </c>
      <c r="AB3" s="229">
        <v>2.3999999999999998E-3</v>
      </c>
      <c r="AC3" s="228">
        <v>14</v>
      </c>
      <c r="AD3" s="228">
        <v>18.5</v>
      </c>
      <c r="AE3" s="228">
        <v>-4.5</v>
      </c>
      <c r="AF3" s="229">
        <v>2.3999999999999998E-3</v>
      </c>
      <c r="AG3" s="228">
        <v>30</v>
      </c>
      <c r="AH3" s="228">
        <v>39</v>
      </c>
      <c r="AI3" s="228">
        <v>-9</v>
      </c>
      <c r="AJ3" s="229">
        <v>5.1000000000000004E-3</v>
      </c>
      <c r="AK3" s="228">
        <v>-29</v>
      </c>
      <c r="AL3" s="228">
        <v>42.5</v>
      </c>
      <c r="AM3" s="228">
        <v>-71.5</v>
      </c>
      <c r="AN3" s="229">
        <v>-4.8999999999999998E-3</v>
      </c>
      <c r="AO3" s="231">
        <v>5927.77</v>
      </c>
      <c r="AP3" s="231">
        <v>5946.02</v>
      </c>
      <c r="AQ3" s="228">
        <v>0</v>
      </c>
      <c r="AR3" s="230">
        <v>388375</v>
      </c>
      <c r="AS3" s="230">
        <v>396000</v>
      </c>
      <c r="AT3" s="230">
        <v>-7625</v>
      </c>
      <c r="AU3" s="229">
        <v>-1.9300000000000001E-2</v>
      </c>
      <c r="AV3" s="230">
        <v>375750</v>
      </c>
      <c r="AW3" s="230">
        <v>379125</v>
      </c>
      <c r="AX3" s="230">
        <v>-3375</v>
      </c>
      <c r="AY3" s="229">
        <v>-8.8999999999999999E-3</v>
      </c>
      <c r="AZ3" s="230">
        <v>12375</v>
      </c>
      <c r="BA3" s="230">
        <v>14625</v>
      </c>
      <c r="BB3" s="230">
        <v>-2250</v>
      </c>
      <c r="BC3" s="229">
        <v>-0.15379999999999999</v>
      </c>
      <c r="BD3" s="228">
        <v>250</v>
      </c>
      <c r="BE3" s="230">
        <v>2250</v>
      </c>
      <c r="BF3" s="230">
        <v>-2000</v>
      </c>
      <c r="BG3" s="229">
        <v>-0.88890000000000002</v>
      </c>
      <c r="BH3" s="230">
        <v>996875</v>
      </c>
      <c r="BI3" s="230">
        <v>1057875</v>
      </c>
      <c r="BJ3" s="230">
        <v>-61000</v>
      </c>
      <c r="BK3" s="229">
        <v>-5.7700000000000001E-2</v>
      </c>
      <c r="BL3" s="230">
        <v>655250</v>
      </c>
      <c r="BM3" s="230">
        <v>1118125</v>
      </c>
      <c r="BN3" s="230">
        <v>-462875</v>
      </c>
      <c r="BO3" s="229">
        <v>-0.41399999999999998</v>
      </c>
      <c r="BP3" s="230">
        <v>2040500</v>
      </c>
      <c r="BQ3" s="230">
        <v>2572000</v>
      </c>
      <c r="BR3" s="230">
        <v>-531500</v>
      </c>
      <c r="BS3" s="229">
        <v>-0.20660000000000001</v>
      </c>
      <c r="BT3" s="230">
        <v>278074</v>
      </c>
      <c r="BU3" s="230">
        <v>293094</v>
      </c>
      <c r="BV3" s="230">
        <v>-15020</v>
      </c>
      <c r="BW3" s="229">
        <v>-5.1200000000000002E-2</v>
      </c>
      <c r="BX3" s="230">
        <v>2065375</v>
      </c>
      <c r="BY3" s="230">
        <v>2121750</v>
      </c>
      <c r="BZ3" s="230">
        <v>-56375</v>
      </c>
      <c r="CA3" s="229">
        <v>-2.6599999999999999E-2</v>
      </c>
      <c r="CB3" s="230">
        <v>2025000</v>
      </c>
      <c r="CC3" s="230">
        <v>2083125</v>
      </c>
      <c r="CD3" s="230">
        <v>-58125</v>
      </c>
      <c r="CE3" s="229">
        <v>-2.7900000000000001E-2</v>
      </c>
      <c r="CF3" s="230">
        <v>36125</v>
      </c>
      <c r="CG3" s="230">
        <v>34625</v>
      </c>
      <c r="CH3" s="230">
        <v>1500</v>
      </c>
      <c r="CI3" s="229">
        <v>4.3299999999999998E-2</v>
      </c>
      <c r="CJ3" s="230">
        <v>4250</v>
      </c>
      <c r="CK3" s="230">
        <v>4000</v>
      </c>
      <c r="CL3" s="228">
        <v>250</v>
      </c>
      <c r="CM3" s="229">
        <v>6.25E-2</v>
      </c>
      <c r="CN3" s="230">
        <v>1069625</v>
      </c>
      <c r="CO3" s="230">
        <v>1056625</v>
      </c>
      <c r="CP3" s="230">
        <v>13000</v>
      </c>
      <c r="CQ3" s="229">
        <v>1.23E-2</v>
      </c>
      <c r="CR3" s="230">
        <v>727000</v>
      </c>
      <c r="CS3" s="230">
        <v>740500</v>
      </c>
      <c r="CT3" s="230">
        <v>-13500</v>
      </c>
      <c r="CU3" s="229">
        <v>-1.8200000000000001E-2</v>
      </c>
      <c r="CV3" s="230">
        <v>3862000</v>
      </c>
      <c r="CW3" s="230">
        <v>3918875</v>
      </c>
      <c r="CX3" s="230">
        <v>-56875</v>
      </c>
      <c r="CY3" s="229">
        <v>-1.4500000000000001E-2</v>
      </c>
      <c r="CZ3" s="228">
        <v>29.81</v>
      </c>
      <c r="DA3" s="228">
        <v>32.479999999999997</v>
      </c>
      <c r="DB3" s="228">
        <v>-2.67</v>
      </c>
      <c r="DC3" s="228">
        <v>-2.67</v>
      </c>
      <c r="DD3" s="228">
        <v>36.54</v>
      </c>
      <c r="DE3" s="228">
        <v>36.57</v>
      </c>
      <c r="DF3" s="228">
        <v>-6.73</v>
      </c>
      <c r="DG3" s="228">
        <v>-0.03</v>
      </c>
      <c r="DH3" s="228">
        <v>28.52</v>
      </c>
      <c r="DI3" s="228">
        <v>31.39</v>
      </c>
      <c r="DJ3" s="228">
        <v>-2.87</v>
      </c>
      <c r="DK3" s="228">
        <v>-2.87</v>
      </c>
      <c r="DL3" s="228">
        <v>31.77</v>
      </c>
      <c r="DM3" s="228">
        <v>33.51</v>
      </c>
      <c r="DN3" s="228">
        <v>-1.74</v>
      </c>
      <c r="DO3" s="228">
        <v>-1.74</v>
      </c>
      <c r="DP3" s="228">
        <v>0.68</v>
      </c>
      <c r="DQ3" s="228">
        <v>0.7</v>
      </c>
      <c r="DR3" s="228">
        <v>-0.02</v>
      </c>
      <c r="DS3" s="229">
        <v>-2.86E-2</v>
      </c>
      <c r="DT3" s="231">
        <v>6500</v>
      </c>
      <c r="DU3" s="231">
        <v>6000</v>
      </c>
      <c r="DV3" s="228">
        <v>0.66</v>
      </c>
      <c r="DW3" s="228">
        <v>1.06</v>
      </c>
      <c r="DX3" s="228">
        <v>-0.4</v>
      </c>
      <c r="DY3" s="229">
        <v>-0.37740000000000001</v>
      </c>
      <c r="DZ3" s="229">
        <v>1.95E-2</v>
      </c>
      <c r="EA3" s="230">
        <v>38625</v>
      </c>
      <c r="EB3" s="229">
        <v>2.7000000000000001E-3</v>
      </c>
      <c r="EC3" s="229">
        <v>1.95E-2</v>
      </c>
      <c r="ED3" s="228">
        <v>18.25</v>
      </c>
      <c r="EE3" s="229">
        <v>3.0999999999999999E-3</v>
      </c>
      <c r="EF3" s="230">
        <v>126448</v>
      </c>
      <c r="EG3" s="230">
        <v>137706</v>
      </c>
      <c r="EH3" s="229">
        <v>-8.1799999999999998E-2</v>
      </c>
      <c r="EI3" s="229">
        <v>0.45469999999999999</v>
      </c>
      <c r="EJ3" s="231">
        <v>62581.02</v>
      </c>
      <c r="EK3" s="231">
        <v>37110.79</v>
      </c>
      <c r="EL3" s="231">
        <v>23024.2</v>
      </c>
      <c r="EM3" s="231">
        <v>3219</v>
      </c>
      <c r="EN3" s="231">
        <v>122716.01</v>
      </c>
      <c r="EO3" s="231">
        <v>154441.81</v>
      </c>
      <c r="EP3" s="231">
        <v>-31725.8</v>
      </c>
      <c r="EQ3" s="229">
        <v>-0.2054</v>
      </c>
      <c r="ER3" s="231">
        <v>67582</v>
      </c>
      <c r="ES3" s="231">
        <v>41720</v>
      </c>
      <c r="ET3" s="231">
        <v>122749</v>
      </c>
      <c r="EU3" s="231">
        <v>7946564</v>
      </c>
      <c r="EV3" s="231">
        <v>232052</v>
      </c>
      <c r="EW3" s="231">
        <v>233119</v>
      </c>
      <c r="EX3" s="231">
        <v>-1067</v>
      </c>
      <c r="EY3" s="229">
        <v>-4.5999999999999999E-3</v>
      </c>
      <c r="EZ3" s="229">
        <v>0.48599999999999999</v>
      </c>
      <c r="FA3" s="227" t="s">
        <v>556</v>
      </c>
      <c r="FB3" s="161">
        <f t="shared" ref="FB3:FB66" si="0">BX3-CB3</f>
        <v>40375</v>
      </c>
    </row>
    <row r="4" spans="1:158" ht="17.25" thickBot="1" x14ac:dyDescent="0.3">
      <c r="A4" s="226">
        <v>46086</v>
      </c>
      <c r="B4" s="227" t="s">
        <v>175</v>
      </c>
      <c r="C4" s="227" t="s">
        <v>544</v>
      </c>
      <c r="D4" s="228">
        <v>3100</v>
      </c>
      <c r="E4" s="228">
        <v>328.55</v>
      </c>
      <c r="F4" s="228">
        <v>322.25</v>
      </c>
      <c r="G4" s="228">
        <v>6.3</v>
      </c>
      <c r="H4" s="229">
        <v>1.9599999999999999E-2</v>
      </c>
      <c r="I4" s="228">
        <v>327.60000000000002</v>
      </c>
      <c r="J4" s="228">
        <v>321.55</v>
      </c>
      <c r="K4" s="228">
        <v>6.05</v>
      </c>
      <c r="L4" s="229">
        <v>1.8800000000000001E-2</v>
      </c>
      <c r="M4" s="228">
        <v>328.55</v>
      </c>
      <c r="N4" s="228">
        <v>322.25</v>
      </c>
      <c r="O4" s="228">
        <v>6.3</v>
      </c>
      <c r="P4" s="229">
        <v>1.9599999999999999E-2</v>
      </c>
      <c r="Q4" s="228">
        <v>330.8</v>
      </c>
      <c r="R4" s="228">
        <v>324.10000000000002</v>
      </c>
      <c r="S4" s="228">
        <v>6.7</v>
      </c>
      <c r="T4" s="229">
        <v>2.07E-2</v>
      </c>
      <c r="U4" s="228">
        <v>331.5</v>
      </c>
      <c r="V4" s="228">
        <v>326</v>
      </c>
      <c r="W4" s="228">
        <v>5.5</v>
      </c>
      <c r="X4" s="229">
        <v>1.6899999999999998E-2</v>
      </c>
      <c r="Y4" s="228">
        <v>0.95</v>
      </c>
      <c r="Z4" s="228">
        <v>0.7</v>
      </c>
      <c r="AA4" s="228">
        <v>0.25</v>
      </c>
      <c r="AB4" s="229">
        <v>2.8999999999999998E-3</v>
      </c>
      <c r="AC4" s="228">
        <v>0.95</v>
      </c>
      <c r="AD4" s="228">
        <v>0.7</v>
      </c>
      <c r="AE4" s="228">
        <v>0.25</v>
      </c>
      <c r="AF4" s="229">
        <v>2.8999999999999998E-3</v>
      </c>
      <c r="AG4" s="228">
        <v>3.2</v>
      </c>
      <c r="AH4" s="228">
        <v>2.5499999999999998</v>
      </c>
      <c r="AI4" s="228">
        <v>0.65</v>
      </c>
      <c r="AJ4" s="229">
        <v>9.7999999999999997E-3</v>
      </c>
      <c r="AK4" s="228">
        <v>3.9</v>
      </c>
      <c r="AL4" s="228">
        <v>4.45</v>
      </c>
      <c r="AM4" s="228">
        <v>-0.55000000000000004</v>
      </c>
      <c r="AN4" s="229">
        <v>1.1900000000000001E-2</v>
      </c>
      <c r="AO4" s="228">
        <v>325.97000000000003</v>
      </c>
      <c r="AP4" s="228">
        <v>327.96</v>
      </c>
      <c r="AQ4" s="228">
        <v>0</v>
      </c>
      <c r="AR4" s="230">
        <v>10323000</v>
      </c>
      <c r="AS4" s="230">
        <v>13835300</v>
      </c>
      <c r="AT4" s="230">
        <v>-3512300</v>
      </c>
      <c r="AU4" s="229">
        <v>-0.25390000000000001</v>
      </c>
      <c r="AV4" s="230">
        <v>9972700</v>
      </c>
      <c r="AW4" s="230">
        <v>13373400</v>
      </c>
      <c r="AX4" s="230">
        <v>-3400700</v>
      </c>
      <c r="AY4" s="229">
        <v>-0.25430000000000003</v>
      </c>
      <c r="AZ4" s="230">
        <v>331700</v>
      </c>
      <c r="BA4" s="230">
        <v>440200</v>
      </c>
      <c r="BB4" s="230">
        <v>-108500</v>
      </c>
      <c r="BC4" s="229">
        <v>-0.2465</v>
      </c>
      <c r="BD4" s="230">
        <v>18600</v>
      </c>
      <c r="BE4" s="230">
        <v>21700</v>
      </c>
      <c r="BF4" s="230">
        <v>-3100</v>
      </c>
      <c r="BG4" s="229">
        <v>-0.1429</v>
      </c>
      <c r="BH4" s="230">
        <v>14334400</v>
      </c>
      <c r="BI4" s="230">
        <v>36356800</v>
      </c>
      <c r="BJ4" s="230">
        <v>-22022400</v>
      </c>
      <c r="BK4" s="229">
        <v>-0.60570000000000002</v>
      </c>
      <c r="BL4" s="230">
        <v>7505100</v>
      </c>
      <c r="BM4" s="230">
        <v>17722700</v>
      </c>
      <c r="BN4" s="230">
        <v>-10217600</v>
      </c>
      <c r="BO4" s="229">
        <v>-0.57650000000000001</v>
      </c>
      <c r="BP4" s="230">
        <v>32162500</v>
      </c>
      <c r="BQ4" s="230">
        <v>67914800</v>
      </c>
      <c r="BR4" s="230">
        <v>-35752300</v>
      </c>
      <c r="BS4" s="229">
        <v>-0.52639999999999998</v>
      </c>
      <c r="BT4" s="230">
        <v>3796809</v>
      </c>
      <c r="BU4" s="230">
        <v>6246669</v>
      </c>
      <c r="BV4" s="230">
        <v>-2449860</v>
      </c>
      <c r="BW4" s="229">
        <v>-0.39219999999999999</v>
      </c>
      <c r="BX4" s="230">
        <v>49541100</v>
      </c>
      <c r="BY4" s="230">
        <v>50006100</v>
      </c>
      <c r="BZ4" s="230">
        <v>-465000</v>
      </c>
      <c r="CA4" s="229">
        <v>-9.2999999999999992E-3</v>
      </c>
      <c r="CB4" s="230">
        <v>48753700</v>
      </c>
      <c r="CC4" s="230">
        <v>49240400</v>
      </c>
      <c r="CD4" s="230">
        <v>-486700</v>
      </c>
      <c r="CE4" s="229">
        <v>-9.9000000000000008E-3</v>
      </c>
      <c r="CF4" s="230">
        <v>753300</v>
      </c>
      <c r="CG4" s="230">
        <v>734700</v>
      </c>
      <c r="CH4" s="230">
        <v>18600</v>
      </c>
      <c r="CI4" s="229">
        <v>2.53E-2</v>
      </c>
      <c r="CJ4" s="230">
        <v>34100</v>
      </c>
      <c r="CK4" s="230">
        <v>31000</v>
      </c>
      <c r="CL4" s="230">
        <v>3100</v>
      </c>
      <c r="CM4" s="229">
        <v>0.1</v>
      </c>
      <c r="CN4" s="230">
        <v>16402100</v>
      </c>
      <c r="CO4" s="230">
        <v>16709000</v>
      </c>
      <c r="CP4" s="230">
        <v>-306900</v>
      </c>
      <c r="CQ4" s="229">
        <v>-1.84E-2</v>
      </c>
      <c r="CR4" s="230">
        <v>10143200</v>
      </c>
      <c r="CS4" s="230">
        <v>10146300</v>
      </c>
      <c r="CT4" s="230">
        <v>-3100</v>
      </c>
      <c r="CU4" s="229">
        <v>-2.9999999999999997E-4</v>
      </c>
      <c r="CV4" s="230">
        <v>76086400</v>
      </c>
      <c r="CW4" s="230">
        <v>76861400</v>
      </c>
      <c r="CX4" s="230">
        <v>-775000</v>
      </c>
      <c r="CY4" s="229">
        <v>-1.01E-2</v>
      </c>
      <c r="CZ4" s="228">
        <v>34.39</v>
      </c>
      <c r="DA4" s="228">
        <v>38.11</v>
      </c>
      <c r="DB4" s="228">
        <v>-3.72</v>
      </c>
      <c r="DC4" s="228">
        <v>-3.72</v>
      </c>
      <c r="DD4" s="228">
        <v>37.61</v>
      </c>
      <c r="DE4" s="228">
        <v>37.61</v>
      </c>
      <c r="DF4" s="228">
        <v>-3.22</v>
      </c>
      <c r="DG4" s="228">
        <v>0</v>
      </c>
      <c r="DH4" s="228">
        <v>33.799999999999997</v>
      </c>
      <c r="DI4" s="228">
        <v>37.840000000000003</v>
      </c>
      <c r="DJ4" s="228">
        <v>-4.04</v>
      </c>
      <c r="DK4" s="228">
        <v>-4.04</v>
      </c>
      <c r="DL4" s="228">
        <v>35.51</v>
      </c>
      <c r="DM4" s="228">
        <v>38.68</v>
      </c>
      <c r="DN4" s="228">
        <v>-3.17</v>
      </c>
      <c r="DO4" s="228">
        <v>-3.17</v>
      </c>
      <c r="DP4" s="228">
        <v>0.62</v>
      </c>
      <c r="DQ4" s="228">
        <v>0.61</v>
      </c>
      <c r="DR4" s="228">
        <v>0.01</v>
      </c>
      <c r="DS4" s="229">
        <v>1.6400000000000001E-2</v>
      </c>
      <c r="DT4" s="228">
        <v>360</v>
      </c>
      <c r="DU4" s="228">
        <v>320</v>
      </c>
      <c r="DV4" s="228">
        <v>0.52</v>
      </c>
      <c r="DW4" s="228">
        <v>0.49</v>
      </c>
      <c r="DX4" s="228">
        <v>0.03</v>
      </c>
      <c r="DY4" s="229">
        <v>6.1199999999999997E-2</v>
      </c>
      <c r="DZ4" s="229">
        <v>1.5900000000000001E-2</v>
      </c>
      <c r="EA4" s="230">
        <v>765700</v>
      </c>
      <c r="EB4" s="229">
        <v>6.7999999999999996E-3</v>
      </c>
      <c r="EC4" s="229">
        <v>1.5900000000000001E-2</v>
      </c>
      <c r="ED4" s="228">
        <v>1.99</v>
      </c>
      <c r="EE4" s="229">
        <v>6.1000000000000004E-3</v>
      </c>
      <c r="EF4" s="230">
        <v>1557656</v>
      </c>
      <c r="EG4" s="230">
        <v>2500956</v>
      </c>
      <c r="EH4" s="229">
        <v>-0.37719999999999998</v>
      </c>
      <c r="EI4" s="229">
        <v>0.4103</v>
      </c>
      <c r="EJ4" s="231">
        <v>50371.96</v>
      </c>
      <c r="EK4" s="231">
        <v>24527.01</v>
      </c>
      <c r="EL4" s="231">
        <v>33656.75</v>
      </c>
      <c r="EM4" s="231">
        <v>8615</v>
      </c>
      <c r="EN4" s="231">
        <v>108555.72</v>
      </c>
      <c r="EO4" s="231">
        <v>232955.98</v>
      </c>
      <c r="EP4" s="231">
        <v>-124400.26</v>
      </c>
      <c r="EQ4" s="229">
        <v>-0.53400000000000003</v>
      </c>
      <c r="ER4" s="231">
        <v>58367</v>
      </c>
      <c r="ES4" s="231">
        <v>33547</v>
      </c>
      <c r="ET4" s="231">
        <v>162785</v>
      </c>
      <c r="EU4" s="231">
        <v>122657000</v>
      </c>
      <c r="EV4" s="231">
        <v>254699</v>
      </c>
      <c r="EW4" s="231">
        <v>254255</v>
      </c>
      <c r="EX4" s="228">
        <v>444</v>
      </c>
      <c r="EY4" s="229">
        <v>1.6999999999999999E-3</v>
      </c>
      <c r="EZ4" s="229">
        <v>0.62029999999999996</v>
      </c>
      <c r="FA4" s="227" t="s">
        <v>556</v>
      </c>
      <c r="FB4" s="161">
        <f t="shared" si="0"/>
        <v>787400</v>
      </c>
    </row>
    <row r="5" spans="1:158" ht="17.25" thickBot="1" x14ac:dyDescent="0.3">
      <c r="A5" s="226">
        <v>46086</v>
      </c>
      <c r="B5" s="227" t="s">
        <v>161</v>
      </c>
      <c r="C5" s="227" t="s">
        <v>579</v>
      </c>
      <c r="D5" s="228">
        <v>675</v>
      </c>
      <c r="E5" s="228">
        <v>991.9</v>
      </c>
      <c r="F5" s="228">
        <v>962.3</v>
      </c>
      <c r="G5" s="228">
        <v>29.6</v>
      </c>
      <c r="H5" s="229">
        <v>3.0800000000000001E-2</v>
      </c>
      <c r="I5" s="228">
        <v>987.9</v>
      </c>
      <c r="J5" s="228">
        <v>960.5</v>
      </c>
      <c r="K5" s="228">
        <v>27.4</v>
      </c>
      <c r="L5" s="229">
        <v>2.8500000000000001E-2</v>
      </c>
      <c r="M5" s="228">
        <v>991.9</v>
      </c>
      <c r="N5" s="228">
        <v>962.3</v>
      </c>
      <c r="O5" s="228">
        <v>29.6</v>
      </c>
      <c r="P5" s="229">
        <v>3.0800000000000001E-2</v>
      </c>
      <c r="Q5" s="228">
        <v>996.7</v>
      </c>
      <c r="R5" s="228">
        <v>968.1</v>
      </c>
      <c r="S5" s="228">
        <v>28.6</v>
      </c>
      <c r="T5" s="229">
        <v>2.9499999999999998E-2</v>
      </c>
      <c r="U5" s="231">
        <v>1004.4</v>
      </c>
      <c r="V5" s="228">
        <v>976</v>
      </c>
      <c r="W5" s="228">
        <v>28.4</v>
      </c>
      <c r="X5" s="229">
        <v>2.9100000000000001E-2</v>
      </c>
      <c r="Y5" s="228">
        <v>4</v>
      </c>
      <c r="Z5" s="228">
        <v>1.8</v>
      </c>
      <c r="AA5" s="228">
        <v>2.2000000000000002</v>
      </c>
      <c r="AB5" s="229">
        <v>4.0000000000000001E-3</v>
      </c>
      <c r="AC5" s="228">
        <v>4</v>
      </c>
      <c r="AD5" s="228">
        <v>1.8</v>
      </c>
      <c r="AE5" s="228">
        <v>2.2000000000000002</v>
      </c>
      <c r="AF5" s="229">
        <v>4.0000000000000001E-3</v>
      </c>
      <c r="AG5" s="228">
        <v>8.8000000000000007</v>
      </c>
      <c r="AH5" s="228">
        <v>7.6</v>
      </c>
      <c r="AI5" s="228">
        <v>1.2</v>
      </c>
      <c r="AJ5" s="229">
        <v>8.8999999999999999E-3</v>
      </c>
      <c r="AK5" s="228">
        <v>16.5</v>
      </c>
      <c r="AL5" s="228">
        <v>15.5</v>
      </c>
      <c r="AM5" s="228">
        <v>1</v>
      </c>
      <c r="AN5" s="229">
        <v>1.67E-2</v>
      </c>
      <c r="AO5" s="228">
        <v>983.38</v>
      </c>
      <c r="AP5" s="228">
        <v>992.45</v>
      </c>
      <c r="AQ5" s="228">
        <v>0</v>
      </c>
      <c r="AR5" s="230">
        <v>1522125</v>
      </c>
      <c r="AS5" s="230">
        <v>1954800</v>
      </c>
      <c r="AT5" s="230">
        <v>-432675</v>
      </c>
      <c r="AU5" s="229">
        <v>-0.2213</v>
      </c>
      <c r="AV5" s="230">
        <v>1430325</v>
      </c>
      <c r="AW5" s="230">
        <v>1887300</v>
      </c>
      <c r="AX5" s="230">
        <v>-456975</v>
      </c>
      <c r="AY5" s="229">
        <v>-0.24210000000000001</v>
      </c>
      <c r="AZ5" s="230">
        <v>83700</v>
      </c>
      <c r="BA5" s="230">
        <v>58050</v>
      </c>
      <c r="BB5" s="230">
        <v>25650</v>
      </c>
      <c r="BC5" s="229">
        <v>0.44190000000000002</v>
      </c>
      <c r="BD5" s="230">
        <v>8100</v>
      </c>
      <c r="BE5" s="230">
        <v>9450</v>
      </c>
      <c r="BF5" s="230">
        <v>-1350</v>
      </c>
      <c r="BG5" s="229">
        <v>-0.1429</v>
      </c>
      <c r="BH5" s="230">
        <v>1972350</v>
      </c>
      <c r="BI5" s="230">
        <v>2710800</v>
      </c>
      <c r="BJ5" s="230">
        <v>-738450</v>
      </c>
      <c r="BK5" s="229">
        <v>-0.27239999999999998</v>
      </c>
      <c r="BL5" s="230">
        <v>1301400</v>
      </c>
      <c r="BM5" s="230">
        <v>2492775</v>
      </c>
      <c r="BN5" s="230">
        <v>-1191375</v>
      </c>
      <c r="BO5" s="229">
        <v>-0.47789999999999999</v>
      </c>
      <c r="BP5" s="230">
        <v>4795875</v>
      </c>
      <c r="BQ5" s="230">
        <v>7158375</v>
      </c>
      <c r="BR5" s="230">
        <v>-2362500</v>
      </c>
      <c r="BS5" s="229">
        <v>-0.33</v>
      </c>
      <c r="BT5" s="230">
        <v>1025737</v>
      </c>
      <c r="BU5" s="230">
        <v>1829496</v>
      </c>
      <c r="BV5" s="230">
        <v>-803759</v>
      </c>
      <c r="BW5" s="229">
        <v>-0.43930000000000002</v>
      </c>
      <c r="BX5" s="230">
        <v>21371175</v>
      </c>
      <c r="BY5" s="230">
        <v>21474450</v>
      </c>
      <c r="BZ5" s="230">
        <v>-103275</v>
      </c>
      <c r="CA5" s="229">
        <v>-4.7999999999999996E-3</v>
      </c>
      <c r="CB5" s="230">
        <v>20760975</v>
      </c>
      <c r="CC5" s="230">
        <v>20868975</v>
      </c>
      <c r="CD5" s="230">
        <v>-108000</v>
      </c>
      <c r="CE5" s="229">
        <v>-5.1999999999999998E-3</v>
      </c>
      <c r="CF5" s="230">
        <v>369900</v>
      </c>
      <c r="CG5" s="230">
        <v>368550</v>
      </c>
      <c r="CH5" s="230">
        <v>1350</v>
      </c>
      <c r="CI5" s="229">
        <v>3.7000000000000002E-3</v>
      </c>
      <c r="CJ5" s="230">
        <v>240300</v>
      </c>
      <c r="CK5" s="230">
        <v>236925</v>
      </c>
      <c r="CL5" s="230">
        <v>3375</v>
      </c>
      <c r="CM5" s="229">
        <v>1.4200000000000001E-2</v>
      </c>
      <c r="CN5" s="230">
        <v>2259900</v>
      </c>
      <c r="CO5" s="230">
        <v>2072250</v>
      </c>
      <c r="CP5" s="230">
        <v>187650</v>
      </c>
      <c r="CQ5" s="229">
        <v>9.06E-2</v>
      </c>
      <c r="CR5" s="230">
        <v>1763100</v>
      </c>
      <c r="CS5" s="230">
        <v>1520775</v>
      </c>
      <c r="CT5" s="230">
        <v>242325</v>
      </c>
      <c r="CU5" s="229">
        <v>0.1593</v>
      </c>
      <c r="CV5" s="230">
        <v>25394175</v>
      </c>
      <c r="CW5" s="230">
        <v>25067475</v>
      </c>
      <c r="CX5" s="230">
        <v>326700</v>
      </c>
      <c r="CY5" s="229">
        <v>1.2999999999999999E-2</v>
      </c>
      <c r="CZ5" s="228">
        <v>37.49</v>
      </c>
      <c r="DA5" s="228">
        <v>41.77</v>
      </c>
      <c r="DB5" s="228">
        <v>-4.28</v>
      </c>
      <c r="DC5" s="228">
        <v>-4.28</v>
      </c>
      <c r="DD5" s="228">
        <v>54.29</v>
      </c>
      <c r="DE5" s="228">
        <v>54.28</v>
      </c>
      <c r="DF5" s="228">
        <v>-16.8</v>
      </c>
      <c r="DG5" s="228">
        <v>0.01</v>
      </c>
      <c r="DH5" s="228">
        <v>36.64</v>
      </c>
      <c r="DI5" s="228">
        <v>40.46</v>
      </c>
      <c r="DJ5" s="228">
        <v>-3.82</v>
      </c>
      <c r="DK5" s="228">
        <v>-3.82</v>
      </c>
      <c r="DL5" s="228">
        <v>38.770000000000003</v>
      </c>
      <c r="DM5" s="228">
        <v>43.2</v>
      </c>
      <c r="DN5" s="228">
        <v>-4.43</v>
      </c>
      <c r="DO5" s="228">
        <v>-4.43</v>
      </c>
      <c r="DP5" s="228">
        <v>0.78</v>
      </c>
      <c r="DQ5" s="228">
        <v>0.73</v>
      </c>
      <c r="DR5" s="228">
        <v>0.05</v>
      </c>
      <c r="DS5" s="229">
        <v>6.8500000000000005E-2</v>
      </c>
      <c r="DT5" s="231">
        <v>1000</v>
      </c>
      <c r="DU5" s="228">
        <v>900</v>
      </c>
      <c r="DV5" s="228">
        <v>0.66</v>
      </c>
      <c r="DW5" s="228">
        <v>0.92</v>
      </c>
      <c r="DX5" s="228">
        <v>-0.26</v>
      </c>
      <c r="DY5" s="229">
        <v>-0.28260000000000002</v>
      </c>
      <c r="DZ5" s="229">
        <v>2.86E-2</v>
      </c>
      <c r="EA5" s="230">
        <v>605475</v>
      </c>
      <c r="EB5" s="229">
        <v>4.7999999999999996E-3</v>
      </c>
      <c r="EC5" s="229">
        <v>2.86E-2</v>
      </c>
      <c r="ED5" s="228">
        <v>9.07</v>
      </c>
      <c r="EE5" s="229">
        <v>9.1999999999999998E-3</v>
      </c>
      <c r="EF5" s="230">
        <v>465855</v>
      </c>
      <c r="EG5" s="230">
        <v>936107</v>
      </c>
      <c r="EH5" s="229">
        <v>-0.50229999999999997</v>
      </c>
      <c r="EI5" s="229">
        <v>0.45419999999999999</v>
      </c>
      <c r="EJ5" s="231">
        <v>20610.740000000002</v>
      </c>
      <c r="EK5" s="231">
        <v>12821.08</v>
      </c>
      <c r="EL5" s="231">
        <v>14977.14</v>
      </c>
      <c r="EM5" s="231">
        <v>2514</v>
      </c>
      <c r="EN5" s="231">
        <v>48408.959999999999</v>
      </c>
      <c r="EO5" s="231">
        <v>70920.81</v>
      </c>
      <c r="EP5" s="231">
        <v>-22511.85</v>
      </c>
      <c r="EQ5" s="229">
        <v>-0.31740000000000002</v>
      </c>
      <c r="ER5" s="231">
        <v>23587</v>
      </c>
      <c r="ES5" s="231">
        <v>16789</v>
      </c>
      <c r="ET5" s="231">
        <v>212028</v>
      </c>
      <c r="EU5" s="231">
        <v>43791427</v>
      </c>
      <c r="EV5" s="231">
        <v>252404</v>
      </c>
      <c r="EW5" s="231">
        <v>242877</v>
      </c>
      <c r="EX5" s="231">
        <v>9527</v>
      </c>
      <c r="EY5" s="229">
        <v>3.9199999999999999E-2</v>
      </c>
      <c r="EZ5" s="229">
        <v>0.57989999999999997</v>
      </c>
      <c r="FA5" s="227" t="s">
        <v>556</v>
      </c>
      <c r="FB5" s="161">
        <f t="shared" si="0"/>
        <v>610200</v>
      </c>
    </row>
    <row r="6" spans="1:158" ht="17.25" thickBot="1" x14ac:dyDescent="0.3">
      <c r="A6" s="226">
        <v>46086</v>
      </c>
      <c r="B6" s="227" t="s">
        <v>215</v>
      </c>
      <c r="C6" s="227" t="s">
        <v>159</v>
      </c>
      <c r="D6" s="228">
        <v>309</v>
      </c>
      <c r="E6" s="231">
        <v>2096.1999999999998</v>
      </c>
      <c r="F6" s="231">
        <v>2070.5</v>
      </c>
      <c r="G6" s="228">
        <v>25.7</v>
      </c>
      <c r="H6" s="229">
        <v>1.24E-2</v>
      </c>
      <c r="I6" s="231">
        <v>2089.1999999999998</v>
      </c>
      <c r="J6" s="231">
        <v>2076.5</v>
      </c>
      <c r="K6" s="228">
        <v>12.7</v>
      </c>
      <c r="L6" s="229">
        <v>6.1000000000000004E-3</v>
      </c>
      <c r="M6" s="231">
        <v>2096.1999999999998</v>
      </c>
      <c r="N6" s="231">
        <v>2070.5</v>
      </c>
      <c r="O6" s="228">
        <v>25.7</v>
      </c>
      <c r="P6" s="229">
        <v>1.24E-2</v>
      </c>
      <c r="Q6" s="231">
        <v>2100.5</v>
      </c>
      <c r="R6" s="231">
        <v>2073.8000000000002</v>
      </c>
      <c r="S6" s="228">
        <v>26.7</v>
      </c>
      <c r="T6" s="229">
        <v>1.29E-2</v>
      </c>
      <c r="U6" s="231">
        <v>2106.9</v>
      </c>
      <c r="V6" s="231">
        <v>2080.6</v>
      </c>
      <c r="W6" s="228">
        <v>26.3</v>
      </c>
      <c r="X6" s="229">
        <v>1.26E-2</v>
      </c>
      <c r="Y6" s="228">
        <v>7</v>
      </c>
      <c r="Z6" s="228">
        <v>-6</v>
      </c>
      <c r="AA6" s="228">
        <v>13</v>
      </c>
      <c r="AB6" s="229">
        <v>3.3999999999999998E-3</v>
      </c>
      <c r="AC6" s="228">
        <v>7</v>
      </c>
      <c r="AD6" s="228">
        <v>-6</v>
      </c>
      <c r="AE6" s="228">
        <v>13</v>
      </c>
      <c r="AF6" s="229">
        <v>3.3999999999999998E-3</v>
      </c>
      <c r="AG6" s="228">
        <v>11.3</v>
      </c>
      <c r="AH6" s="228">
        <v>-2.7</v>
      </c>
      <c r="AI6" s="228">
        <v>14</v>
      </c>
      <c r="AJ6" s="229">
        <v>5.4000000000000003E-3</v>
      </c>
      <c r="AK6" s="228">
        <v>17.7</v>
      </c>
      <c r="AL6" s="228">
        <v>4.0999999999999996</v>
      </c>
      <c r="AM6" s="228">
        <v>13.6</v>
      </c>
      <c r="AN6" s="229">
        <v>8.5000000000000006E-3</v>
      </c>
      <c r="AO6" s="231">
        <v>2070.23</v>
      </c>
      <c r="AP6" s="231">
        <v>2069.06</v>
      </c>
      <c r="AQ6" s="228">
        <v>0</v>
      </c>
      <c r="AR6" s="230">
        <v>2391042</v>
      </c>
      <c r="AS6" s="230">
        <v>2785017</v>
      </c>
      <c r="AT6" s="230">
        <v>-393975</v>
      </c>
      <c r="AU6" s="229">
        <v>-0.14149999999999999</v>
      </c>
      <c r="AV6" s="230">
        <v>2118195</v>
      </c>
      <c r="AW6" s="230">
        <v>2007264</v>
      </c>
      <c r="AX6" s="230">
        <v>110931</v>
      </c>
      <c r="AY6" s="229">
        <v>5.5300000000000002E-2</v>
      </c>
      <c r="AZ6" s="230">
        <v>195288</v>
      </c>
      <c r="BA6" s="230">
        <v>127308</v>
      </c>
      <c r="BB6" s="230">
        <v>67980</v>
      </c>
      <c r="BC6" s="229">
        <v>0.53400000000000003</v>
      </c>
      <c r="BD6" s="230">
        <v>77559</v>
      </c>
      <c r="BE6" s="230">
        <v>650445</v>
      </c>
      <c r="BF6" s="230">
        <v>-572886</v>
      </c>
      <c r="BG6" s="229">
        <v>-0.88080000000000003</v>
      </c>
      <c r="BH6" s="230">
        <v>6942921</v>
      </c>
      <c r="BI6" s="230">
        <v>4728318</v>
      </c>
      <c r="BJ6" s="230">
        <v>2214603</v>
      </c>
      <c r="BK6" s="229">
        <v>0.46839999999999998</v>
      </c>
      <c r="BL6" s="230">
        <v>4658175</v>
      </c>
      <c r="BM6" s="230">
        <v>4601628</v>
      </c>
      <c r="BN6" s="230">
        <v>56547</v>
      </c>
      <c r="BO6" s="229">
        <v>1.23E-2</v>
      </c>
      <c r="BP6" s="230">
        <v>13992138</v>
      </c>
      <c r="BQ6" s="230">
        <v>12114963</v>
      </c>
      <c r="BR6" s="230">
        <v>1877175</v>
      </c>
      <c r="BS6" s="229">
        <v>0.15490000000000001</v>
      </c>
      <c r="BT6" s="230">
        <v>1305991</v>
      </c>
      <c r="BU6" s="230">
        <v>1656013</v>
      </c>
      <c r="BV6" s="230">
        <v>-350022</v>
      </c>
      <c r="BW6" s="229">
        <v>-0.2114</v>
      </c>
      <c r="BX6" s="230">
        <v>18666381</v>
      </c>
      <c r="BY6" s="230">
        <v>18750738</v>
      </c>
      <c r="BZ6" s="230">
        <v>-84357</v>
      </c>
      <c r="CA6" s="229">
        <v>-4.4999999999999997E-3</v>
      </c>
      <c r="CB6" s="230">
        <v>16201797</v>
      </c>
      <c r="CC6" s="230">
        <v>16324470</v>
      </c>
      <c r="CD6" s="230">
        <v>-122673</v>
      </c>
      <c r="CE6" s="229">
        <v>-7.4999999999999997E-3</v>
      </c>
      <c r="CF6" s="230">
        <v>1426035</v>
      </c>
      <c r="CG6" s="230">
        <v>1402551</v>
      </c>
      <c r="CH6" s="230">
        <v>23484</v>
      </c>
      <c r="CI6" s="229">
        <v>1.67E-2</v>
      </c>
      <c r="CJ6" s="230">
        <v>1038549</v>
      </c>
      <c r="CK6" s="230">
        <v>1023717</v>
      </c>
      <c r="CL6" s="230">
        <v>14832</v>
      </c>
      <c r="CM6" s="229">
        <v>1.4500000000000001E-2</v>
      </c>
      <c r="CN6" s="230">
        <v>5054004</v>
      </c>
      <c r="CO6" s="230">
        <v>4627584</v>
      </c>
      <c r="CP6" s="230">
        <v>426420</v>
      </c>
      <c r="CQ6" s="229">
        <v>9.2100000000000001E-2</v>
      </c>
      <c r="CR6" s="230">
        <v>4777758</v>
      </c>
      <c r="CS6" s="230">
        <v>4547553</v>
      </c>
      <c r="CT6" s="230">
        <v>230205</v>
      </c>
      <c r="CU6" s="229">
        <v>5.0599999999999999E-2</v>
      </c>
      <c r="CV6" s="230">
        <v>28498143</v>
      </c>
      <c r="CW6" s="230">
        <v>27925875</v>
      </c>
      <c r="CX6" s="230">
        <v>572268</v>
      </c>
      <c r="CY6" s="229">
        <v>2.0500000000000001E-2</v>
      </c>
      <c r="CZ6" s="228">
        <v>35.85</v>
      </c>
      <c r="DA6" s="228">
        <v>40.9</v>
      </c>
      <c r="DB6" s="228">
        <v>-5.05</v>
      </c>
      <c r="DC6" s="228">
        <v>-5.05</v>
      </c>
      <c r="DD6" s="228">
        <v>48.48</v>
      </c>
      <c r="DE6" s="228">
        <v>48.57</v>
      </c>
      <c r="DF6" s="228">
        <v>-12.63</v>
      </c>
      <c r="DG6" s="228">
        <v>-0.09</v>
      </c>
      <c r="DH6" s="228">
        <v>35.1</v>
      </c>
      <c r="DI6" s="228">
        <v>39.33</v>
      </c>
      <c r="DJ6" s="228">
        <v>-4.2300000000000004</v>
      </c>
      <c r="DK6" s="228">
        <v>-4.2300000000000004</v>
      </c>
      <c r="DL6" s="228">
        <v>36.97</v>
      </c>
      <c r="DM6" s="228">
        <v>42.52</v>
      </c>
      <c r="DN6" s="228">
        <v>-5.55</v>
      </c>
      <c r="DO6" s="228">
        <v>-5.55</v>
      </c>
      <c r="DP6" s="228">
        <v>0.95</v>
      </c>
      <c r="DQ6" s="228">
        <v>0.98</v>
      </c>
      <c r="DR6" s="228">
        <v>-0.03</v>
      </c>
      <c r="DS6" s="229">
        <v>-3.0599999999999999E-2</v>
      </c>
      <c r="DT6" s="231">
        <v>2200</v>
      </c>
      <c r="DU6" s="231">
        <v>2200</v>
      </c>
      <c r="DV6" s="228">
        <v>0.67</v>
      </c>
      <c r="DW6" s="228">
        <v>0.97</v>
      </c>
      <c r="DX6" s="228">
        <v>-0.3</v>
      </c>
      <c r="DY6" s="229">
        <v>-0.30930000000000002</v>
      </c>
      <c r="DZ6" s="229">
        <v>0.13200000000000001</v>
      </c>
      <c r="EA6" s="230">
        <v>2426268</v>
      </c>
      <c r="EB6" s="229">
        <v>2.0999999999999999E-3</v>
      </c>
      <c r="EC6" s="229">
        <v>0.13200000000000001</v>
      </c>
      <c r="ED6" s="228">
        <v>-1.17</v>
      </c>
      <c r="EE6" s="229">
        <v>-5.9999999999999995E-4</v>
      </c>
      <c r="EF6" s="230">
        <v>294873</v>
      </c>
      <c r="EG6" s="230">
        <v>653062</v>
      </c>
      <c r="EH6" s="229">
        <v>-0.54849999999999999</v>
      </c>
      <c r="EI6" s="229">
        <v>0.2258</v>
      </c>
      <c r="EJ6" s="231">
        <v>153575.20000000001</v>
      </c>
      <c r="EK6" s="231">
        <v>97213.14</v>
      </c>
      <c r="EL6" s="231">
        <v>49495.95</v>
      </c>
      <c r="EM6" s="231">
        <v>9154</v>
      </c>
      <c r="EN6" s="231">
        <v>300284.28999999998</v>
      </c>
      <c r="EO6" s="231">
        <v>258764.24</v>
      </c>
      <c r="EP6" s="231">
        <v>41520.050000000003</v>
      </c>
      <c r="EQ6" s="229">
        <v>0.1605</v>
      </c>
      <c r="ER6" s="231">
        <v>113047</v>
      </c>
      <c r="ES6" s="231">
        <v>102264</v>
      </c>
      <c r="ET6" s="231">
        <v>391457</v>
      </c>
      <c r="EU6" s="231">
        <v>49117354</v>
      </c>
      <c r="EV6" s="231">
        <v>606769</v>
      </c>
      <c r="EW6" s="231">
        <v>589995</v>
      </c>
      <c r="EX6" s="231">
        <v>16774</v>
      </c>
      <c r="EY6" s="229">
        <v>2.8400000000000002E-2</v>
      </c>
      <c r="EZ6" s="229">
        <v>0.58020000000000005</v>
      </c>
      <c r="FA6" s="227" t="s">
        <v>556</v>
      </c>
      <c r="FB6" s="161">
        <f t="shared" si="0"/>
        <v>2464584</v>
      </c>
    </row>
    <row r="7" spans="1:158" ht="17.25" thickBot="1" x14ac:dyDescent="0.3">
      <c r="A7" s="226">
        <v>46086</v>
      </c>
      <c r="B7" s="227" t="s">
        <v>161</v>
      </c>
      <c r="C7" s="227" t="s">
        <v>606</v>
      </c>
      <c r="D7" s="228">
        <v>600</v>
      </c>
      <c r="E7" s="228">
        <v>888.4</v>
      </c>
      <c r="F7" s="228">
        <v>874.95</v>
      </c>
      <c r="G7" s="228">
        <v>13.45</v>
      </c>
      <c r="H7" s="229">
        <v>1.54E-2</v>
      </c>
      <c r="I7" s="228">
        <v>884.55</v>
      </c>
      <c r="J7" s="228">
        <v>871.95</v>
      </c>
      <c r="K7" s="228">
        <v>12.6</v>
      </c>
      <c r="L7" s="229">
        <v>1.4500000000000001E-2</v>
      </c>
      <c r="M7" s="228">
        <v>888.4</v>
      </c>
      <c r="N7" s="228">
        <v>874.95</v>
      </c>
      <c r="O7" s="228">
        <v>13.45</v>
      </c>
      <c r="P7" s="229">
        <v>1.54E-2</v>
      </c>
      <c r="Q7" s="228">
        <v>894.2</v>
      </c>
      <c r="R7" s="228">
        <v>880.8</v>
      </c>
      <c r="S7" s="228">
        <v>13.4</v>
      </c>
      <c r="T7" s="229">
        <v>1.52E-2</v>
      </c>
      <c r="U7" s="228">
        <v>899.9</v>
      </c>
      <c r="V7" s="228">
        <v>889</v>
      </c>
      <c r="W7" s="228">
        <v>10.9</v>
      </c>
      <c r="X7" s="229">
        <v>1.23E-2</v>
      </c>
      <c r="Y7" s="228">
        <v>3.85</v>
      </c>
      <c r="Z7" s="228">
        <v>3</v>
      </c>
      <c r="AA7" s="228">
        <v>0.85</v>
      </c>
      <c r="AB7" s="229">
        <v>4.4000000000000003E-3</v>
      </c>
      <c r="AC7" s="228">
        <v>3.85</v>
      </c>
      <c r="AD7" s="228">
        <v>3</v>
      </c>
      <c r="AE7" s="228">
        <v>0.85</v>
      </c>
      <c r="AF7" s="229">
        <v>4.4000000000000003E-3</v>
      </c>
      <c r="AG7" s="228">
        <v>9.65</v>
      </c>
      <c r="AH7" s="228">
        <v>8.85</v>
      </c>
      <c r="AI7" s="228">
        <v>0.8</v>
      </c>
      <c r="AJ7" s="229">
        <v>1.09E-2</v>
      </c>
      <c r="AK7" s="228">
        <v>15.35</v>
      </c>
      <c r="AL7" s="228">
        <v>17.05</v>
      </c>
      <c r="AM7" s="228">
        <v>-1.7</v>
      </c>
      <c r="AN7" s="229">
        <v>1.7399999999999999E-2</v>
      </c>
      <c r="AO7" s="228">
        <v>879.68</v>
      </c>
      <c r="AP7" s="228">
        <v>886.71</v>
      </c>
      <c r="AQ7" s="228">
        <v>0</v>
      </c>
      <c r="AR7" s="230">
        <v>3384600</v>
      </c>
      <c r="AS7" s="230">
        <v>1855200</v>
      </c>
      <c r="AT7" s="230">
        <v>1529400</v>
      </c>
      <c r="AU7" s="229">
        <v>0.82440000000000002</v>
      </c>
      <c r="AV7" s="230">
        <v>3046200</v>
      </c>
      <c r="AW7" s="230">
        <v>1676400</v>
      </c>
      <c r="AX7" s="230">
        <v>1369800</v>
      </c>
      <c r="AY7" s="229">
        <v>0.81710000000000005</v>
      </c>
      <c r="AZ7" s="230">
        <v>327600</v>
      </c>
      <c r="BA7" s="230">
        <v>149400</v>
      </c>
      <c r="BB7" s="230">
        <v>178200</v>
      </c>
      <c r="BC7" s="229">
        <v>1.1928000000000001</v>
      </c>
      <c r="BD7" s="230">
        <v>10800</v>
      </c>
      <c r="BE7" s="230">
        <v>29400</v>
      </c>
      <c r="BF7" s="230">
        <v>-18600</v>
      </c>
      <c r="BG7" s="229">
        <v>-0.63270000000000004</v>
      </c>
      <c r="BH7" s="230">
        <v>8534400</v>
      </c>
      <c r="BI7" s="230">
        <v>4591800</v>
      </c>
      <c r="BJ7" s="230">
        <v>3942600</v>
      </c>
      <c r="BK7" s="229">
        <v>0.85860000000000003</v>
      </c>
      <c r="BL7" s="230">
        <v>3299400</v>
      </c>
      <c r="BM7" s="230">
        <v>3592800</v>
      </c>
      <c r="BN7" s="230">
        <v>-293400</v>
      </c>
      <c r="BO7" s="229">
        <v>-8.1699999999999995E-2</v>
      </c>
      <c r="BP7" s="230">
        <v>15218400</v>
      </c>
      <c r="BQ7" s="230">
        <v>10039800</v>
      </c>
      <c r="BR7" s="230">
        <v>5178600</v>
      </c>
      <c r="BS7" s="229">
        <v>0.51580000000000004</v>
      </c>
      <c r="BT7" s="230">
        <v>4880697</v>
      </c>
      <c r="BU7" s="230">
        <v>2168364</v>
      </c>
      <c r="BV7" s="230">
        <v>2712333</v>
      </c>
      <c r="BW7" s="229">
        <v>1.2508999999999999</v>
      </c>
      <c r="BX7" s="230">
        <v>22128600</v>
      </c>
      <c r="BY7" s="230">
        <v>22026600</v>
      </c>
      <c r="BZ7" s="230">
        <v>102000</v>
      </c>
      <c r="CA7" s="229">
        <v>4.5999999999999999E-3</v>
      </c>
      <c r="CB7" s="230">
        <v>21574200</v>
      </c>
      <c r="CC7" s="230">
        <v>21574200</v>
      </c>
      <c r="CD7" s="228">
        <v>0</v>
      </c>
      <c r="CE7" s="229">
        <v>0</v>
      </c>
      <c r="CF7" s="230">
        <v>503400</v>
      </c>
      <c r="CG7" s="230">
        <v>405000</v>
      </c>
      <c r="CH7" s="230">
        <v>98400</v>
      </c>
      <c r="CI7" s="229">
        <v>0.24299999999999999</v>
      </c>
      <c r="CJ7" s="230">
        <v>51000</v>
      </c>
      <c r="CK7" s="230">
        <v>47400</v>
      </c>
      <c r="CL7" s="230">
        <v>3600</v>
      </c>
      <c r="CM7" s="229">
        <v>7.5899999999999995E-2</v>
      </c>
      <c r="CN7" s="230">
        <v>7704600</v>
      </c>
      <c r="CO7" s="230">
        <v>6124800</v>
      </c>
      <c r="CP7" s="230">
        <v>1579800</v>
      </c>
      <c r="CQ7" s="229">
        <v>0.25790000000000002</v>
      </c>
      <c r="CR7" s="230">
        <v>4785000</v>
      </c>
      <c r="CS7" s="230">
        <v>4507200</v>
      </c>
      <c r="CT7" s="230">
        <v>277800</v>
      </c>
      <c r="CU7" s="229">
        <v>6.1600000000000002E-2</v>
      </c>
      <c r="CV7" s="230">
        <v>34618200</v>
      </c>
      <c r="CW7" s="230">
        <v>32658600</v>
      </c>
      <c r="CX7" s="230">
        <v>1959600</v>
      </c>
      <c r="CY7" s="229">
        <v>0.06</v>
      </c>
      <c r="CZ7" s="228">
        <v>43.53</v>
      </c>
      <c r="DA7" s="228">
        <v>47.1</v>
      </c>
      <c r="DB7" s="228">
        <v>-3.57</v>
      </c>
      <c r="DC7" s="228">
        <v>-3.57</v>
      </c>
      <c r="DD7" s="228">
        <v>58.24</v>
      </c>
      <c r="DE7" s="228">
        <v>58.35</v>
      </c>
      <c r="DF7" s="228">
        <v>-14.71</v>
      </c>
      <c r="DG7" s="228">
        <v>-0.11</v>
      </c>
      <c r="DH7" s="228">
        <v>43.45</v>
      </c>
      <c r="DI7" s="228">
        <v>46.45</v>
      </c>
      <c r="DJ7" s="228">
        <v>-3</v>
      </c>
      <c r="DK7" s="228">
        <v>-3</v>
      </c>
      <c r="DL7" s="228">
        <v>43.76</v>
      </c>
      <c r="DM7" s="228">
        <v>47.92</v>
      </c>
      <c r="DN7" s="228">
        <v>-4.16</v>
      </c>
      <c r="DO7" s="228">
        <v>-4.16</v>
      </c>
      <c r="DP7" s="228">
        <v>0.62</v>
      </c>
      <c r="DQ7" s="228">
        <v>0.74</v>
      </c>
      <c r="DR7" s="228">
        <v>-0.12</v>
      </c>
      <c r="DS7" s="229">
        <v>-0.16220000000000001</v>
      </c>
      <c r="DT7" s="228">
        <v>950</v>
      </c>
      <c r="DU7" s="228">
        <v>900</v>
      </c>
      <c r="DV7" s="228">
        <v>0.39</v>
      </c>
      <c r="DW7" s="228">
        <v>0.78</v>
      </c>
      <c r="DX7" s="228">
        <v>-0.39</v>
      </c>
      <c r="DY7" s="229">
        <v>-0.5</v>
      </c>
      <c r="DZ7" s="229">
        <v>2.5100000000000001E-2</v>
      </c>
      <c r="EA7" s="230">
        <v>452400</v>
      </c>
      <c r="EB7" s="229">
        <v>6.4999999999999997E-3</v>
      </c>
      <c r="EC7" s="229">
        <v>2.5100000000000001E-2</v>
      </c>
      <c r="ED7" s="228">
        <v>7.03</v>
      </c>
      <c r="EE7" s="229">
        <v>8.0000000000000002E-3</v>
      </c>
      <c r="EF7" s="230">
        <v>2552582</v>
      </c>
      <c r="EG7" s="230">
        <v>685868</v>
      </c>
      <c r="EH7" s="229">
        <v>2.7216999999999998</v>
      </c>
      <c r="EI7" s="229">
        <v>0.52300000000000002</v>
      </c>
      <c r="EJ7" s="231">
        <v>81843.429999999993</v>
      </c>
      <c r="EK7" s="231">
        <v>29363.49</v>
      </c>
      <c r="EL7" s="231">
        <v>29797.759999999998</v>
      </c>
      <c r="EM7" s="231">
        <v>3740</v>
      </c>
      <c r="EN7" s="231">
        <v>141004.68</v>
      </c>
      <c r="EO7" s="231">
        <v>93189.35</v>
      </c>
      <c r="EP7" s="231">
        <v>47815.33</v>
      </c>
      <c r="EQ7" s="229">
        <v>0.5131</v>
      </c>
      <c r="ER7" s="231">
        <v>75920</v>
      </c>
      <c r="ES7" s="231">
        <v>43552</v>
      </c>
      <c r="ET7" s="231">
        <v>196626</v>
      </c>
      <c r="EU7" s="231">
        <v>92816927</v>
      </c>
      <c r="EV7" s="231">
        <v>316098</v>
      </c>
      <c r="EW7" s="231">
        <v>295075</v>
      </c>
      <c r="EX7" s="231">
        <v>21023</v>
      </c>
      <c r="EY7" s="229">
        <v>7.1199999999999999E-2</v>
      </c>
      <c r="EZ7" s="229">
        <v>0.373</v>
      </c>
      <c r="FA7" s="227" t="s">
        <v>555</v>
      </c>
      <c r="FB7" s="161">
        <f t="shared" si="0"/>
        <v>554400</v>
      </c>
    </row>
    <row r="8" spans="1:158" ht="17.25" thickBot="1" x14ac:dyDescent="0.3">
      <c r="A8" s="226">
        <v>46086</v>
      </c>
      <c r="B8" s="227" t="s">
        <v>215</v>
      </c>
      <c r="C8" s="227" t="s">
        <v>160</v>
      </c>
      <c r="D8" s="228">
        <v>475</v>
      </c>
      <c r="E8" s="231">
        <v>1501.8</v>
      </c>
      <c r="F8" s="231">
        <v>1440.9</v>
      </c>
      <c r="G8" s="228">
        <v>60.9</v>
      </c>
      <c r="H8" s="229">
        <v>4.2299999999999997E-2</v>
      </c>
      <c r="I8" s="231">
        <v>1499.3</v>
      </c>
      <c r="J8" s="231">
        <v>1434.4</v>
      </c>
      <c r="K8" s="228">
        <v>64.900000000000006</v>
      </c>
      <c r="L8" s="229">
        <v>4.5199999999999997E-2</v>
      </c>
      <c r="M8" s="231">
        <v>1501.8</v>
      </c>
      <c r="N8" s="231">
        <v>1440.9</v>
      </c>
      <c r="O8" s="228">
        <v>60.9</v>
      </c>
      <c r="P8" s="229">
        <v>4.2299999999999997E-2</v>
      </c>
      <c r="Q8" s="231">
        <v>1510.6</v>
      </c>
      <c r="R8" s="231">
        <v>1449.9</v>
      </c>
      <c r="S8" s="228">
        <v>60.7</v>
      </c>
      <c r="T8" s="229">
        <v>4.19E-2</v>
      </c>
      <c r="U8" s="231">
        <v>1518.8</v>
      </c>
      <c r="V8" s="231">
        <v>1458</v>
      </c>
      <c r="W8" s="228">
        <v>60.8</v>
      </c>
      <c r="X8" s="229">
        <v>4.1700000000000001E-2</v>
      </c>
      <c r="Y8" s="228">
        <v>2.5</v>
      </c>
      <c r="Z8" s="228">
        <v>6.5</v>
      </c>
      <c r="AA8" s="228">
        <v>-4</v>
      </c>
      <c r="AB8" s="229">
        <v>1.6999999999999999E-3</v>
      </c>
      <c r="AC8" s="228">
        <v>2.5</v>
      </c>
      <c r="AD8" s="228">
        <v>6.5</v>
      </c>
      <c r="AE8" s="228">
        <v>-4</v>
      </c>
      <c r="AF8" s="229">
        <v>1.6999999999999999E-3</v>
      </c>
      <c r="AG8" s="228">
        <v>11.3</v>
      </c>
      <c r="AH8" s="228">
        <v>15.5</v>
      </c>
      <c r="AI8" s="228">
        <v>-4.2</v>
      </c>
      <c r="AJ8" s="229">
        <v>7.4999999999999997E-3</v>
      </c>
      <c r="AK8" s="228">
        <v>19.5</v>
      </c>
      <c r="AL8" s="228">
        <v>23.6</v>
      </c>
      <c r="AM8" s="228">
        <v>-4.0999999999999996</v>
      </c>
      <c r="AN8" s="229">
        <v>1.2999999999999999E-2</v>
      </c>
      <c r="AO8" s="231">
        <v>1479.86</v>
      </c>
      <c r="AP8" s="231">
        <v>1490.65</v>
      </c>
      <c r="AQ8" s="228">
        <v>0</v>
      </c>
      <c r="AR8" s="230">
        <v>4550975</v>
      </c>
      <c r="AS8" s="230">
        <v>4163375</v>
      </c>
      <c r="AT8" s="230">
        <v>387600</v>
      </c>
      <c r="AU8" s="229">
        <v>9.3100000000000002E-2</v>
      </c>
      <c r="AV8" s="230">
        <v>4361450</v>
      </c>
      <c r="AW8" s="230">
        <v>3809500</v>
      </c>
      <c r="AX8" s="230">
        <v>551950</v>
      </c>
      <c r="AY8" s="229">
        <v>0.1449</v>
      </c>
      <c r="AZ8" s="230">
        <v>172900</v>
      </c>
      <c r="BA8" s="230">
        <v>259825</v>
      </c>
      <c r="BB8" s="230">
        <v>-86925</v>
      </c>
      <c r="BC8" s="229">
        <v>-0.33460000000000001</v>
      </c>
      <c r="BD8" s="230">
        <v>16625</v>
      </c>
      <c r="BE8" s="230">
        <v>94050</v>
      </c>
      <c r="BF8" s="230">
        <v>-77425</v>
      </c>
      <c r="BG8" s="229">
        <v>-0.82320000000000004</v>
      </c>
      <c r="BH8" s="230">
        <v>11724900</v>
      </c>
      <c r="BI8" s="230">
        <v>9642500</v>
      </c>
      <c r="BJ8" s="230">
        <v>2082400</v>
      </c>
      <c r="BK8" s="229">
        <v>0.216</v>
      </c>
      <c r="BL8" s="230">
        <v>9738450</v>
      </c>
      <c r="BM8" s="230">
        <v>15440350</v>
      </c>
      <c r="BN8" s="230">
        <v>-5701900</v>
      </c>
      <c r="BO8" s="229">
        <v>-0.36930000000000002</v>
      </c>
      <c r="BP8" s="230">
        <v>26014325</v>
      </c>
      <c r="BQ8" s="230">
        <v>29246225</v>
      </c>
      <c r="BR8" s="230">
        <v>-3231900</v>
      </c>
      <c r="BS8" s="229">
        <v>-0.1105</v>
      </c>
      <c r="BT8" s="230">
        <v>3346045</v>
      </c>
      <c r="BU8" s="230">
        <v>3537704</v>
      </c>
      <c r="BV8" s="230">
        <v>-191659</v>
      </c>
      <c r="BW8" s="229">
        <v>-5.4199999999999998E-2</v>
      </c>
      <c r="BX8" s="230">
        <v>21037750</v>
      </c>
      <c r="BY8" s="230">
        <v>21393050</v>
      </c>
      <c r="BZ8" s="230">
        <v>-355300</v>
      </c>
      <c r="CA8" s="229">
        <v>-1.66E-2</v>
      </c>
      <c r="CB8" s="230">
        <v>20369425</v>
      </c>
      <c r="CC8" s="230">
        <v>20716175</v>
      </c>
      <c r="CD8" s="230">
        <v>-346750</v>
      </c>
      <c r="CE8" s="229">
        <v>-1.67E-2</v>
      </c>
      <c r="CF8" s="230">
        <v>551000</v>
      </c>
      <c r="CG8" s="230">
        <v>562400</v>
      </c>
      <c r="CH8" s="230">
        <v>-11400</v>
      </c>
      <c r="CI8" s="229">
        <v>-2.0299999999999999E-2</v>
      </c>
      <c r="CJ8" s="230">
        <v>117325</v>
      </c>
      <c r="CK8" s="230">
        <v>114475</v>
      </c>
      <c r="CL8" s="230">
        <v>2850</v>
      </c>
      <c r="CM8" s="229">
        <v>2.4899999999999999E-2</v>
      </c>
      <c r="CN8" s="230">
        <v>6978225</v>
      </c>
      <c r="CO8" s="230">
        <v>6791075</v>
      </c>
      <c r="CP8" s="230">
        <v>187150</v>
      </c>
      <c r="CQ8" s="229">
        <v>2.76E-2</v>
      </c>
      <c r="CR8" s="230">
        <v>6400625</v>
      </c>
      <c r="CS8" s="230">
        <v>6363100</v>
      </c>
      <c r="CT8" s="230">
        <v>37525</v>
      </c>
      <c r="CU8" s="229">
        <v>5.8999999999999999E-3</v>
      </c>
      <c r="CV8" s="230">
        <v>34416600</v>
      </c>
      <c r="CW8" s="230">
        <v>34547225</v>
      </c>
      <c r="CX8" s="230">
        <v>-130625</v>
      </c>
      <c r="CY8" s="229">
        <v>-3.8E-3</v>
      </c>
      <c r="CZ8" s="228">
        <v>32.64</v>
      </c>
      <c r="DA8" s="228">
        <v>38.200000000000003</v>
      </c>
      <c r="DB8" s="228">
        <v>-5.56</v>
      </c>
      <c r="DC8" s="228">
        <v>-5.56</v>
      </c>
      <c r="DD8" s="228">
        <v>39.04</v>
      </c>
      <c r="DE8" s="228">
        <v>38.69</v>
      </c>
      <c r="DF8" s="228">
        <v>-6.4</v>
      </c>
      <c r="DG8" s="228">
        <v>0.35</v>
      </c>
      <c r="DH8" s="228">
        <v>31.17</v>
      </c>
      <c r="DI8" s="228">
        <v>35.32</v>
      </c>
      <c r="DJ8" s="228">
        <v>-4.1500000000000004</v>
      </c>
      <c r="DK8" s="228">
        <v>-4.1500000000000004</v>
      </c>
      <c r="DL8" s="228">
        <v>34.409999999999997</v>
      </c>
      <c r="DM8" s="228">
        <v>39.99</v>
      </c>
      <c r="DN8" s="228">
        <v>-5.58</v>
      </c>
      <c r="DO8" s="228">
        <v>-5.58</v>
      </c>
      <c r="DP8" s="228">
        <v>0.92</v>
      </c>
      <c r="DQ8" s="228">
        <v>0.94</v>
      </c>
      <c r="DR8" s="228">
        <v>-0.02</v>
      </c>
      <c r="DS8" s="229">
        <v>-2.1299999999999999E-2</v>
      </c>
      <c r="DT8" s="231">
        <v>1500</v>
      </c>
      <c r="DU8" s="231">
        <v>1400</v>
      </c>
      <c r="DV8" s="228">
        <v>0.83</v>
      </c>
      <c r="DW8" s="228">
        <v>1.6</v>
      </c>
      <c r="DX8" s="228">
        <v>-0.77</v>
      </c>
      <c r="DY8" s="229">
        <v>-0.48130000000000001</v>
      </c>
      <c r="DZ8" s="229">
        <v>3.1800000000000002E-2</v>
      </c>
      <c r="EA8" s="230">
        <v>676875</v>
      </c>
      <c r="EB8" s="229">
        <v>5.8999999999999999E-3</v>
      </c>
      <c r="EC8" s="229">
        <v>3.1800000000000002E-2</v>
      </c>
      <c r="ED8" s="228">
        <v>10.79</v>
      </c>
      <c r="EE8" s="229">
        <v>7.3000000000000001E-3</v>
      </c>
      <c r="EF8" s="230">
        <v>1600232</v>
      </c>
      <c r="EG8" s="230">
        <v>1541686</v>
      </c>
      <c r="EH8" s="229">
        <v>3.7999999999999999E-2</v>
      </c>
      <c r="EI8" s="229">
        <v>0.47820000000000001</v>
      </c>
      <c r="EJ8" s="231">
        <v>183630.19</v>
      </c>
      <c r="EK8" s="231">
        <v>139777.72</v>
      </c>
      <c r="EL8" s="231">
        <v>67368.91</v>
      </c>
      <c r="EM8" s="231">
        <v>7246</v>
      </c>
      <c r="EN8" s="231">
        <v>390776.82</v>
      </c>
      <c r="EO8" s="231">
        <v>426006.6</v>
      </c>
      <c r="EP8" s="231">
        <v>-35229.78</v>
      </c>
      <c r="EQ8" s="229">
        <v>-8.2699999999999996E-2</v>
      </c>
      <c r="ER8" s="231">
        <v>110285</v>
      </c>
      <c r="ES8" s="231">
        <v>91406</v>
      </c>
      <c r="ET8" s="231">
        <v>316013</v>
      </c>
      <c r="EU8" s="231">
        <v>84394936</v>
      </c>
      <c r="EV8" s="231">
        <v>517705</v>
      </c>
      <c r="EW8" s="231">
        <v>506062</v>
      </c>
      <c r="EX8" s="231">
        <v>11643</v>
      </c>
      <c r="EY8" s="229">
        <v>2.3E-2</v>
      </c>
      <c r="EZ8" s="229">
        <v>0.4078</v>
      </c>
      <c r="FA8" s="227" t="s">
        <v>556</v>
      </c>
      <c r="FB8" s="161">
        <f t="shared" si="0"/>
        <v>668325</v>
      </c>
    </row>
    <row r="9" spans="1:158" ht="17.25" thickBot="1" x14ac:dyDescent="0.3">
      <c r="A9" s="226">
        <v>46086</v>
      </c>
      <c r="B9" s="227" t="s">
        <v>170</v>
      </c>
      <c r="C9" s="227" t="s">
        <v>497</v>
      </c>
      <c r="D9" s="228">
        <v>125</v>
      </c>
      <c r="E9" s="231">
        <v>5574</v>
      </c>
      <c r="F9" s="231">
        <v>5488</v>
      </c>
      <c r="G9" s="228">
        <v>86</v>
      </c>
      <c r="H9" s="229">
        <v>1.5699999999999999E-2</v>
      </c>
      <c r="I9" s="231">
        <v>5550</v>
      </c>
      <c r="J9" s="231">
        <v>5466.5</v>
      </c>
      <c r="K9" s="228">
        <v>83.5</v>
      </c>
      <c r="L9" s="229">
        <v>1.5299999999999999E-2</v>
      </c>
      <c r="M9" s="231">
        <v>5574</v>
      </c>
      <c r="N9" s="231">
        <v>5488</v>
      </c>
      <c r="O9" s="228">
        <v>86</v>
      </c>
      <c r="P9" s="229">
        <v>1.5699999999999999E-2</v>
      </c>
      <c r="Q9" s="231">
        <v>5609.5</v>
      </c>
      <c r="R9" s="231">
        <v>5512.5</v>
      </c>
      <c r="S9" s="228">
        <v>97</v>
      </c>
      <c r="T9" s="229">
        <v>1.7600000000000001E-2</v>
      </c>
      <c r="U9" s="231">
        <v>5619</v>
      </c>
      <c r="V9" s="228">
        <v>0</v>
      </c>
      <c r="W9" s="231">
        <v>5619</v>
      </c>
      <c r="X9" s="229">
        <v>0</v>
      </c>
      <c r="Y9" s="228">
        <v>24</v>
      </c>
      <c r="Z9" s="228">
        <v>21.5</v>
      </c>
      <c r="AA9" s="228">
        <v>2.5</v>
      </c>
      <c r="AB9" s="229">
        <v>4.3E-3</v>
      </c>
      <c r="AC9" s="228">
        <v>24</v>
      </c>
      <c r="AD9" s="228">
        <v>21.5</v>
      </c>
      <c r="AE9" s="228">
        <v>2.5</v>
      </c>
      <c r="AF9" s="229">
        <v>4.3E-3</v>
      </c>
      <c r="AG9" s="228">
        <v>59.5</v>
      </c>
      <c r="AH9" s="228">
        <v>46</v>
      </c>
      <c r="AI9" s="228">
        <v>13.5</v>
      </c>
      <c r="AJ9" s="229">
        <v>1.0699999999999999E-2</v>
      </c>
      <c r="AK9" s="228">
        <v>69</v>
      </c>
      <c r="AL9" s="228">
        <v>0</v>
      </c>
      <c r="AM9" s="228">
        <v>69</v>
      </c>
      <c r="AN9" s="229">
        <v>1.24E-2</v>
      </c>
      <c r="AO9" s="231">
        <v>5543.3</v>
      </c>
      <c r="AP9" s="231">
        <v>5582.67</v>
      </c>
      <c r="AQ9" s="228">
        <v>0</v>
      </c>
      <c r="AR9" s="230">
        <v>112000</v>
      </c>
      <c r="AS9" s="230">
        <v>119500</v>
      </c>
      <c r="AT9" s="230">
        <v>-7500</v>
      </c>
      <c r="AU9" s="229">
        <v>-6.2799999999999995E-2</v>
      </c>
      <c r="AV9" s="230">
        <v>111000</v>
      </c>
      <c r="AW9" s="230">
        <v>117250</v>
      </c>
      <c r="AX9" s="230">
        <v>-6250</v>
      </c>
      <c r="AY9" s="229">
        <v>-5.33E-2</v>
      </c>
      <c r="AZ9" s="228">
        <v>750</v>
      </c>
      <c r="BA9" s="230">
        <v>2250</v>
      </c>
      <c r="BB9" s="230">
        <v>-1500</v>
      </c>
      <c r="BC9" s="229">
        <v>-0.66669999999999996</v>
      </c>
      <c r="BD9" s="228">
        <v>250</v>
      </c>
      <c r="BE9" s="228">
        <v>0</v>
      </c>
      <c r="BF9" s="228">
        <v>250</v>
      </c>
      <c r="BG9" s="229">
        <v>0</v>
      </c>
      <c r="BH9" s="230">
        <v>219875</v>
      </c>
      <c r="BI9" s="230">
        <v>169500</v>
      </c>
      <c r="BJ9" s="230">
        <v>50375</v>
      </c>
      <c r="BK9" s="229">
        <v>0.29720000000000002</v>
      </c>
      <c r="BL9" s="230">
        <v>46875</v>
      </c>
      <c r="BM9" s="230">
        <v>126125</v>
      </c>
      <c r="BN9" s="230">
        <v>-79250</v>
      </c>
      <c r="BO9" s="229">
        <v>-0.62829999999999997</v>
      </c>
      <c r="BP9" s="230">
        <v>378750</v>
      </c>
      <c r="BQ9" s="230">
        <v>415125</v>
      </c>
      <c r="BR9" s="230">
        <v>-36375</v>
      </c>
      <c r="BS9" s="229">
        <v>-8.7599999999999997E-2</v>
      </c>
      <c r="BT9" s="230">
        <v>180022</v>
      </c>
      <c r="BU9" s="230">
        <v>88869</v>
      </c>
      <c r="BV9" s="230">
        <v>91153</v>
      </c>
      <c r="BW9" s="229">
        <v>1.0257000000000001</v>
      </c>
      <c r="BX9" s="230">
        <v>1240875</v>
      </c>
      <c r="BY9" s="230">
        <v>1234250</v>
      </c>
      <c r="BZ9" s="230">
        <v>6625</v>
      </c>
      <c r="CA9" s="229">
        <v>5.4000000000000003E-3</v>
      </c>
      <c r="CB9" s="230">
        <v>1236375</v>
      </c>
      <c r="CC9" s="230">
        <v>1229875</v>
      </c>
      <c r="CD9" s="230">
        <v>6500</v>
      </c>
      <c r="CE9" s="229">
        <v>5.3E-3</v>
      </c>
      <c r="CF9" s="230">
        <v>4375</v>
      </c>
      <c r="CG9" s="230">
        <v>4375</v>
      </c>
      <c r="CH9" s="228">
        <v>0</v>
      </c>
      <c r="CI9" s="229">
        <v>0</v>
      </c>
      <c r="CJ9" s="228">
        <v>125</v>
      </c>
      <c r="CK9" s="228">
        <v>0</v>
      </c>
      <c r="CL9" s="228">
        <v>125</v>
      </c>
      <c r="CM9" s="229">
        <v>0</v>
      </c>
      <c r="CN9" s="230">
        <v>223375</v>
      </c>
      <c r="CO9" s="230">
        <v>191875</v>
      </c>
      <c r="CP9" s="230">
        <v>31500</v>
      </c>
      <c r="CQ9" s="229">
        <v>0.16420000000000001</v>
      </c>
      <c r="CR9" s="230">
        <v>144000</v>
      </c>
      <c r="CS9" s="230">
        <v>141500</v>
      </c>
      <c r="CT9" s="230">
        <v>2500</v>
      </c>
      <c r="CU9" s="229">
        <v>1.77E-2</v>
      </c>
      <c r="CV9" s="230">
        <v>1608250</v>
      </c>
      <c r="CW9" s="230">
        <v>1567625</v>
      </c>
      <c r="CX9" s="230">
        <v>40625</v>
      </c>
      <c r="CY9" s="229">
        <v>2.5899999999999999E-2</v>
      </c>
      <c r="CZ9" s="228">
        <v>23.53</v>
      </c>
      <c r="DA9" s="228">
        <v>26.48</v>
      </c>
      <c r="DB9" s="228">
        <v>-2.95</v>
      </c>
      <c r="DC9" s="228">
        <v>-2.95</v>
      </c>
      <c r="DD9" s="228">
        <v>28</v>
      </c>
      <c r="DE9" s="228">
        <v>27.99</v>
      </c>
      <c r="DF9" s="228">
        <v>-4.47</v>
      </c>
      <c r="DG9" s="228">
        <v>0.01</v>
      </c>
      <c r="DH9" s="228">
        <v>23.38</v>
      </c>
      <c r="DI9" s="228">
        <v>25.76</v>
      </c>
      <c r="DJ9" s="228">
        <v>-2.38</v>
      </c>
      <c r="DK9" s="228">
        <v>-2.38</v>
      </c>
      <c r="DL9" s="228">
        <v>24.2</v>
      </c>
      <c r="DM9" s="228">
        <v>27.45</v>
      </c>
      <c r="DN9" s="228">
        <v>-3.25</v>
      </c>
      <c r="DO9" s="228">
        <v>-3.25</v>
      </c>
      <c r="DP9" s="228">
        <v>0.64</v>
      </c>
      <c r="DQ9" s="228">
        <v>0.74</v>
      </c>
      <c r="DR9" s="228">
        <v>-0.1</v>
      </c>
      <c r="DS9" s="229">
        <v>-0.1351</v>
      </c>
      <c r="DT9" s="231">
        <v>6000</v>
      </c>
      <c r="DU9" s="231">
        <v>5500</v>
      </c>
      <c r="DV9" s="228">
        <v>0.21</v>
      </c>
      <c r="DW9" s="228">
        <v>0.74</v>
      </c>
      <c r="DX9" s="228">
        <v>-0.53</v>
      </c>
      <c r="DY9" s="229">
        <v>-0.71619999999999995</v>
      </c>
      <c r="DZ9" s="229">
        <v>3.5999999999999999E-3</v>
      </c>
      <c r="EA9" s="230">
        <v>4375</v>
      </c>
      <c r="EB9" s="229">
        <v>6.4000000000000003E-3</v>
      </c>
      <c r="EC9" s="229">
        <v>3.5999999999999999E-3</v>
      </c>
      <c r="ED9" s="228">
        <v>39.369999999999997</v>
      </c>
      <c r="EE9" s="229">
        <v>7.1000000000000004E-3</v>
      </c>
      <c r="EF9" s="230">
        <v>141183</v>
      </c>
      <c r="EG9" s="230">
        <v>57393</v>
      </c>
      <c r="EH9" s="229">
        <v>1.4599</v>
      </c>
      <c r="EI9" s="229">
        <v>0.7843</v>
      </c>
      <c r="EJ9" s="231">
        <v>13179.42</v>
      </c>
      <c r="EK9" s="231">
        <v>2596.5500000000002</v>
      </c>
      <c r="EL9" s="231">
        <v>6208.92</v>
      </c>
      <c r="EM9" s="231">
        <v>1211</v>
      </c>
      <c r="EN9" s="231">
        <v>21984.89</v>
      </c>
      <c r="EO9" s="231">
        <v>23308.85</v>
      </c>
      <c r="EP9" s="231">
        <v>-1323.96</v>
      </c>
      <c r="EQ9" s="229">
        <v>-5.6800000000000003E-2</v>
      </c>
      <c r="ER9" s="231">
        <v>13044</v>
      </c>
      <c r="ES9" s="231">
        <v>7751</v>
      </c>
      <c r="ET9" s="231">
        <v>69168</v>
      </c>
      <c r="EU9" s="231">
        <v>7334235</v>
      </c>
      <c r="EV9" s="231">
        <v>89963</v>
      </c>
      <c r="EW9" s="231">
        <v>86500</v>
      </c>
      <c r="EX9" s="231">
        <v>3463</v>
      </c>
      <c r="EY9" s="229">
        <v>0.04</v>
      </c>
      <c r="EZ9" s="229">
        <v>0.21929999999999999</v>
      </c>
      <c r="FA9" s="227" t="s">
        <v>555</v>
      </c>
      <c r="FB9" s="161">
        <f t="shared" si="0"/>
        <v>4500</v>
      </c>
    </row>
    <row r="10" spans="1:158" ht="17.25" thickBot="1" x14ac:dyDescent="0.3">
      <c r="A10" s="226">
        <v>46086</v>
      </c>
      <c r="B10" s="227" t="s">
        <v>184</v>
      </c>
      <c r="C10" s="227" t="s">
        <v>680</v>
      </c>
      <c r="D10" s="228">
        <v>100</v>
      </c>
      <c r="E10" s="231">
        <v>7865</v>
      </c>
      <c r="F10" s="231">
        <v>7691.5</v>
      </c>
      <c r="G10" s="228">
        <v>173.5</v>
      </c>
      <c r="H10" s="229">
        <v>2.2599999999999999E-2</v>
      </c>
      <c r="I10" s="231">
        <v>7825.5</v>
      </c>
      <c r="J10" s="231">
        <v>7657</v>
      </c>
      <c r="K10" s="228">
        <v>168.5</v>
      </c>
      <c r="L10" s="229">
        <v>2.1999999999999999E-2</v>
      </c>
      <c r="M10" s="231">
        <v>7865</v>
      </c>
      <c r="N10" s="231">
        <v>7691.5</v>
      </c>
      <c r="O10" s="228">
        <v>173.5</v>
      </c>
      <c r="P10" s="229">
        <v>2.2599999999999999E-2</v>
      </c>
      <c r="Q10" s="231">
        <v>7865.5</v>
      </c>
      <c r="R10" s="231">
        <v>7683.5</v>
      </c>
      <c r="S10" s="228">
        <v>182</v>
      </c>
      <c r="T10" s="229">
        <v>2.3699999999999999E-2</v>
      </c>
      <c r="U10" s="231">
        <v>7685</v>
      </c>
      <c r="V10" s="231">
        <v>7575</v>
      </c>
      <c r="W10" s="228">
        <v>110</v>
      </c>
      <c r="X10" s="229">
        <v>1.4500000000000001E-2</v>
      </c>
      <c r="Y10" s="228">
        <v>39.5</v>
      </c>
      <c r="Z10" s="228">
        <v>34.5</v>
      </c>
      <c r="AA10" s="228">
        <v>5</v>
      </c>
      <c r="AB10" s="229">
        <v>5.0000000000000001E-3</v>
      </c>
      <c r="AC10" s="228">
        <v>39.5</v>
      </c>
      <c r="AD10" s="228">
        <v>34.5</v>
      </c>
      <c r="AE10" s="228">
        <v>5</v>
      </c>
      <c r="AF10" s="229">
        <v>5.0000000000000001E-3</v>
      </c>
      <c r="AG10" s="228">
        <v>40</v>
      </c>
      <c r="AH10" s="228">
        <v>26.5</v>
      </c>
      <c r="AI10" s="228">
        <v>13.5</v>
      </c>
      <c r="AJ10" s="229">
        <v>5.1000000000000004E-3</v>
      </c>
      <c r="AK10" s="228">
        <v>-140.5</v>
      </c>
      <c r="AL10" s="228">
        <v>-82</v>
      </c>
      <c r="AM10" s="228">
        <v>-58.5</v>
      </c>
      <c r="AN10" s="229">
        <v>-1.7999999999999999E-2</v>
      </c>
      <c r="AO10" s="231">
        <v>7728.4</v>
      </c>
      <c r="AP10" s="231">
        <v>7730.51</v>
      </c>
      <c r="AQ10" s="228">
        <v>0</v>
      </c>
      <c r="AR10" s="230">
        <v>407100</v>
      </c>
      <c r="AS10" s="230">
        <v>312000</v>
      </c>
      <c r="AT10" s="230">
        <v>95100</v>
      </c>
      <c r="AU10" s="229">
        <v>0.30480000000000002</v>
      </c>
      <c r="AV10" s="230">
        <v>391200</v>
      </c>
      <c r="AW10" s="230">
        <v>298800</v>
      </c>
      <c r="AX10" s="230">
        <v>92400</v>
      </c>
      <c r="AY10" s="229">
        <v>0.30919999999999997</v>
      </c>
      <c r="AZ10" s="230">
        <v>15600</v>
      </c>
      <c r="BA10" s="230">
        <v>12900</v>
      </c>
      <c r="BB10" s="230">
        <v>2700</v>
      </c>
      <c r="BC10" s="229">
        <v>0.20930000000000001</v>
      </c>
      <c r="BD10" s="228">
        <v>300</v>
      </c>
      <c r="BE10" s="228">
        <v>300</v>
      </c>
      <c r="BF10" s="228">
        <v>0</v>
      </c>
      <c r="BG10" s="229">
        <v>0</v>
      </c>
      <c r="BH10" s="230">
        <v>1053700</v>
      </c>
      <c r="BI10" s="230">
        <v>683500</v>
      </c>
      <c r="BJ10" s="230">
        <v>370200</v>
      </c>
      <c r="BK10" s="229">
        <v>0.54159999999999997</v>
      </c>
      <c r="BL10" s="230">
        <v>437200</v>
      </c>
      <c r="BM10" s="230">
        <v>464300</v>
      </c>
      <c r="BN10" s="230">
        <v>-27100</v>
      </c>
      <c r="BO10" s="229">
        <v>-5.8400000000000001E-2</v>
      </c>
      <c r="BP10" s="230">
        <v>1898000</v>
      </c>
      <c r="BQ10" s="230">
        <v>1459800</v>
      </c>
      <c r="BR10" s="230">
        <v>438200</v>
      </c>
      <c r="BS10" s="229">
        <v>0.30020000000000002</v>
      </c>
      <c r="BT10" s="230">
        <v>517724</v>
      </c>
      <c r="BU10" s="230">
        <v>317524</v>
      </c>
      <c r="BV10" s="230">
        <v>200200</v>
      </c>
      <c r="BW10" s="229">
        <v>0.63049999999999995</v>
      </c>
      <c r="BX10" s="230">
        <v>964500</v>
      </c>
      <c r="BY10" s="230">
        <v>945100</v>
      </c>
      <c r="BZ10" s="230">
        <v>19400</v>
      </c>
      <c r="CA10" s="229">
        <v>2.0500000000000001E-2</v>
      </c>
      <c r="CB10" s="230">
        <v>934900</v>
      </c>
      <c r="CC10" s="230">
        <v>916600</v>
      </c>
      <c r="CD10" s="230">
        <v>18300</v>
      </c>
      <c r="CE10" s="229">
        <v>0.02</v>
      </c>
      <c r="CF10" s="230">
        <v>28600</v>
      </c>
      <c r="CG10" s="230">
        <v>27500</v>
      </c>
      <c r="CH10" s="230">
        <v>1100</v>
      </c>
      <c r="CI10" s="229">
        <v>0.04</v>
      </c>
      <c r="CJ10" s="230">
        <v>1000</v>
      </c>
      <c r="CK10" s="230">
        <v>1000</v>
      </c>
      <c r="CL10" s="228">
        <v>0</v>
      </c>
      <c r="CM10" s="229">
        <v>0</v>
      </c>
      <c r="CN10" s="230">
        <v>588300</v>
      </c>
      <c r="CO10" s="230">
        <v>559200</v>
      </c>
      <c r="CP10" s="230">
        <v>29100</v>
      </c>
      <c r="CQ10" s="229">
        <v>5.1999999999999998E-2</v>
      </c>
      <c r="CR10" s="230">
        <v>390600</v>
      </c>
      <c r="CS10" s="230">
        <v>321000</v>
      </c>
      <c r="CT10" s="230">
        <v>69600</v>
      </c>
      <c r="CU10" s="229">
        <v>0.21679999999999999</v>
      </c>
      <c r="CV10" s="230">
        <v>1943400</v>
      </c>
      <c r="CW10" s="230">
        <v>1825300</v>
      </c>
      <c r="CX10" s="230">
        <v>118100</v>
      </c>
      <c r="CY10" s="229">
        <v>6.4699999999999994E-2</v>
      </c>
      <c r="CZ10" s="228">
        <v>35.71</v>
      </c>
      <c r="DA10" s="228">
        <v>40.42</v>
      </c>
      <c r="DB10" s="228">
        <v>-4.71</v>
      </c>
      <c r="DC10" s="228">
        <v>-4.71</v>
      </c>
      <c r="DD10" s="228">
        <v>50.61</v>
      </c>
      <c r="DE10" s="228">
        <v>50.65</v>
      </c>
      <c r="DF10" s="228">
        <v>-14.9</v>
      </c>
      <c r="DG10" s="228">
        <v>-0.04</v>
      </c>
      <c r="DH10" s="228">
        <v>34.94</v>
      </c>
      <c r="DI10" s="228">
        <v>38.590000000000003</v>
      </c>
      <c r="DJ10" s="228">
        <v>-3.65</v>
      </c>
      <c r="DK10" s="228">
        <v>-3.65</v>
      </c>
      <c r="DL10" s="228">
        <v>37.56</v>
      </c>
      <c r="DM10" s="228">
        <v>43.12</v>
      </c>
      <c r="DN10" s="228">
        <v>-5.56</v>
      </c>
      <c r="DO10" s="228">
        <v>-5.56</v>
      </c>
      <c r="DP10" s="228">
        <v>0.66</v>
      </c>
      <c r="DQ10" s="228">
        <v>0.56999999999999995</v>
      </c>
      <c r="DR10" s="228">
        <v>0.09</v>
      </c>
      <c r="DS10" s="229">
        <v>0.15790000000000001</v>
      </c>
      <c r="DT10" s="231">
        <v>8000</v>
      </c>
      <c r="DU10" s="231">
        <v>7000</v>
      </c>
      <c r="DV10" s="228">
        <v>0.41</v>
      </c>
      <c r="DW10" s="228">
        <v>0.68</v>
      </c>
      <c r="DX10" s="228">
        <v>-0.27</v>
      </c>
      <c r="DY10" s="229">
        <v>-0.39710000000000001</v>
      </c>
      <c r="DZ10" s="229">
        <v>3.0700000000000002E-2</v>
      </c>
      <c r="EA10" s="230">
        <v>28500</v>
      </c>
      <c r="EB10" s="229">
        <v>1E-4</v>
      </c>
      <c r="EC10" s="229">
        <v>3.0700000000000002E-2</v>
      </c>
      <c r="ED10" s="228">
        <v>2.11</v>
      </c>
      <c r="EE10" s="229">
        <v>2.9999999999999997E-4</v>
      </c>
      <c r="EF10" s="230">
        <v>359986</v>
      </c>
      <c r="EG10" s="230">
        <v>145892</v>
      </c>
      <c r="EH10" s="229">
        <v>1.4675</v>
      </c>
      <c r="EI10" s="229">
        <v>0.69530000000000003</v>
      </c>
      <c r="EJ10" s="231">
        <v>87348.46</v>
      </c>
      <c r="EK10" s="231">
        <v>33393.040000000001</v>
      </c>
      <c r="EL10" s="231">
        <v>31462.54</v>
      </c>
      <c r="EM10" s="231">
        <v>2892</v>
      </c>
      <c r="EN10" s="231">
        <v>152204.04</v>
      </c>
      <c r="EO10" s="231">
        <v>115935.43</v>
      </c>
      <c r="EP10" s="231">
        <v>36268.61</v>
      </c>
      <c r="EQ10" s="229">
        <v>0.31280000000000002</v>
      </c>
      <c r="ER10" s="231">
        <v>48128</v>
      </c>
      <c r="ES10" s="231">
        <v>28890</v>
      </c>
      <c r="ET10" s="231">
        <v>75856</v>
      </c>
      <c r="EU10" s="231">
        <v>3257355</v>
      </c>
      <c r="EV10" s="231">
        <v>152875</v>
      </c>
      <c r="EW10" s="231">
        <v>142423</v>
      </c>
      <c r="EX10" s="231">
        <v>10452</v>
      </c>
      <c r="EY10" s="229">
        <v>7.3400000000000007E-2</v>
      </c>
      <c r="EZ10" s="229">
        <v>0.59660000000000002</v>
      </c>
      <c r="FA10" s="227" t="s">
        <v>555</v>
      </c>
      <c r="FB10" s="161">
        <f t="shared" si="0"/>
        <v>29600</v>
      </c>
    </row>
    <row r="11" spans="1:158" ht="17.25" thickBot="1" x14ac:dyDescent="0.3">
      <c r="A11" s="226">
        <v>46086</v>
      </c>
      <c r="B11" s="227" t="s">
        <v>157</v>
      </c>
      <c r="C11" s="227" t="s">
        <v>164</v>
      </c>
      <c r="D11" s="228">
        <v>1050</v>
      </c>
      <c r="E11" s="228">
        <v>482.35</v>
      </c>
      <c r="F11" s="228">
        <v>478.25</v>
      </c>
      <c r="G11" s="228">
        <v>4.0999999999999996</v>
      </c>
      <c r="H11" s="229">
        <v>8.6E-3</v>
      </c>
      <c r="I11" s="228">
        <v>480</v>
      </c>
      <c r="J11" s="228">
        <v>476.15</v>
      </c>
      <c r="K11" s="228">
        <v>3.85</v>
      </c>
      <c r="L11" s="229">
        <v>8.0999999999999996E-3</v>
      </c>
      <c r="M11" s="228">
        <v>482.35</v>
      </c>
      <c r="N11" s="228">
        <v>478.25</v>
      </c>
      <c r="O11" s="228">
        <v>4.0999999999999996</v>
      </c>
      <c r="P11" s="229">
        <v>8.6E-3</v>
      </c>
      <c r="Q11" s="228">
        <v>485.05</v>
      </c>
      <c r="R11" s="228">
        <v>480.35</v>
      </c>
      <c r="S11" s="228">
        <v>4.7</v>
      </c>
      <c r="T11" s="229">
        <v>9.7999999999999997E-3</v>
      </c>
      <c r="U11" s="228">
        <v>487.1</v>
      </c>
      <c r="V11" s="228">
        <v>483.3</v>
      </c>
      <c r="W11" s="228">
        <v>3.8</v>
      </c>
      <c r="X11" s="229">
        <v>7.9000000000000008E-3</v>
      </c>
      <c r="Y11" s="228">
        <v>2.35</v>
      </c>
      <c r="Z11" s="228">
        <v>2.1</v>
      </c>
      <c r="AA11" s="228">
        <v>0.25</v>
      </c>
      <c r="AB11" s="229">
        <v>4.8999999999999998E-3</v>
      </c>
      <c r="AC11" s="228">
        <v>2.35</v>
      </c>
      <c r="AD11" s="228">
        <v>2.1</v>
      </c>
      <c r="AE11" s="228">
        <v>0.25</v>
      </c>
      <c r="AF11" s="229">
        <v>4.8999999999999998E-3</v>
      </c>
      <c r="AG11" s="228">
        <v>5.05</v>
      </c>
      <c r="AH11" s="228">
        <v>4.2</v>
      </c>
      <c r="AI11" s="228">
        <v>0.85</v>
      </c>
      <c r="AJ11" s="229">
        <v>1.0500000000000001E-2</v>
      </c>
      <c r="AK11" s="228">
        <v>7.1</v>
      </c>
      <c r="AL11" s="228">
        <v>7.15</v>
      </c>
      <c r="AM11" s="228">
        <v>-0.05</v>
      </c>
      <c r="AN11" s="229">
        <v>1.4800000000000001E-2</v>
      </c>
      <c r="AO11" s="228">
        <v>477.95</v>
      </c>
      <c r="AP11" s="228">
        <v>479.61</v>
      </c>
      <c r="AQ11" s="228">
        <v>0</v>
      </c>
      <c r="AR11" s="230">
        <v>4725000</v>
      </c>
      <c r="AS11" s="230">
        <v>6052200</v>
      </c>
      <c r="AT11" s="230">
        <v>-1327200</v>
      </c>
      <c r="AU11" s="229">
        <v>-0.21929999999999999</v>
      </c>
      <c r="AV11" s="230">
        <v>4338600</v>
      </c>
      <c r="AW11" s="230">
        <v>5820150</v>
      </c>
      <c r="AX11" s="230">
        <v>-1481550</v>
      </c>
      <c r="AY11" s="229">
        <v>-0.25459999999999999</v>
      </c>
      <c r="AZ11" s="230">
        <v>349650</v>
      </c>
      <c r="BA11" s="230">
        <v>203700</v>
      </c>
      <c r="BB11" s="230">
        <v>145950</v>
      </c>
      <c r="BC11" s="229">
        <v>0.71650000000000003</v>
      </c>
      <c r="BD11" s="230">
        <v>36750</v>
      </c>
      <c r="BE11" s="230">
        <v>28350</v>
      </c>
      <c r="BF11" s="230">
        <v>8400</v>
      </c>
      <c r="BG11" s="229">
        <v>0.29630000000000001</v>
      </c>
      <c r="BH11" s="230">
        <v>7663950</v>
      </c>
      <c r="BI11" s="230">
        <v>9104550</v>
      </c>
      <c r="BJ11" s="230">
        <v>-1440600</v>
      </c>
      <c r="BK11" s="229">
        <v>-0.15820000000000001</v>
      </c>
      <c r="BL11" s="230">
        <v>3138450</v>
      </c>
      <c r="BM11" s="230">
        <v>4147500</v>
      </c>
      <c r="BN11" s="230">
        <v>-1009050</v>
      </c>
      <c r="BO11" s="229">
        <v>-0.24329999999999999</v>
      </c>
      <c r="BP11" s="230">
        <v>15527400</v>
      </c>
      <c r="BQ11" s="230">
        <v>19304250</v>
      </c>
      <c r="BR11" s="230">
        <v>-3776850</v>
      </c>
      <c r="BS11" s="229">
        <v>-0.1956</v>
      </c>
      <c r="BT11" s="230">
        <v>1795284</v>
      </c>
      <c r="BU11" s="230">
        <v>2542215</v>
      </c>
      <c r="BV11" s="230">
        <v>-746931</v>
      </c>
      <c r="BW11" s="229">
        <v>-0.29380000000000001</v>
      </c>
      <c r="BX11" s="230">
        <v>51557100</v>
      </c>
      <c r="BY11" s="230">
        <v>51033150</v>
      </c>
      <c r="BZ11" s="230">
        <v>523950</v>
      </c>
      <c r="CA11" s="229">
        <v>1.03E-2</v>
      </c>
      <c r="CB11" s="230">
        <v>50013600</v>
      </c>
      <c r="CC11" s="230">
        <v>49603050</v>
      </c>
      <c r="CD11" s="230">
        <v>410550</v>
      </c>
      <c r="CE11" s="229">
        <v>8.3000000000000001E-3</v>
      </c>
      <c r="CF11" s="230">
        <v>1372350</v>
      </c>
      <c r="CG11" s="230">
        <v>1277850</v>
      </c>
      <c r="CH11" s="230">
        <v>94500</v>
      </c>
      <c r="CI11" s="229">
        <v>7.3999999999999996E-2</v>
      </c>
      <c r="CJ11" s="230">
        <v>171150</v>
      </c>
      <c r="CK11" s="230">
        <v>152250</v>
      </c>
      <c r="CL11" s="230">
        <v>18900</v>
      </c>
      <c r="CM11" s="229">
        <v>0.1241</v>
      </c>
      <c r="CN11" s="230">
        <v>14665350</v>
      </c>
      <c r="CO11" s="230">
        <v>14775600</v>
      </c>
      <c r="CP11" s="230">
        <v>-110250</v>
      </c>
      <c r="CQ11" s="229">
        <v>-7.4999999999999997E-3</v>
      </c>
      <c r="CR11" s="230">
        <v>9808050</v>
      </c>
      <c r="CS11" s="230">
        <v>9415350</v>
      </c>
      <c r="CT11" s="230">
        <v>392700</v>
      </c>
      <c r="CU11" s="229">
        <v>4.1700000000000001E-2</v>
      </c>
      <c r="CV11" s="230">
        <v>76030500</v>
      </c>
      <c r="CW11" s="230">
        <v>75224100</v>
      </c>
      <c r="CX11" s="230">
        <v>806400</v>
      </c>
      <c r="CY11" s="229">
        <v>1.0699999999999999E-2</v>
      </c>
      <c r="CZ11" s="228">
        <v>28.17</v>
      </c>
      <c r="DA11" s="228">
        <v>30.2</v>
      </c>
      <c r="DB11" s="228">
        <v>-2.0299999999999998</v>
      </c>
      <c r="DC11" s="228">
        <v>-2.0299999999999998</v>
      </c>
      <c r="DD11" s="228">
        <v>32.5</v>
      </c>
      <c r="DE11" s="228">
        <v>32.56</v>
      </c>
      <c r="DF11" s="228">
        <v>-4.33</v>
      </c>
      <c r="DG11" s="228">
        <v>-0.06</v>
      </c>
      <c r="DH11" s="228">
        <v>27.78</v>
      </c>
      <c r="DI11" s="228">
        <v>30.02</v>
      </c>
      <c r="DJ11" s="228">
        <v>-2.2400000000000002</v>
      </c>
      <c r="DK11" s="228">
        <v>-2.2400000000000002</v>
      </c>
      <c r="DL11" s="228">
        <v>29.12</v>
      </c>
      <c r="DM11" s="228">
        <v>30.59</v>
      </c>
      <c r="DN11" s="228">
        <v>-1.47</v>
      </c>
      <c r="DO11" s="228">
        <v>-1.47</v>
      </c>
      <c r="DP11" s="228">
        <v>0.67</v>
      </c>
      <c r="DQ11" s="228">
        <v>0.64</v>
      </c>
      <c r="DR11" s="228">
        <v>0.03</v>
      </c>
      <c r="DS11" s="229">
        <v>4.6899999999999997E-2</v>
      </c>
      <c r="DT11" s="228">
        <v>600</v>
      </c>
      <c r="DU11" s="228">
        <v>600</v>
      </c>
      <c r="DV11" s="228">
        <v>0.41</v>
      </c>
      <c r="DW11" s="228">
        <v>0.46</v>
      </c>
      <c r="DX11" s="228">
        <v>-0.05</v>
      </c>
      <c r="DY11" s="229">
        <v>-0.1087</v>
      </c>
      <c r="DZ11" s="229">
        <v>2.9899999999999999E-2</v>
      </c>
      <c r="EA11" s="230">
        <v>1430100</v>
      </c>
      <c r="EB11" s="229">
        <v>5.5999999999999999E-3</v>
      </c>
      <c r="EC11" s="229">
        <v>2.9899999999999999E-2</v>
      </c>
      <c r="ED11" s="228">
        <v>1.66</v>
      </c>
      <c r="EE11" s="229">
        <v>3.5000000000000001E-3</v>
      </c>
      <c r="EF11" s="230">
        <v>836782</v>
      </c>
      <c r="EG11" s="230">
        <v>1273934</v>
      </c>
      <c r="EH11" s="229">
        <v>-0.34320000000000001</v>
      </c>
      <c r="EI11" s="229">
        <v>0.46610000000000001</v>
      </c>
      <c r="EJ11" s="231">
        <v>39320.730000000003</v>
      </c>
      <c r="EK11" s="231">
        <v>15113.82</v>
      </c>
      <c r="EL11" s="231">
        <v>22590.05</v>
      </c>
      <c r="EM11" s="231">
        <v>4183</v>
      </c>
      <c r="EN11" s="231">
        <v>77024.600000000006</v>
      </c>
      <c r="EO11" s="231">
        <v>95753.14</v>
      </c>
      <c r="EP11" s="231">
        <v>-18728.54</v>
      </c>
      <c r="EQ11" s="229">
        <v>-0.1956</v>
      </c>
      <c r="ER11" s="231">
        <v>79069</v>
      </c>
      <c r="ES11" s="231">
        <v>51369</v>
      </c>
      <c r="ET11" s="231">
        <v>248731</v>
      </c>
      <c r="EU11" s="231">
        <v>79841849</v>
      </c>
      <c r="EV11" s="231">
        <v>379169</v>
      </c>
      <c r="EW11" s="231">
        <v>373442</v>
      </c>
      <c r="EX11" s="231">
        <v>5727</v>
      </c>
      <c r="EY11" s="229">
        <v>1.5299999999999999E-2</v>
      </c>
      <c r="EZ11" s="229">
        <v>0.95230000000000004</v>
      </c>
      <c r="FA11" s="227" t="s">
        <v>555</v>
      </c>
      <c r="FB11" s="161">
        <f t="shared" si="0"/>
        <v>1543500</v>
      </c>
    </row>
    <row r="12" spans="1:158" ht="17.25" thickBot="1" x14ac:dyDescent="0.3">
      <c r="A12" s="226">
        <v>46086</v>
      </c>
      <c r="B12" s="227" t="s">
        <v>175</v>
      </c>
      <c r="C12" s="227" t="s">
        <v>609</v>
      </c>
      <c r="D12" s="228">
        <v>2500</v>
      </c>
      <c r="E12" s="228">
        <v>224.63</v>
      </c>
      <c r="F12" s="228">
        <v>221.96</v>
      </c>
      <c r="G12" s="228">
        <v>2.67</v>
      </c>
      <c r="H12" s="229">
        <v>1.2E-2</v>
      </c>
      <c r="I12" s="228">
        <v>224.68</v>
      </c>
      <c r="J12" s="228">
        <v>221.75</v>
      </c>
      <c r="K12" s="228">
        <v>2.93</v>
      </c>
      <c r="L12" s="229">
        <v>1.32E-2</v>
      </c>
      <c r="M12" s="228">
        <v>224.63</v>
      </c>
      <c r="N12" s="228">
        <v>221.96</v>
      </c>
      <c r="O12" s="228">
        <v>2.67</v>
      </c>
      <c r="P12" s="229">
        <v>1.2E-2</v>
      </c>
      <c r="Q12" s="228">
        <v>225.53</v>
      </c>
      <c r="R12" s="228">
        <v>222.46</v>
      </c>
      <c r="S12" s="228">
        <v>3.07</v>
      </c>
      <c r="T12" s="229">
        <v>1.38E-2</v>
      </c>
      <c r="U12" s="228">
        <v>226.2</v>
      </c>
      <c r="V12" s="228">
        <v>222.88</v>
      </c>
      <c r="W12" s="228">
        <v>3.32</v>
      </c>
      <c r="X12" s="229">
        <v>1.49E-2</v>
      </c>
      <c r="Y12" s="228">
        <v>-0.05</v>
      </c>
      <c r="Z12" s="228">
        <v>0.21</v>
      </c>
      <c r="AA12" s="228">
        <v>-0.26</v>
      </c>
      <c r="AB12" s="229">
        <v>-2.0000000000000001E-4</v>
      </c>
      <c r="AC12" s="228">
        <v>-0.05</v>
      </c>
      <c r="AD12" s="228">
        <v>0.21</v>
      </c>
      <c r="AE12" s="228">
        <v>-0.26</v>
      </c>
      <c r="AF12" s="229">
        <v>-2.0000000000000001E-4</v>
      </c>
      <c r="AG12" s="228">
        <v>0.85</v>
      </c>
      <c r="AH12" s="228">
        <v>0.71</v>
      </c>
      <c r="AI12" s="228">
        <v>0.14000000000000001</v>
      </c>
      <c r="AJ12" s="229">
        <v>3.8E-3</v>
      </c>
      <c r="AK12" s="228">
        <v>1.52</v>
      </c>
      <c r="AL12" s="228">
        <v>1.1299999999999999</v>
      </c>
      <c r="AM12" s="228">
        <v>0.39</v>
      </c>
      <c r="AN12" s="229">
        <v>6.7999999999999996E-3</v>
      </c>
      <c r="AO12" s="228">
        <v>223.83</v>
      </c>
      <c r="AP12" s="228">
        <v>224.99</v>
      </c>
      <c r="AQ12" s="228">
        <v>0</v>
      </c>
      <c r="AR12" s="230">
        <v>11122500</v>
      </c>
      <c r="AS12" s="230">
        <v>20657500</v>
      </c>
      <c r="AT12" s="230">
        <v>-9535000</v>
      </c>
      <c r="AU12" s="229">
        <v>-0.46160000000000001</v>
      </c>
      <c r="AV12" s="230">
        <v>10145000</v>
      </c>
      <c r="AW12" s="230">
        <v>7525000</v>
      </c>
      <c r="AX12" s="230">
        <v>2620000</v>
      </c>
      <c r="AY12" s="229">
        <v>0.34820000000000001</v>
      </c>
      <c r="AZ12" s="230">
        <v>617500</v>
      </c>
      <c r="BA12" s="230">
        <v>620000</v>
      </c>
      <c r="BB12" s="230">
        <v>-2500</v>
      </c>
      <c r="BC12" s="229">
        <v>-4.0000000000000001E-3</v>
      </c>
      <c r="BD12" s="230">
        <v>360000</v>
      </c>
      <c r="BE12" s="230">
        <v>12512500</v>
      </c>
      <c r="BF12" s="230">
        <v>-12152500</v>
      </c>
      <c r="BG12" s="229">
        <v>-0.97119999999999995</v>
      </c>
      <c r="BH12" s="230">
        <v>12457500</v>
      </c>
      <c r="BI12" s="230">
        <v>19760000</v>
      </c>
      <c r="BJ12" s="230">
        <v>-7302500</v>
      </c>
      <c r="BK12" s="229">
        <v>-0.36959999999999998</v>
      </c>
      <c r="BL12" s="230">
        <v>3700000</v>
      </c>
      <c r="BM12" s="230">
        <v>9992500</v>
      </c>
      <c r="BN12" s="230">
        <v>-6292500</v>
      </c>
      <c r="BO12" s="229">
        <v>-0.62970000000000004</v>
      </c>
      <c r="BP12" s="230">
        <v>27280000</v>
      </c>
      <c r="BQ12" s="230">
        <v>50410000</v>
      </c>
      <c r="BR12" s="230">
        <v>-23130000</v>
      </c>
      <c r="BS12" s="229">
        <v>-0.45879999999999999</v>
      </c>
      <c r="BT12" s="230">
        <v>5049184</v>
      </c>
      <c r="BU12" s="230">
        <v>6082078</v>
      </c>
      <c r="BV12" s="230">
        <v>-1032894</v>
      </c>
      <c r="BW12" s="229">
        <v>-0.16980000000000001</v>
      </c>
      <c r="BX12" s="230">
        <v>36737500</v>
      </c>
      <c r="BY12" s="230">
        <v>33777500</v>
      </c>
      <c r="BZ12" s="230">
        <v>2960000</v>
      </c>
      <c r="CA12" s="229">
        <v>8.7599999999999997E-2</v>
      </c>
      <c r="CB12" s="230">
        <v>29935000</v>
      </c>
      <c r="CC12" s="230">
        <v>27197500</v>
      </c>
      <c r="CD12" s="230">
        <v>2737500</v>
      </c>
      <c r="CE12" s="229">
        <v>0.1007</v>
      </c>
      <c r="CF12" s="230">
        <v>3995000</v>
      </c>
      <c r="CG12" s="230">
        <v>3795000</v>
      </c>
      <c r="CH12" s="230">
        <v>200000</v>
      </c>
      <c r="CI12" s="229">
        <v>5.2699999999999997E-2</v>
      </c>
      <c r="CJ12" s="230">
        <v>2807500</v>
      </c>
      <c r="CK12" s="230">
        <v>2785000</v>
      </c>
      <c r="CL12" s="230">
        <v>22500</v>
      </c>
      <c r="CM12" s="229">
        <v>8.0999999999999996E-3</v>
      </c>
      <c r="CN12" s="230">
        <v>22267500</v>
      </c>
      <c r="CO12" s="230">
        <v>22132500</v>
      </c>
      <c r="CP12" s="230">
        <v>135000</v>
      </c>
      <c r="CQ12" s="229">
        <v>6.1000000000000004E-3</v>
      </c>
      <c r="CR12" s="230">
        <v>13057500</v>
      </c>
      <c r="CS12" s="230">
        <v>13170000</v>
      </c>
      <c r="CT12" s="230">
        <v>-112500</v>
      </c>
      <c r="CU12" s="229">
        <v>-8.5000000000000006E-3</v>
      </c>
      <c r="CV12" s="230">
        <v>72062500</v>
      </c>
      <c r="CW12" s="230">
        <v>69080000</v>
      </c>
      <c r="CX12" s="230">
        <v>2982500</v>
      </c>
      <c r="CY12" s="229">
        <v>4.3200000000000002E-2</v>
      </c>
      <c r="CZ12" s="228">
        <v>43.51</v>
      </c>
      <c r="DA12" s="228">
        <v>46.47</v>
      </c>
      <c r="DB12" s="228">
        <v>-2.96</v>
      </c>
      <c r="DC12" s="228">
        <v>-2.96</v>
      </c>
      <c r="DD12" s="228">
        <v>53.95</v>
      </c>
      <c r="DE12" s="228">
        <v>54.06</v>
      </c>
      <c r="DF12" s="228">
        <v>-10.44</v>
      </c>
      <c r="DG12" s="228">
        <v>-0.11</v>
      </c>
      <c r="DH12" s="228">
        <v>43.2</v>
      </c>
      <c r="DI12" s="228">
        <v>45.7</v>
      </c>
      <c r="DJ12" s="228">
        <v>-2.5</v>
      </c>
      <c r="DK12" s="228">
        <v>-2.5</v>
      </c>
      <c r="DL12" s="228">
        <v>44.55</v>
      </c>
      <c r="DM12" s="228">
        <v>47.98</v>
      </c>
      <c r="DN12" s="228">
        <v>-3.43</v>
      </c>
      <c r="DO12" s="228">
        <v>-3.43</v>
      </c>
      <c r="DP12" s="228">
        <v>0.59</v>
      </c>
      <c r="DQ12" s="228">
        <v>0.6</v>
      </c>
      <c r="DR12" s="228">
        <v>-0.01</v>
      </c>
      <c r="DS12" s="229">
        <v>-1.67E-2</v>
      </c>
      <c r="DT12" s="228">
        <v>250</v>
      </c>
      <c r="DU12" s="228">
        <v>220</v>
      </c>
      <c r="DV12" s="228">
        <v>0.3</v>
      </c>
      <c r="DW12" s="228">
        <v>0.51</v>
      </c>
      <c r="DX12" s="228">
        <v>-0.21</v>
      </c>
      <c r="DY12" s="229">
        <v>-0.4118</v>
      </c>
      <c r="DZ12" s="229">
        <v>0.1852</v>
      </c>
      <c r="EA12" s="230">
        <v>6580000</v>
      </c>
      <c r="EB12" s="229">
        <v>4.0000000000000001E-3</v>
      </c>
      <c r="EC12" s="229">
        <v>0.1852</v>
      </c>
      <c r="ED12" s="228">
        <v>1.1599999999999999</v>
      </c>
      <c r="EE12" s="229">
        <v>5.1999999999999998E-3</v>
      </c>
      <c r="EF12" s="230">
        <v>1784343</v>
      </c>
      <c r="EG12" s="230">
        <v>2363003</v>
      </c>
      <c r="EH12" s="229">
        <v>-0.24490000000000001</v>
      </c>
      <c r="EI12" s="229">
        <v>0.35339999999999999</v>
      </c>
      <c r="EJ12" s="231">
        <v>31126.87</v>
      </c>
      <c r="EK12" s="231">
        <v>8193.91</v>
      </c>
      <c r="EL12" s="231">
        <v>24902.36</v>
      </c>
      <c r="EM12" s="231">
        <v>6633</v>
      </c>
      <c r="EN12" s="231">
        <v>64223.14</v>
      </c>
      <c r="EO12" s="231">
        <v>117002.76</v>
      </c>
      <c r="EP12" s="231">
        <v>-52779.62</v>
      </c>
      <c r="EQ12" s="229">
        <v>-0.4511</v>
      </c>
      <c r="ER12" s="231">
        <v>56614</v>
      </c>
      <c r="ES12" s="231">
        <v>29936</v>
      </c>
      <c r="ET12" s="231">
        <v>82603</v>
      </c>
      <c r="EU12" s="231">
        <v>96733080</v>
      </c>
      <c r="EV12" s="231">
        <v>169154</v>
      </c>
      <c r="EW12" s="231">
        <v>161402</v>
      </c>
      <c r="EX12" s="231">
        <v>7752</v>
      </c>
      <c r="EY12" s="229">
        <v>4.8000000000000001E-2</v>
      </c>
      <c r="EZ12" s="229">
        <v>0.745</v>
      </c>
      <c r="FA12" s="227" t="s">
        <v>555</v>
      </c>
      <c r="FB12" s="161">
        <f t="shared" si="0"/>
        <v>6802500</v>
      </c>
    </row>
    <row r="13" spans="1:158" ht="17.25" thickBot="1" x14ac:dyDescent="0.3">
      <c r="A13" s="226">
        <v>46086</v>
      </c>
      <c r="B13" s="227" t="s">
        <v>227</v>
      </c>
      <c r="C13" s="227" t="s">
        <v>598</v>
      </c>
      <c r="D13" s="228">
        <v>350</v>
      </c>
      <c r="E13" s="231">
        <v>2170</v>
      </c>
      <c r="F13" s="231">
        <v>2122.5</v>
      </c>
      <c r="G13" s="228">
        <v>47.5</v>
      </c>
      <c r="H13" s="229">
        <v>2.24E-2</v>
      </c>
      <c r="I13" s="231">
        <v>2161.3000000000002</v>
      </c>
      <c r="J13" s="231">
        <v>2119.6999999999998</v>
      </c>
      <c r="K13" s="228">
        <v>41.6</v>
      </c>
      <c r="L13" s="229">
        <v>1.9599999999999999E-2</v>
      </c>
      <c r="M13" s="231">
        <v>2170</v>
      </c>
      <c r="N13" s="231">
        <v>2122.5</v>
      </c>
      <c r="O13" s="228">
        <v>47.5</v>
      </c>
      <c r="P13" s="229">
        <v>2.24E-2</v>
      </c>
      <c r="Q13" s="231">
        <v>2182.1</v>
      </c>
      <c r="R13" s="231">
        <v>2135</v>
      </c>
      <c r="S13" s="228">
        <v>47.1</v>
      </c>
      <c r="T13" s="229">
        <v>2.2100000000000002E-2</v>
      </c>
      <c r="U13" s="231">
        <v>2160</v>
      </c>
      <c r="V13" s="231">
        <v>2160</v>
      </c>
      <c r="W13" s="228">
        <v>0</v>
      </c>
      <c r="X13" s="229">
        <v>0</v>
      </c>
      <c r="Y13" s="228">
        <v>8.6999999999999993</v>
      </c>
      <c r="Z13" s="228">
        <v>2.8</v>
      </c>
      <c r="AA13" s="228">
        <v>5.9</v>
      </c>
      <c r="AB13" s="229">
        <v>4.0000000000000001E-3</v>
      </c>
      <c r="AC13" s="228">
        <v>8.6999999999999993</v>
      </c>
      <c r="AD13" s="228">
        <v>2.8</v>
      </c>
      <c r="AE13" s="228">
        <v>5.9</v>
      </c>
      <c r="AF13" s="229">
        <v>4.0000000000000001E-3</v>
      </c>
      <c r="AG13" s="228">
        <v>20.8</v>
      </c>
      <c r="AH13" s="228">
        <v>15.3</v>
      </c>
      <c r="AI13" s="228">
        <v>5.5</v>
      </c>
      <c r="AJ13" s="229">
        <v>9.5999999999999992E-3</v>
      </c>
      <c r="AK13" s="228">
        <v>-1.3</v>
      </c>
      <c r="AL13" s="228">
        <v>40.299999999999997</v>
      </c>
      <c r="AM13" s="228">
        <v>-41.6</v>
      </c>
      <c r="AN13" s="229">
        <v>-5.9999999999999995E-4</v>
      </c>
      <c r="AO13" s="231">
        <v>2159.92</v>
      </c>
      <c r="AP13" s="231">
        <v>2168.94</v>
      </c>
      <c r="AQ13" s="228">
        <v>0</v>
      </c>
      <c r="AR13" s="230">
        <v>494900</v>
      </c>
      <c r="AS13" s="230">
        <v>1790250</v>
      </c>
      <c r="AT13" s="230">
        <v>-1295350</v>
      </c>
      <c r="AU13" s="229">
        <v>-0.72360000000000002</v>
      </c>
      <c r="AV13" s="230">
        <v>475650</v>
      </c>
      <c r="AW13" s="230">
        <v>1750000</v>
      </c>
      <c r="AX13" s="230">
        <v>-1274350</v>
      </c>
      <c r="AY13" s="229">
        <v>-0.72819999999999996</v>
      </c>
      <c r="AZ13" s="230">
        <v>19250</v>
      </c>
      <c r="BA13" s="230">
        <v>39550</v>
      </c>
      <c r="BB13" s="230">
        <v>-20300</v>
      </c>
      <c r="BC13" s="229">
        <v>-0.51329999999999998</v>
      </c>
      <c r="BD13" s="228">
        <v>0</v>
      </c>
      <c r="BE13" s="228">
        <v>700</v>
      </c>
      <c r="BF13" s="228">
        <v>-700</v>
      </c>
      <c r="BG13" s="229">
        <v>-1</v>
      </c>
      <c r="BH13" s="230">
        <v>698250</v>
      </c>
      <c r="BI13" s="230">
        <v>3601500</v>
      </c>
      <c r="BJ13" s="230">
        <v>-2903250</v>
      </c>
      <c r="BK13" s="229">
        <v>-0.80610000000000004</v>
      </c>
      <c r="BL13" s="230">
        <v>630000</v>
      </c>
      <c r="BM13" s="230">
        <v>3721200</v>
      </c>
      <c r="BN13" s="230">
        <v>-3091200</v>
      </c>
      <c r="BO13" s="229">
        <v>-0.83069999999999999</v>
      </c>
      <c r="BP13" s="230">
        <v>1823150</v>
      </c>
      <c r="BQ13" s="230">
        <v>9112950</v>
      </c>
      <c r="BR13" s="230">
        <v>-7289800</v>
      </c>
      <c r="BS13" s="229">
        <v>-0.79990000000000006</v>
      </c>
      <c r="BT13" s="230">
        <v>405453</v>
      </c>
      <c r="BU13" s="230">
        <v>604879</v>
      </c>
      <c r="BV13" s="230">
        <v>-199426</v>
      </c>
      <c r="BW13" s="229">
        <v>-0.32969999999999999</v>
      </c>
      <c r="BX13" s="230">
        <v>4848200</v>
      </c>
      <c r="BY13" s="230">
        <v>4867450</v>
      </c>
      <c r="BZ13" s="230">
        <v>-19250</v>
      </c>
      <c r="CA13" s="229">
        <v>-4.0000000000000001E-3</v>
      </c>
      <c r="CB13" s="230">
        <v>4804450</v>
      </c>
      <c r="CC13" s="230">
        <v>4824750</v>
      </c>
      <c r="CD13" s="230">
        <v>-20300</v>
      </c>
      <c r="CE13" s="229">
        <v>-4.1999999999999997E-3</v>
      </c>
      <c r="CF13" s="230">
        <v>38500</v>
      </c>
      <c r="CG13" s="230">
        <v>37450</v>
      </c>
      <c r="CH13" s="230">
        <v>1050</v>
      </c>
      <c r="CI13" s="229">
        <v>2.8000000000000001E-2</v>
      </c>
      <c r="CJ13" s="230">
        <v>5250</v>
      </c>
      <c r="CK13" s="230">
        <v>5250</v>
      </c>
      <c r="CL13" s="228">
        <v>0</v>
      </c>
      <c r="CM13" s="229">
        <v>0</v>
      </c>
      <c r="CN13" s="230">
        <v>1044400</v>
      </c>
      <c r="CO13" s="230">
        <v>1052100</v>
      </c>
      <c r="CP13" s="230">
        <v>-7700</v>
      </c>
      <c r="CQ13" s="229">
        <v>-7.3000000000000001E-3</v>
      </c>
      <c r="CR13" s="230">
        <v>969850</v>
      </c>
      <c r="CS13" s="230">
        <v>931000</v>
      </c>
      <c r="CT13" s="230">
        <v>38850</v>
      </c>
      <c r="CU13" s="229">
        <v>4.1700000000000001E-2</v>
      </c>
      <c r="CV13" s="230">
        <v>6862450</v>
      </c>
      <c r="CW13" s="230">
        <v>6850550</v>
      </c>
      <c r="CX13" s="230">
        <v>11900</v>
      </c>
      <c r="CY13" s="229">
        <v>1.6999999999999999E-3</v>
      </c>
      <c r="CZ13" s="228">
        <v>24.5</v>
      </c>
      <c r="DA13" s="228">
        <v>26.74</v>
      </c>
      <c r="DB13" s="228">
        <v>-2.2400000000000002</v>
      </c>
      <c r="DC13" s="228">
        <v>-2.2400000000000002</v>
      </c>
      <c r="DD13" s="228">
        <v>32.049999999999997</v>
      </c>
      <c r="DE13" s="228">
        <v>32.01</v>
      </c>
      <c r="DF13" s="228">
        <v>-7.55</v>
      </c>
      <c r="DG13" s="228">
        <v>0.04</v>
      </c>
      <c r="DH13" s="228">
        <v>23.89</v>
      </c>
      <c r="DI13" s="228">
        <v>26.58</v>
      </c>
      <c r="DJ13" s="228">
        <v>-2.69</v>
      </c>
      <c r="DK13" s="228">
        <v>-2.69</v>
      </c>
      <c r="DL13" s="228">
        <v>25.17</v>
      </c>
      <c r="DM13" s="228">
        <v>26.9</v>
      </c>
      <c r="DN13" s="228">
        <v>-1.73</v>
      </c>
      <c r="DO13" s="228">
        <v>-1.73</v>
      </c>
      <c r="DP13" s="228">
        <v>0.93</v>
      </c>
      <c r="DQ13" s="228">
        <v>0.88</v>
      </c>
      <c r="DR13" s="228">
        <v>0.05</v>
      </c>
      <c r="DS13" s="229">
        <v>5.6800000000000003E-2</v>
      </c>
      <c r="DT13" s="231">
        <v>2300</v>
      </c>
      <c r="DU13" s="231">
        <v>2100</v>
      </c>
      <c r="DV13" s="228">
        <v>0.9</v>
      </c>
      <c r="DW13" s="228">
        <v>1.03</v>
      </c>
      <c r="DX13" s="228">
        <v>-0.13</v>
      </c>
      <c r="DY13" s="229">
        <v>-0.12620000000000001</v>
      </c>
      <c r="DZ13" s="229">
        <v>8.9999999999999993E-3</v>
      </c>
      <c r="EA13" s="230">
        <v>42700</v>
      </c>
      <c r="EB13" s="229">
        <v>5.5999999999999999E-3</v>
      </c>
      <c r="EC13" s="229">
        <v>8.9999999999999993E-3</v>
      </c>
      <c r="ED13" s="228">
        <v>9.02</v>
      </c>
      <c r="EE13" s="229">
        <v>4.1999999999999997E-3</v>
      </c>
      <c r="EF13" s="230">
        <v>194248</v>
      </c>
      <c r="EG13" s="230">
        <v>281295</v>
      </c>
      <c r="EH13" s="229">
        <v>-0.3095</v>
      </c>
      <c r="EI13" s="229">
        <v>0.47910000000000003</v>
      </c>
      <c r="EJ13" s="231">
        <v>15780.5</v>
      </c>
      <c r="EK13" s="231">
        <v>13463.93</v>
      </c>
      <c r="EL13" s="231">
        <v>10691.19</v>
      </c>
      <c r="EM13" s="231">
        <v>2949</v>
      </c>
      <c r="EN13" s="231">
        <v>39935.620000000003</v>
      </c>
      <c r="EO13" s="231">
        <v>201069.03</v>
      </c>
      <c r="EP13" s="231">
        <v>-161133.41</v>
      </c>
      <c r="EQ13" s="229">
        <v>-0.8014</v>
      </c>
      <c r="ER13" s="231">
        <v>23562</v>
      </c>
      <c r="ES13" s="231">
        <v>20798</v>
      </c>
      <c r="ET13" s="231">
        <v>105210</v>
      </c>
      <c r="EU13" s="231">
        <v>23068453</v>
      </c>
      <c r="EV13" s="231">
        <v>149570</v>
      </c>
      <c r="EW13" s="231">
        <v>147007</v>
      </c>
      <c r="EX13" s="231">
        <v>2563</v>
      </c>
      <c r="EY13" s="229">
        <v>1.7399999999999999E-2</v>
      </c>
      <c r="EZ13" s="229">
        <v>0.29749999999999999</v>
      </c>
      <c r="FA13" s="227" t="s">
        <v>556</v>
      </c>
      <c r="FB13" s="161">
        <f t="shared" si="0"/>
        <v>43750</v>
      </c>
    </row>
    <row r="14" spans="1:158" ht="17.25" thickBot="1" x14ac:dyDescent="0.3">
      <c r="A14" s="226">
        <v>46086</v>
      </c>
      <c r="B14" s="227" t="s">
        <v>170</v>
      </c>
      <c r="C14" s="227" t="s">
        <v>165</v>
      </c>
      <c r="D14" s="228">
        <v>125</v>
      </c>
      <c r="E14" s="231">
        <v>7787.5</v>
      </c>
      <c r="F14" s="231">
        <v>7680</v>
      </c>
      <c r="G14" s="228">
        <v>107.5</v>
      </c>
      <c r="H14" s="229">
        <v>1.4E-2</v>
      </c>
      <c r="I14" s="231">
        <v>7775</v>
      </c>
      <c r="J14" s="231">
        <v>7666</v>
      </c>
      <c r="K14" s="228">
        <v>109</v>
      </c>
      <c r="L14" s="229">
        <v>1.4200000000000001E-2</v>
      </c>
      <c r="M14" s="231">
        <v>7787.5</v>
      </c>
      <c r="N14" s="231">
        <v>7680</v>
      </c>
      <c r="O14" s="228">
        <v>107.5</v>
      </c>
      <c r="P14" s="229">
        <v>1.4E-2</v>
      </c>
      <c r="Q14" s="231">
        <v>7833.5</v>
      </c>
      <c r="R14" s="231">
        <v>7734.5</v>
      </c>
      <c r="S14" s="228">
        <v>99</v>
      </c>
      <c r="T14" s="229">
        <v>1.2800000000000001E-2</v>
      </c>
      <c r="U14" s="231">
        <v>7898</v>
      </c>
      <c r="V14" s="231">
        <v>7767.5</v>
      </c>
      <c r="W14" s="228">
        <v>130.5</v>
      </c>
      <c r="X14" s="229">
        <v>1.6799999999999999E-2</v>
      </c>
      <c r="Y14" s="228">
        <v>12.5</v>
      </c>
      <c r="Z14" s="228">
        <v>14</v>
      </c>
      <c r="AA14" s="228">
        <v>-1.5</v>
      </c>
      <c r="AB14" s="229">
        <v>1.6000000000000001E-3</v>
      </c>
      <c r="AC14" s="228">
        <v>12.5</v>
      </c>
      <c r="AD14" s="228">
        <v>14</v>
      </c>
      <c r="AE14" s="228">
        <v>-1.5</v>
      </c>
      <c r="AF14" s="229">
        <v>1.6000000000000001E-3</v>
      </c>
      <c r="AG14" s="228">
        <v>58.5</v>
      </c>
      <c r="AH14" s="228">
        <v>68.5</v>
      </c>
      <c r="AI14" s="228">
        <v>-10</v>
      </c>
      <c r="AJ14" s="229">
        <v>7.4999999999999997E-3</v>
      </c>
      <c r="AK14" s="228">
        <v>123</v>
      </c>
      <c r="AL14" s="228">
        <v>101.5</v>
      </c>
      <c r="AM14" s="228">
        <v>21.5</v>
      </c>
      <c r="AN14" s="229">
        <v>1.5800000000000002E-2</v>
      </c>
      <c r="AO14" s="231">
        <v>7741.68</v>
      </c>
      <c r="AP14" s="231">
        <v>7783.33</v>
      </c>
      <c r="AQ14" s="228">
        <v>0</v>
      </c>
      <c r="AR14" s="230">
        <v>460125</v>
      </c>
      <c r="AS14" s="230">
        <v>614750</v>
      </c>
      <c r="AT14" s="230">
        <v>-154625</v>
      </c>
      <c r="AU14" s="229">
        <v>-0.2515</v>
      </c>
      <c r="AV14" s="230">
        <v>448750</v>
      </c>
      <c r="AW14" s="230">
        <v>587125</v>
      </c>
      <c r="AX14" s="230">
        <v>-138375</v>
      </c>
      <c r="AY14" s="229">
        <v>-0.23569999999999999</v>
      </c>
      <c r="AZ14" s="230">
        <v>10375</v>
      </c>
      <c r="BA14" s="230">
        <v>24500</v>
      </c>
      <c r="BB14" s="230">
        <v>-14125</v>
      </c>
      <c r="BC14" s="229">
        <v>-0.57650000000000001</v>
      </c>
      <c r="BD14" s="230">
        <v>1000</v>
      </c>
      <c r="BE14" s="230">
        <v>3125</v>
      </c>
      <c r="BF14" s="230">
        <v>-2125</v>
      </c>
      <c r="BG14" s="229">
        <v>-0.68</v>
      </c>
      <c r="BH14" s="230">
        <v>1709250</v>
      </c>
      <c r="BI14" s="230">
        <v>2291625</v>
      </c>
      <c r="BJ14" s="230">
        <v>-582375</v>
      </c>
      <c r="BK14" s="229">
        <v>-0.25409999999999999</v>
      </c>
      <c r="BL14" s="230">
        <v>980250</v>
      </c>
      <c r="BM14" s="230">
        <v>1688875</v>
      </c>
      <c r="BN14" s="230">
        <v>-708625</v>
      </c>
      <c r="BO14" s="229">
        <v>-0.41959999999999997</v>
      </c>
      <c r="BP14" s="230">
        <v>3149625</v>
      </c>
      <c r="BQ14" s="230">
        <v>4595250</v>
      </c>
      <c r="BR14" s="230">
        <v>-1445625</v>
      </c>
      <c r="BS14" s="229">
        <v>-0.31459999999999999</v>
      </c>
      <c r="BT14" s="230">
        <v>458588</v>
      </c>
      <c r="BU14" s="230">
        <v>648481</v>
      </c>
      <c r="BV14" s="230">
        <v>-189893</v>
      </c>
      <c r="BW14" s="229">
        <v>-0.2928</v>
      </c>
      <c r="BX14" s="230">
        <v>2547375</v>
      </c>
      <c r="BY14" s="230">
        <v>2635375</v>
      </c>
      <c r="BZ14" s="230">
        <v>-88000</v>
      </c>
      <c r="CA14" s="229">
        <v>-3.3399999999999999E-2</v>
      </c>
      <c r="CB14" s="230">
        <v>2520000</v>
      </c>
      <c r="CC14" s="230">
        <v>2608500</v>
      </c>
      <c r="CD14" s="230">
        <v>-88500</v>
      </c>
      <c r="CE14" s="229">
        <v>-3.39E-2</v>
      </c>
      <c r="CF14" s="230">
        <v>23375</v>
      </c>
      <c r="CG14" s="230">
        <v>23375</v>
      </c>
      <c r="CH14" s="228">
        <v>0</v>
      </c>
      <c r="CI14" s="229">
        <v>0</v>
      </c>
      <c r="CJ14" s="230">
        <v>4000</v>
      </c>
      <c r="CK14" s="230">
        <v>3500</v>
      </c>
      <c r="CL14" s="228">
        <v>500</v>
      </c>
      <c r="CM14" s="229">
        <v>0.1429</v>
      </c>
      <c r="CN14" s="230">
        <v>923000</v>
      </c>
      <c r="CO14" s="230">
        <v>857500</v>
      </c>
      <c r="CP14" s="230">
        <v>65500</v>
      </c>
      <c r="CQ14" s="229">
        <v>7.6399999999999996E-2</v>
      </c>
      <c r="CR14" s="230">
        <v>691375</v>
      </c>
      <c r="CS14" s="230">
        <v>580375</v>
      </c>
      <c r="CT14" s="230">
        <v>111000</v>
      </c>
      <c r="CU14" s="229">
        <v>0.1913</v>
      </c>
      <c r="CV14" s="230">
        <v>4161750</v>
      </c>
      <c r="CW14" s="230">
        <v>4073250</v>
      </c>
      <c r="CX14" s="230">
        <v>88500</v>
      </c>
      <c r="CY14" s="229">
        <v>2.1700000000000001E-2</v>
      </c>
      <c r="CZ14" s="228">
        <v>20.87</v>
      </c>
      <c r="DA14" s="228">
        <v>23.83</v>
      </c>
      <c r="DB14" s="228">
        <v>-2.96</v>
      </c>
      <c r="DC14" s="228">
        <v>-2.96</v>
      </c>
      <c r="DD14" s="228">
        <v>24.65</v>
      </c>
      <c r="DE14" s="228">
        <v>24.63</v>
      </c>
      <c r="DF14" s="228">
        <v>-3.78</v>
      </c>
      <c r="DG14" s="228">
        <v>0.02</v>
      </c>
      <c r="DH14" s="228">
        <v>20.28</v>
      </c>
      <c r="DI14" s="228">
        <v>22.71</v>
      </c>
      <c r="DJ14" s="228">
        <v>-2.4300000000000002</v>
      </c>
      <c r="DK14" s="228">
        <v>-2.4300000000000002</v>
      </c>
      <c r="DL14" s="228">
        <v>21.9</v>
      </c>
      <c r="DM14" s="228">
        <v>25.33</v>
      </c>
      <c r="DN14" s="228">
        <v>-3.43</v>
      </c>
      <c r="DO14" s="228">
        <v>-3.43</v>
      </c>
      <c r="DP14" s="228">
        <v>0.75</v>
      </c>
      <c r="DQ14" s="228">
        <v>0.68</v>
      </c>
      <c r="DR14" s="228">
        <v>7.0000000000000007E-2</v>
      </c>
      <c r="DS14" s="229">
        <v>0.10290000000000001</v>
      </c>
      <c r="DT14" s="231">
        <v>7700</v>
      </c>
      <c r="DU14" s="231">
        <v>7000</v>
      </c>
      <c r="DV14" s="228">
        <v>0.56999999999999995</v>
      </c>
      <c r="DW14" s="228">
        <v>0.74</v>
      </c>
      <c r="DX14" s="228">
        <v>-0.17</v>
      </c>
      <c r="DY14" s="229">
        <v>-0.22969999999999999</v>
      </c>
      <c r="DZ14" s="229">
        <v>1.0699999999999999E-2</v>
      </c>
      <c r="EA14" s="230">
        <v>26875</v>
      </c>
      <c r="EB14" s="229">
        <v>5.8999999999999999E-3</v>
      </c>
      <c r="EC14" s="229">
        <v>1.0699999999999999E-2</v>
      </c>
      <c r="ED14" s="228">
        <v>41.65</v>
      </c>
      <c r="EE14" s="229">
        <v>5.4000000000000003E-3</v>
      </c>
      <c r="EF14" s="230">
        <v>264797</v>
      </c>
      <c r="EG14" s="230">
        <v>424030</v>
      </c>
      <c r="EH14" s="229">
        <v>-0.3755</v>
      </c>
      <c r="EI14" s="229">
        <v>0.57740000000000002</v>
      </c>
      <c r="EJ14" s="231">
        <v>137601.32999999999</v>
      </c>
      <c r="EK14" s="231">
        <v>73356.820000000007</v>
      </c>
      <c r="EL14" s="231">
        <v>35626.67</v>
      </c>
      <c r="EM14" s="231">
        <v>3093</v>
      </c>
      <c r="EN14" s="231">
        <v>246584.82</v>
      </c>
      <c r="EO14" s="231">
        <v>356481.49</v>
      </c>
      <c r="EP14" s="231">
        <v>-109896.67</v>
      </c>
      <c r="EQ14" s="229">
        <v>-0.30830000000000002</v>
      </c>
      <c r="ER14" s="231">
        <v>73759</v>
      </c>
      <c r="ES14" s="231">
        <v>51042</v>
      </c>
      <c r="ET14" s="231">
        <v>198392</v>
      </c>
      <c r="EU14" s="231">
        <v>15524629</v>
      </c>
      <c r="EV14" s="231">
        <v>323193</v>
      </c>
      <c r="EW14" s="231">
        <v>313764</v>
      </c>
      <c r="EX14" s="231">
        <v>9429</v>
      </c>
      <c r="EY14" s="229">
        <v>3.0099999999999998E-2</v>
      </c>
      <c r="EZ14" s="229">
        <v>0.2681</v>
      </c>
      <c r="FA14" s="227" t="s">
        <v>556</v>
      </c>
      <c r="FB14" s="161">
        <f t="shared" si="0"/>
        <v>27375</v>
      </c>
    </row>
    <row r="15" spans="1:158" ht="17.25" thickBot="1" x14ac:dyDescent="0.3">
      <c r="A15" s="226">
        <v>46086</v>
      </c>
      <c r="B15" s="227" t="s">
        <v>162</v>
      </c>
      <c r="C15" s="227" t="s">
        <v>167</v>
      </c>
      <c r="D15" s="228">
        <v>5000</v>
      </c>
      <c r="E15" s="228">
        <v>203.21</v>
      </c>
      <c r="F15" s="228">
        <v>200.11</v>
      </c>
      <c r="G15" s="228">
        <v>3.1</v>
      </c>
      <c r="H15" s="229">
        <v>1.55E-2</v>
      </c>
      <c r="I15" s="228">
        <v>203.04</v>
      </c>
      <c r="J15" s="228">
        <v>200.46</v>
      </c>
      <c r="K15" s="228">
        <v>2.58</v>
      </c>
      <c r="L15" s="229">
        <v>1.29E-2</v>
      </c>
      <c r="M15" s="228">
        <v>203.21</v>
      </c>
      <c r="N15" s="228">
        <v>200.11</v>
      </c>
      <c r="O15" s="228">
        <v>3.1</v>
      </c>
      <c r="P15" s="229">
        <v>1.55E-2</v>
      </c>
      <c r="Q15" s="228">
        <v>201.81</v>
      </c>
      <c r="R15" s="228">
        <v>198.08</v>
      </c>
      <c r="S15" s="228">
        <v>3.73</v>
      </c>
      <c r="T15" s="229">
        <v>1.8800000000000001E-2</v>
      </c>
      <c r="U15" s="228">
        <v>201</v>
      </c>
      <c r="V15" s="228">
        <v>196.81</v>
      </c>
      <c r="W15" s="228">
        <v>4.1900000000000004</v>
      </c>
      <c r="X15" s="229">
        <v>2.1299999999999999E-2</v>
      </c>
      <c r="Y15" s="228">
        <v>0.17</v>
      </c>
      <c r="Z15" s="228">
        <v>-0.35</v>
      </c>
      <c r="AA15" s="228">
        <v>0.52</v>
      </c>
      <c r="AB15" s="229">
        <v>8.0000000000000004E-4</v>
      </c>
      <c r="AC15" s="228">
        <v>0.17</v>
      </c>
      <c r="AD15" s="228">
        <v>-0.35</v>
      </c>
      <c r="AE15" s="228">
        <v>0.52</v>
      </c>
      <c r="AF15" s="229">
        <v>8.0000000000000004E-4</v>
      </c>
      <c r="AG15" s="228">
        <v>-1.23</v>
      </c>
      <c r="AH15" s="228">
        <v>-2.38</v>
      </c>
      <c r="AI15" s="228">
        <v>1.1499999999999999</v>
      </c>
      <c r="AJ15" s="229">
        <v>-6.1000000000000004E-3</v>
      </c>
      <c r="AK15" s="228">
        <v>-2.04</v>
      </c>
      <c r="AL15" s="228">
        <v>-3.65</v>
      </c>
      <c r="AM15" s="228">
        <v>1.61</v>
      </c>
      <c r="AN15" s="229">
        <v>-0.01</v>
      </c>
      <c r="AO15" s="228">
        <v>201.76</v>
      </c>
      <c r="AP15" s="228">
        <v>200.34</v>
      </c>
      <c r="AQ15" s="228">
        <v>0</v>
      </c>
      <c r="AR15" s="230">
        <v>27245000</v>
      </c>
      <c r="AS15" s="230">
        <v>42565000</v>
      </c>
      <c r="AT15" s="230">
        <v>-15320000</v>
      </c>
      <c r="AU15" s="229">
        <v>-0.3599</v>
      </c>
      <c r="AV15" s="230">
        <v>24375000</v>
      </c>
      <c r="AW15" s="230">
        <v>39795000</v>
      </c>
      <c r="AX15" s="230">
        <v>-15420000</v>
      </c>
      <c r="AY15" s="229">
        <v>-0.38750000000000001</v>
      </c>
      <c r="AZ15" s="230">
        <v>2630000</v>
      </c>
      <c r="BA15" s="230">
        <v>2495000</v>
      </c>
      <c r="BB15" s="230">
        <v>135000</v>
      </c>
      <c r="BC15" s="229">
        <v>5.4100000000000002E-2</v>
      </c>
      <c r="BD15" s="230">
        <v>240000</v>
      </c>
      <c r="BE15" s="230">
        <v>275000</v>
      </c>
      <c r="BF15" s="230">
        <v>-35000</v>
      </c>
      <c r="BG15" s="229">
        <v>-0.1273</v>
      </c>
      <c r="BH15" s="230">
        <v>60960000</v>
      </c>
      <c r="BI15" s="230">
        <v>85445000</v>
      </c>
      <c r="BJ15" s="230">
        <v>-24485000</v>
      </c>
      <c r="BK15" s="229">
        <v>-0.28660000000000002</v>
      </c>
      <c r="BL15" s="230">
        <v>34875000</v>
      </c>
      <c r="BM15" s="230">
        <v>55415000</v>
      </c>
      <c r="BN15" s="230">
        <v>-20540000</v>
      </c>
      <c r="BO15" s="229">
        <v>-0.37069999999999997</v>
      </c>
      <c r="BP15" s="230">
        <v>123080000</v>
      </c>
      <c r="BQ15" s="230">
        <v>183425000</v>
      </c>
      <c r="BR15" s="230">
        <v>-60345000</v>
      </c>
      <c r="BS15" s="229">
        <v>-0.32900000000000001</v>
      </c>
      <c r="BT15" s="230">
        <v>18200884</v>
      </c>
      <c r="BU15" s="230">
        <v>30475118</v>
      </c>
      <c r="BV15" s="230">
        <v>-12274234</v>
      </c>
      <c r="BW15" s="229">
        <v>-0.40279999999999999</v>
      </c>
      <c r="BX15" s="230">
        <v>151330000</v>
      </c>
      <c r="BY15" s="230">
        <v>151890000</v>
      </c>
      <c r="BZ15" s="230">
        <v>-560000</v>
      </c>
      <c r="CA15" s="229">
        <v>-3.7000000000000002E-3</v>
      </c>
      <c r="CB15" s="230">
        <v>146925000</v>
      </c>
      <c r="CC15" s="230">
        <v>148055000</v>
      </c>
      <c r="CD15" s="230">
        <v>-1130000</v>
      </c>
      <c r="CE15" s="229">
        <v>-7.6E-3</v>
      </c>
      <c r="CF15" s="230">
        <v>4085000</v>
      </c>
      <c r="CG15" s="230">
        <v>3525000</v>
      </c>
      <c r="CH15" s="230">
        <v>560000</v>
      </c>
      <c r="CI15" s="229">
        <v>0.15890000000000001</v>
      </c>
      <c r="CJ15" s="230">
        <v>320000</v>
      </c>
      <c r="CK15" s="230">
        <v>310000</v>
      </c>
      <c r="CL15" s="230">
        <v>10000</v>
      </c>
      <c r="CM15" s="229">
        <v>3.2300000000000002E-2</v>
      </c>
      <c r="CN15" s="230">
        <v>41550000</v>
      </c>
      <c r="CO15" s="230">
        <v>41980000</v>
      </c>
      <c r="CP15" s="230">
        <v>-430000</v>
      </c>
      <c r="CQ15" s="229">
        <v>-1.0200000000000001E-2</v>
      </c>
      <c r="CR15" s="230">
        <v>29680000</v>
      </c>
      <c r="CS15" s="230">
        <v>28250000</v>
      </c>
      <c r="CT15" s="230">
        <v>1430000</v>
      </c>
      <c r="CU15" s="229">
        <v>5.0599999999999999E-2</v>
      </c>
      <c r="CV15" s="230">
        <v>222560000</v>
      </c>
      <c r="CW15" s="230">
        <v>222120000</v>
      </c>
      <c r="CX15" s="230">
        <v>440000</v>
      </c>
      <c r="CY15" s="229">
        <v>2E-3</v>
      </c>
      <c r="CZ15" s="228">
        <v>31.53</v>
      </c>
      <c r="DA15" s="228">
        <v>34.46</v>
      </c>
      <c r="DB15" s="228">
        <v>-2.93</v>
      </c>
      <c r="DC15" s="228">
        <v>-2.93</v>
      </c>
      <c r="DD15" s="228">
        <v>35.25</v>
      </c>
      <c r="DE15" s="228">
        <v>35.29</v>
      </c>
      <c r="DF15" s="228">
        <v>-3.72</v>
      </c>
      <c r="DG15" s="228">
        <v>-0.04</v>
      </c>
      <c r="DH15" s="228">
        <v>30.63</v>
      </c>
      <c r="DI15" s="228">
        <v>33.590000000000003</v>
      </c>
      <c r="DJ15" s="228">
        <v>-2.96</v>
      </c>
      <c r="DK15" s="228">
        <v>-2.96</v>
      </c>
      <c r="DL15" s="228">
        <v>33.1</v>
      </c>
      <c r="DM15" s="228">
        <v>35.799999999999997</v>
      </c>
      <c r="DN15" s="228">
        <v>-2.7</v>
      </c>
      <c r="DO15" s="228">
        <v>-2.7</v>
      </c>
      <c r="DP15" s="228">
        <v>0.71</v>
      </c>
      <c r="DQ15" s="228">
        <v>0.67</v>
      </c>
      <c r="DR15" s="228">
        <v>0.04</v>
      </c>
      <c r="DS15" s="229">
        <v>5.9700000000000003E-2</v>
      </c>
      <c r="DT15" s="228">
        <v>220</v>
      </c>
      <c r="DU15" s="228">
        <v>200</v>
      </c>
      <c r="DV15" s="228">
        <v>0.56999999999999995</v>
      </c>
      <c r="DW15" s="228">
        <v>0.65</v>
      </c>
      <c r="DX15" s="228">
        <v>-0.08</v>
      </c>
      <c r="DY15" s="229">
        <v>-0.1231</v>
      </c>
      <c r="DZ15" s="229">
        <v>2.9100000000000001E-2</v>
      </c>
      <c r="EA15" s="230">
        <v>3835000</v>
      </c>
      <c r="EB15" s="229">
        <v>-6.8999999999999999E-3</v>
      </c>
      <c r="EC15" s="229">
        <v>2.9100000000000001E-2</v>
      </c>
      <c r="ED15" s="228">
        <v>-1.42</v>
      </c>
      <c r="EE15" s="229">
        <v>-7.0000000000000001E-3</v>
      </c>
      <c r="EF15" s="230">
        <v>8383149</v>
      </c>
      <c r="EG15" s="230">
        <v>14737066</v>
      </c>
      <c r="EH15" s="229">
        <v>-0.43120000000000003</v>
      </c>
      <c r="EI15" s="229">
        <v>0.46060000000000001</v>
      </c>
      <c r="EJ15" s="231">
        <v>131039.38</v>
      </c>
      <c r="EK15" s="231">
        <v>68107.490000000005</v>
      </c>
      <c r="EL15" s="231">
        <v>54927.07</v>
      </c>
      <c r="EM15" s="231">
        <v>5980</v>
      </c>
      <c r="EN15" s="231">
        <v>254073.94</v>
      </c>
      <c r="EO15" s="231">
        <v>380084.16</v>
      </c>
      <c r="EP15" s="231">
        <v>-126010.22</v>
      </c>
      <c r="EQ15" s="229">
        <v>-0.33150000000000002</v>
      </c>
      <c r="ER15" s="231">
        <v>90112</v>
      </c>
      <c r="ES15" s="231">
        <v>57746</v>
      </c>
      <c r="ET15" s="231">
        <v>307453</v>
      </c>
      <c r="EU15" s="231">
        <v>423719104</v>
      </c>
      <c r="EV15" s="231">
        <v>455311</v>
      </c>
      <c r="EW15" s="231">
        <v>449971</v>
      </c>
      <c r="EX15" s="231">
        <v>5340</v>
      </c>
      <c r="EY15" s="229">
        <v>1.1900000000000001E-2</v>
      </c>
      <c r="EZ15" s="229">
        <v>0.52529999999999999</v>
      </c>
      <c r="FA15" s="227" t="s">
        <v>556</v>
      </c>
      <c r="FB15" s="161">
        <f t="shared" si="0"/>
        <v>4405000</v>
      </c>
    </row>
    <row r="16" spans="1:158" ht="17.25" thickBot="1" x14ac:dyDescent="0.3">
      <c r="A16" s="226">
        <v>46086</v>
      </c>
      <c r="B16" s="227" t="s">
        <v>168</v>
      </c>
      <c r="C16" s="227" t="s">
        <v>169</v>
      </c>
      <c r="D16" s="228">
        <v>250</v>
      </c>
      <c r="E16" s="231">
        <v>2298.8000000000002</v>
      </c>
      <c r="F16" s="231">
        <v>2293.1</v>
      </c>
      <c r="G16" s="228">
        <v>5.7</v>
      </c>
      <c r="H16" s="229">
        <v>2.5000000000000001E-3</v>
      </c>
      <c r="I16" s="231">
        <v>2287.8000000000002</v>
      </c>
      <c r="J16" s="231">
        <v>2285.1999999999998</v>
      </c>
      <c r="K16" s="228">
        <v>2.6</v>
      </c>
      <c r="L16" s="229">
        <v>1.1000000000000001E-3</v>
      </c>
      <c r="M16" s="231">
        <v>2298.8000000000002</v>
      </c>
      <c r="N16" s="231">
        <v>2293.1</v>
      </c>
      <c r="O16" s="228">
        <v>5.7</v>
      </c>
      <c r="P16" s="229">
        <v>2.5000000000000001E-3</v>
      </c>
      <c r="Q16" s="231">
        <v>2310.8000000000002</v>
      </c>
      <c r="R16" s="231">
        <v>2306.8000000000002</v>
      </c>
      <c r="S16" s="228">
        <v>4</v>
      </c>
      <c r="T16" s="229">
        <v>1.6999999999999999E-3</v>
      </c>
      <c r="U16" s="231">
        <v>2326.5</v>
      </c>
      <c r="V16" s="231">
        <v>2317.3000000000002</v>
      </c>
      <c r="W16" s="228">
        <v>9.1999999999999993</v>
      </c>
      <c r="X16" s="229">
        <v>4.0000000000000001E-3</v>
      </c>
      <c r="Y16" s="228">
        <v>11</v>
      </c>
      <c r="Z16" s="228">
        <v>7.9</v>
      </c>
      <c r="AA16" s="228">
        <v>3.1</v>
      </c>
      <c r="AB16" s="229">
        <v>4.7999999999999996E-3</v>
      </c>
      <c r="AC16" s="228">
        <v>11</v>
      </c>
      <c r="AD16" s="228">
        <v>7.9</v>
      </c>
      <c r="AE16" s="228">
        <v>3.1</v>
      </c>
      <c r="AF16" s="229">
        <v>4.7999999999999996E-3</v>
      </c>
      <c r="AG16" s="228">
        <v>23</v>
      </c>
      <c r="AH16" s="228">
        <v>21.6</v>
      </c>
      <c r="AI16" s="228">
        <v>1.4</v>
      </c>
      <c r="AJ16" s="229">
        <v>1.01E-2</v>
      </c>
      <c r="AK16" s="228">
        <v>38.700000000000003</v>
      </c>
      <c r="AL16" s="228">
        <v>32.1</v>
      </c>
      <c r="AM16" s="228">
        <v>6.6</v>
      </c>
      <c r="AN16" s="229">
        <v>1.6899999999999998E-2</v>
      </c>
      <c r="AO16" s="231">
        <v>2287.89</v>
      </c>
      <c r="AP16" s="231">
        <v>2298.11</v>
      </c>
      <c r="AQ16" s="228">
        <v>0</v>
      </c>
      <c r="AR16" s="230">
        <v>1363250</v>
      </c>
      <c r="AS16" s="230">
        <v>1938500</v>
      </c>
      <c r="AT16" s="230">
        <v>-575250</v>
      </c>
      <c r="AU16" s="229">
        <v>-0.29680000000000001</v>
      </c>
      <c r="AV16" s="230">
        <v>1303000</v>
      </c>
      <c r="AW16" s="230">
        <v>1829250</v>
      </c>
      <c r="AX16" s="230">
        <v>-526250</v>
      </c>
      <c r="AY16" s="229">
        <v>-0.28770000000000001</v>
      </c>
      <c r="AZ16" s="230">
        <v>47500</v>
      </c>
      <c r="BA16" s="230">
        <v>84250</v>
      </c>
      <c r="BB16" s="230">
        <v>-36750</v>
      </c>
      <c r="BC16" s="229">
        <v>-0.43619999999999998</v>
      </c>
      <c r="BD16" s="230">
        <v>12750</v>
      </c>
      <c r="BE16" s="230">
        <v>25000</v>
      </c>
      <c r="BF16" s="230">
        <v>-12250</v>
      </c>
      <c r="BG16" s="229">
        <v>-0.49</v>
      </c>
      <c r="BH16" s="230">
        <v>5003250</v>
      </c>
      <c r="BI16" s="230">
        <v>5579750</v>
      </c>
      <c r="BJ16" s="230">
        <v>-576500</v>
      </c>
      <c r="BK16" s="229">
        <v>-0.1033</v>
      </c>
      <c r="BL16" s="230">
        <v>4417000</v>
      </c>
      <c r="BM16" s="230">
        <v>9102250</v>
      </c>
      <c r="BN16" s="230">
        <v>-4685250</v>
      </c>
      <c r="BO16" s="229">
        <v>-0.51470000000000005</v>
      </c>
      <c r="BP16" s="230">
        <v>10783500</v>
      </c>
      <c r="BQ16" s="230">
        <v>16620500</v>
      </c>
      <c r="BR16" s="230">
        <v>-5837000</v>
      </c>
      <c r="BS16" s="229">
        <v>-0.35120000000000001</v>
      </c>
      <c r="BT16" s="230">
        <v>985038</v>
      </c>
      <c r="BU16" s="230">
        <v>1720117</v>
      </c>
      <c r="BV16" s="230">
        <v>-735079</v>
      </c>
      <c r="BW16" s="229">
        <v>-0.42730000000000001</v>
      </c>
      <c r="BX16" s="230">
        <v>12795250</v>
      </c>
      <c r="BY16" s="230">
        <v>12792000</v>
      </c>
      <c r="BZ16" s="230">
        <v>3250</v>
      </c>
      <c r="CA16" s="229">
        <v>2.9999999999999997E-4</v>
      </c>
      <c r="CB16" s="230">
        <v>12544250</v>
      </c>
      <c r="CC16" s="230">
        <v>12545250</v>
      </c>
      <c r="CD16" s="230">
        <v>-1000</v>
      </c>
      <c r="CE16" s="229">
        <v>-1E-4</v>
      </c>
      <c r="CF16" s="230">
        <v>213000</v>
      </c>
      <c r="CG16" s="230">
        <v>214500</v>
      </c>
      <c r="CH16" s="230">
        <v>-1500</v>
      </c>
      <c r="CI16" s="229">
        <v>-7.0000000000000001E-3</v>
      </c>
      <c r="CJ16" s="230">
        <v>38000</v>
      </c>
      <c r="CK16" s="230">
        <v>32250</v>
      </c>
      <c r="CL16" s="230">
        <v>5750</v>
      </c>
      <c r="CM16" s="229">
        <v>0.17829999999999999</v>
      </c>
      <c r="CN16" s="230">
        <v>4314000</v>
      </c>
      <c r="CO16" s="230">
        <v>4154500</v>
      </c>
      <c r="CP16" s="230">
        <v>159500</v>
      </c>
      <c r="CQ16" s="229">
        <v>3.8399999999999997E-2</v>
      </c>
      <c r="CR16" s="230">
        <v>3864750</v>
      </c>
      <c r="CS16" s="230">
        <v>4048750</v>
      </c>
      <c r="CT16" s="230">
        <v>-184000</v>
      </c>
      <c r="CU16" s="229">
        <v>-4.5400000000000003E-2</v>
      </c>
      <c r="CV16" s="230">
        <v>20974000</v>
      </c>
      <c r="CW16" s="230">
        <v>20995250</v>
      </c>
      <c r="CX16" s="230">
        <v>-21250</v>
      </c>
      <c r="CY16" s="229">
        <v>-1E-3</v>
      </c>
      <c r="CZ16" s="228">
        <v>25.33</v>
      </c>
      <c r="DA16" s="228">
        <v>31</v>
      </c>
      <c r="DB16" s="228">
        <v>-5.67</v>
      </c>
      <c r="DC16" s="228">
        <v>-5.67</v>
      </c>
      <c r="DD16" s="228">
        <v>26.34</v>
      </c>
      <c r="DE16" s="228">
        <v>26.41</v>
      </c>
      <c r="DF16" s="228">
        <v>-1.01</v>
      </c>
      <c r="DG16" s="228">
        <v>-7.0000000000000007E-2</v>
      </c>
      <c r="DH16" s="228">
        <v>23.6</v>
      </c>
      <c r="DI16" s="228">
        <v>27.63</v>
      </c>
      <c r="DJ16" s="228">
        <v>-4.03</v>
      </c>
      <c r="DK16" s="228">
        <v>-4.03</v>
      </c>
      <c r="DL16" s="228">
        <v>27.29</v>
      </c>
      <c r="DM16" s="228">
        <v>33.06</v>
      </c>
      <c r="DN16" s="228">
        <v>-5.77</v>
      </c>
      <c r="DO16" s="228">
        <v>-5.77</v>
      </c>
      <c r="DP16" s="228">
        <v>0.9</v>
      </c>
      <c r="DQ16" s="228">
        <v>0.97</v>
      </c>
      <c r="DR16" s="228">
        <v>-7.0000000000000007E-2</v>
      </c>
      <c r="DS16" s="229">
        <v>-7.22E-2</v>
      </c>
      <c r="DT16" s="231">
        <v>2500</v>
      </c>
      <c r="DU16" s="231">
        <v>2300</v>
      </c>
      <c r="DV16" s="228">
        <v>0.88</v>
      </c>
      <c r="DW16" s="228">
        <v>1.63</v>
      </c>
      <c r="DX16" s="228">
        <v>-0.75</v>
      </c>
      <c r="DY16" s="229">
        <v>-0.46010000000000001</v>
      </c>
      <c r="DZ16" s="229">
        <v>1.9599999999999999E-2</v>
      </c>
      <c r="EA16" s="230">
        <v>246750</v>
      </c>
      <c r="EB16" s="229">
        <v>5.1999999999999998E-3</v>
      </c>
      <c r="EC16" s="229">
        <v>1.9599999999999999E-2</v>
      </c>
      <c r="ED16" s="228">
        <v>10.220000000000001</v>
      </c>
      <c r="EE16" s="229">
        <v>4.4999999999999997E-3</v>
      </c>
      <c r="EF16" s="230">
        <v>513252</v>
      </c>
      <c r="EG16" s="230">
        <v>924981</v>
      </c>
      <c r="EH16" s="229">
        <v>-0.4451</v>
      </c>
      <c r="EI16" s="229">
        <v>0.52100000000000002</v>
      </c>
      <c r="EJ16" s="231">
        <v>121587.94</v>
      </c>
      <c r="EK16" s="231">
        <v>98914.31</v>
      </c>
      <c r="EL16" s="231">
        <v>31196.61</v>
      </c>
      <c r="EM16" s="231">
        <v>6333</v>
      </c>
      <c r="EN16" s="231">
        <v>251698.86</v>
      </c>
      <c r="EO16" s="231">
        <v>384641.47</v>
      </c>
      <c r="EP16" s="231">
        <v>-132942.60999999999</v>
      </c>
      <c r="EQ16" s="229">
        <v>-0.34560000000000002</v>
      </c>
      <c r="ER16" s="231">
        <v>107231</v>
      </c>
      <c r="ES16" s="231">
        <v>87162</v>
      </c>
      <c r="ET16" s="231">
        <v>294173</v>
      </c>
      <c r="EU16" s="231">
        <v>49389162</v>
      </c>
      <c r="EV16" s="231">
        <v>488566</v>
      </c>
      <c r="EW16" s="231">
        <v>487946</v>
      </c>
      <c r="EX16" s="228">
        <v>620</v>
      </c>
      <c r="EY16" s="229">
        <v>1.2999999999999999E-3</v>
      </c>
      <c r="EZ16" s="229">
        <v>0.42470000000000002</v>
      </c>
      <c r="FA16" s="227" t="s">
        <v>555</v>
      </c>
      <c r="FB16" s="161">
        <f t="shared" si="0"/>
        <v>251000</v>
      </c>
    </row>
    <row r="17" spans="1:158" ht="17.25" thickBot="1" x14ac:dyDescent="0.3">
      <c r="A17" s="226">
        <v>46086</v>
      </c>
      <c r="B17" s="227" t="s">
        <v>184</v>
      </c>
      <c r="C17" s="227" t="s">
        <v>503</v>
      </c>
      <c r="D17" s="228">
        <v>425</v>
      </c>
      <c r="E17" s="231">
        <v>1655.6</v>
      </c>
      <c r="F17" s="231">
        <v>1617.8</v>
      </c>
      <c r="G17" s="228">
        <v>37.799999999999997</v>
      </c>
      <c r="H17" s="229">
        <v>2.3400000000000001E-2</v>
      </c>
      <c r="I17" s="231">
        <v>1663.1</v>
      </c>
      <c r="J17" s="231">
        <v>1646.9</v>
      </c>
      <c r="K17" s="228">
        <v>16.2</v>
      </c>
      <c r="L17" s="229">
        <v>9.7999999999999997E-3</v>
      </c>
      <c r="M17" s="231">
        <v>1655.6</v>
      </c>
      <c r="N17" s="231">
        <v>1617.8</v>
      </c>
      <c r="O17" s="228">
        <v>37.799999999999997</v>
      </c>
      <c r="P17" s="229">
        <v>2.3400000000000001E-2</v>
      </c>
      <c r="Q17" s="231">
        <v>1640</v>
      </c>
      <c r="R17" s="231">
        <v>1593.9</v>
      </c>
      <c r="S17" s="228">
        <v>46.1</v>
      </c>
      <c r="T17" s="229">
        <v>2.8899999999999999E-2</v>
      </c>
      <c r="U17" s="231">
        <v>1629</v>
      </c>
      <c r="V17" s="231">
        <v>1608</v>
      </c>
      <c r="W17" s="228">
        <v>21</v>
      </c>
      <c r="X17" s="229">
        <v>1.3100000000000001E-2</v>
      </c>
      <c r="Y17" s="228">
        <v>-7.5</v>
      </c>
      <c r="Z17" s="228">
        <v>-29.1</v>
      </c>
      <c r="AA17" s="228">
        <v>21.6</v>
      </c>
      <c r="AB17" s="229">
        <v>-4.4999999999999997E-3</v>
      </c>
      <c r="AC17" s="228">
        <v>-7.5</v>
      </c>
      <c r="AD17" s="228">
        <v>-29.1</v>
      </c>
      <c r="AE17" s="228">
        <v>21.6</v>
      </c>
      <c r="AF17" s="229">
        <v>-4.4999999999999997E-3</v>
      </c>
      <c r="AG17" s="228">
        <v>-23.1</v>
      </c>
      <c r="AH17" s="228">
        <v>-53</v>
      </c>
      <c r="AI17" s="228">
        <v>29.9</v>
      </c>
      <c r="AJ17" s="229">
        <v>-1.3899999999999999E-2</v>
      </c>
      <c r="AK17" s="228">
        <v>-34.1</v>
      </c>
      <c r="AL17" s="228">
        <v>-38.9</v>
      </c>
      <c r="AM17" s="228">
        <v>4.8</v>
      </c>
      <c r="AN17" s="229">
        <v>-2.0500000000000001E-2</v>
      </c>
      <c r="AO17" s="231">
        <v>1640.01</v>
      </c>
      <c r="AP17" s="231">
        <v>1623.01</v>
      </c>
      <c r="AQ17" s="228">
        <v>0</v>
      </c>
      <c r="AR17" s="230">
        <v>1538075</v>
      </c>
      <c r="AS17" s="230">
        <v>1100325</v>
      </c>
      <c r="AT17" s="230">
        <v>437750</v>
      </c>
      <c r="AU17" s="229">
        <v>0.39779999999999999</v>
      </c>
      <c r="AV17" s="230">
        <v>1252900</v>
      </c>
      <c r="AW17" s="230">
        <v>990250</v>
      </c>
      <c r="AX17" s="230">
        <v>262650</v>
      </c>
      <c r="AY17" s="229">
        <v>0.26519999999999999</v>
      </c>
      <c r="AZ17" s="230">
        <v>270300</v>
      </c>
      <c r="BA17" s="230">
        <v>106250</v>
      </c>
      <c r="BB17" s="230">
        <v>164050</v>
      </c>
      <c r="BC17" s="229">
        <v>1.544</v>
      </c>
      <c r="BD17" s="230">
        <v>14875</v>
      </c>
      <c r="BE17" s="230">
        <v>3825</v>
      </c>
      <c r="BF17" s="230">
        <v>11050</v>
      </c>
      <c r="BG17" s="229">
        <v>2.8889</v>
      </c>
      <c r="BH17" s="230">
        <v>1881475</v>
      </c>
      <c r="BI17" s="230">
        <v>1889550</v>
      </c>
      <c r="BJ17" s="230">
        <v>-8075</v>
      </c>
      <c r="BK17" s="229">
        <v>-4.3E-3</v>
      </c>
      <c r="BL17" s="230">
        <v>717825</v>
      </c>
      <c r="BM17" s="230">
        <v>1353200</v>
      </c>
      <c r="BN17" s="230">
        <v>-635375</v>
      </c>
      <c r="BO17" s="229">
        <v>-0.46949999999999997</v>
      </c>
      <c r="BP17" s="230">
        <v>4137375</v>
      </c>
      <c r="BQ17" s="230">
        <v>4343075</v>
      </c>
      <c r="BR17" s="230">
        <v>-205700</v>
      </c>
      <c r="BS17" s="229">
        <v>-4.7399999999999998E-2</v>
      </c>
      <c r="BT17" s="230">
        <v>385505</v>
      </c>
      <c r="BU17" s="230">
        <v>520888</v>
      </c>
      <c r="BV17" s="230">
        <v>-135383</v>
      </c>
      <c r="BW17" s="229">
        <v>-0.25990000000000002</v>
      </c>
      <c r="BX17" s="230">
        <v>9067800</v>
      </c>
      <c r="BY17" s="230">
        <v>8804725</v>
      </c>
      <c r="BZ17" s="230">
        <v>263075</v>
      </c>
      <c r="CA17" s="229">
        <v>2.9899999999999999E-2</v>
      </c>
      <c r="CB17" s="230">
        <v>8662350</v>
      </c>
      <c r="CC17" s="230">
        <v>8553975</v>
      </c>
      <c r="CD17" s="230">
        <v>108375</v>
      </c>
      <c r="CE17" s="229">
        <v>1.2699999999999999E-2</v>
      </c>
      <c r="CF17" s="230">
        <v>390150</v>
      </c>
      <c r="CG17" s="230">
        <v>240550</v>
      </c>
      <c r="CH17" s="230">
        <v>149600</v>
      </c>
      <c r="CI17" s="229">
        <v>0.62190000000000001</v>
      </c>
      <c r="CJ17" s="230">
        <v>15300</v>
      </c>
      <c r="CK17" s="230">
        <v>10200</v>
      </c>
      <c r="CL17" s="230">
        <v>5100</v>
      </c>
      <c r="CM17" s="229">
        <v>0.5</v>
      </c>
      <c r="CN17" s="230">
        <v>1808800</v>
      </c>
      <c r="CO17" s="230">
        <v>1694900</v>
      </c>
      <c r="CP17" s="230">
        <v>113900</v>
      </c>
      <c r="CQ17" s="229">
        <v>6.7199999999999996E-2</v>
      </c>
      <c r="CR17" s="230">
        <v>949875</v>
      </c>
      <c r="CS17" s="230">
        <v>936700</v>
      </c>
      <c r="CT17" s="230">
        <v>13175</v>
      </c>
      <c r="CU17" s="229">
        <v>1.41E-2</v>
      </c>
      <c r="CV17" s="230">
        <v>11826475</v>
      </c>
      <c r="CW17" s="230">
        <v>11436325</v>
      </c>
      <c r="CX17" s="230">
        <v>390150</v>
      </c>
      <c r="CY17" s="229">
        <v>3.4099999999999998E-2</v>
      </c>
      <c r="CZ17" s="228">
        <v>25.84</v>
      </c>
      <c r="DA17" s="228">
        <v>28.24</v>
      </c>
      <c r="DB17" s="228">
        <v>-2.4</v>
      </c>
      <c r="DC17" s="228">
        <v>-2.4</v>
      </c>
      <c r="DD17" s="228">
        <v>34.020000000000003</v>
      </c>
      <c r="DE17" s="228">
        <v>33.96</v>
      </c>
      <c r="DF17" s="228">
        <v>-8.18</v>
      </c>
      <c r="DG17" s="228">
        <v>0.06</v>
      </c>
      <c r="DH17" s="228">
        <v>25.09</v>
      </c>
      <c r="DI17" s="228">
        <v>27.45</v>
      </c>
      <c r="DJ17" s="228">
        <v>-2.36</v>
      </c>
      <c r="DK17" s="228">
        <v>-2.36</v>
      </c>
      <c r="DL17" s="228">
        <v>27.81</v>
      </c>
      <c r="DM17" s="228">
        <v>29.34</v>
      </c>
      <c r="DN17" s="228">
        <v>-1.53</v>
      </c>
      <c r="DO17" s="228">
        <v>-1.53</v>
      </c>
      <c r="DP17" s="228">
        <v>0.53</v>
      </c>
      <c r="DQ17" s="228">
        <v>0.55000000000000004</v>
      </c>
      <c r="DR17" s="228">
        <v>-0.02</v>
      </c>
      <c r="DS17" s="229">
        <v>-3.6400000000000002E-2</v>
      </c>
      <c r="DT17" s="231">
        <v>1700</v>
      </c>
      <c r="DU17" s="231">
        <v>1500</v>
      </c>
      <c r="DV17" s="228">
        <v>0.38</v>
      </c>
      <c r="DW17" s="228">
        <v>0.72</v>
      </c>
      <c r="DX17" s="228">
        <v>-0.34</v>
      </c>
      <c r="DY17" s="229">
        <v>-0.47220000000000001</v>
      </c>
      <c r="DZ17" s="229">
        <v>4.4699999999999997E-2</v>
      </c>
      <c r="EA17" s="230">
        <v>250750</v>
      </c>
      <c r="EB17" s="229">
        <v>-9.4000000000000004E-3</v>
      </c>
      <c r="EC17" s="229">
        <v>4.4699999999999997E-2</v>
      </c>
      <c r="ED17" s="228">
        <v>-17</v>
      </c>
      <c r="EE17" s="229">
        <v>-1.04E-2</v>
      </c>
      <c r="EF17" s="230">
        <v>153023</v>
      </c>
      <c r="EG17" s="230">
        <v>224400</v>
      </c>
      <c r="EH17" s="229">
        <v>-0.31809999999999999</v>
      </c>
      <c r="EI17" s="229">
        <v>0.39689999999999998</v>
      </c>
      <c r="EJ17" s="231">
        <v>32575.09</v>
      </c>
      <c r="EK17" s="231">
        <v>11488.65</v>
      </c>
      <c r="EL17" s="231">
        <v>25173.57</v>
      </c>
      <c r="EM17" s="231">
        <v>3017</v>
      </c>
      <c r="EN17" s="231">
        <v>69237.31</v>
      </c>
      <c r="EO17" s="231">
        <v>71697.36</v>
      </c>
      <c r="EP17" s="231">
        <v>-2460.0500000000002</v>
      </c>
      <c r="EQ17" s="229">
        <v>-3.4299999999999997E-2</v>
      </c>
      <c r="ER17" s="231">
        <v>30694</v>
      </c>
      <c r="ES17" s="231">
        <v>14749</v>
      </c>
      <c r="ET17" s="231">
        <v>150062</v>
      </c>
      <c r="EU17" s="231">
        <v>18450534</v>
      </c>
      <c r="EV17" s="231">
        <v>195505</v>
      </c>
      <c r="EW17" s="231">
        <v>185527</v>
      </c>
      <c r="EX17" s="231">
        <v>9978</v>
      </c>
      <c r="EY17" s="229">
        <v>5.3800000000000001E-2</v>
      </c>
      <c r="EZ17" s="229">
        <v>0.64100000000000001</v>
      </c>
      <c r="FA17" s="227" t="s">
        <v>555</v>
      </c>
      <c r="FB17" s="161">
        <f t="shared" si="0"/>
        <v>405450</v>
      </c>
    </row>
    <row r="18" spans="1:158" ht="17.25" thickBot="1" x14ac:dyDescent="0.3">
      <c r="A18" s="226">
        <v>46086</v>
      </c>
      <c r="B18" s="227" t="s">
        <v>172</v>
      </c>
      <c r="C18" s="227" t="s">
        <v>495</v>
      </c>
      <c r="D18" s="228">
        <v>1000</v>
      </c>
      <c r="E18" s="228">
        <v>974.9</v>
      </c>
      <c r="F18" s="228">
        <v>949.6</v>
      </c>
      <c r="G18" s="228">
        <v>25.3</v>
      </c>
      <c r="H18" s="229">
        <v>2.6599999999999999E-2</v>
      </c>
      <c r="I18" s="228">
        <v>973.45</v>
      </c>
      <c r="J18" s="228">
        <v>946.1</v>
      </c>
      <c r="K18" s="228">
        <v>27.35</v>
      </c>
      <c r="L18" s="229">
        <v>2.8899999999999999E-2</v>
      </c>
      <c r="M18" s="228">
        <v>974.9</v>
      </c>
      <c r="N18" s="228">
        <v>949.6</v>
      </c>
      <c r="O18" s="228">
        <v>25.3</v>
      </c>
      <c r="P18" s="229">
        <v>2.6599999999999999E-2</v>
      </c>
      <c r="Q18" s="228">
        <v>979.15</v>
      </c>
      <c r="R18" s="228">
        <v>953.85</v>
      </c>
      <c r="S18" s="228">
        <v>25.3</v>
      </c>
      <c r="T18" s="229">
        <v>2.6499999999999999E-2</v>
      </c>
      <c r="U18" s="228">
        <v>982.4</v>
      </c>
      <c r="V18" s="228">
        <v>959.9</v>
      </c>
      <c r="W18" s="228">
        <v>22.5</v>
      </c>
      <c r="X18" s="229">
        <v>2.3400000000000001E-2</v>
      </c>
      <c r="Y18" s="228">
        <v>1.45</v>
      </c>
      <c r="Z18" s="228">
        <v>3.5</v>
      </c>
      <c r="AA18" s="228">
        <v>-2.0499999999999998</v>
      </c>
      <c r="AB18" s="229">
        <v>1.5E-3</v>
      </c>
      <c r="AC18" s="228">
        <v>1.45</v>
      </c>
      <c r="AD18" s="228">
        <v>3.5</v>
      </c>
      <c r="AE18" s="228">
        <v>-2.0499999999999998</v>
      </c>
      <c r="AF18" s="229">
        <v>1.5E-3</v>
      </c>
      <c r="AG18" s="228">
        <v>5.7</v>
      </c>
      <c r="AH18" s="228">
        <v>7.75</v>
      </c>
      <c r="AI18" s="228">
        <v>-2.0499999999999998</v>
      </c>
      <c r="AJ18" s="229">
        <v>5.8999999999999999E-3</v>
      </c>
      <c r="AK18" s="228">
        <v>8.9499999999999993</v>
      </c>
      <c r="AL18" s="228">
        <v>13.8</v>
      </c>
      <c r="AM18" s="228">
        <v>-4.8499999999999996</v>
      </c>
      <c r="AN18" s="229">
        <v>9.1999999999999998E-3</v>
      </c>
      <c r="AO18" s="228">
        <v>967.36</v>
      </c>
      <c r="AP18" s="228">
        <v>972.13</v>
      </c>
      <c r="AQ18" s="228">
        <v>0</v>
      </c>
      <c r="AR18" s="230">
        <v>4956000</v>
      </c>
      <c r="AS18" s="230">
        <v>7533000</v>
      </c>
      <c r="AT18" s="230">
        <v>-2577000</v>
      </c>
      <c r="AU18" s="229">
        <v>-0.34210000000000002</v>
      </c>
      <c r="AV18" s="230">
        <v>4668000</v>
      </c>
      <c r="AW18" s="230">
        <v>7240000</v>
      </c>
      <c r="AX18" s="230">
        <v>-2572000</v>
      </c>
      <c r="AY18" s="229">
        <v>-0.35520000000000002</v>
      </c>
      <c r="AZ18" s="230">
        <v>213000</v>
      </c>
      <c r="BA18" s="230">
        <v>276000</v>
      </c>
      <c r="BB18" s="230">
        <v>-63000</v>
      </c>
      <c r="BC18" s="229">
        <v>-0.2283</v>
      </c>
      <c r="BD18" s="230">
        <v>75000</v>
      </c>
      <c r="BE18" s="230">
        <v>17000</v>
      </c>
      <c r="BF18" s="230">
        <v>58000</v>
      </c>
      <c r="BG18" s="229">
        <v>3.4117999999999999</v>
      </c>
      <c r="BH18" s="230">
        <v>7791000</v>
      </c>
      <c r="BI18" s="230">
        <v>10931000</v>
      </c>
      <c r="BJ18" s="230">
        <v>-3140000</v>
      </c>
      <c r="BK18" s="229">
        <v>-0.2873</v>
      </c>
      <c r="BL18" s="230">
        <v>7008000</v>
      </c>
      <c r="BM18" s="230">
        <v>10771000</v>
      </c>
      <c r="BN18" s="230">
        <v>-3763000</v>
      </c>
      <c r="BO18" s="229">
        <v>-0.34939999999999999</v>
      </c>
      <c r="BP18" s="230">
        <v>19755000</v>
      </c>
      <c r="BQ18" s="230">
        <v>29235000</v>
      </c>
      <c r="BR18" s="230">
        <v>-9480000</v>
      </c>
      <c r="BS18" s="229">
        <v>-0.32429999999999998</v>
      </c>
      <c r="BT18" s="230">
        <v>1919079</v>
      </c>
      <c r="BU18" s="230">
        <v>2452461</v>
      </c>
      <c r="BV18" s="230">
        <v>-533382</v>
      </c>
      <c r="BW18" s="229">
        <v>-0.2175</v>
      </c>
      <c r="BX18" s="230">
        <v>22479000</v>
      </c>
      <c r="BY18" s="230">
        <v>21930000</v>
      </c>
      <c r="BZ18" s="230">
        <v>549000</v>
      </c>
      <c r="CA18" s="229">
        <v>2.5000000000000001E-2</v>
      </c>
      <c r="CB18" s="230">
        <v>22113000</v>
      </c>
      <c r="CC18" s="230">
        <v>21523000</v>
      </c>
      <c r="CD18" s="230">
        <v>590000</v>
      </c>
      <c r="CE18" s="229">
        <v>2.7400000000000001E-2</v>
      </c>
      <c r="CF18" s="230">
        <v>331000</v>
      </c>
      <c r="CG18" s="230">
        <v>340000</v>
      </c>
      <c r="CH18" s="230">
        <v>-9000</v>
      </c>
      <c r="CI18" s="229">
        <v>-2.6499999999999999E-2</v>
      </c>
      <c r="CJ18" s="230">
        <v>35000</v>
      </c>
      <c r="CK18" s="230">
        <v>67000</v>
      </c>
      <c r="CL18" s="230">
        <v>-32000</v>
      </c>
      <c r="CM18" s="229">
        <v>-0.47760000000000002</v>
      </c>
      <c r="CN18" s="230">
        <v>6690000</v>
      </c>
      <c r="CO18" s="230">
        <v>7238000</v>
      </c>
      <c r="CP18" s="230">
        <v>-548000</v>
      </c>
      <c r="CQ18" s="229">
        <v>-7.5700000000000003E-2</v>
      </c>
      <c r="CR18" s="230">
        <v>4835000</v>
      </c>
      <c r="CS18" s="230">
        <v>4645000</v>
      </c>
      <c r="CT18" s="230">
        <v>190000</v>
      </c>
      <c r="CU18" s="229">
        <v>4.0899999999999999E-2</v>
      </c>
      <c r="CV18" s="230">
        <v>34004000</v>
      </c>
      <c r="CW18" s="230">
        <v>33813000</v>
      </c>
      <c r="CX18" s="230">
        <v>191000</v>
      </c>
      <c r="CY18" s="229">
        <v>5.5999999999999999E-3</v>
      </c>
      <c r="CZ18" s="228">
        <v>27.94</v>
      </c>
      <c r="DA18" s="228">
        <v>31.06</v>
      </c>
      <c r="DB18" s="228">
        <v>-3.12</v>
      </c>
      <c r="DC18" s="228">
        <v>-3.12</v>
      </c>
      <c r="DD18" s="228">
        <v>34.92</v>
      </c>
      <c r="DE18" s="228">
        <v>34.799999999999997</v>
      </c>
      <c r="DF18" s="228">
        <v>-6.98</v>
      </c>
      <c r="DG18" s="228">
        <v>0.12</v>
      </c>
      <c r="DH18" s="228">
        <v>27.11</v>
      </c>
      <c r="DI18" s="228">
        <v>30.13</v>
      </c>
      <c r="DJ18" s="228">
        <v>-3.02</v>
      </c>
      <c r="DK18" s="228">
        <v>-3.02</v>
      </c>
      <c r="DL18" s="228">
        <v>28.87</v>
      </c>
      <c r="DM18" s="228">
        <v>32</v>
      </c>
      <c r="DN18" s="228">
        <v>-3.13</v>
      </c>
      <c r="DO18" s="228">
        <v>-3.13</v>
      </c>
      <c r="DP18" s="228">
        <v>0.72</v>
      </c>
      <c r="DQ18" s="228">
        <v>0.64</v>
      </c>
      <c r="DR18" s="228">
        <v>0.08</v>
      </c>
      <c r="DS18" s="229">
        <v>0.125</v>
      </c>
      <c r="DT18" s="231">
        <v>1000</v>
      </c>
      <c r="DU18" s="228">
        <v>950</v>
      </c>
      <c r="DV18" s="228">
        <v>0.9</v>
      </c>
      <c r="DW18" s="228">
        <v>0.99</v>
      </c>
      <c r="DX18" s="228">
        <v>-0.09</v>
      </c>
      <c r="DY18" s="229">
        <v>-9.0899999999999995E-2</v>
      </c>
      <c r="DZ18" s="229">
        <v>1.6299999999999999E-2</v>
      </c>
      <c r="EA18" s="230">
        <v>407000</v>
      </c>
      <c r="EB18" s="229">
        <v>4.4000000000000003E-3</v>
      </c>
      <c r="EC18" s="229">
        <v>1.6299999999999999E-2</v>
      </c>
      <c r="ED18" s="228">
        <v>4.7699999999999996</v>
      </c>
      <c r="EE18" s="229">
        <v>4.8999999999999998E-3</v>
      </c>
      <c r="EF18" s="230">
        <v>1166412</v>
      </c>
      <c r="EG18" s="230">
        <v>1325253</v>
      </c>
      <c r="EH18" s="229">
        <v>-0.11990000000000001</v>
      </c>
      <c r="EI18" s="229">
        <v>0.60780000000000001</v>
      </c>
      <c r="EJ18" s="231">
        <v>79182.7</v>
      </c>
      <c r="EK18" s="231">
        <v>66520.350000000006</v>
      </c>
      <c r="EL18" s="231">
        <v>47958.23</v>
      </c>
      <c r="EM18" s="231">
        <v>7769</v>
      </c>
      <c r="EN18" s="231">
        <v>193661.28</v>
      </c>
      <c r="EO18" s="231">
        <v>282455.09999999998</v>
      </c>
      <c r="EP18" s="231">
        <v>-88793.82</v>
      </c>
      <c r="EQ18" s="229">
        <v>-0.31440000000000001</v>
      </c>
      <c r="ER18" s="231">
        <v>68368</v>
      </c>
      <c r="ES18" s="231">
        <v>45393</v>
      </c>
      <c r="ET18" s="231">
        <v>219164</v>
      </c>
      <c r="EU18" s="231">
        <v>86371921</v>
      </c>
      <c r="EV18" s="231">
        <v>332926</v>
      </c>
      <c r="EW18" s="231">
        <v>325454</v>
      </c>
      <c r="EX18" s="231">
        <v>7472</v>
      </c>
      <c r="EY18" s="229">
        <v>2.3E-2</v>
      </c>
      <c r="EZ18" s="229">
        <v>0.39369999999999999</v>
      </c>
      <c r="FA18" s="227" t="s">
        <v>555</v>
      </c>
      <c r="FB18" s="161">
        <f t="shared" si="0"/>
        <v>366000</v>
      </c>
    </row>
    <row r="19" spans="1:158" ht="17.25" thickBot="1" x14ac:dyDescent="0.3">
      <c r="A19" s="226">
        <v>46086</v>
      </c>
      <c r="B19" s="227" t="s">
        <v>170</v>
      </c>
      <c r="C19" s="227" t="s">
        <v>171</v>
      </c>
      <c r="D19" s="228">
        <v>550</v>
      </c>
      <c r="E19" s="231">
        <v>1228.3</v>
      </c>
      <c r="F19" s="231">
        <v>1197.5999999999999</v>
      </c>
      <c r="G19" s="228">
        <v>30.7</v>
      </c>
      <c r="H19" s="229">
        <v>2.5600000000000001E-2</v>
      </c>
      <c r="I19" s="231">
        <v>1225.5</v>
      </c>
      <c r="J19" s="231">
        <v>1195.4000000000001</v>
      </c>
      <c r="K19" s="228">
        <v>30.1</v>
      </c>
      <c r="L19" s="229">
        <v>2.52E-2</v>
      </c>
      <c r="M19" s="231">
        <v>1228.3</v>
      </c>
      <c r="N19" s="231">
        <v>1197.5999999999999</v>
      </c>
      <c r="O19" s="228">
        <v>30.7</v>
      </c>
      <c r="P19" s="229">
        <v>2.5600000000000001E-2</v>
      </c>
      <c r="Q19" s="231">
        <v>1235.8</v>
      </c>
      <c r="R19" s="231">
        <v>1205.5999999999999</v>
      </c>
      <c r="S19" s="228">
        <v>30.2</v>
      </c>
      <c r="T19" s="229">
        <v>2.5000000000000001E-2</v>
      </c>
      <c r="U19" s="231">
        <v>1244.2</v>
      </c>
      <c r="V19" s="231">
        <v>1214.2</v>
      </c>
      <c r="W19" s="228">
        <v>30</v>
      </c>
      <c r="X19" s="229">
        <v>2.47E-2</v>
      </c>
      <c r="Y19" s="228">
        <v>2.8</v>
      </c>
      <c r="Z19" s="228">
        <v>2.2000000000000002</v>
      </c>
      <c r="AA19" s="228">
        <v>0.6</v>
      </c>
      <c r="AB19" s="229">
        <v>2.3E-3</v>
      </c>
      <c r="AC19" s="228">
        <v>2.8</v>
      </c>
      <c r="AD19" s="228">
        <v>2.2000000000000002</v>
      </c>
      <c r="AE19" s="228">
        <v>0.6</v>
      </c>
      <c r="AF19" s="229">
        <v>2.3E-3</v>
      </c>
      <c r="AG19" s="228">
        <v>10.3</v>
      </c>
      <c r="AH19" s="228">
        <v>10.199999999999999</v>
      </c>
      <c r="AI19" s="228">
        <v>0.1</v>
      </c>
      <c r="AJ19" s="229">
        <v>8.3999999999999995E-3</v>
      </c>
      <c r="AK19" s="228">
        <v>18.7</v>
      </c>
      <c r="AL19" s="228">
        <v>18.8</v>
      </c>
      <c r="AM19" s="228">
        <v>-0.1</v>
      </c>
      <c r="AN19" s="229">
        <v>1.5299999999999999E-2</v>
      </c>
      <c r="AO19" s="231">
        <v>1221.6199999999999</v>
      </c>
      <c r="AP19" s="231">
        <v>1226.58</v>
      </c>
      <c r="AQ19" s="228">
        <v>0</v>
      </c>
      <c r="AR19" s="230">
        <v>1976700</v>
      </c>
      <c r="AS19" s="230">
        <v>1915650</v>
      </c>
      <c r="AT19" s="230">
        <v>61050</v>
      </c>
      <c r="AU19" s="229">
        <v>3.1899999999999998E-2</v>
      </c>
      <c r="AV19" s="230">
        <v>1918950</v>
      </c>
      <c r="AW19" s="230">
        <v>1881550</v>
      </c>
      <c r="AX19" s="230">
        <v>37400</v>
      </c>
      <c r="AY19" s="229">
        <v>1.9900000000000001E-2</v>
      </c>
      <c r="AZ19" s="230">
        <v>56650</v>
      </c>
      <c r="BA19" s="230">
        <v>31350</v>
      </c>
      <c r="BB19" s="230">
        <v>25300</v>
      </c>
      <c r="BC19" s="229">
        <v>0.80700000000000005</v>
      </c>
      <c r="BD19" s="230">
        <v>1100</v>
      </c>
      <c r="BE19" s="230">
        <v>2750</v>
      </c>
      <c r="BF19" s="230">
        <v>-1650</v>
      </c>
      <c r="BG19" s="229">
        <v>-0.6</v>
      </c>
      <c r="BH19" s="230">
        <v>4667850</v>
      </c>
      <c r="BI19" s="230">
        <v>3751000</v>
      </c>
      <c r="BJ19" s="230">
        <v>916850</v>
      </c>
      <c r="BK19" s="229">
        <v>0.24440000000000001</v>
      </c>
      <c r="BL19" s="230">
        <v>1430550</v>
      </c>
      <c r="BM19" s="230">
        <v>2200000</v>
      </c>
      <c r="BN19" s="230">
        <v>-769450</v>
      </c>
      <c r="BO19" s="229">
        <v>-0.3498</v>
      </c>
      <c r="BP19" s="230">
        <v>8075100</v>
      </c>
      <c r="BQ19" s="230">
        <v>7866650</v>
      </c>
      <c r="BR19" s="230">
        <v>208450</v>
      </c>
      <c r="BS19" s="229">
        <v>2.6499999999999999E-2</v>
      </c>
      <c r="BT19" s="230">
        <v>931681</v>
      </c>
      <c r="BU19" s="230">
        <v>932834</v>
      </c>
      <c r="BV19" s="230">
        <v>-1153</v>
      </c>
      <c r="BW19" s="229">
        <v>-1.1999999999999999E-3</v>
      </c>
      <c r="BX19" s="230">
        <v>22171600</v>
      </c>
      <c r="BY19" s="230">
        <v>22154550</v>
      </c>
      <c r="BZ19" s="230">
        <v>17050</v>
      </c>
      <c r="CA19" s="229">
        <v>8.0000000000000004E-4</v>
      </c>
      <c r="CB19" s="230">
        <v>22047850</v>
      </c>
      <c r="CC19" s="230">
        <v>22039050</v>
      </c>
      <c r="CD19" s="230">
        <v>8800</v>
      </c>
      <c r="CE19" s="229">
        <v>4.0000000000000002E-4</v>
      </c>
      <c r="CF19" s="230">
        <v>116600</v>
      </c>
      <c r="CG19" s="230">
        <v>109450</v>
      </c>
      <c r="CH19" s="230">
        <v>7150</v>
      </c>
      <c r="CI19" s="229">
        <v>6.5299999999999997E-2</v>
      </c>
      <c r="CJ19" s="230">
        <v>7150</v>
      </c>
      <c r="CK19" s="230">
        <v>6050</v>
      </c>
      <c r="CL19" s="230">
        <v>1100</v>
      </c>
      <c r="CM19" s="229">
        <v>0.18179999999999999</v>
      </c>
      <c r="CN19" s="230">
        <v>3853850</v>
      </c>
      <c r="CO19" s="230">
        <v>3883000</v>
      </c>
      <c r="CP19" s="230">
        <v>-29150</v>
      </c>
      <c r="CQ19" s="229">
        <v>-7.4999999999999997E-3</v>
      </c>
      <c r="CR19" s="230">
        <v>2542100</v>
      </c>
      <c r="CS19" s="230">
        <v>2439250</v>
      </c>
      <c r="CT19" s="230">
        <v>102850</v>
      </c>
      <c r="CU19" s="229">
        <v>4.2200000000000001E-2</v>
      </c>
      <c r="CV19" s="230">
        <v>28567550</v>
      </c>
      <c r="CW19" s="230">
        <v>28476800</v>
      </c>
      <c r="CX19" s="230">
        <v>90750</v>
      </c>
      <c r="CY19" s="229">
        <v>3.2000000000000002E-3</v>
      </c>
      <c r="CZ19" s="228">
        <v>29.04</v>
      </c>
      <c r="DA19" s="228">
        <v>31.18</v>
      </c>
      <c r="DB19" s="228">
        <v>-2.14</v>
      </c>
      <c r="DC19" s="228">
        <v>-2.14</v>
      </c>
      <c r="DD19" s="228">
        <v>34.07</v>
      </c>
      <c r="DE19" s="228">
        <v>33.99</v>
      </c>
      <c r="DF19" s="228">
        <v>-5.03</v>
      </c>
      <c r="DG19" s="228">
        <v>0.08</v>
      </c>
      <c r="DH19" s="228">
        <v>28.6</v>
      </c>
      <c r="DI19" s="228">
        <v>30.64</v>
      </c>
      <c r="DJ19" s="228">
        <v>-2.04</v>
      </c>
      <c r="DK19" s="228">
        <v>-2.04</v>
      </c>
      <c r="DL19" s="228">
        <v>30.48</v>
      </c>
      <c r="DM19" s="228">
        <v>32.1</v>
      </c>
      <c r="DN19" s="228">
        <v>-1.62</v>
      </c>
      <c r="DO19" s="228">
        <v>-1.62</v>
      </c>
      <c r="DP19" s="228">
        <v>0.66</v>
      </c>
      <c r="DQ19" s="228">
        <v>0.63</v>
      </c>
      <c r="DR19" s="228">
        <v>0.03</v>
      </c>
      <c r="DS19" s="229">
        <v>4.7600000000000003E-2</v>
      </c>
      <c r="DT19" s="231">
        <v>1200</v>
      </c>
      <c r="DU19" s="231">
        <v>1200</v>
      </c>
      <c r="DV19" s="228">
        <v>0.31</v>
      </c>
      <c r="DW19" s="228">
        <v>0.59</v>
      </c>
      <c r="DX19" s="228">
        <v>-0.28000000000000003</v>
      </c>
      <c r="DY19" s="229">
        <v>-0.47460000000000002</v>
      </c>
      <c r="DZ19" s="229">
        <v>5.5999999999999999E-3</v>
      </c>
      <c r="EA19" s="230">
        <v>115500</v>
      </c>
      <c r="EB19" s="229">
        <v>6.1000000000000004E-3</v>
      </c>
      <c r="EC19" s="229">
        <v>5.5999999999999999E-3</v>
      </c>
      <c r="ED19" s="228">
        <v>4.96</v>
      </c>
      <c r="EE19" s="229">
        <v>4.1000000000000003E-3</v>
      </c>
      <c r="EF19" s="230">
        <v>334204</v>
      </c>
      <c r="EG19" s="230">
        <v>490960</v>
      </c>
      <c r="EH19" s="229">
        <v>-0.31929999999999997</v>
      </c>
      <c r="EI19" s="229">
        <v>0.35870000000000002</v>
      </c>
      <c r="EJ19" s="231">
        <v>59517.24</v>
      </c>
      <c r="EK19" s="231">
        <v>17128.37</v>
      </c>
      <c r="EL19" s="231">
        <v>24150.75</v>
      </c>
      <c r="EM19" s="231">
        <v>4524</v>
      </c>
      <c r="EN19" s="231">
        <v>100796.36</v>
      </c>
      <c r="EO19" s="231">
        <v>96365.11</v>
      </c>
      <c r="EP19" s="231">
        <v>4431.25</v>
      </c>
      <c r="EQ19" s="229">
        <v>4.5999999999999999E-2</v>
      </c>
      <c r="ER19" s="231">
        <v>48079</v>
      </c>
      <c r="ES19" s="231">
        <v>29676</v>
      </c>
      <c r="ET19" s="231">
        <v>272344</v>
      </c>
      <c r="EU19" s="231">
        <v>41977935</v>
      </c>
      <c r="EV19" s="231">
        <v>350098</v>
      </c>
      <c r="EW19" s="231">
        <v>342205</v>
      </c>
      <c r="EX19" s="231">
        <v>7893</v>
      </c>
      <c r="EY19" s="229">
        <v>2.3099999999999999E-2</v>
      </c>
      <c r="EZ19" s="229">
        <v>0.68049999999999999</v>
      </c>
      <c r="FA19" s="227" t="s">
        <v>555</v>
      </c>
      <c r="FB19" s="161">
        <f t="shared" si="0"/>
        <v>123750</v>
      </c>
    </row>
    <row r="20" spans="1:158" ht="17.25" thickBot="1" x14ac:dyDescent="0.3">
      <c r="A20" s="226">
        <v>46086</v>
      </c>
      <c r="B20" s="227" t="s">
        <v>172</v>
      </c>
      <c r="C20" s="227" t="s">
        <v>173</v>
      </c>
      <c r="D20" s="228">
        <v>625</v>
      </c>
      <c r="E20" s="231">
        <v>1356.1</v>
      </c>
      <c r="F20" s="231">
        <v>1353.8</v>
      </c>
      <c r="G20" s="228">
        <v>2.2999999999999998</v>
      </c>
      <c r="H20" s="229">
        <v>1.6999999999999999E-3</v>
      </c>
      <c r="I20" s="231">
        <v>1349.1</v>
      </c>
      <c r="J20" s="231">
        <v>1351.3</v>
      </c>
      <c r="K20" s="228">
        <v>-2.2000000000000002</v>
      </c>
      <c r="L20" s="229">
        <v>-1.6000000000000001E-3</v>
      </c>
      <c r="M20" s="231">
        <v>1356.1</v>
      </c>
      <c r="N20" s="231">
        <v>1353.8</v>
      </c>
      <c r="O20" s="228">
        <v>2.2999999999999998</v>
      </c>
      <c r="P20" s="229">
        <v>1.6999999999999999E-3</v>
      </c>
      <c r="Q20" s="231">
        <v>1364.9</v>
      </c>
      <c r="R20" s="231">
        <v>1361.8</v>
      </c>
      <c r="S20" s="228">
        <v>3.1</v>
      </c>
      <c r="T20" s="229">
        <v>2.3E-3</v>
      </c>
      <c r="U20" s="231">
        <v>1367.2</v>
      </c>
      <c r="V20" s="231">
        <v>1370.5</v>
      </c>
      <c r="W20" s="228">
        <v>-3.3</v>
      </c>
      <c r="X20" s="229">
        <v>-2.3999999999999998E-3</v>
      </c>
      <c r="Y20" s="228">
        <v>7</v>
      </c>
      <c r="Z20" s="228">
        <v>2.5</v>
      </c>
      <c r="AA20" s="228">
        <v>4.5</v>
      </c>
      <c r="AB20" s="229">
        <v>5.1999999999999998E-3</v>
      </c>
      <c r="AC20" s="228">
        <v>7</v>
      </c>
      <c r="AD20" s="228">
        <v>2.5</v>
      </c>
      <c r="AE20" s="228">
        <v>4.5</v>
      </c>
      <c r="AF20" s="229">
        <v>5.1999999999999998E-3</v>
      </c>
      <c r="AG20" s="228">
        <v>15.8</v>
      </c>
      <c r="AH20" s="228">
        <v>10.5</v>
      </c>
      <c r="AI20" s="228">
        <v>5.3</v>
      </c>
      <c r="AJ20" s="229">
        <v>1.17E-2</v>
      </c>
      <c r="AK20" s="228">
        <v>18.100000000000001</v>
      </c>
      <c r="AL20" s="228">
        <v>19.2</v>
      </c>
      <c r="AM20" s="228">
        <v>-1.1000000000000001</v>
      </c>
      <c r="AN20" s="229">
        <v>1.34E-2</v>
      </c>
      <c r="AO20" s="231">
        <v>1353.04</v>
      </c>
      <c r="AP20" s="231">
        <v>1360.44</v>
      </c>
      <c r="AQ20" s="228">
        <v>0</v>
      </c>
      <c r="AR20" s="230">
        <v>8820000</v>
      </c>
      <c r="AS20" s="230">
        <v>10442500</v>
      </c>
      <c r="AT20" s="230">
        <v>-1622500</v>
      </c>
      <c r="AU20" s="229">
        <v>-0.15540000000000001</v>
      </c>
      <c r="AV20" s="230">
        <v>8470000</v>
      </c>
      <c r="AW20" s="230">
        <v>10150625</v>
      </c>
      <c r="AX20" s="230">
        <v>-1680625</v>
      </c>
      <c r="AY20" s="229">
        <v>-0.1656</v>
      </c>
      <c r="AZ20" s="230">
        <v>316875</v>
      </c>
      <c r="BA20" s="230">
        <v>271875</v>
      </c>
      <c r="BB20" s="230">
        <v>45000</v>
      </c>
      <c r="BC20" s="229">
        <v>0.16550000000000001</v>
      </c>
      <c r="BD20" s="230">
        <v>33125</v>
      </c>
      <c r="BE20" s="230">
        <v>20000</v>
      </c>
      <c r="BF20" s="230">
        <v>13125</v>
      </c>
      <c r="BG20" s="229">
        <v>0.65629999999999999</v>
      </c>
      <c r="BH20" s="230">
        <v>17015625</v>
      </c>
      <c r="BI20" s="230">
        <v>26084375</v>
      </c>
      <c r="BJ20" s="230">
        <v>-9068750</v>
      </c>
      <c r="BK20" s="229">
        <v>-0.34770000000000001</v>
      </c>
      <c r="BL20" s="230">
        <v>13068750</v>
      </c>
      <c r="BM20" s="230">
        <v>18950000</v>
      </c>
      <c r="BN20" s="230">
        <v>-5881250</v>
      </c>
      <c r="BO20" s="229">
        <v>-0.31040000000000001</v>
      </c>
      <c r="BP20" s="230">
        <v>38904375</v>
      </c>
      <c r="BQ20" s="230">
        <v>55476875</v>
      </c>
      <c r="BR20" s="230">
        <v>-16572500</v>
      </c>
      <c r="BS20" s="229">
        <v>-0.29870000000000002</v>
      </c>
      <c r="BT20" s="230">
        <v>6328560</v>
      </c>
      <c r="BU20" s="230">
        <v>5967107</v>
      </c>
      <c r="BV20" s="230">
        <v>361453</v>
      </c>
      <c r="BW20" s="229">
        <v>6.0600000000000001E-2</v>
      </c>
      <c r="BX20" s="230">
        <v>63453125</v>
      </c>
      <c r="BY20" s="230">
        <v>62548125</v>
      </c>
      <c r="BZ20" s="230">
        <v>905000</v>
      </c>
      <c r="CA20" s="229">
        <v>1.4500000000000001E-2</v>
      </c>
      <c r="CB20" s="230">
        <v>62717500</v>
      </c>
      <c r="CC20" s="230">
        <v>61943125</v>
      </c>
      <c r="CD20" s="230">
        <v>774375</v>
      </c>
      <c r="CE20" s="229">
        <v>1.2500000000000001E-2</v>
      </c>
      <c r="CF20" s="230">
        <v>672500</v>
      </c>
      <c r="CG20" s="230">
        <v>552500</v>
      </c>
      <c r="CH20" s="230">
        <v>120000</v>
      </c>
      <c r="CI20" s="229">
        <v>0.2172</v>
      </c>
      <c r="CJ20" s="230">
        <v>63125</v>
      </c>
      <c r="CK20" s="230">
        <v>52500</v>
      </c>
      <c r="CL20" s="230">
        <v>10625</v>
      </c>
      <c r="CM20" s="229">
        <v>0.2024</v>
      </c>
      <c r="CN20" s="230">
        <v>15836250</v>
      </c>
      <c r="CO20" s="230">
        <v>14695625</v>
      </c>
      <c r="CP20" s="230">
        <v>1140625</v>
      </c>
      <c r="CQ20" s="229">
        <v>7.7600000000000002E-2</v>
      </c>
      <c r="CR20" s="230">
        <v>9182500</v>
      </c>
      <c r="CS20" s="230">
        <v>9039375</v>
      </c>
      <c r="CT20" s="230">
        <v>143125</v>
      </c>
      <c r="CU20" s="229">
        <v>1.5800000000000002E-2</v>
      </c>
      <c r="CV20" s="230">
        <v>88471875</v>
      </c>
      <c r="CW20" s="230">
        <v>86283125</v>
      </c>
      <c r="CX20" s="230">
        <v>2188750</v>
      </c>
      <c r="CY20" s="229">
        <v>2.5399999999999999E-2</v>
      </c>
      <c r="CZ20" s="228">
        <v>19.13</v>
      </c>
      <c r="DA20" s="228">
        <v>22.82</v>
      </c>
      <c r="DB20" s="228">
        <v>-3.69</v>
      </c>
      <c r="DC20" s="228">
        <v>-3.69</v>
      </c>
      <c r="DD20" s="228">
        <v>26.35</v>
      </c>
      <c r="DE20" s="228">
        <v>26.42</v>
      </c>
      <c r="DF20" s="228">
        <v>-7.22</v>
      </c>
      <c r="DG20" s="228">
        <v>-7.0000000000000007E-2</v>
      </c>
      <c r="DH20" s="228">
        <v>18.03</v>
      </c>
      <c r="DI20" s="228">
        <v>21.38</v>
      </c>
      <c r="DJ20" s="228">
        <v>-3.35</v>
      </c>
      <c r="DK20" s="228">
        <v>-3.35</v>
      </c>
      <c r="DL20" s="228">
        <v>20.56</v>
      </c>
      <c r="DM20" s="228">
        <v>24.79</v>
      </c>
      <c r="DN20" s="228">
        <v>-4.2300000000000004</v>
      </c>
      <c r="DO20" s="228">
        <v>-4.2300000000000004</v>
      </c>
      <c r="DP20" s="228">
        <v>0.57999999999999996</v>
      </c>
      <c r="DQ20" s="228">
        <v>0.62</v>
      </c>
      <c r="DR20" s="228">
        <v>-0.04</v>
      </c>
      <c r="DS20" s="229">
        <v>-6.4500000000000002E-2</v>
      </c>
      <c r="DT20" s="231">
        <v>1350</v>
      </c>
      <c r="DU20" s="231">
        <v>1340</v>
      </c>
      <c r="DV20" s="228">
        <v>0.77</v>
      </c>
      <c r="DW20" s="228">
        <v>0.73</v>
      </c>
      <c r="DX20" s="228">
        <v>0.04</v>
      </c>
      <c r="DY20" s="229">
        <v>5.4800000000000001E-2</v>
      </c>
      <c r="DZ20" s="229">
        <v>1.1599999999999999E-2</v>
      </c>
      <c r="EA20" s="230">
        <v>605000</v>
      </c>
      <c r="EB20" s="229">
        <v>6.4999999999999997E-3</v>
      </c>
      <c r="EC20" s="229">
        <v>1.1599999999999999E-2</v>
      </c>
      <c r="ED20" s="228">
        <v>7.4</v>
      </c>
      <c r="EE20" s="229">
        <v>5.4999999999999997E-3</v>
      </c>
      <c r="EF20" s="230">
        <v>3834549</v>
      </c>
      <c r="EG20" s="230">
        <v>4075177</v>
      </c>
      <c r="EH20" s="229">
        <v>-5.8999999999999997E-2</v>
      </c>
      <c r="EI20" s="229">
        <v>0.60589999999999999</v>
      </c>
      <c r="EJ20" s="231">
        <v>238293.12</v>
      </c>
      <c r="EK20" s="231">
        <v>175204.14</v>
      </c>
      <c r="EL20" s="231">
        <v>119366.11</v>
      </c>
      <c r="EM20" s="231">
        <v>11662</v>
      </c>
      <c r="EN20" s="231">
        <v>532863.37</v>
      </c>
      <c r="EO20" s="231">
        <v>759618.5</v>
      </c>
      <c r="EP20" s="231">
        <v>-226755.13</v>
      </c>
      <c r="EQ20" s="229">
        <v>-0.29849999999999999</v>
      </c>
      <c r="ER20" s="231">
        <v>222422</v>
      </c>
      <c r="ES20" s="231">
        <v>121681</v>
      </c>
      <c r="ET20" s="231">
        <v>860554</v>
      </c>
      <c r="EU20" s="231">
        <v>296371456</v>
      </c>
      <c r="EV20" s="231">
        <v>1204658</v>
      </c>
      <c r="EW20" s="231">
        <v>1173550</v>
      </c>
      <c r="EX20" s="231">
        <v>31108</v>
      </c>
      <c r="EY20" s="229">
        <v>2.6499999999999999E-2</v>
      </c>
      <c r="EZ20" s="229">
        <v>0.29849999999999999</v>
      </c>
      <c r="FA20" s="227" t="s">
        <v>555</v>
      </c>
      <c r="FB20" s="161">
        <f t="shared" si="0"/>
        <v>735625</v>
      </c>
    </row>
    <row r="21" spans="1:158" ht="17.25" thickBot="1" x14ac:dyDescent="0.3">
      <c r="A21" s="226">
        <v>46086</v>
      </c>
      <c r="B21" s="227" t="s">
        <v>162</v>
      </c>
      <c r="C21" s="227" t="s">
        <v>174</v>
      </c>
      <c r="D21" s="228">
        <v>75</v>
      </c>
      <c r="E21" s="231">
        <v>9788.5</v>
      </c>
      <c r="F21" s="231">
        <v>9645</v>
      </c>
      <c r="G21" s="228">
        <v>143.5</v>
      </c>
      <c r="H21" s="229">
        <v>1.49E-2</v>
      </c>
      <c r="I21" s="231">
        <v>9804.5</v>
      </c>
      <c r="J21" s="231">
        <v>9652.5</v>
      </c>
      <c r="K21" s="228">
        <v>152</v>
      </c>
      <c r="L21" s="229">
        <v>1.5699999999999999E-2</v>
      </c>
      <c r="M21" s="231">
        <v>9788.5</v>
      </c>
      <c r="N21" s="231">
        <v>9645</v>
      </c>
      <c r="O21" s="228">
        <v>143.5</v>
      </c>
      <c r="P21" s="229">
        <v>1.49E-2</v>
      </c>
      <c r="Q21" s="231">
        <v>9839.5</v>
      </c>
      <c r="R21" s="231">
        <v>9668.5</v>
      </c>
      <c r="S21" s="228">
        <v>171</v>
      </c>
      <c r="T21" s="229">
        <v>1.77E-2</v>
      </c>
      <c r="U21" s="231">
        <v>9850</v>
      </c>
      <c r="V21" s="231">
        <v>9704.5</v>
      </c>
      <c r="W21" s="228">
        <v>145.5</v>
      </c>
      <c r="X21" s="229">
        <v>1.4999999999999999E-2</v>
      </c>
      <c r="Y21" s="228">
        <v>-16</v>
      </c>
      <c r="Z21" s="228">
        <v>-7.5</v>
      </c>
      <c r="AA21" s="228">
        <v>-8.5</v>
      </c>
      <c r="AB21" s="229">
        <v>-1.6000000000000001E-3</v>
      </c>
      <c r="AC21" s="228">
        <v>-16</v>
      </c>
      <c r="AD21" s="228">
        <v>-7.5</v>
      </c>
      <c r="AE21" s="228">
        <v>-8.5</v>
      </c>
      <c r="AF21" s="229">
        <v>-1.6000000000000001E-3</v>
      </c>
      <c r="AG21" s="228">
        <v>35</v>
      </c>
      <c r="AH21" s="228">
        <v>16</v>
      </c>
      <c r="AI21" s="228">
        <v>19</v>
      </c>
      <c r="AJ21" s="229">
        <v>3.5999999999999999E-3</v>
      </c>
      <c r="AK21" s="228">
        <v>45.5</v>
      </c>
      <c r="AL21" s="228">
        <v>52</v>
      </c>
      <c r="AM21" s="228">
        <v>-6.5</v>
      </c>
      <c r="AN21" s="229">
        <v>4.5999999999999999E-3</v>
      </c>
      <c r="AO21" s="231">
        <v>9738.31</v>
      </c>
      <c r="AP21" s="231">
        <v>9788.18</v>
      </c>
      <c r="AQ21" s="228">
        <v>0</v>
      </c>
      <c r="AR21" s="230">
        <v>463875</v>
      </c>
      <c r="AS21" s="230">
        <v>477825</v>
      </c>
      <c r="AT21" s="230">
        <v>-13950</v>
      </c>
      <c r="AU21" s="229">
        <v>-2.92E-2</v>
      </c>
      <c r="AV21" s="230">
        <v>452850</v>
      </c>
      <c r="AW21" s="230">
        <v>461925</v>
      </c>
      <c r="AX21" s="230">
        <v>-9075</v>
      </c>
      <c r="AY21" s="229">
        <v>-1.9599999999999999E-2</v>
      </c>
      <c r="AZ21" s="230">
        <v>10575</v>
      </c>
      <c r="BA21" s="230">
        <v>14175</v>
      </c>
      <c r="BB21" s="230">
        <v>-3600</v>
      </c>
      <c r="BC21" s="229">
        <v>-0.254</v>
      </c>
      <c r="BD21" s="228">
        <v>450</v>
      </c>
      <c r="BE21" s="230">
        <v>1725</v>
      </c>
      <c r="BF21" s="230">
        <v>-1275</v>
      </c>
      <c r="BG21" s="229">
        <v>-0.73909999999999998</v>
      </c>
      <c r="BH21" s="230">
        <v>1478625</v>
      </c>
      <c r="BI21" s="230">
        <v>1704225</v>
      </c>
      <c r="BJ21" s="230">
        <v>-225600</v>
      </c>
      <c r="BK21" s="229">
        <v>-0.13239999999999999</v>
      </c>
      <c r="BL21" s="230">
        <v>1001625</v>
      </c>
      <c r="BM21" s="230">
        <v>1254825</v>
      </c>
      <c r="BN21" s="230">
        <v>-253200</v>
      </c>
      <c r="BO21" s="229">
        <v>-0.20180000000000001</v>
      </c>
      <c r="BP21" s="230">
        <v>2944125</v>
      </c>
      <c r="BQ21" s="230">
        <v>3436875</v>
      </c>
      <c r="BR21" s="230">
        <v>-492750</v>
      </c>
      <c r="BS21" s="229">
        <v>-0.1434</v>
      </c>
      <c r="BT21" s="230">
        <v>305406</v>
      </c>
      <c r="BU21" s="230">
        <v>335443</v>
      </c>
      <c r="BV21" s="230">
        <v>-30037</v>
      </c>
      <c r="BW21" s="229">
        <v>-8.9499999999999996E-2</v>
      </c>
      <c r="BX21" s="230">
        <v>3058950</v>
      </c>
      <c r="BY21" s="230">
        <v>3024300</v>
      </c>
      <c r="BZ21" s="230">
        <v>34650</v>
      </c>
      <c r="CA21" s="229">
        <v>1.15E-2</v>
      </c>
      <c r="CB21" s="230">
        <v>3035700</v>
      </c>
      <c r="CC21" s="230">
        <v>2999400</v>
      </c>
      <c r="CD21" s="230">
        <v>36300</v>
      </c>
      <c r="CE21" s="229">
        <v>1.21E-2</v>
      </c>
      <c r="CF21" s="230">
        <v>21000</v>
      </c>
      <c r="CG21" s="230">
        <v>22875</v>
      </c>
      <c r="CH21" s="230">
        <v>-1875</v>
      </c>
      <c r="CI21" s="229">
        <v>-8.2000000000000003E-2</v>
      </c>
      <c r="CJ21" s="230">
        <v>2250</v>
      </c>
      <c r="CK21" s="230">
        <v>2025</v>
      </c>
      <c r="CL21" s="228">
        <v>225</v>
      </c>
      <c r="CM21" s="229">
        <v>0.1111</v>
      </c>
      <c r="CN21" s="230">
        <v>1316850</v>
      </c>
      <c r="CO21" s="230">
        <v>1387350</v>
      </c>
      <c r="CP21" s="230">
        <v>-70500</v>
      </c>
      <c r="CQ21" s="229">
        <v>-5.0799999999999998E-2</v>
      </c>
      <c r="CR21" s="230">
        <v>690525</v>
      </c>
      <c r="CS21" s="230">
        <v>668025</v>
      </c>
      <c r="CT21" s="230">
        <v>22500</v>
      </c>
      <c r="CU21" s="229">
        <v>3.3700000000000001E-2</v>
      </c>
      <c r="CV21" s="230">
        <v>5066325</v>
      </c>
      <c r="CW21" s="230">
        <v>5079675</v>
      </c>
      <c r="CX21" s="230">
        <v>-13350</v>
      </c>
      <c r="CY21" s="229">
        <v>-2.5999999999999999E-3</v>
      </c>
      <c r="CZ21" s="228">
        <v>24.66</v>
      </c>
      <c r="DA21" s="228">
        <v>26.5</v>
      </c>
      <c r="DB21" s="228">
        <v>-1.84</v>
      </c>
      <c r="DC21" s="228">
        <v>-1.84</v>
      </c>
      <c r="DD21" s="228">
        <v>27.41</v>
      </c>
      <c r="DE21" s="228">
        <v>27.4</v>
      </c>
      <c r="DF21" s="228">
        <v>-2.75</v>
      </c>
      <c r="DG21" s="228">
        <v>0.01</v>
      </c>
      <c r="DH21" s="228">
        <v>22.79</v>
      </c>
      <c r="DI21" s="228">
        <v>25.18</v>
      </c>
      <c r="DJ21" s="228">
        <v>-2.39</v>
      </c>
      <c r="DK21" s="228">
        <v>-2.39</v>
      </c>
      <c r="DL21" s="228">
        <v>27.43</v>
      </c>
      <c r="DM21" s="228">
        <v>28.29</v>
      </c>
      <c r="DN21" s="228">
        <v>-0.86</v>
      </c>
      <c r="DO21" s="228">
        <v>-0.86</v>
      </c>
      <c r="DP21" s="228">
        <v>0.52</v>
      </c>
      <c r="DQ21" s="228">
        <v>0.48</v>
      </c>
      <c r="DR21" s="228">
        <v>0.04</v>
      </c>
      <c r="DS21" s="229">
        <v>8.3299999999999999E-2</v>
      </c>
      <c r="DT21" s="231">
        <v>10500</v>
      </c>
      <c r="DU21" s="231">
        <v>9000</v>
      </c>
      <c r="DV21" s="228">
        <v>0.68</v>
      </c>
      <c r="DW21" s="228">
        <v>0.74</v>
      </c>
      <c r="DX21" s="228">
        <v>-0.06</v>
      </c>
      <c r="DY21" s="229">
        <v>-8.1100000000000005E-2</v>
      </c>
      <c r="DZ21" s="229">
        <v>7.6E-3</v>
      </c>
      <c r="EA21" s="230">
        <v>24900</v>
      </c>
      <c r="EB21" s="229">
        <v>5.1999999999999998E-3</v>
      </c>
      <c r="EC21" s="229">
        <v>7.6E-3</v>
      </c>
      <c r="ED21" s="228">
        <v>49.87</v>
      </c>
      <c r="EE21" s="229">
        <v>5.1000000000000004E-3</v>
      </c>
      <c r="EF21" s="230">
        <v>170654</v>
      </c>
      <c r="EG21" s="230">
        <v>177630</v>
      </c>
      <c r="EH21" s="229">
        <v>-3.9300000000000002E-2</v>
      </c>
      <c r="EI21" s="229">
        <v>0.55879999999999996</v>
      </c>
      <c r="EJ21" s="231">
        <v>152826.51</v>
      </c>
      <c r="EK21" s="231">
        <v>91418.21</v>
      </c>
      <c r="EL21" s="231">
        <v>45179.03</v>
      </c>
      <c r="EM21" s="231">
        <v>5640</v>
      </c>
      <c r="EN21" s="231">
        <v>289423.75</v>
      </c>
      <c r="EO21" s="231">
        <v>337960.9</v>
      </c>
      <c r="EP21" s="231">
        <v>-48537.15</v>
      </c>
      <c r="EQ21" s="229">
        <v>-0.14360000000000001</v>
      </c>
      <c r="ER21" s="231">
        <v>136727</v>
      </c>
      <c r="ES21" s="231">
        <v>64301</v>
      </c>
      <c r="ET21" s="231">
        <v>299437</v>
      </c>
      <c r="EU21" s="231">
        <v>15906526</v>
      </c>
      <c r="EV21" s="231">
        <v>500466</v>
      </c>
      <c r="EW21" s="231">
        <v>497806</v>
      </c>
      <c r="EX21" s="231">
        <v>2660</v>
      </c>
      <c r="EY21" s="229">
        <v>5.3E-3</v>
      </c>
      <c r="EZ21" s="229">
        <v>0.31850000000000001</v>
      </c>
      <c r="FA21" s="227" t="s">
        <v>555</v>
      </c>
      <c r="FB21" s="161">
        <f t="shared" si="0"/>
        <v>23250</v>
      </c>
    </row>
    <row r="22" spans="1:158" ht="17.25" thickBot="1" x14ac:dyDescent="0.3">
      <c r="A22" s="226">
        <v>46086</v>
      </c>
      <c r="B22" s="227" t="s">
        <v>175</v>
      </c>
      <c r="C22" s="227" t="s">
        <v>176</v>
      </c>
      <c r="D22" s="228">
        <v>250</v>
      </c>
      <c r="E22" s="231">
        <v>1917.9</v>
      </c>
      <c r="F22" s="231">
        <v>1891.8</v>
      </c>
      <c r="G22" s="228">
        <v>26.1</v>
      </c>
      <c r="H22" s="229">
        <v>1.38E-2</v>
      </c>
      <c r="I22" s="231">
        <v>1911.8</v>
      </c>
      <c r="J22" s="231">
        <v>1889.3</v>
      </c>
      <c r="K22" s="228">
        <v>22.5</v>
      </c>
      <c r="L22" s="229">
        <v>1.1900000000000001E-2</v>
      </c>
      <c r="M22" s="231">
        <v>1917.9</v>
      </c>
      <c r="N22" s="231">
        <v>1891.8</v>
      </c>
      <c r="O22" s="228">
        <v>26.1</v>
      </c>
      <c r="P22" s="229">
        <v>1.38E-2</v>
      </c>
      <c r="Q22" s="231">
        <v>1929.4</v>
      </c>
      <c r="R22" s="231">
        <v>1903.7</v>
      </c>
      <c r="S22" s="228">
        <v>25.7</v>
      </c>
      <c r="T22" s="229">
        <v>1.35E-2</v>
      </c>
      <c r="U22" s="231">
        <v>1941.8</v>
      </c>
      <c r="V22" s="231">
        <v>1911.3</v>
      </c>
      <c r="W22" s="228">
        <v>30.5</v>
      </c>
      <c r="X22" s="229">
        <v>1.6E-2</v>
      </c>
      <c r="Y22" s="228">
        <v>6.1</v>
      </c>
      <c r="Z22" s="228">
        <v>2.5</v>
      </c>
      <c r="AA22" s="228">
        <v>3.6</v>
      </c>
      <c r="AB22" s="229">
        <v>3.2000000000000002E-3</v>
      </c>
      <c r="AC22" s="228">
        <v>6.1</v>
      </c>
      <c r="AD22" s="228">
        <v>2.5</v>
      </c>
      <c r="AE22" s="228">
        <v>3.6</v>
      </c>
      <c r="AF22" s="229">
        <v>3.2000000000000002E-3</v>
      </c>
      <c r="AG22" s="228">
        <v>17.600000000000001</v>
      </c>
      <c r="AH22" s="228">
        <v>14.4</v>
      </c>
      <c r="AI22" s="228">
        <v>3.2</v>
      </c>
      <c r="AJ22" s="229">
        <v>9.1999999999999998E-3</v>
      </c>
      <c r="AK22" s="228">
        <v>30</v>
      </c>
      <c r="AL22" s="228">
        <v>22</v>
      </c>
      <c r="AM22" s="228">
        <v>8</v>
      </c>
      <c r="AN22" s="229">
        <v>1.5699999999999999E-2</v>
      </c>
      <c r="AO22" s="231">
        <v>1902.77</v>
      </c>
      <c r="AP22" s="231">
        <v>1914.12</v>
      </c>
      <c r="AQ22" s="228">
        <v>0</v>
      </c>
      <c r="AR22" s="230">
        <v>1945000</v>
      </c>
      <c r="AS22" s="230">
        <v>2001500</v>
      </c>
      <c r="AT22" s="230">
        <v>-56500</v>
      </c>
      <c r="AU22" s="229">
        <v>-2.8199999999999999E-2</v>
      </c>
      <c r="AV22" s="230">
        <v>1825250</v>
      </c>
      <c r="AW22" s="230">
        <v>1876500</v>
      </c>
      <c r="AX22" s="230">
        <v>-51250</v>
      </c>
      <c r="AY22" s="229">
        <v>-2.7300000000000001E-2</v>
      </c>
      <c r="AZ22" s="230">
        <v>103750</v>
      </c>
      <c r="BA22" s="230">
        <v>104000</v>
      </c>
      <c r="BB22" s="228">
        <v>-250</v>
      </c>
      <c r="BC22" s="229">
        <v>-2.3999999999999998E-3</v>
      </c>
      <c r="BD22" s="230">
        <v>16000</v>
      </c>
      <c r="BE22" s="230">
        <v>21000</v>
      </c>
      <c r="BF22" s="230">
        <v>-5000</v>
      </c>
      <c r="BG22" s="229">
        <v>-0.23810000000000001</v>
      </c>
      <c r="BH22" s="230">
        <v>4300000</v>
      </c>
      <c r="BI22" s="230">
        <v>8469000</v>
      </c>
      <c r="BJ22" s="230">
        <v>-4169000</v>
      </c>
      <c r="BK22" s="229">
        <v>-0.49230000000000002</v>
      </c>
      <c r="BL22" s="230">
        <v>1705250</v>
      </c>
      <c r="BM22" s="230">
        <v>4869000</v>
      </c>
      <c r="BN22" s="230">
        <v>-3163750</v>
      </c>
      <c r="BO22" s="229">
        <v>-0.64980000000000004</v>
      </c>
      <c r="BP22" s="230">
        <v>7950250</v>
      </c>
      <c r="BQ22" s="230">
        <v>15339500</v>
      </c>
      <c r="BR22" s="230">
        <v>-7389250</v>
      </c>
      <c r="BS22" s="229">
        <v>-0.48170000000000002</v>
      </c>
      <c r="BT22" s="230">
        <v>1624631</v>
      </c>
      <c r="BU22" s="230">
        <v>2325658</v>
      </c>
      <c r="BV22" s="230">
        <v>-701027</v>
      </c>
      <c r="BW22" s="229">
        <v>-0.3014</v>
      </c>
      <c r="BX22" s="230">
        <v>12489000</v>
      </c>
      <c r="BY22" s="230">
        <v>12693250</v>
      </c>
      <c r="BZ22" s="230">
        <v>-204250</v>
      </c>
      <c r="CA22" s="229">
        <v>-1.61E-2</v>
      </c>
      <c r="CB22" s="230">
        <v>12319500</v>
      </c>
      <c r="CC22" s="230">
        <v>12523000</v>
      </c>
      <c r="CD22" s="230">
        <v>-203500</v>
      </c>
      <c r="CE22" s="229">
        <v>-1.6299999999999999E-2</v>
      </c>
      <c r="CF22" s="230">
        <v>134000</v>
      </c>
      <c r="CG22" s="230">
        <v>143500</v>
      </c>
      <c r="CH22" s="230">
        <v>-9500</v>
      </c>
      <c r="CI22" s="229">
        <v>-6.6199999999999995E-2</v>
      </c>
      <c r="CJ22" s="230">
        <v>35500</v>
      </c>
      <c r="CK22" s="230">
        <v>26750</v>
      </c>
      <c r="CL22" s="230">
        <v>8750</v>
      </c>
      <c r="CM22" s="229">
        <v>0.3271</v>
      </c>
      <c r="CN22" s="230">
        <v>5583000</v>
      </c>
      <c r="CO22" s="230">
        <v>5169250</v>
      </c>
      <c r="CP22" s="230">
        <v>413750</v>
      </c>
      <c r="CQ22" s="229">
        <v>0.08</v>
      </c>
      <c r="CR22" s="230">
        <v>3198250</v>
      </c>
      <c r="CS22" s="230">
        <v>3196750</v>
      </c>
      <c r="CT22" s="230">
        <v>1500</v>
      </c>
      <c r="CU22" s="229">
        <v>5.0000000000000001E-4</v>
      </c>
      <c r="CV22" s="230">
        <v>21270250</v>
      </c>
      <c r="CW22" s="230">
        <v>21059250</v>
      </c>
      <c r="CX22" s="230">
        <v>211000</v>
      </c>
      <c r="CY22" s="229">
        <v>0.01</v>
      </c>
      <c r="CZ22" s="228">
        <v>20.79</v>
      </c>
      <c r="DA22" s="228">
        <v>24.09</v>
      </c>
      <c r="DB22" s="228">
        <v>-3.3</v>
      </c>
      <c r="DC22" s="228">
        <v>-3.3</v>
      </c>
      <c r="DD22" s="228">
        <v>27.93</v>
      </c>
      <c r="DE22" s="228">
        <v>27.94</v>
      </c>
      <c r="DF22" s="228">
        <v>-7.14</v>
      </c>
      <c r="DG22" s="228">
        <v>-0.01</v>
      </c>
      <c r="DH22" s="228">
        <v>19.84</v>
      </c>
      <c r="DI22" s="228">
        <v>22.64</v>
      </c>
      <c r="DJ22" s="228">
        <v>-2.8</v>
      </c>
      <c r="DK22" s="228">
        <v>-2.8</v>
      </c>
      <c r="DL22" s="228">
        <v>23.19</v>
      </c>
      <c r="DM22" s="228">
        <v>26.63</v>
      </c>
      <c r="DN22" s="228">
        <v>-3.44</v>
      </c>
      <c r="DO22" s="228">
        <v>-3.44</v>
      </c>
      <c r="DP22" s="228">
        <v>0.56999999999999995</v>
      </c>
      <c r="DQ22" s="228">
        <v>0.62</v>
      </c>
      <c r="DR22" s="228">
        <v>-0.05</v>
      </c>
      <c r="DS22" s="229">
        <v>-8.0600000000000005E-2</v>
      </c>
      <c r="DT22" s="231">
        <v>2100</v>
      </c>
      <c r="DU22" s="231">
        <v>1920</v>
      </c>
      <c r="DV22" s="228">
        <v>0.4</v>
      </c>
      <c r="DW22" s="228">
        <v>0.56999999999999995</v>
      </c>
      <c r="DX22" s="228">
        <v>-0.17</v>
      </c>
      <c r="DY22" s="229">
        <v>-0.29820000000000002</v>
      </c>
      <c r="DZ22" s="229">
        <v>1.3599999999999999E-2</v>
      </c>
      <c r="EA22" s="230">
        <v>170250</v>
      </c>
      <c r="EB22" s="229">
        <v>6.0000000000000001E-3</v>
      </c>
      <c r="EC22" s="229">
        <v>1.3599999999999999E-2</v>
      </c>
      <c r="ED22" s="228">
        <v>11.35</v>
      </c>
      <c r="EE22" s="229">
        <v>6.0000000000000001E-3</v>
      </c>
      <c r="EF22" s="230">
        <v>978701</v>
      </c>
      <c r="EG22" s="230">
        <v>1482072</v>
      </c>
      <c r="EH22" s="229">
        <v>-0.33960000000000001</v>
      </c>
      <c r="EI22" s="229">
        <v>0.60240000000000005</v>
      </c>
      <c r="EJ22" s="231">
        <v>86490.11</v>
      </c>
      <c r="EK22" s="231">
        <v>32000.91</v>
      </c>
      <c r="EL22" s="231">
        <v>37024.239999999998</v>
      </c>
      <c r="EM22" s="231">
        <v>5087</v>
      </c>
      <c r="EN22" s="231">
        <v>155515.26</v>
      </c>
      <c r="EO22" s="231">
        <v>299039.01</v>
      </c>
      <c r="EP22" s="231">
        <v>-143523.75</v>
      </c>
      <c r="EQ22" s="229">
        <v>-0.47989999999999999</v>
      </c>
      <c r="ER22" s="231">
        <v>113090</v>
      </c>
      <c r="ES22" s="231">
        <v>61598</v>
      </c>
      <c r="ET22" s="231">
        <v>239550</v>
      </c>
      <c r="EU22" s="231">
        <v>65701623</v>
      </c>
      <c r="EV22" s="231">
        <v>414238</v>
      </c>
      <c r="EW22" s="231">
        <v>406780</v>
      </c>
      <c r="EX22" s="231">
        <v>7458</v>
      </c>
      <c r="EY22" s="229">
        <v>1.83E-2</v>
      </c>
      <c r="EZ22" s="229">
        <v>0.32369999999999999</v>
      </c>
      <c r="FA22" s="227" t="s">
        <v>556</v>
      </c>
      <c r="FB22" s="161">
        <f t="shared" si="0"/>
        <v>169500</v>
      </c>
    </row>
    <row r="23" spans="1:158" ht="17.25" thickBot="1" x14ac:dyDescent="0.3">
      <c r="A23" s="226">
        <v>46086</v>
      </c>
      <c r="B23" s="227" t="s">
        <v>175</v>
      </c>
      <c r="C23" s="227" t="s">
        <v>690</v>
      </c>
      <c r="D23" s="228">
        <v>50</v>
      </c>
      <c r="E23" s="231">
        <v>10710</v>
      </c>
      <c r="F23" s="231">
        <v>10675</v>
      </c>
      <c r="G23" s="228">
        <v>35</v>
      </c>
      <c r="H23" s="229">
        <v>3.3E-3</v>
      </c>
      <c r="I23" s="231">
        <v>10663</v>
      </c>
      <c r="J23" s="231">
        <v>10651</v>
      </c>
      <c r="K23" s="228">
        <v>12</v>
      </c>
      <c r="L23" s="229">
        <v>1.1000000000000001E-3</v>
      </c>
      <c r="M23" s="231">
        <v>10710</v>
      </c>
      <c r="N23" s="231">
        <v>10675</v>
      </c>
      <c r="O23" s="228">
        <v>35</v>
      </c>
      <c r="P23" s="229">
        <v>3.3E-3</v>
      </c>
      <c r="Q23" s="231">
        <v>10765</v>
      </c>
      <c r="R23" s="231">
        <v>10760</v>
      </c>
      <c r="S23" s="228">
        <v>5</v>
      </c>
      <c r="T23" s="229">
        <v>5.0000000000000001E-4</v>
      </c>
      <c r="U23" s="231">
        <v>10820</v>
      </c>
      <c r="V23" s="231">
        <v>10764</v>
      </c>
      <c r="W23" s="228">
        <v>56</v>
      </c>
      <c r="X23" s="229">
        <v>5.1999999999999998E-3</v>
      </c>
      <c r="Y23" s="228">
        <v>47</v>
      </c>
      <c r="Z23" s="228">
        <v>24</v>
      </c>
      <c r="AA23" s="228">
        <v>23</v>
      </c>
      <c r="AB23" s="229">
        <v>4.4000000000000003E-3</v>
      </c>
      <c r="AC23" s="228">
        <v>47</v>
      </c>
      <c r="AD23" s="228">
        <v>24</v>
      </c>
      <c r="AE23" s="228">
        <v>23</v>
      </c>
      <c r="AF23" s="229">
        <v>4.4000000000000003E-3</v>
      </c>
      <c r="AG23" s="228">
        <v>102</v>
      </c>
      <c r="AH23" s="228">
        <v>109</v>
      </c>
      <c r="AI23" s="228">
        <v>-7</v>
      </c>
      <c r="AJ23" s="229">
        <v>9.5999999999999992E-3</v>
      </c>
      <c r="AK23" s="228">
        <v>157</v>
      </c>
      <c r="AL23" s="228">
        <v>113</v>
      </c>
      <c r="AM23" s="228">
        <v>44</v>
      </c>
      <c r="AN23" s="229">
        <v>1.47E-2</v>
      </c>
      <c r="AO23" s="231">
        <v>10680.68</v>
      </c>
      <c r="AP23" s="231">
        <v>10765.88</v>
      </c>
      <c r="AQ23" s="228">
        <v>0</v>
      </c>
      <c r="AR23" s="230">
        <v>23000</v>
      </c>
      <c r="AS23" s="230">
        <v>29100</v>
      </c>
      <c r="AT23" s="230">
        <v>-6100</v>
      </c>
      <c r="AU23" s="229">
        <v>-0.20960000000000001</v>
      </c>
      <c r="AV23" s="230">
        <v>22100</v>
      </c>
      <c r="AW23" s="230">
        <v>28450</v>
      </c>
      <c r="AX23" s="230">
        <v>-6350</v>
      </c>
      <c r="AY23" s="229">
        <v>-0.22320000000000001</v>
      </c>
      <c r="AZ23" s="228">
        <v>850</v>
      </c>
      <c r="BA23" s="228">
        <v>500</v>
      </c>
      <c r="BB23" s="228">
        <v>350</v>
      </c>
      <c r="BC23" s="229">
        <v>0.7</v>
      </c>
      <c r="BD23" s="228">
        <v>50</v>
      </c>
      <c r="BE23" s="228">
        <v>150</v>
      </c>
      <c r="BF23" s="228">
        <v>-100</v>
      </c>
      <c r="BG23" s="229">
        <v>-0.66669999999999996</v>
      </c>
      <c r="BH23" s="230">
        <v>19700</v>
      </c>
      <c r="BI23" s="230">
        <v>28800</v>
      </c>
      <c r="BJ23" s="230">
        <v>-9100</v>
      </c>
      <c r="BK23" s="229">
        <v>-0.316</v>
      </c>
      <c r="BL23" s="230">
        <v>9400</v>
      </c>
      <c r="BM23" s="230">
        <v>40600</v>
      </c>
      <c r="BN23" s="230">
        <v>-31200</v>
      </c>
      <c r="BO23" s="229">
        <v>-0.76849999999999996</v>
      </c>
      <c r="BP23" s="230">
        <v>52100</v>
      </c>
      <c r="BQ23" s="230">
        <v>98500</v>
      </c>
      <c r="BR23" s="230">
        <v>-46400</v>
      </c>
      <c r="BS23" s="229">
        <v>-0.47110000000000002</v>
      </c>
      <c r="BT23" s="230">
        <v>38066</v>
      </c>
      <c r="BU23" s="230">
        <v>56032</v>
      </c>
      <c r="BV23" s="230">
        <v>-17966</v>
      </c>
      <c r="BW23" s="229">
        <v>-0.3206</v>
      </c>
      <c r="BX23" s="230">
        <v>221200</v>
      </c>
      <c r="BY23" s="230">
        <v>218700</v>
      </c>
      <c r="BZ23" s="230">
        <v>2500</v>
      </c>
      <c r="CA23" s="229">
        <v>1.14E-2</v>
      </c>
      <c r="CB23" s="230">
        <v>218300</v>
      </c>
      <c r="CC23" s="230">
        <v>216150</v>
      </c>
      <c r="CD23" s="230">
        <v>2150</v>
      </c>
      <c r="CE23" s="229">
        <v>9.9000000000000008E-3</v>
      </c>
      <c r="CF23" s="230">
        <v>2650</v>
      </c>
      <c r="CG23" s="230">
        <v>2350</v>
      </c>
      <c r="CH23" s="228">
        <v>300</v>
      </c>
      <c r="CI23" s="229">
        <v>0.12770000000000001</v>
      </c>
      <c r="CJ23" s="228">
        <v>250</v>
      </c>
      <c r="CK23" s="228">
        <v>200</v>
      </c>
      <c r="CL23" s="228">
        <v>50</v>
      </c>
      <c r="CM23" s="229">
        <v>0.25</v>
      </c>
      <c r="CN23" s="230">
        <v>95800</v>
      </c>
      <c r="CO23" s="230">
        <v>94950</v>
      </c>
      <c r="CP23" s="228">
        <v>850</v>
      </c>
      <c r="CQ23" s="229">
        <v>8.9999999999999993E-3</v>
      </c>
      <c r="CR23" s="230">
        <v>46650</v>
      </c>
      <c r="CS23" s="230">
        <v>46450</v>
      </c>
      <c r="CT23" s="228">
        <v>200</v>
      </c>
      <c r="CU23" s="229">
        <v>4.3E-3</v>
      </c>
      <c r="CV23" s="230">
        <v>363650</v>
      </c>
      <c r="CW23" s="230">
        <v>360100</v>
      </c>
      <c r="CX23" s="230">
        <v>3550</v>
      </c>
      <c r="CY23" s="229">
        <v>9.9000000000000008E-3</v>
      </c>
      <c r="CZ23" s="228">
        <v>30.32</v>
      </c>
      <c r="DA23" s="228">
        <v>33.65</v>
      </c>
      <c r="DB23" s="228">
        <v>-3.33</v>
      </c>
      <c r="DC23" s="228">
        <v>-3.33</v>
      </c>
      <c r="DD23" s="228">
        <v>37.020000000000003</v>
      </c>
      <c r="DE23" s="228">
        <v>37.11</v>
      </c>
      <c r="DF23" s="228">
        <v>-6.7</v>
      </c>
      <c r="DG23" s="228">
        <v>-0.09</v>
      </c>
      <c r="DH23" s="228">
        <v>29.86</v>
      </c>
      <c r="DI23" s="228">
        <v>33.270000000000003</v>
      </c>
      <c r="DJ23" s="228">
        <v>-3.41</v>
      </c>
      <c r="DK23" s="228">
        <v>-3.41</v>
      </c>
      <c r="DL23" s="228">
        <v>31.28</v>
      </c>
      <c r="DM23" s="228">
        <v>33.92</v>
      </c>
      <c r="DN23" s="228">
        <v>-2.64</v>
      </c>
      <c r="DO23" s="228">
        <v>-2.64</v>
      </c>
      <c r="DP23" s="228">
        <v>0.49</v>
      </c>
      <c r="DQ23" s="228">
        <v>0.49</v>
      </c>
      <c r="DR23" s="228">
        <v>0</v>
      </c>
      <c r="DS23" s="229">
        <v>0</v>
      </c>
      <c r="DT23" s="231">
        <v>12000</v>
      </c>
      <c r="DU23" s="231">
        <v>11000</v>
      </c>
      <c r="DV23" s="228">
        <v>0.48</v>
      </c>
      <c r="DW23" s="228">
        <v>1.41</v>
      </c>
      <c r="DX23" s="228">
        <v>-0.93</v>
      </c>
      <c r="DY23" s="229">
        <v>-0.65959999999999996</v>
      </c>
      <c r="DZ23" s="229">
        <v>1.3100000000000001E-2</v>
      </c>
      <c r="EA23" s="230">
        <v>2550</v>
      </c>
      <c r="EB23" s="229">
        <v>5.1000000000000004E-3</v>
      </c>
      <c r="EC23" s="229">
        <v>1.3100000000000001E-2</v>
      </c>
      <c r="ED23" s="228">
        <v>85.2</v>
      </c>
      <c r="EE23" s="229">
        <v>8.0000000000000002E-3</v>
      </c>
      <c r="EF23" s="230">
        <v>21643</v>
      </c>
      <c r="EG23" s="230">
        <v>35713</v>
      </c>
      <c r="EH23" s="229">
        <v>-0.39400000000000002</v>
      </c>
      <c r="EI23" s="229">
        <v>0.56859999999999999</v>
      </c>
      <c r="EJ23" s="231">
        <v>2247.13</v>
      </c>
      <c r="EK23" s="231">
        <v>1000.09</v>
      </c>
      <c r="EL23" s="231">
        <v>2457.35</v>
      </c>
      <c r="EM23" s="228">
        <v>803</v>
      </c>
      <c r="EN23" s="231">
        <v>5704.57</v>
      </c>
      <c r="EO23" s="231">
        <v>10542.26</v>
      </c>
      <c r="EP23" s="231">
        <v>-4837.6899999999996</v>
      </c>
      <c r="EQ23" s="229">
        <v>-0.45889999999999997</v>
      </c>
      <c r="ER23" s="231">
        <v>11291</v>
      </c>
      <c r="ES23" s="231">
        <v>4888</v>
      </c>
      <c r="ET23" s="231">
        <v>23692</v>
      </c>
      <c r="EU23" s="231">
        <v>5401993</v>
      </c>
      <c r="EV23" s="231">
        <v>39871</v>
      </c>
      <c r="EW23" s="231">
        <v>39424</v>
      </c>
      <c r="EX23" s="228">
        <v>447</v>
      </c>
      <c r="EY23" s="229">
        <v>1.1299999999999999E-2</v>
      </c>
      <c r="EZ23" s="229">
        <v>6.7299999999999999E-2</v>
      </c>
      <c r="FA23" s="227" t="s">
        <v>555</v>
      </c>
      <c r="FB23" s="161">
        <f t="shared" si="0"/>
        <v>2900</v>
      </c>
    </row>
    <row r="24" spans="1:158" ht="17.25" thickBot="1" x14ac:dyDescent="0.3">
      <c r="A24" s="226">
        <v>46086</v>
      </c>
      <c r="B24" s="227" t="s">
        <v>175</v>
      </c>
      <c r="C24" s="227" t="s">
        <v>177</v>
      </c>
      <c r="D24" s="228">
        <v>750</v>
      </c>
      <c r="E24" s="228">
        <v>964.15</v>
      </c>
      <c r="F24" s="228">
        <v>949.6</v>
      </c>
      <c r="G24" s="228">
        <v>14.55</v>
      </c>
      <c r="H24" s="229">
        <v>1.5299999999999999E-2</v>
      </c>
      <c r="I24" s="228">
        <v>962.4</v>
      </c>
      <c r="J24" s="228">
        <v>945.1</v>
      </c>
      <c r="K24" s="228">
        <v>17.3</v>
      </c>
      <c r="L24" s="229">
        <v>1.83E-2</v>
      </c>
      <c r="M24" s="228">
        <v>964.15</v>
      </c>
      <c r="N24" s="228">
        <v>949.6</v>
      </c>
      <c r="O24" s="228">
        <v>14.55</v>
      </c>
      <c r="P24" s="229">
        <v>1.5299999999999999E-2</v>
      </c>
      <c r="Q24" s="228">
        <v>970.25</v>
      </c>
      <c r="R24" s="228">
        <v>955.8</v>
      </c>
      <c r="S24" s="228">
        <v>14.45</v>
      </c>
      <c r="T24" s="229">
        <v>1.5100000000000001E-2</v>
      </c>
      <c r="U24" s="228">
        <v>974.95</v>
      </c>
      <c r="V24" s="228">
        <v>961.85</v>
      </c>
      <c r="W24" s="228">
        <v>13.1</v>
      </c>
      <c r="X24" s="229">
        <v>1.3599999999999999E-2</v>
      </c>
      <c r="Y24" s="228">
        <v>1.75</v>
      </c>
      <c r="Z24" s="228">
        <v>4.5</v>
      </c>
      <c r="AA24" s="228">
        <v>-2.75</v>
      </c>
      <c r="AB24" s="229">
        <v>1.8E-3</v>
      </c>
      <c r="AC24" s="228">
        <v>1.75</v>
      </c>
      <c r="AD24" s="228">
        <v>4.5</v>
      </c>
      <c r="AE24" s="228">
        <v>-2.75</v>
      </c>
      <c r="AF24" s="229">
        <v>1.8E-3</v>
      </c>
      <c r="AG24" s="228">
        <v>7.85</v>
      </c>
      <c r="AH24" s="228">
        <v>10.7</v>
      </c>
      <c r="AI24" s="228">
        <v>-2.85</v>
      </c>
      <c r="AJ24" s="229">
        <v>8.2000000000000007E-3</v>
      </c>
      <c r="AK24" s="228">
        <v>12.55</v>
      </c>
      <c r="AL24" s="228">
        <v>16.75</v>
      </c>
      <c r="AM24" s="228">
        <v>-4.2</v>
      </c>
      <c r="AN24" s="229">
        <v>1.2999999999999999E-2</v>
      </c>
      <c r="AO24" s="228">
        <v>959.99</v>
      </c>
      <c r="AP24" s="228">
        <v>965.79</v>
      </c>
      <c r="AQ24" s="228">
        <v>0</v>
      </c>
      <c r="AR24" s="230">
        <v>6532500</v>
      </c>
      <c r="AS24" s="230">
        <v>10166250</v>
      </c>
      <c r="AT24" s="230">
        <v>-3633750</v>
      </c>
      <c r="AU24" s="229">
        <v>-0.3574</v>
      </c>
      <c r="AV24" s="230">
        <v>6130500</v>
      </c>
      <c r="AW24" s="230">
        <v>9618750</v>
      </c>
      <c r="AX24" s="230">
        <v>-3488250</v>
      </c>
      <c r="AY24" s="229">
        <v>-0.36270000000000002</v>
      </c>
      <c r="AZ24" s="230">
        <v>343500</v>
      </c>
      <c r="BA24" s="230">
        <v>440250</v>
      </c>
      <c r="BB24" s="230">
        <v>-96750</v>
      </c>
      <c r="BC24" s="229">
        <v>-0.2198</v>
      </c>
      <c r="BD24" s="230">
        <v>58500</v>
      </c>
      <c r="BE24" s="230">
        <v>107250</v>
      </c>
      <c r="BF24" s="230">
        <v>-48750</v>
      </c>
      <c r="BG24" s="229">
        <v>-0.45450000000000002</v>
      </c>
      <c r="BH24" s="230">
        <v>14663250</v>
      </c>
      <c r="BI24" s="230">
        <v>15163500</v>
      </c>
      <c r="BJ24" s="230">
        <v>-500250</v>
      </c>
      <c r="BK24" s="229">
        <v>-3.3000000000000002E-2</v>
      </c>
      <c r="BL24" s="230">
        <v>10568250</v>
      </c>
      <c r="BM24" s="230">
        <v>13684500</v>
      </c>
      <c r="BN24" s="230">
        <v>-3116250</v>
      </c>
      <c r="BO24" s="229">
        <v>-0.22770000000000001</v>
      </c>
      <c r="BP24" s="230">
        <v>31764000</v>
      </c>
      <c r="BQ24" s="230">
        <v>39014250</v>
      </c>
      <c r="BR24" s="230">
        <v>-7250250</v>
      </c>
      <c r="BS24" s="229">
        <v>-0.18579999999999999</v>
      </c>
      <c r="BT24" s="230">
        <v>6509620</v>
      </c>
      <c r="BU24" s="230">
        <v>10122545</v>
      </c>
      <c r="BV24" s="230">
        <v>-3612925</v>
      </c>
      <c r="BW24" s="229">
        <v>-0.3569</v>
      </c>
      <c r="BX24" s="230">
        <v>77542500</v>
      </c>
      <c r="BY24" s="230">
        <v>78920250</v>
      </c>
      <c r="BZ24" s="230">
        <v>-1377750</v>
      </c>
      <c r="CA24" s="229">
        <v>-1.7500000000000002E-2</v>
      </c>
      <c r="CB24" s="230">
        <v>75914250</v>
      </c>
      <c r="CC24" s="230">
        <v>77342250</v>
      </c>
      <c r="CD24" s="230">
        <v>-1428000</v>
      </c>
      <c r="CE24" s="229">
        <v>-1.8499999999999999E-2</v>
      </c>
      <c r="CF24" s="230">
        <v>1486500</v>
      </c>
      <c r="CG24" s="230">
        <v>1444500</v>
      </c>
      <c r="CH24" s="230">
        <v>42000</v>
      </c>
      <c r="CI24" s="229">
        <v>2.9100000000000001E-2</v>
      </c>
      <c r="CJ24" s="230">
        <v>141750</v>
      </c>
      <c r="CK24" s="230">
        <v>133500</v>
      </c>
      <c r="CL24" s="230">
        <v>8250</v>
      </c>
      <c r="CM24" s="229">
        <v>6.1800000000000001E-2</v>
      </c>
      <c r="CN24" s="230">
        <v>14562750</v>
      </c>
      <c r="CO24" s="230">
        <v>13974000</v>
      </c>
      <c r="CP24" s="230">
        <v>588750</v>
      </c>
      <c r="CQ24" s="229">
        <v>4.2099999999999999E-2</v>
      </c>
      <c r="CR24" s="230">
        <v>12646500</v>
      </c>
      <c r="CS24" s="230">
        <v>12381750</v>
      </c>
      <c r="CT24" s="230">
        <v>264750</v>
      </c>
      <c r="CU24" s="229">
        <v>2.1399999999999999E-2</v>
      </c>
      <c r="CV24" s="230">
        <v>104751750</v>
      </c>
      <c r="CW24" s="230">
        <v>105276000</v>
      </c>
      <c r="CX24" s="230">
        <v>-524250</v>
      </c>
      <c r="CY24" s="229">
        <v>-5.0000000000000001E-3</v>
      </c>
      <c r="CZ24" s="228">
        <v>25.74</v>
      </c>
      <c r="DA24" s="228">
        <v>29</v>
      </c>
      <c r="DB24" s="228">
        <v>-3.26</v>
      </c>
      <c r="DC24" s="228">
        <v>-3.26</v>
      </c>
      <c r="DD24" s="228">
        <v>31.64</v>
      </c>
      <c r="DE24" s="228">
        <v>31.62</v>
      </c>
      <c r="DF24" s="228">
        <v>-5.9</v>
      </c>
      <c r="DG24" s="228">
        <v>0.02</v>
      </c>
      <c r="DH24" s="228">
        <v>24.84</v>
      </c>
      <c r="DI24" s="228">
        <v>27.78</v>
      </c>
      <c r="DJ24" s="228">
        <v>-2.94</v>
      </c>
      <c r="DK24" s="228">
        <v>-2.94</v>
      </c>
      <c r="DL24" s="228">
        <v>27</v>
      </c>
      <c r="DM24" s="228">
        <v>30.35</v>
      </c>
      <c r="DN24" s="228">
        <v>-3.35</v>
      </c>
      <c r="DO24" s="228">
        <v>-3.35</v>
      </c>
      <c r="DP24" s="228">
        <v>0.87</v>
      </c>
      <c r="DQ24" s="228">
        <v>0.89</v>
      </c>
      <c r="DR24" s="228">
        <v>-0.02</v>
      </c>
      <c r="DS24" s="229">
        <v>-2.2499999999999999E-2</v>
      </c>
      <c r="DT24" s="231">
        <v>1100</v>
      </c>
      <c r="DU24" s="228">
        <v>960</v>
      </c>
      <c r="DV24" s="228">
        <v>0.72</v>
      </c>
      <c r="DW24" s="228">
        <v>0.9</v>
      </c>
      <c r="DX24" s="228">
        <v>-0.18</v>
      </c>
      <c r="DY24" s="229">
        <v>-0.2</v>
      </c>
      <c r="DZ24" s="229">
        <v>2.1000000000000001E-2</v>
      </c>
      <c r="EA24" s="230">
        <v>1578000</v>
      </c>
      <c r="EB24" s="229">
        <v>6.3E-3</v>
      </c>
      <c r="EC24" s="229">
        <v>2.1000000000000001E-2</v>
      </c>
      <c r="ED24" s="228">
        <v>5.8</v>
      </c>
      <c r="EE24" s="229">
        <v>6.0000000000000001E-3</v>
      </c>
      <c r="EF24" s="230">
        <v>3468628</v>
      </c>
      <c r="EG24" s="230">
        <v>6419441</v>
      </c>
      <c r="EH24" s="229">
        <v>-0.4597</v>
      </c>
      <c r="EI24" s="229">
        <v>0.53280000000000005</v>
      </c>
      <c r="EJ24" s="231">
        <v>148412.94</v>
      </c>
      <c r="EK24" s="231">
        <v>99782.92</v>
      </c>
      <c r="EL24" s="231">
        <v>62737.34</v>
      </c>
      <c r="EM24" s="231">
        <v>10894</v>
      </c>
      <c r="EN24" s="231">
        <v>310933.2</v>
      </c>
      <c r="EO24" s="231">
        <v>380074.76</v>
      </c>
      <c r="EP24" s="231">
        <v>-69141.56</v>
      </c>
      <c r="EQ24" s="229">
        <v>-0.18190000000000001</v>
      </c>
      <c r="ER24" s="231">
        <v>151397</v>
      </c>
      <c r="ES24" s="231">
        <v>122615</v>
      </c>
      <c r="ET24" s="231">
        <v>747732</v>
      </c>
      <c r="EU24" s="231">
        <v>317526833</v>
      </c>
      <c r="EV24" s="231">
        <v>1021743</v>
      </c>
      <c r="EW24" s="231">
        <v>1015632</v>
      </c>
      <c r="EX24" s="231">
        <v>6111</v>
      </c>
      <c r="EY24" s="229">
        <v>6.0000000000000001E-3</v>
      </c>
      <c r="EZ24" s="229">
        <v>0.32990000000000003</v>
      </c>
      <c r="FA24" s="227" t="s">
        <v>556</v>
      </c>
      <c r="FB24" s="161">
        <f t="shared" si="0"/>
        <v>1628250</v>
      </c>
    </row>
    <row r="25" spans="1:158" ht="17.25" thickBot="1" x14ac:dyDescent="0.3">
      <c r="A25" s="226">
        <v>46086</v>
      </c>
      <c r="B25" s="227" t="s">
        <v>172</v>
      </c>
      <c r="C25" s="227" t="s">
        <v>179</v>
      </c>
      <c r="D25" s="228">
        <v>3600</v>
      </c>
      <c r="E25" s="228">
        <v>185.56</v>
      </c>
      <c r="F25" s="228">
        <v>178.3</v>
      </c>
      <c r="G25" s="228">
        <v>7.26</v>
      </c>
      <c r="H25" s="229">
        <v>4.07E-2</v>
      </c>
      <c r="I25" s="228">
        <v>185.03</v>
      </c>
      <c r="J25" s="228">
        <v>177.41</v>
      </c>
      <c r="K25" s="228">
        <v>7.62</v>
      </c>
      <c r="L25" s="229">
        <v>4.2999999999999997E-2</v>
      </c>
      <c r="M25" s="228">
        <v>185.56</v>
      </c>
      <c r="N25" s="228">
        <v>178.3</v>
      </c>
      <c r="O25" s="228">
        <v>7.26</v>
      </c>
      <c r="P25" s="229">
        <v>4.07E-2</v>
      </c>
      <c r="Q25" s="228">
        <v>186.72</v>
      </c>
      <c r="R25" s="228">
        <v>179.33</v>
      </c>
      <c r="S25" s="228">
        <v>7.39</v>
      </c>
      <c r="T25" s="229">
        <v>4.1200000000000001E-2</v>
      </c>
      <c r="U25" s="228">
        <v>187.77</v>
      </c>
      <c r="V25" s="228">
        <v>180.74</v>
      </c>
      <c r="W25" s="228">
        <v>7.03</v>
      </c>
      <c r="X25" s="229">
        <v>3.8899999999999997E-2</v>
      </c>
      <c r="Y25" s="228">
        <v>0.53</v>
      </c>
      <c r="Z25" s="228">
        <v>0.89</v>
      </c>
      <c r="AA25" s="228">
        <v>-0.36</v>
      </c>
      <c r="AB25" s="229">
        <v>2.8999999999999998E-3</v>
      </c>
      <c r="AC25" s="228">
        <v>0.53</v>
      </c>
      <c r="AD25" s="228">
        <v>0.89</v>
      </c>
      <c r="AE25" s="228">
        <v>-0.36</v>
      </c>
      <c r="AF25" s="229">
        <v>2.8999999999999998E-3</v>
      </c>
      <c r="AG25" s="228">
        <v>1.69</v>
      </c>
      <c r="AH25" s="228">
        <v>1.92</v>
      </c>
      <c r="AI25" s="228">
        <v>-0.23</v>
      </c>
      <c r="AJ25" s="229">
        <v>9.1000000000000004E-3</v>
      </c>
      <c r="AK25" s="228">
        <v>2.74</v>
      </c>
      <c r="AL25" s="228">
        <v>3.33</v>
      </c>
      <c r="AM25" s="228">
        <v>-0.59</v>
      </c>
      <c r="AN25" s="229">
        <v>1.4800000000000001E-2</v>
      </c>
      <c r="AO25" s="228">
        <v>183.27</v>
      </c>
      <c r="AP25" s="228">
        <v>184.26</v>
      </c>
      <c r="AQ25" s="228">
        <v>0</v>
      </c>
      <c r="AR25" s="230">
        <v>26377200</v>
      </c>
      <c r="AS25" s="230">
        <v>22647600</v>
      </c>
      <c r="AT25" s="230">
        <v>3729600</v>
      </c>
      <c r="AU25" s="229">
        <v>0.16470000000000001</v>
      </c>
      <c r="AV25" s="230">
        <v>25416000</v>
      </c>
      <c r="AW25" s="230">
        <v>20952000</v>
      </c>
      <c r="AX25" s="230">
        <v>4464000</v>
      </c>
      <c r="AY25" s="229">
        <v>0.21310000000000001</v>
      </c>
      <c r="AZ25" s="230">
        <v>864000</v>
      </c>
      <c r="BA25" s="230">
        <v>1310400</v>
      </c>
      <c r="BB25" s="230">
        <v>-446400</v>
      </c>
      <c r="BC25" s="229">
        <v>-0.3407</v>
      </c>
      <c r="BD25" s="230">
        <v>97200</v>
      </c>
      <c r="BE25" s="230">
        <v>385200</v>
      </c>
      <c r="BF25" s="230">
        <v>-288000</v>
      </c>
      <c r="BG25" s="229">
        <v>-0.74770000000000003</v>
      </c>
      <c r="BH25" s="230">
        <v>45586800</v>
      </c>
      <c r="BI25" s="230">
        <v>34977600</v>
      </c>
      <c r="BJ25" s="230">
        <v>10609200</v>
      </c>
      <c r="BK25" s="229">
        <v>0.30330000000000001</v>
      </c>
      <c r="BL25" s="230">
        <v>19530000</v>
      </c>
      <c r="BM25" s="230">
        <v>18874800</v>
      </c>
      <c r="BN25" s="230">
        <v>655200</v>
      </c>
      <c r="BO25" s="229">
        <v>3.4700000000000002E-2</v>
      </c>
      <c r="BP25" s="230">
        <v>91494000</v>
      </c>
      <c r="BQ25" s="230">
        <v>76500000</v>
      </c>
      <c r="BR25" s="230">
        <v>14994000</v>
      </c>
      <c r="BS25" s="229">
        <v>0.19600000000000001</v>
      </c>
      <c r="BT25" s="230">
        <v>11106704</v>
      </c>
      <c r="BU25" s="230">
        <v>9353021</v>
      </c>
      <c r="BV25" s="230">
        <v>1753683</v>
      </c>
      <c r="BW25" s="229">
        <v>0.1875</v>
      </c>
      <c r="BX25" s="230">
        <v>90399600</v>
      </c>
      <c r="BY25" s="230">
        <v>90057600</v>
      </c>
      <c r="BZ25" s="230">
        <v>342000</v>
      </c>
      <c r="CA25" s="229">
        <v>3.8E-3</v>
      </c>
      <c r="CB25" s="230">
        <v>87580800</v>
      </c>
      <c r="CC25" s="230">
        <v>87199200</v>
      </c>
      <c r="CD25" s="230">
        <v>381600</v>
      </c>
      <c r="CE25" s="229">
        <v>4.4000000000000003E-3</v>
      </c>
      <c r="CF25" s="230">
        <v>2322000</v>
      </c>
      <c r="CG25" s="230">
        <v>2368800</v>
      </c>
      <c r="CH25" s="230">
        <v>-46800</v>
      </c>
      <c r="CI25" s="229">
        <v>-1.9800000000000002E-2</v>
      </c>
      <c r="CJ25" s="230">
        <v>496800</v>
      </c>
      <c r="CK25" s="230">
        <v>489600</v>
      </c>
      <c r="CL25" s="230">
        <v>7200</v>
      </c>
      <c r="CM25" s="229">
        <v>1.47E-2</v>
      </c>
      <c r="CN25" s="230">
        <v>28375200</v>
      </c>
      <c r="CO25" s="230">
        <v>29095200</v>
      </c>
      <c r="CP25" s="230">
        <v>-720000</v>
      </c>
      <c r="CQ25" s="229">
        <v>-2.47E-2</v>
      </c>
      <c r="CR25" s="230">
        <v>18766800</v>
      </c>
      <c r="CS25" s="230">
        <v>17280000</v>
      </c>
      <c r="CT25" s="230">
        <v>1486800</v>
      </c>
      <c r="CU25" s="229">
        <v>8.5999999999999993E-2</v>
      </c>
      <c r="CV25" s="230">
        <v>137541600</v>
      </c>
      <c r="CW25" s="230">
        <v>136432800</v>
      </c>
      <c r="CX25" s="230">
        <v>1108800</v>
      </c>
      <c r="CY25" s="229">
        <v>8.0999999999999996E-3</v>
      </c>
      <c r="CZ25" s="228">
        <v>34.76</v>
      </c>
      <c r="DA25" s="228">
        <v>37.46</v>
      </c>
      <c r="DB25" s="228">
        <v>-2.7</v>
      </c>
      <c r="DC25" s="228">
        <v>-2.7</v>
      </c>
      <c r="DD25" s="228">
        <v>41.11</v>
      </c>
      <c r="DE25" s="228">
        <v>40.85</v>
      </c>
      <c r="DF25" s="228">
        <v>-6.35</v>
      </c>
      <c r="DG25" s="228">
        <v>0.26</v>
      </c>
      <c r="DH25" s="228">
        <v>34.08</v>
      </c>
      <c r="DI25" s="228">
        <v>36.75</v>
      </c>
      <c r="DJ25" s="228">
        <v>-2.67</v>
      </c>
      <c r="DK25" s="228">
        <v>-2.67</v>
      </c>
      <c r="DL25" s="228">
        <v>36.35</v>
      </c>
      <c r="DM25" s="228">
        <v>38.770000000000003</v>
      </c>
      <c r="DN25" s="228">
        <v>-2.42</v>
      </c>
      <c r="DO25" s="228">
        <v>-2.42</v>
      </c>
      <c r="DP25" s="228">
        <v>0.66</v>
      </c>
      <c r="DQ25" s="228">
        <v>0.59</v>
      </c>
      <c r="DR25" s="228">
        <v>7.0000000000000007E-2</v>
      </c>
      <c r="DS25" s="229">
        <v>0.1186</v>
      </c>
      <c r="DT25" s="228">
        <v>190</v>
      </c>
      <c r="DU25" s="228">
        <v>175</v>
      </c>
      <c r="DV25" s="228">
        <v>0.43</v>
      </c>
      <c r="DW25" s="228">
        <v>0.54</v>
      </c>
      <c r="DX25" s="228">
        <v>-0.11</v>
      </c>
      <c r="DY25" s="229">
        <v>-0.20369999999999999</v>
      </c>
      <c r="DZ25" s="229">
        <v>3.1199999999999999E-2</v>
      </c>
      <c r="EA25" s="230">
        <v>2858400</v>
      </c>
      <c r="EB25" s="229">
        <v>6.3E-3</v>
      </c>
      <c r="EC25" s="229">
        <v>3.1199999999999999E-2</v>
      </c>
      <c r="ED25" s="228">
        <v>0.99</v>
      </c>
      <c r="EE25" s="229">
        <v>5.4000000000000003E-3</v>
      </c>
      <c r="EF25" s="230">
        <v>3841754</v>
      </c>
      <c r="EG25" s="230">
        <v>2868624</v>
      </c>
      <c r="EH25" s="229">
        <v>0.3392</v>
      </c>
      <c r="EI25" s="229">
        <v>0.34589999999999999</v>
      </c>
      <c r="EJ25" s="231">
        <v>88617.919999999998</v>
      </c>
      <c r="EK25" s="231">
        <v>34866.28</v>
      </c>
      <c r="EL25" s="231">
        <v>48354.17</v>
      </c>
      <c r="EM25" s="231">
        <v>7802</v>
      </c>
      <c r="EN25" s="231">
        <v>171838.37</v>
      </c>
      <c r="EO25" s="231">
        <v>139789.82999999999</v>
      </c>
      <c r="EP25" s="231">
        <v>32048.54</v>
      </c>
      <c r="EQ25" s="229">
        <v>0.2293</v>
      </c>
      <c r="ER25" s="231">
        <v>53321</v>
      </c>
      <c r="ES25" s="231">
        <v>32570</v>
      </c>
      <c r="ET25" s="231">
        <v>167783</v>
      </c>
      <c r="EU25" s="231">
        <v>144289555</v>
      </c>
      <c r="EV25" s="231">
        <v>253674</v>
      </c>
      <c r="EW25" s="231">
        <v>245137</v>
      </c>
      <c r="EX25" s="231">
        <v>8537</v>
      </c>
      <c r="EY25" s="229">
        <v>3.4799999999999998E-2</v>
      </c>
      <c r="EZ25" s="229">
        <v>0.95320000000000005</v>
      </c>
      <c r="FA25" s="227" t="s">
        <v>555</v>
      </c>
      <c r="FB25" s="161">
        <f t="shared" si="0"/>
        <v>2818800</v>
      </c>
    </row>
    <row r="26" spans="1:158" ht="17.25" thickBot="1" x14ac:dyDescent="0.3">
      <c r="A26" s="226">
        <v>46086</v>
      </c>
      <c r="B26" s="227" t="s">
        <v>172</v>
      </c>
      <c r="C26" s="227" t="s">
        <v>180</v>
      </c>
      <c r="D26" s="228">
        <v>2925</v>
      </c>
      <c r="E26" s="228">
        <v>303.35000000000002</v>
      </c>
      <c r="F26" s="228">
        <v>300.75</v>
      </c>
      <c r="G26" s="228">
        <v>2.6</v>
      </c>
      <c r="H26" s="229">
        <v>8.6E-3</v>
      </c>
      <c r="I26" s="228">
        <v>301.85000000000002</v>
      </c>
      <c r="J26" s="228">
        <v>299.3</v>
      </c>
      <c r="K26" s="228">
        <v>2.5499999999999998</v>
      </c>
      <c r="L26" s="229">
        <v>8.5000000000000006E-3</v>
      </c>
      <c r="M26" s="228">
        <v>303.35000000000002</v>
      </c>
      <c r="N26" s="228">
        <v>300.75</v>
      </c>
      <c r="O26" s="228">
        <v>2.6</v>
      </c>
      <c r="P26" s="229">
        <v>8.6E-3</v>
      </c>
      <c r="Q26" s="228">
        <v>305.35000000000002</v>
      </c>
      <c r="R26" s="228">
        <v>302.60000000000002</v>
      </c>
      <c r="S26" s="228">
        <v>2.75</v>
      </c>
      <c r="T26" s="229">
        <v>9.1000000000000004E-3</v>
      </c>
      <c r="U26" s="228">
        <v>307.55</v>
      </c>
      <c r="V26" s="228">
        <v>304.05</v>
      </c>
      <c r="W26" s="228">
        <v>3.5</v>
      </c>
      <c r="X26" s="229">
        <v>1.15E-2</v>
      </c>
      <c r="Y26" s="228">
        <v>1.5</v>
      </c>
      <c r="Z26" s="228">
        <v>1.45</v>
      </c>
      <c r="AA26" s="228">
        <v>0.05</v>
      </c>
      <c r="AB26" s="229">
        <v>5.0000000000000001E-3</v>
      </c>
      <c r="AC26" s="228">
        <v>1.5</v>
      </c>
      <c r="AD26" s="228">
        <v>1.45</v>
      </c>
      <c r="AE26" s="228">
        <v>0.05</v>
      </c>
      <c r="AF26" s="229">
        <v>5.0000000000000001E-3</v>
      </c>
      <c r="AG26" s="228">
        <v>3.5</v>
      </c>
      <c r="AH26" s="228">
        <v>3.3</v>
      </c>
      <c r="AI26" s="228">
        <v>0.2</v>
      </c>
      <c r="AJ26" s="229">
        <v>1.1599999999999999E-2</v>
      </c>
      <c r="AK26" s="228">
        <v>5.7</v>
      </c>
      <c r="AL26" s="228">
        <v>4.75</v>
      </c>
      <c r="AM26" s="228">
        <v>0.95</v>
      </c>
      <c r="AN26" s="229">
        <v>1.89E-2</v>
      </c>
      <c r="AO26" s="228">
        <v>302.83999999999997</v>
      </c>
      <c r="AP26" s="228">
        <v>304.39999999999998</v>
      </c>
      <c r="AQ26" s="228">
        <v>0</v>
      </c>
      <c r="AR26" s="230">
        <v>29264625</v>
      </c>
      <c r="AS26" s="230">
        <v>43883775</v>
      </c>
      <c r="AT26" s="230">
        <v>-14619150</v>
      </c>
      <c r="AU26" s="229">
        <v>-0.33310000000000001</v>
      </c>
      <c r="AV26" s="230">
        <v>23634000</v>
      </c>
      <c r="AW26" s="230">
        <v>34743150</v>
      </c>
      <c r="AX26" s="230">
        <v>-11109150</v>
      </c>
      <c r="AY26" s="229">
        <v>-0.31979999999999997</v>
      </c>
      <c r="AZ26" s="230">
        <v>3199950</v>
      </c>
      <c r="BA26" s="230">
        <v>2082600</v>
      </c>
      <c r="BB26" s="230">
        <v>1117350</v>
      </c>
      <c r="BC26" s="229">
        <v>0.53649999999999998</v>
      </c>
      <c r="BD26" s="230">
        <v>2430675</v>
      </c>
      <c r="BE26" s="230">
        <v>7058025</v>
      </c>
      <c r="BF26" s="230">
        <v>-4627350</v>
      </c>
      <c r="BG26" s="229">
        <v>-0.65559999999999996</v>
      </c>
      <c r="BH26" s="230">
        <v>40873950</v>
      </c>
      <c r="BI26" s="230">
        <v>66654900</v>
      </c>
      <c r="BJ26" s="230">
        <v>-25780950</v>
      </c>
      <c r="BK26" s="229">
        <v>-0.38679999999999998</v>
      </c>
      <c r="BL26" s="230">
        <v>32365125</v>
      </c>
      <c r="BM26" s="230">
        <v>54431325</v>
      </c>
      <c r="BN26" s="230">
        <v>-22066200</v>
      </c>
      <c r="BO26" s="229">
        <v>-0.40539999999999998</v>
      </c>
      <c r="BP26" s="230">
        <v>102503700</v>
      </c>
      <c r="BQ26" s="230">
        <v>164970000</v>
      </c>
      <c r="BR26" s="230">
        <v>-62466300</v>
      </c>
      <c r="BS26" s="229">
        <v>-0.37869999999999998</v>
      </c>
      <c r="BT26" s="230">
        <v>10536861</v>
      </c>
      <c r="BU26" s="230">
        <v>18064384</v>
      </c>
      <c r="BV26" s="230">
        <v>-7527523</v>
      </c>
      <c r="BW26" s="229">
        <v>-0.41670000000000001</v>
      </c>
      <c r="BX26" s="230">
        <v>98057700</v>
      </c>
      <c r="BY26" s="230">
        <v>90701325</v>
      </c>
      <c r="BZ26" s="230">
        <v>7356375</v>
      </c>
      <c r="CA26" s="229">
        <v>8.1100000000000005E-2</v>
      </c>
      <c r="CB26" s="230">
        <v>83432700</v>
      </c>
      <c r="CC26" s="230">
        <v>80472600</v>
      </c>
      <c r="CD26" s="230">
        <v>2960100</v>
      </c>
      <c r="CE26" s="229">
        <v>3.6799999999999999E-2</v>
      </c>
      <c r="CF26" s="230">
        <v>7923825</v>
      </c>
      <c r="CG26" s="230">
        <v>5674500</v>
      </c>
      <c r="CH26" s="230">
        <v>2249325</v>
      </c>
      <c r="CI26" s="229">
        <v>0.39639999999999997</v>
      </c>
      <c r="CJ26" s="230">
        <v>6701175</v>
      </c>
      <c r="CK26" s="230">
        <v>4554225</v>
      </c>
      <c r="CL26" s="230">
        <v>2146950</v>
      </c>
      <c r="CM26" s="229">
        <v>0.47139999999999999</v>
      </c>
      <c r="CN26" s="230">
        <v>35231625</v>
      </c>
      <c r="CO26" s="230">
        <v>32903325</v>
      </c>
      <c r="CP26" s="230">
        <v>2328300</v>
      </c>
      <c r="CQ26" s="229">
        <v>7.0800000000000002E-2</v>
      </c>
      <c r="CR26" s="230">
        <v>29217825</v>
      </c>
      <c r="CS26" s="230">
        <v>28773225</v>
      </c>
      <c r="CT26" s="230">
        <v>444600</v>
      </c>
      <c r="CU26" s="229">
        <v>1.55E-2</v>
      </c>
      <c r="CV26" s="230">
        <v>162507150</v>
      </c>
      <c r="CW26" s="230">
        <v>152377875</v>
      </c>
      <c r="CX26" s="230">
        <v>10129275</v>
      </c>
      <c r="CY26" s="229">
        <v>6.6500000000000004E-2</v>
      </c>
      <c r="CZ26" s="228">
        <v>29.36</v>
      </c>
      <c r="DA26" s="228">
        <v>32.99</v>
      </c>
      <c r="DB26" s="228">
        <v>-3.63</v>
      </c>
      <c r="DC26" s="228">
        <v>-3.63</v>
      </c>
      <c r="DD26" s="228">
        <v>34.33</v>
      </c>
      <c r="DE26" s="228">
        <v>34.4</v>
      </c>
      <c r="DF26" s="228">
        <v>-4.97</v>
      </c>
      <c r="DG26" s="228">
        <v>-7.0000000000000007E-2</v>
      </c>
      <c r="DH26" s="228">
        <v>28.75</v>
      </c>
      <c r="DI26" s="228">
        <v>32.43</v>
      </c>
      <c r="DJ26" s="228">
        <v>-3.68</v>
      </c>
      <c r="DK26" s="228">
        <v>-3.68</v>
      </c>
      <c r="DL26" s="228">
        <v>30.11</v>
      </c>
      <c r="DM26" s="228">
        <v>33.67</v>
      </c>
      <c r="DN26" s="228">
        <v>-3.56</v>
      </c>
      <c r="DO26" s="228">
        <v>-3.56</v>
      </c>
      <c r="DP26" s="228">
        <v>0.83</v>
      </c>
      <c r="DQ26" s="228">
        <v>0.87</v>
      </c>
      <c r="DR26" s="228">
        <v>-0.04</v>
      </c>
      <c r="DS26" s="229">
        <v>-4.5999999999999999E-2</v>
      </c>
      <c r="DT26" s="228">
        <v>350</v>
      </c>
      <c r="DU26" s="228">
        <v>300</v>
      </c>
      <c r="DV26" s="228">
        <v>0.79</v>
      </c>
      <c r="DW26" s="228">
        <v>0.82</v>
      </c>
      <c r="DX26" s="228">
        <v>-0.03</v>
      </c>
      <c r="DY26" s="229">
        <v>-3.6600000000000001E-2</v>
      </c>
      <c r="DZ26" s="229">
        <v>0.14910000000000001</v>
      </c>
      <c r="EA26" s="230">
        <v>10228725</v>
      </c>
      <c r="EB26" s="229">
        <v>6.6E-3</v>
      </c>
      <c r="EC26" s="229">
        <v>0.14910000000000001</v>
      </c>
      <c r="ED26" s="228">
        <v>1.56</v>
      </c>
      <c r="EE26" s="229">
        <v>5.1999999999999998E-3</v>
      </c>
      <c r="EF26" s="230">
        <v>5646569</v>
      </c>
      <c r="EG26" s="230">
        <v>9845757</v>
      </c>
      <c r="EH26" s="229">
        <v>-0.42649999999999999</v>
      </c>
      <c r="EI26" s="229">
        <v>0.53590000000000004</v>
      </c>
      <c r="EJ26" s="231">
        <v>130999.26</v>
      </c>
      <c r="EK26" s="231">
        <v>97270.63</v>
      </c>
      <c r="EL26" s="231">
        <v>88747.839999999997</v>
      </c>
      <c r="EM26" s="231">
        <v>11879</v>
      </c>
      <c r="EN26" s="231">
        <v>317017.73</v>
      </c>
      <c r="EO26" s="231">
        <v>516314.71</v>
      </c>
      <c r="EP26" s="231">
        <v>-199296.98</v>
      </c>
      <c r="EQ26" s="229">
        <v>-0.38600000000000001</v>
      </c>
      <c r="ER26" s="231">
        <v>113828</v>
      </c>
      <c r="ES26" s="231">
        <v>87589</v>
      </c>
      <c r="ET26" s="231">
        <v>297898</v>
      </c>
      <c r="EU26" s="231">
        <v>279476623</v>
      </c>
      <c r="EV26" s="231">
        <v>499315</v>
      </c>
      <c r="EW26" s="231">
        <v>466143</v>
      </c>
      <c r="EX26" s="231">
        <v>33172</v>
      </c>
      <c r="EY26" s="229">
        <v>7.1199999999999999E-2</v>
      </c>
      <c r="EZ26" s="229">
        <v>0.58150000000000002</v>
      </c>
      <c r="FA26" s="227" t="s">
        <v>555</v>
      </c>
      <c r="FB26" s="161">
        <f t="shared" si="0"/>
        <v>14625000</v>
      </c>
    </row>
    <row r="27" spans="1:158" ht="17.25" thickBot="1" x14ac:dyDescent="0.3">
      <c r="A27" s="226">
        <v>46086</v>
      </c>
      <c r="B27" s="227" t="s">
        <v>172</v>
      </c>
      <c r="C27" s="227" t="s">
        <v>602</v>
      </c>
      <c r="D27" s="228">
        <v>5200</v>
      </c>
      <c r="E27" s="228">
        <v>164.96</v>
      </c>
      <c r="F27" s="228">
        <v>164.14</v>
      </c>
      <c r="G27" s="228">
        <v>0.82</v>
      </c>
      <c r="H27" s="229">
        <v>5.0000000000000001E-3</v>
      </c>
      <c r="I27" s="228">
        <v>164.18</v>
      </c>
      <c r="J27" s="228">
        <v>163.38999999999999</v>
      </c>
      <c r="K27" s="228">
        <v>0.79</v>
      </c>
      <c r="L27" s="229">
        <v>4.7999999999999996E-3</v>
      </c>
      <c r="M27" s="228">
        <v>164.96</v>
      </c>
      <c r="N27" s="228">
        <v>164.14</v>
      </c>
      <c r="O27" s="228">
        <v>0.82</v>
      </c>
      <c r="P27" s="229">
        <v>5.0000000000000001E-3</v>
      </c>
      <c r="Q27" s="228">
        <v>165.93</v>
      </c>
      <c r="R27" s="228">
        <v>165.17</v>
      </c>
      <c r="S27" s="228">
        <v>0.76</v>
      </c>
      <c r="T27" s="229">
        <v>4.5999999999999999E-3</v>
      </c>
      <c r="U27" s="228">
        <v>166.79</v>
      </c>
      <c r="V27" s="228">
        <v>165.79</v>
      </c>
      <c r="W27" s="228">
        <v>1</v>
      </c>
      <c r="X27" s="229">
        <v>6.0000000000000001E-3</v>
      </c>
      <c r="Y27" s="228">
        <v>0.78</v>
      </c>
      <c r="Z27" s="228">
        <v>0.75</v>
      </c>
      <c r="AA27" s="228">
        <v>0.03</v>
      </c>
      <c r="AB27" s="229">
        <v>4.7999999999999996E-3</v>
      </c>
      <c r="AC27" s="228">
        <v>0.78</v>
      </c>
      <c r="AD27" s="228">
        <v>0.75</v>
      </c>
      <c r="AE27" s="228">
        <v>0.03</v>
      </c>
      <c r="AF27" s="229">
        <v>4.7999999999999996E-3</v>
      </c>
      <c r="AG27" s="228">
        <v>1.75</v>
      </c>
      <c r="AH27" s="228">
        <v>1.78</v>
      </c>
      <c r="AI27" s="228">
        <v>-0.03</v>
      </c>
      <c r="AJ27" s="229">
        <v>1.0699999999999999E-2</v>
      </c>
      <c r="AK27" s="228">
        <v>2.61</v>
      </c>
      <c r="AL27" s="228">
        <v>2.4</v>
      </c>
      <c r="AM27" s="228">
        <v>0.21</v>
      </c>
      <c r="AN27" s="229">
        <v>1.5900000000000001E-2</v>
      </c>
      <c r="AO27" s="228">
        <v>164.97</v>
      </c>
      <c r="AP27" s="228">
        <v>165.98</v>
      </c>
      <c r="AQ27" s="228">
        <v>0</v>
      </c>
      <c r="AR27" s="230">
        <v>15615600</v>
      </c>
      <c r="AS27" s="230">
        <v>24237200</v>
      </c>
      <c r="AT27" s="230">
        <v>-8621600</v>
      </c>
      <c r="AU27" s="229">
        <v>-0.35570000000000002</v>
      </c>
      <c r="AV27" s="230">
        <v>14762800</v>
      </c>
      <c r="AW27" s="230">
        <v>22692800</v>
      </c>
      <c r="AX27" s="230">
        <v>-7930000</v>
      </c>
      <c r="AY27" s="229">
        <v>-0.34949999999999998</v>
      </c>
      <c r="AZ27" s="230">
        <v>717600</v>
      </c>
      <c r="BA27" s="230">
        <v>1294800</v>
      </c>
      <c r="BB27" s="230">
        <v>-577200</v>
      </c>
      <c r="BC27" s="229">
        <v>-0.44579999999999997</v>
      </c>
      <c r="BD27" s="230">
        <v>135200</v>
      </c>
      <c r="BE27" s="230">
        <v>249600</v>
      </c>
      <c r="BF27" s="230">
        <v>-114400</v>
      </c>
      <c r="BG27" s="229">
        <v>-0.45829999999999999</v>
      </c>
      <c r="BH27" s="230">
        <v>16707600</v>
      </c>
      <c r="BI27" s="230">
        <v>29983200</v>
      </c>
      <c r="BJ27" s="230">
        <v>-13275600</v>
      </c>
      <c r="BK27" s="229">
        <v>-0.44280000000000003</v>
      </c>
      <c r="BL27" s="230">
        <v>10847200</v>
      </c>
      <c r="BM27" s="230">
        <v>26301600</v>
      </c>
      <c r="BN27" s="230">
        <v>-15454400</v>
      </c>
      <c r="BO27" s="229">
        <v>-0.58760000000000001</v>
      </c>
      <c r="BP27" s="230">
        <v>43170400</v>
      </c>
      <c r="BQ27" s="230">
        <v>80522000</v>
      </c>
      <c r="BR27" s="230">
        <v>-37351600</v>
      </c>
      <c r="BS27" s="229">
        <v>-0.46389999999999998</v>
      </c>
      <c r="BT27" s="230">
        <v>11450092</v>
      </c>
      <c r="BU27" s="230">
        <v>14385455</v>
      </c>
      <c r="BV27" s="230">
        <v>-2935363</v>
      </c>
      <c r="BW27" s="229">
        <v>-0.2041</v>
      </c>
      <c r="BX27" s="230">
        <v>53991600</v>
      </c>
      <c r="BY27" s="230">
        <v>52400400</v>
      </c>
      <c r="BZ27" s="230">
        <v>1591200</v>
      </c>
      <c r="CA27" s="229">
        <v>3.04E-2</v>
      </c>
      <c r="CB27" s="230">
        <v>52353600</v>
      </c>
      <c r="CC27" s="230">
        <v>50840400</v>
      </c>
      <c r="CD27" s="230">
        <v>1513200</v>
      </c>
      <c r="CE27" s="229">
        <v>2.98E-2</v>
      </c>
      <c r="CF27" s="230">
        <v>1430000</v>
      </c>
      <c r="CG27" s="230">
        <v>1362400</v>
      </c>
      <c r="CH27" s="230">
        <v>67600</v>
      </c>
      <c r="CI27" s="229">
        <v>4.9599999999999998E-2</v>
      </c>
      <c r="CJ27" s="230">
        <v>208000</v>
      </c>
      <c r="CK27" s="230">
        <v>197600</v>
      </c>
      <c r="CL27" s="230">
        <v>10400</v>
      </c>
      <c r="CM27" s="229">
        <v>5.2600000000000001E-2</v>
      </c>
      <c r="CN27" s="230">
        <v>18855200</v>
      </c>
      <c r="CO27" s="230">
        <v>17440800</v>
      </c>
      <c r="CP27" s="230">
        <v>1414400</v>
      </c>
      <c r="CQ27" s="229">
        <v>8.1100000000000005E-2</v>
      </c>
      <c r="CR27" s="230">
        <v>15802800</v>
      </c>
      <c r="CS27" s="230">
        <v>15319200</v>
      </c>
      <c r="CT27" s="230">
        <v>483600</v>
      </c>
      <c r="CU27" s="229">
        <v>3.1600000000000003E-2</v>
      </c>
      <c r="CV27" s="230">
        <v>88649600</v>
      </c>
      <c r="CW27" s="230">
        <v>85160400</v>
      </c>
      <c r="CX27" s="230">
        <v>3489200</v>
      </c>
      <c r="CY27" s="229">
        <v>4.1000000000000002E-2</v>
      </c>
      <c r="CZ27" s="228">
        <v>36.89</v>
      </c>
      <c r="DA27" s="228">
        <v>39.6</v>
      </c>
      <c r="DB27" s="228">
        <v>-2.71</v>
      </c>
      <c r="DC27" s="228">
        <v>-2.71</v>
      </c>
      <c r="DD27" s="228">
        <v>40.450000000000003</v>
      </c>
      <c r="DE27" s="228">
        <v>40.549999999999997</v>
      </c>
      <c r="DF27" s="228">
        <v>-3.56</v>
      </c>
      <c r="DG27" s="228">
        <v>-0.1</v>
      </c>
      <c r="DH27" s="228">
        <v>36.22</v>
      </c>
      <c r="DI27" s="228">
        <v>38.869999999999997</v>
      </c>
      <c r="DJ27" s="228">
        <v>-2.65</v>
      </c>
      <c r="DK27" s="228">
        <v>-2.65</v>
      </c>
      <c r="DL27" s="228">
        <v>37.909999999999997</v>
      </c>
      <c r="DM27" s="228">
        <v>40.43</v>
      </c>
      <c r="DN27" s="228">
        <v>-2.52</v>
      </c>
      <c r="DO27" s="228">
        <v>-2.52</v>
      </c>
      <c r="DP27" s="228">
        <v>0.84</v>
      </c>
      <c r="DQ27" s="228">
        <v>0.88</v>
      </c>
      <c r="DR27" s="228">
        <v>-0.04</v>
      </c>
      <c r="DS27" s="229">
        <v>-4.5499999999999999E-2</v>
      </c>
      <c r="DT27" s="228">
        <v>180</v>
      </c>
      <c r="DU27" s="228">
        <v>160</v>
      </c>
      <c r="DV27" s="228">
        <v>0.65</v>
      </c>
      <c r="DW27" s="228">
        <v>0.88</v>
      </c>
      <c r="DX27" s="228">
        <v>-0.23</v>
      </c>
      <c r="DY27" s="229">
        <v>-0.26140000000000002</v>
      </c>
      <c r="DZ27" s="229">
        <v>3.0300000000000001E-2</v>
      </c>
      <c r="EA27" s="230">
        <v>1560000</v>
      </c>
      <c r="EB27" s="229">
        <v>5.8999999999999999E-3</v>
      </c>
      <c r="EC27" s="229">
        <v>3.0300000000000001E-2</v>
      </c>
      <c r="ED27" s="228">
        <v>1.01</v>
      </c>
      <c r="EE27" s="229">
        <v>6.1000000000000004E-3</v>
      </c>
      <c r="EF27" s="230">
        <v>4897543</v>
      </c>
      <c r="EG27" s="230">
        <v>4783730</v>
      </c>
      <c r="EH27" s="229">
        <v>2.3800000000000002E-2</v>
      </c>
      <c r="EI27" s="229">
        <v>0.42770000000000002</v>
      </c>
      <c r="EJ27" s="231">
        <v>29515.95</v>
      </c>
      <c r="EK27" s="231">
        <v>18201.34</v>
      </c>
      <c r="EL27" s="231">
        <v>25770.87</v>
      </c>
      <c r="EM27" s="231">
        <v>3312</v>
      </c>
      <c r="EN27" s="231">
        <v>73488.160000000003</v>
      </c>
      <c r="EO27" s="231">
        <v>136754.73000000001</v>
      </c>
      <c r="EP27" s="231">
        <v>-63266.57</v>
      </c>
      <c r="EQ27" s="229">
        <v>-0.46260000000000001</v>
      </c>
      <c r="ER27" s="231">
        <v>33479</v>
      </c>
      <c r="ES27" s="231">
        <v>26004</v>
      </c>
      <c r="ET27" s="231">
        <v>89082</v>
      </c>
      <c r="EU27" s="231">
        <v>181770921</v>
      </c>
      <c r="EV27" s="231">
        <v>148565</v>
      </c>
      <c r="EW27" s="231">
        <v>142291</v>
      </c>
      <c r="EX27" s="231">
        <v>6274</v>
      </c>
      <c r="EY27" s="229">
        <v>4.41E-2</v>
      </c>
      <c r="EZ27" s="229">
        <v>0.48770000000000002</v>
      </c>
      <c r="FA27" s="227" t="s">
        <v>555</v>
      </c>
      <c r="FB27" s="161">
        <f t="shared" si="0"/>
        <v>1638000</v>
      </c>
    </row>
    <row r="28" spans="1:158" ht="17.25" thickBot="1" x14ac:dyDescent="0.3">
      <c r="A28" s="226">
        <v>46086</v>
      </c>
      <c r="B28" s="227" t="s">
        <v>181</v>
      </c>
      <c r="C28" s="227" t="s">
        <v>182</v>
      </c>
      <c r="D28" s="228">
        <v>30</v>
      </c>
      <c r="E28" s="231">
        <v>59375.199999999997</v>
      </c>
      <c r="F28" s="231">
        <v>59100.4</v>
      </c>
      <c r="G28" s="228">
        <v>274.8</v>
      </c>
      <c r="H28" s="229">
        <v>4.5999999999999999E-3</v>
      </c>
      <c r="I28" s="231">
        <v>59055.85</v>
      </c>
      <c r="J28" s="231">
        <v>58755.25</v>
      </c>
      <c r="K28" s="228">
        <v>300.60000000000002</v>
      </c>
      <c r="L28" s="229">
        <v>5.1000000000000004E-3</v>
      </c>
      <c r="M28" s="231">
        <v>59375.199999999997</v>
      </c>
      <c r="N28" s="231">
        <v>59100.4</v>
      </c>
      <c r="O28" s="228">
        <v>274.8</v>
      </c>
      <c r="P28" s="229">
        <v>4.5999999999999999E-3</v>
      </c>
      <c r="Q28" s="231">
        <v>59740.4</v>
      </c>
      <c r="R28" s="231">
        <v>59467.6</v>
      </c>
      <c r="S28" s="228">
        <v>272.8</v>
      </c>
      <c r="T28" s="229">
        <v>4.5999999999999999E-3</v>
      </c>
      <c r="U28" s="231">
        <v>59954.2</v>
      </c>
      <c r="V28" s="231">
        <v>59700</v>
      </c>
      <c r="W28" s="228">
        <v>254.2</v>
      </c>
      <c r="X28" s="229">
        <v>4.3E-3</v>
      </c>
      <c r="Y28" s="228">
        <v>319.35000000000002</v>
      </c>
      <c r="Z28" s="228">
        <v>345.15</v>
      </c>
      <c r="AA28" s="228">
        <v>-25.8</v>
      </c>
      <c r="AB28" s="229">
        <v>5.4000000000000003E-3</v>
      </c>
      <c r="AC28" s="228">
        <v>319.35000000000002</v>
      </c>
      <c r="AD28" s="228">
        <v>345.15</v>
      </c>
      <c r="AE28" s="228">
        <v>-25.8</v>
      </c>
      <c r="AF28" s="229">
        <v>5.4000000000000003E-3</v>
      </c>
      <c r="AG28" s="228">
        <v>684.55</v>
      </c>
      <c r="AH28" s="228">
        <v>712.35</v>
      </c>
      <c r="AI28" s="228">
        <v>-27.8</v>
      </c>
      <c r="AJ28" s="229">
        <v>1.1599999999999999E-2</v>
      </c>
      <c r="AK28" s="228">
        <v>898.35</v>
      </c>
      <c r="AL28" s="228">
        <v>944.75</v>
      </c>
      <c r="AM28" s="228">
        <v>-46.4</v>
      </c>
      <c r="AN28" s="229">
        <v>1.52E-2</v>
      </c>
      <c r="AO28" s="231">
        <v>59238.75</v>
      </c>
      <c r="AP28" s="231">
        <v>59589.18</v>
      </c>
      <c r="AQ28" s="228">
        <v>0</v>
      </c>
      <c r="AR28" s="230">
        <v>1499910</v>
      </c>
      <c r="AS28" s="230">
        <v>1697520</v>
      </c>
      <c r="AT28" s="230">
        <v>-197610</v>
      </c>
      <c r="AU28" s="229">
        <v>-0.1164</v>
      </c>
      <c r="AV28" s="230">
        <v>1236360</v>
      </c>
      <c r="AW28" s="230">
        <v>1444200</v>
      </c>
      <c r="AX28" s="230">
        <v>-207840</v>
      </c>
      <c r="AY28" s="229">
        <v>-0.1439</v>
      </c>
      <c r="AZ28" s="230">
        <v>141600</v>
      </c>
      <c r="BA28" s="230">
        <v>181740</v>
      </c>
      <c r="BB28" s="230">
        <v>-40140</v>
      </c>
      <c r="BC28" s="229">
        <v>-0.22090000000000001</v>
      </c>
      <c r="BD28" s="230">
        <v>121950</v>
      </c>
      <c r="BE28" s="230">
        <v>71580</v>
      </c>
      <c r="BF28" s="230">
        <v>50370</v>
      </c>
      <c r="BG28" s="229">
        <v>0.70369999999999999</v>
      </c>
      <c r="BH28" s="230">
        <v>43270620</v>
      </c>
      <c r="BI28" s="230">
        <v>38186250</v>
      </c>
      <c r="BJ28" s="230">
        <v>5084370</v>
      </c>
      <c r="BK28" s="229">
        <v>0.1331</v>
      </c>
      <c r="BL28" s="230">
        <v>37306170</v>
      </c>
      <c r="BM28" s="230">
        <v>43127310</v>
      </c>
      <c r="BN28" s="230">
        <v>-5821140</v>
      </c>
      <c r="BO28" s="229">
        <v>-0.13500000000000001</v>
      </c>
      <c r="BP28" s="230">
        <v>82076700</v>
      </c>
      <c r="BQ28" s="230">
        <v>83011080</v>
      </c>
      <c r="BR28" s="230">
        <v>-934380</v>
      </c>
      <c r="BS28" s="229">
        <v>-1.1299999999999999E-2</v>
      </c>
      <c r="BT28" s="228">
        <v>0</v>
      </c>
      <c r="BU28" s="228">
        <v>0</v>
      </c>
      <c r="BV28" s="228">
        <v>0</v>
      </c>
      <c r="BW28" s="229">
        <v>0</v>
      </c>
      <c r="BX28" s="230">
        <v>2548320</v>
      </c>
      <c r="BY28" s="230">
        <v>2482020</v>
      </c>
      <c r="BZ28" s="230">
        <v>66300</v>
      </c>
      <c r="CA28" s="229">
        <v>2.6700000000000002E-2</v>
      </c>
      <c r="CB28" s="230">
        <v>1950420</v>
      </c>
      <c r="CC28" s="230">
        <v>1897200</v>
      </c>
      <c r="CD28" s="230">
        <v>53220</v>
      </c>
      <c r="CE28" s="229">
        <v>2.81E-2</v>
      </c>
      <c r="CF28" s="230">
        <v>353820</v>
      </c>
      <c r="CG28" s="230">
        <v>350280</v>
      </c>
      <c r="CH28" s="230">
        <v>3540</v>
      </c>
      <c r="CI28" s="229">
        <v>1.01E-2</v>
      </c>
      <c r="CJ28" s="230">
        <v>244080</v>
      </c>
      <c r="CK28" s="230">
        <v>234540</v>
      </c>
      <c r="CL28" s="230">
        <v>9540</v>
      </c>
      <c r="CM28" s="229">
        <v>4.07E-2</v>
      </c>
      <c r="CN28" s="230">
        <v>14063830</v>
      </c>
      <c r="CO28" s="230">
        <v>13071935</v>
      </c>
      <c r="CP28" s="230">
        <v>991895</v>
      </c>
      <c r="CQ28" s="229">
        <v>7.5899999999999995E-2</v>
      </c>
      <c r="CR28" s="230">
        <v>12927400</v>
      </c>
      <c r="CS28" s="230">
        <v>12177475</v>
      </c>
      <c r="CT28" s="230">
        <v>749925</v>
      </c>
      <c r="CU28" s="229">
        <v>6.1600000000000002E-2</v>
      </c>
      <c r="CV28" s="230">
        <v>29539550</v>
      </c>
      <c r="CW28" s="230">
        <v>27731430</v>
      </c>
      <c r="CX28" s="230">
        <v>1808120</v>
      </c>
      <c r="CY28" s="229">
        <v>6.5199999999999994E-2</v>
      </c>
      <c r="CZ28" s="228">
        <v>16.45</v>
      </c>
      <c r="DA28" s="228">
        <v>18.899999999999999</v>
      </c>
      <c r="DB28" s="228">
        <v>-2.4500000000000002</v>
      </c>
      <c r="DC28" s="228">
        <v>-2.4500000000000002</v>
      </c>
      <c r="DD28" s="228">
        <v>15.83</v>
      </c>
      <c r="DE28" s="228">
        <v>15.86</v>
      </c>
      <c r="DF28" s="228">
        <v>0.62</v>
      </c>
      <c r="DG28" s="228">
        <v>-0.03</v>
      </c>
      <c r="DH28" s="228">
        <v>14.95</v>
      </c>
      <c r="DI28" s="228">
        <v>17.170000000000002</v>
      </c>
      <c r="DJ28" s="228">
        <v>-2.2200000000000002</v>
      </c>
      <c r="DK28" s="228">
        <v>-2.2200000000000002</v>
      </c>
      <c r="DL28" s="228">
        <v>18.2</v>
      </c>
      <c r="DM28" s="228">
        <v>20.43</v>
      </c>
      <c r="DN28" s="228">
        <v>-2.23</v>
      </c>
      <c r="DO28" s="228">
        <v>-2.23</v>
      </c>
      <c r="DP28" s="228">
        <v>0.92</v>
      </c>
      <c r="DQ28" s="228">
        <v>0.93</v>
      </c>
      <c r="DR28" s="228">
        <v>-0.01</v>
      </c>
      <c r="DS28" s="229">
        <v>-1.0800000000000001E-2</v>
      </c>
      <c r="DT28" s="231">
        <v>62000</v>
      </c>
      <c r="DU28" s="231">
        <v>59000</v>
      </c>
      <c r="DV28" s="228">
        <v>0.86</v>
      </c>
      <c r="DW28" s="228">
        <v>1.1299999999999999</v>
      </c>
      <c r="DX28" s="228">
        <v>-0.27</v>
      </c>
      <c r="DY28" s="229">
        <v>-0.2389</v>
      </c>
      <c r="DZ28" s="229">
        <v>0.2346</v>
      </c>
      <c r="EA28" s="230">
        <v>584820</v>
      </c>
      <c r="EB28" s="229">
        <v>6.1999999999999998E-3</v>
      </c>
      <c r="EC28" s="229">
        <v>0.2346</v>
      </c>
      <c r="ED28" s="228">
        <v>350.43</v>
      </c>
      <c r="EE28" s="229">
        <v>5.8999999999999999E-3</v>
      </c>
      <c r="EF28" s="228">
        <v>0</v>
      </c>
      <c r="EG28" s="228">
        <v>0</v>
      </c>
      <c r="EH28" s="229">
        <v>0</v>
      </c>
      <c r="EI28" s="229">
        <v>0</v>
      </c>
      <c r="EJ28" s="231">
        <v>26578879.75</v>
      </c>
      <c r="EK28" s="231">
        <v>21673009.890000001</v>
      </c>
      <c r="EL28" s="231">
        <v>889719.11</v>
      </c>
      <c r="EM28" s="228">
        <v>0</v>
      </c>
      <c r="EN28" s="231">
        <v>49141608.75</v>
      </c>
      <c r="EO28" s="231">
        <v>49673728.399999999</v>
      </c>
      <c r="EP28" s="231">
        <v>-532119.65</v>
      </c>
      <c r="EQ28" s="229">
        <v>-1.0699999999999999E-2</v>
      </c>
      <c r="ER28" s="231">
        <v>8664016</v>
      </c>
      <c r="ES28" s="231">
        <v>7489527</v>
      </c>
      <c r="ET28" s="231">
        <v>1515775</v>
      </c>
      <c r="EU28" s="228">
        <v>0</v>
      </c>
      <c r="EV28" s="231">
        <v>17669318</v>
      </c>
      <c r="EW28" s="231">
        <v>16601719</v>
      </c>
      <c r="EX28" s="231">
        <v>1067599</v>
      </c>
      <c r="EY28" s="229">
        <v>6.4299999999999996E-2</v>
      </c>
      <c r="EZ28" s="229">
        <v>0</v>
      </c>
      <c r="FA28" s="227" t="s">
        <v>555</v>
      </c>
      <c r="FB28" s="161">
        <f t="shared" si="0"/>
        <v>597900</v>
      </c>
    </row>
    <row r="29" spans="1:158" ht="17.25" thickBot="1" x14ac:dyDescent="0.3">
      <c r="A29" s="226">
        <v>46086</v>
      </c>
      <c r="B29" s="227" t="s">
        <v>184</v>
      </c>
      <c r="C29" s="227" t="s">
        <v>670</v>
      </c>
      <c r="D29" s="228">
        <v>350</v>
      </c>
      <c r="E29" s="231">
        <v>1283</v>
      </c>
      <c r="F29" s="231">
        <v>1254.9000000000001</v>
      </c>
      <c r="G29" s="228">
        <v>28.1</v>
      </c>
      <c r="H29" s="229">
        <v>2.24E-2</v>
      </c>
      <c r="I29" s="231">
        <v>1280.5999999999999</v>
      </c>
      <c r="J29" s="231">
        <v>1269.3</v>
      </c>
      <c r="K29" s="228">
        <v>11.3</v>
      </c>
      <c r="L29" s="229">
        <v>8.8999999999999999E-3</v>
      </c>
      <c r="M29" s="231">
        <v>1283</v>
      </c>
      <c r="N29" s="231">
        <v>1254.9000000000001</v>
      </c>
      <c r="O29" s="228">
        <v>28.1</v>
      </c>
      <c r="P29" s="229">
        <v>2.24E-2</v>
      </c>
      <c r="Q29" s="231">
        <v>1274.3</v>
      </c>
      <c r="R29" s="231">
        <v>1240.7</v>
      </c>
      <c r="S29" s="228">
        <v>33.6</v>
      </c>
      <c r="T29" s="229">
        <v>2.7099999999999999E-2</v>
      </c>
      <c r="U29" s="231">
        <v>1269.9000000000001</v>
      </c>
      <c r="V29" s="231">
        <v>1235.3</v>
      </c>
      <c r="W29" s="228">
        <v>34.6</v>
      </c>
      <c r="X29" s="229">
        <v>2.8000000000000001E-2</v>
      </c>
      <c r="Y29" s="228">
        <v>2.4</v>
      </c>
      <c r="Z29" s="228">
        <v>-14.4</v>
      </c>
      <c r="AA29" s="228">
        <v>16.8</v>
      </c>
      <c r="AB29" s="229">
        <v>1.9E-3</v>
      </c>
      <c r="AC29" s="228">
        <v>2.4</v>
      </c>
      <c r="AD29" s="228">
        <v>-14.4</v>
      </c>
      <c r="AE29" s="228">
        <v>16.8</v>
      </c>
      <c r="AF29" s="229">
        <v>1.9E-3</v>
      </c>
      <c r="AG29" s="228">
        <v>-6.3</v>
      </c>
      <c r="AH29" s="228">
        <v>-28.6</v>
      </c>
      <c r="AI29" s="228">
        <v>22.3</v>
      </c>
      <c r="AJ29" s="229">
        <v>-4.8999999999999998E-3</v>
      </c>
      <c r="AK29" s="228">
        <v>-10.7</v>
      </c>
      <c r="AL29" s="228">
        <v>-34</v>
      </c>
      <c r="AM29" s="228">
        <v>23.3</v>
      </c>
      <c r="AN29" s="229">
        <v>-8.3999999999999995E-3</v>
      </c>
      <c r="AO29" s="231">
        <v>1292.7</v>
      </c>
      <c r="AP29" s="231">
        <v>1281.44</v>
      </c>
      <c r="AQ29" s="228">
        <v>0</v>
      </c>
      <c r="AR29" s="230">
        <v>3040100</v>
      </c>
      <c r="AS29" s="230">
        <v>2029650</v>
      </c>
      <c r="AT29" s="230">
        <v>1010450</v>
      </c>
      <c r="AU29" s="229">
        <v>0.49780000000000002</v>
      </c>
      <c r="AV29" s="230">
        <v>2616950</v>
      </c>
      <c r="AW29" s="230">
        <v>1855700</v>
      </c>
      <c r="AX29" s="230">
        <v>761250</v>
      </c>
      <c r="AY29" s="229">
        <v>0.41020000000000001</v>
      </c>
      <c r="AZ29" s="230">
        <v>384650</v>
      </c>
      <c r="BA29" s="230">
        <v>159600</v>
      </c>
      <c r="BB29" s="230">
        <v>225050</v>
      </c>
      <c r="BC29" s="229">
        <v>1.4100999999999999</v>
      </c>
      <c r="BD29" s="230">
        <v>38500</v>
      </c>
      <c r="BE29" s="230">
        <v>14350</v>
      </c>
      <c r="BF29" s="230">
        <v>24150</v>
      </c>
      <c r="BG29" s="229">
        <v>1.6829000000000001</v>
      </c>
      <c r="BH29" s="230">
        <v>12781300</v>
      </c>
      <c r="BI29" s="230">
        <v>8604050</v>
      </c>
      <c r="BJ29" s="230">
        <v>4177250</v>
      </c>
      <c r="BK29" s="229">
        <v>0.48549999999999999</v>
      </c>
      <c r="BL29" s="230">
        <v>2664550</v>
      </c>
      <c r="BM29" s="230">
        <v>2552900</v>
      </c>
      <c r="BN29" s="230">
        <v>111650</v>
      </c>
      <c r="BO29" s="229">
        <v>4.3700000000000003E-2</v>
      </c>
      <c r="BP29" s="230">
        <v>18485950</v>
      </c>
      <c r="BQ29" s="230">
        <v>13186600</v>
      </c>
      <c r="BR29" s="230">
        <v>5299350</v>
      </c>
      <c r="BS29" s="229">
        <v>0.40189999999999998</v>
      </c>
      <c r="BT29" s="230">
        <v>1994202</v>
      </c>
      <c r="BU29" s="230">
        <v>1667737</v>
      </c>
      <c r="BV29" s="230">
        <v>326465</v>
      </c>
      <c r="BW29" s="229">
        <v>0.1958</v>
      </c>
      <c r="BX29" s="230">
        <v>5269600</v>
      </c>
      <c r="BY29" s="230">
        <v>5671750</v>
      </c>
      <c r="BZ29" s="230">
        <v>-402150</v>
      </c>
      <c r="CA29" s="229">
        <v>-7.0900000000000005E-2</v>
      </c>
      <c r="CB29" s="230">
        <v>4706100</v>
      </c>
      <c r="CC29" s="230">
        <v>5180700</v>
      </c>
      <c r="CD29" s="230">
        <v>-474600</v>
      </c>
      <c r="CE29" s="229">
        <v>-9.1600000000000001E-2</v>
      </c>
      <c r="CF29" s="230">
        <v>534450</v>
      </c>
      <c r="CG29" s="230">
        <v>463750</v>
      </c>
      <c r="CH29" s="230">
        <v>70700</v>
      </c>
      <c r="CI29" s="229">
        <v>0.1525</v>
      </c>
      <c r="CJ29" s="230">
        <v>29050</v>
      </c>
      <c r="CK29" s="230">
        <v>27300</v>
      </c>
      <c r="CL29" s="230">
        <v>1750</v>
      </c>
      <c r="CM29" s="229">
        <v>6.4100000000000004E-2</v>
      </c>
      <c r="CN29" s="230">
        <v>3806950</v>
      </c>
      <c r="CO29" s="230">
        <v>4051950</v>
      </c>
      <c r="CP29" s="230">
        <v>-245000</v>
      </c>
      <c r="CQ29" s="229">
        <v>-6.0499999999999998E-2</v>
      </c>
      <c r="CR29" s="230">
        <v>2344300</v>
      </c>
      <c r="CS29" s="230">
        <v>2348150</v>
      </c>
      <c r="CT29" s="230">
        <v>-3850</v>
      </c>
      <c r="CU29" s="229">
        <v>-1.6000000000000001E-3</v>
      </c>
      <c r="CV29" s="230">
        <v>11420850</v>
      </c>
      <c r="CW29" s="230">
        <v>12071850</v>
      </c>
      <c r="CX29" s="230">
        <v>-651000</v>
      </c>
      <c r="CY29" s="229">
        <v>-5.3900000000000003E-2</v>
      </c>
      <c r="CZ29" s="228">
        <v>39.1</v>
      </c>
      <c r="DA29" s="228">
        <v>43.79</v>
      </c>
      <c r="DB29" s="228">
        <v>-4.6900000000000004</v>
      </c>
      <c r="DC29" s="228">
        <v>-4.6900000000000004</v>
      </c>
      <c r="DD29" s="228">
        <v>51.27</v>
      </c>
      <c r="DE29" s="228">
        <v>51.31</v>
      </c>
      <c r="DF29" s="228">
        <v>-12.17</v>
      </c>
      <c r="DG29" s="228">
        <v>-0.04</v>
      </c>
      <c r="DH29" s="228">
        <v>38.79</v>
      </c>
      <c r="DI29" s="228">
        <v>43.27</v>
      </c>
      <c r="DJ29" s="228">
        <v>-4.4800000000000004</v>
      </c>
      <c r="DK29" s="228">
        <v>-4.4800000000000004</v>
      </c>
      <c r="DL29" s="228">
        <v>40.56</v>
      </c>
      <c r="DM29" s="228">
        <v>45.54</v>
      </c>
      <c r="DN29" s="228">
        <v>-4.9800000000000004</v>
      </c>
      <c r="DO29" s="228">
        <v>-4.9800000000000004</v>
      </c>
      <c r="DP29" s="228">
        <v>0.62</v>
      </c>
      <c r="DQ29" s="228">
        <v>0.57999999999999996</v>
      </c>
      <c r="DR29" s="228">
        <v>0.04</v>
      </c>
      <c r="DS29" s="229">
        <v>6.9000000000000006E-2</v>
      </c>
      <c r="DT29" s="231">
        <v>1300</v>
      </c>
      <c r="DU29" s="231">
        <v>1300</v>
      </c>
      <c r="DV29" s="228">
        <v>0.21</v>
      </c>
      <c r="DW29" s="228">
        <v>0.3</v>
      </c>
      <c r="DX29" s="228">
        <v>-0.09</v>
      </c>
      <c r="DY29" s="229">
        <v>-0.3</v>
      </c>
      <c r="DZ29" s="229">
        <v>0.1069</v>
      </c>
      <c r="EA29" s="230">
        <v>491050</v>
      </c>
      <c r="EB29" s="229">
        <v>-6.7999999999999996E-3</v>
      </c>
      <c r="EC29" s="229">
        <v>0.1069</v>
      </c>
      <c r="ED29" s="228">
        <v>-11.26</v>
      </c>
      <c r="EE29" s="229">
        <v>-8.6999999999999994E-3</v>
      </c>
      <c r="EF29" s="230">
        <v>473896</v>
      </c>
      <c r="EG29" s="230">
        <v>349475</v>
      </c>
      <c r="EH29" s="229">
        <v>0.35599999999999998</v>
      </c>
      <c r="EI29" s="229">
        <v>0.23760000000000001</v>
      </c>
      <c r="EJ29" s="231">
        <v>177081.22</v>
      </c>
      <c r="EK29" s="231">
        <v>33484.6</v>
      </c>
      <c r="EL29" s="231">
        <v>39249.519999999997</v>
      </c>
      <c r="EM29" s="231">
        <v>5230</v>
      </c>
      <c r="EN29" s="231">
        <v>249815.34</v>
      </c>
      <c r="EO29" s="231">
        <v>174763.59</v>
      </c>
      <c r="EP29" s="231">
        <v>75051.75</v>
      </c>
      <c r="EQ29" s="229">
        <v>0.4294</v>
      </c>
      <c r="ER29" s="231">
        <v>52114</v>
      </c>
      <c r="ES29" s="231">
        <v>29157</v>
      </c>
      <c r="ET29" s="231">
        <v>67559</v>
      </c>
      <c r="EU29" s="231">
        <v>13786716</v>
      </c>
      <c r="EV29" s="231">
        <v>148830</v>
      </c>
      <c r="EW29" s="231">
        <v>155227</v>
      </c>
      <c r="EX29" s="231">
        <v>-6397</v>
      </c>
      <c r="EY29" s="229">
        <v>-4.1200000000000001E-2</v>
      </c>
      <c r="EZ29" s="229">
        <v>0.82840000000000003</v>
      </c>
      <c r="FA29" s="227" t="s">
        <v>556</v>
      </c>
      <c r="FB29" s="161">
        <f t="shared" si="0"/>
        <v>563500</v>
      </c>
    </row>
    <row r="30" spans="1:158" ht="17.25" thickBot="1" x14ac:dyDescent="0.3">
      <c r="A30" s="226">
        <v>46086</v>
      </c>
      <c r="B30" s="227" t="s">
        <v>184</v>
      </c>
      <c r="C30" s="227" t="s">
        <v>185</v>
      </c>
      <c r="D30" s="228">
        <v>1425</v>
      </c>
      <c r="E30" s="228">
        <v>459.85</v>
      </c>
      <c r="F30" s="228">
        <v>445.8</v>
      </c>
      <c r="G30" s="228">
        <v>14.05</v>
      </c>
      <c r="H30" s="229">
        <v>3.15E-2</v>
      </c>
      <c r="I30" s="228">
        <v>460</v>
      </c>
      <c r="J30" s="228">
        <v>446.85</v>
      </c>
      <c r="K30" s="228">
        <v>13.15</v>
      </c>
      <c r="L30" s="229">
        <v>2.9399999999999999E-2</v>
      </c>
      <c r="M30" s="228">
        <v>459.85</v>
      </c>
      <c r="N30" s="228">
        <v>445.8</v>
      </c>
      <c r="O30" s="228">
        <v>14.05</v>
      </c>
      <c r="P30" s="229">
        <v>3.15E-2</v>
      </c>
      <c r="Q30" s="228">
        <v>462.85</v>
      </c>
      <c r="R30" s="228">
        <v>448.5</v>
      </c>
      <c r="S30" s="228">
        <v>14.35</v>
      </c>
      <c r="T30" s="229">
        <v>3.2000000000000001E-2</v>
      </c>
      <c r="U30" s="228">
        <v>465.45</v>
      </c>
      <c r="V30" s="228">
        <v>450.7</v>
      </c>
      <c r="W30" s="228">
        <v>14.75</v>
      </c>
      <c r="X30" s="229">
        <v>3.27E-2</v>
      </c>
      <c r="Y30" s="228">
        <v>-0.15</v>
      </c>
      <c r="Z30" s="228">
        <v>-1.05</v>
      </c>
      <c r="AA30" s="228">
        <v>0.9</v>
      </c>
      <c r="AB30" s="229">
        <v>-2.9999999999999997E-4</v>
      </c>
      <c r="AC30" s="228">
        <v>-0.15</v>
      </c>
      <c r="AD30" s="228">
        <v>-1.05</v>
      </c>
      <c r="AE30" s="228">
        <v>0.9</v>
      </c>
      <c r="AF30" s="229">
        <v>-2.9999999999999997E-4</v>
      </c>
      <c r="AG30" s="228">
        <v>2.85</v>
      </c>
      <c r="AH30" s="228">
        <v>1.65</v>
      </c>
      <c r="AI30" s="228">
        <v>1.2</v>
      </c>
      <c r="AJ30" s="229">
        <v>6.1999999999999998E-3</v>
      </c>
      <c r="AK30" s="228">
        <v>5.45</v>
      </c>
      <c r="AL30" s="228">
        <v>3.85</v>
      </c>
      <c r="AM30" s="228">
        <v>1.6</v>
      </c>
      <c r="AN30" s="229">
        <v>1.18E-2</v>
      </c>
      <c r="AO30" s="228">
        <v>460.57</v>
      </c>
      <c r="AP30" s="228">
        <v>463.31</v>
      </c>
      <c r="AQ30" s="228">
        <v>0</v>
      </c>
      <c r="AR30" s="230">
        <v>47684775</v>
      </c>
      <c r="AS30" s="230">
        <v>38313975</v>
      </c>
      <c r="AT30" s="230">
        <v>9370800</v>
      </c>
      <c r="AU30" s="229">
        <v>0.24460000000000001</v>
      </c>
      <c r="AV30" s="230">
        <v>43287225</v>
      </c>
      <c r="AW30" s="230">
        <v>35446875</v>
      </c>
      <c r="AX30" s="230">
        <v>7840350</v>
      </c>
      <c r="AY30" s="229">
        <v>0.22120000000000001</v>
      </c>
      <c r="AZ30" s="230">
        <v>3629475</v>
      </c>
      <c r="BA30" s="230">
        <v>2355525</v>
      </c>
      <c r="BB30" s="230">
        <v>1273950</v>
      </c>
      <c r="BC30" s="229">
        <v>0.54079999999999995</v>
      </c>
      <c r="BD30" s="230">
        <v>768075</v>
      </c>
      <c r="BE30" s="230">
        <v>511575</v>
      </c>
      <c r="BF30" s="230">
        <v>256500</v>
      </c>
      <c r="BG30" s="229">
        <v>0.50139999999999996</v>
      </c>
      <c r="BH30" s="230">
        <v>205269825</v>
      </c>
      <c r="BI30" s="230">
        <v>112807275</v>
      </c>
      <c r="BJ30" s="230">
        <v>92462550</v>
      </c>
      <c r="BK30" s="229">
        <v>0.81969999999999998</v>
      </c>
      <c r="BL30" s="230">
        <v>96248775</v>
      </c>
      <c r="BM30" s="230">
        <v>51334200</v>
      </c>
      <c r="BN30" s="230">
        <v>44914575</v>
      </c>
      <c r="BO30" s="229">
        <v>0.87490000000000001</v>
      </c>
      <c r="BP30" s="230">
        <v>349203375</v>
      </c>
      <c r="BQ30" s="230">
        <v>202455450</v>
      </c>
      <c r="BR30" s="230">
        <v>146747925</v>
      </c>
      <c r="BS30" s="229">
        <v>0.7248</v>
      </c>
      <c r="BT30" s="230">
        <v>39879751</v>
      </c>
      <c r="BU30" s="230">
        <v>37141581</v>
      </c>
      <c r="BV30" s="230">
        <v>2738170</v>
      </c>
      <c r="BW30" s="229">
        <v>7.3700000000000002E-2</v>
      </c>
      <c r="BX30" s="230">
        <v>109451400</v>
      </c>
      <c r="BY30" s="230">
        <v>112865700</v>
      </c>
      <c r="BZ30" s="230">
        <v>-3414300</v>
      </c>
      <c r="CA30" s="229">
        <v>-3.0300000000000001E-2</v>
      </c>
      <c r="CB30" s="230">
        <v>104244450</v>
      </c>
      <c r="CC30" s="230">
        <v>107628825</v>
      </c>
      <c r="CD30" s="230">
        <v>-3384375</v>
      </c>
      <c r="CE30" s="229">
        <v>-3.1399999999999997E-2</v>
      </c>
      <c r="CF30" s="230">
        <v>4011375</v>
      </c>
      <c r="CG30" s="230">
        <v>4034175</v>
      </c>
      <c r="CH30" s="230">
        <v>-22800</v>
      </c>
      <c r="CI30" s="229">
        <v>-5.7000000000000002E-3</v>
      </c>
      <c r="CJ30" s="230">
        <v>1195575</v>
      </c>
      <c r="CK30" s="230">
        <v>1202700</v>
      </c>
      <c r="CL30" s="230">
        <v>-7125</v>
      </c>
      <c r="CM30" s="229">
        <v>-5.8999999999999999E-3</v>
      </c>
      <c r="CN30" s="230">
        <v>41847975</v>
      </c>
      <c r="CO30" s="230">
        <v>48092325</v>
      </c>
      <c r="CP30" s="230">
        <v>-6244350</v>
      </c>
      <c r="CQ30" s="229">
        <v>-0.1298</v>
      </c>
      <c r="CR30" s="230">
        <v>27925725</v>
      </c>
      <c r="CS30" s="230">
        <v>25258125</v>
      </c>
      <c r="CT30" s="230">
        <v>2667600</v>
      </c>
      <c r="CU30" s="229">
        <v>0.1056</v>
      </c>
      <c r="CV30" s="230">
        <v>179225100</v>
      </c>
      <c r="CW30" s="230">
        <v>186216150</v>
      </c>
      <c r="CX30" s="230">
        <v>-6991050</v>
      </c>
      <c r="CY30" s="229">
        <v>-3.7499999999999999E-2</v>
      </c>
      <c r="CZ30" s="228">
        <v>29.01</v>
      </c>
      <c r="DA30" s="228">
        <v>33.659999999999997</v>
      </c>
      <c r="DB30" s="228">
        <v>-4.6500000000000004</v>
      </c>
      <c r="DC30" s="228">
        <v>-4.6500000000000004</v>
      </c>
      <c r="DD30" s="228">
        <v>36.93</v>
      </c>
      <c r="DE30" s="228">
        <v>36.79</v>
      </c>
      <c r="DF30" s="228">
        <v>-7.92</v>
      </c>
      <c r="DG30" s="228">
        <v>0.14000000000000001</v>
      </c>
      <c r="DH30" s="228">
        <v>28.68</v>
      </c>
      <c r="DI30" s="228">
        <v>33.39</v>
      </c>
      <c r="DJ30" s="228">
        <v>-4.71</v>
      </c>
      <c r="DK30" s="228">
        <v>-4.71</v>
      </c>
      <c r="DL30" s="228">
        <v>29.72</v>
      </c>
      <c r="DM30" s="228">
        <v>34.25</v>
      </c>
      <c r="DN30" s="228">
        <v>-4.53</v>
      </c>
      <c r="DO30" s="228">
        <v>-4.53</v>
      </c>
      <c r="DP30" s="228">
        <v>0.67</v>
      </c>
      <c r="DQ30" s="228">
        <v>0.53</v>
      </c>
      <c r="DR30" s="228">
        <v>0.14000000000000001</v>
      </c>
      <c r="DS30" s="229">
        <v>0.26419999999999999</v>
      </c>
      <c r="DT30" s="228">
        <v>500</v>
      </c>
      <c r="DU30" s="228">
        <v>440</v>
      </c>
      <c r="DV30" s="228">
        <v>0.47</v>
      </c>
      <c r="DW30" s="228">
        <v>0.46</v>
      </c>
      <c r="DX30" s="228">
        <v>0.01</v>
      </c>
      <c r="DY30" s="229">
        <v>2.1700000000000001E-2</v>
      </c>
      <c r="DZ30" s="229">
        <v>4.7600000000000003E-2</v>
      </c>
      <c r="EA30" s="230">
        <v>5236875</v>
      </c>
      <c r="EB30" s="229">
        <v>6.4999999999999997E-3</v>
      </c>
      <c r="EC30" s="229">
        <v>4.7600000000000003E-2</v>
      </c>
      <c r="ED30" s="228">
        <v>2.74</v>
      </c>
      <c r="EE30" s="229">
        <v>5.8999999999999999E-3</v>
      </c>
      <c r="EF30" s="230">
        <v>15402452</v>
      </c>
      <c r="EG30" s="230">
        <v>19057427</v>
      </c>
      <c r="EH30" s="229">
        <v>-0.1918</v>
      </c>
      <c r="EI30" s="229">
        <v>0.38619999999999999</v>
      </c>
      <c r="EJ30" s="231">
        <v>991957.42</v>
      </c>
      <c r="EK30" s="231">
        <v>431104.9</v>
      </c>
      <c r="EL30" s="231">
        <v>219766.51</v>
      </c>
      <c r="EM30" s="231">
        <v>19689</v>
      </c>
      <c r="EN30" s="231">
        <v>1642828.83</v>
      </c>
      <c r="EO30" s="231">
        <v>938005.4</v>
      </c>
      <c r="EP30" s="231">
        <v>704823.43</v>
      </c>
      <c r="EQ30" s="229">
        <v>0.75139999999999996</v>
      </c>
      <c r="ER30" s="231">
        <v>196389</v>
      </c>
      <c r="ES30" s="231">
        <v>120437</v>
      </c>
      <c r="ET30" s="231">
        <v>503500</v>
      </c>
      <c r="EU30" s="231">
        <v>535778534</v>
      </c>
      <c r="EV30" s="231">
        <v>820325</v>
      </c>
      <c r="EW30" s="231">
        <v>834085</v>
      </c>
      <c r="EX30" s="231">
        <v>-13760</v>
      </c>
      <c r="EY30" s="229">
        <v>-1.6500000000000001E-2</v>
      </c>
      <c r="EZ30" s="229">
        <v>0.33450000000000002</v>
      </c>
      <c r="FA30" s="227" t="s">
        <v>556</v>
      </c>
      <c r="FB30" s="161">
        <f t="shared" si="0"/>
        <v>5206950</v>
      </c>
    </row>
    <row r="31" spans="1:158" ht="17.25" thickBot="1" x14ac:dyDescent="0.3">
      <c r="A31" s="226">
        <v>46086</v>
      </c>
      <c r="B31" s="227" t="s">
        <v>162</v>
      </c>
      <c r="C31" s="227" t="s">
        <v>187</v>
      </c>
      <c r="D31" s="228">
        <v>500</v>
      </c>
      <c r="E31" s="231">
        <v>1902</v>
      </c>
      <c r="F31" s="231">
        <v>1845.1</v>
      </c>
      <c r="G31" s="228">
        <v>56.9</v>
      </c>
      <c r="H31" s="229">
        <v>3.0800000000000001E-2</v>
      </c>
      <c r="I31" s="231">
        <v>1898.4</v>
      </c>
      <c r="J31" s="231">
        <v>1841.8</v>
      </c>
      <c r="K31" s="228">
        <v>56.6</v>
      </c>
      <c r="L31" s="229">
        <v>3.0700000000000002E-2</v>
      </c>
      <c r="M31" s="231">
        <v>1902</v>
      </c>
      <c r="N31" s="231">
        <v>1845.1</v>
      </c>
      <c r="O31" s="228">
        <v>56.9</v>
      </c>
      <c r="P31" s="229">
        <v>3.0800000000000001E-2</v>
      </c>
      <c r="Q31" s="231">
        <v>1908.3</v>
      </c>
      <c r="R31" s="231">
        <v>1851.5</v>
      </c>
      <c r="S31" s="228">
        <v>56.8</v>
      </c>
      <c r="T31" s="229">
        <v>3.0700000000000002E-2</v>
      </c>
      <c r="U31" s="231">
        <v>1916.6</v>
      </c>
      <c r="V31" s="231">
        <v>1857</v>
      </c>
      <c r="W31" s="228">
        <v>59.6</v>
      </c>
      <c r="X31" s="229">
        <v>3.2099999999999997E-2</v>
      </c>
      <c r="Y31" s="228">
        <v>3.6</v>
      </c>
      <c r="Z31" s="228">
        <v>3.3</v>
      </c>
      <c r="AA31" s="228">
        <v>0.3</v>
      </c>
      <c r="AB31" s="229">
        <v>1.9E-3</v>
      </c>
      <c r="AC31" s="228">
        <v>3.6</v>
      </c>
      <c r="AD31" s="228">
        <v>3.3</v>
      </c>
      <c r="AE31" s="228">
        <v>0.3</v>
      </c>
      <c r="AF31" s="229">
        <v>1.9E-3</v>
      </c>
      <c r="AG31" s="228">
        <v>9.9</v>
      </c>
      <c r="AH31" s="228">
        <v>9.6999999999999993</v>
      </c>
      <c r="AI31" s="228">
        <v>0.2</v>
      </c>
      <c r="AJ31" s="229">
        <v>5.1999999999999998E-3</v>
      </c>
      <c r="AK31" s="228">
        <v>18.2</v>
      </c>
      <c r="AL31" s="228">
        <v>15.2</v>
      </c>
      <c r="AM31" s="228">
        <v>3</v>
      </c>
      <c r="AN31" s="229">
        <v>9.5999999999999992E-3</v>
      </c>
      <c r="AO31" s="231">
        <v>1894.55</v>
      </c>
      <c r="AP31" s="231">
        <v>1903.81</v>
      </c>
      <c r="AQ31" s="228">
        <v>0</v>
      </c>
      <c r="AR31" s="230">
        <v>4235500</v>
      </c>
      <c r="AS31" s="230">
        <v>2754000</v>
      </c>
      <c r="AT31" s="230">
        <v>1481500</v>
      </c>
      <c r="AU31" s="229">
        <v>0.53790000000000004</v>
      </c>
      <c r="AV31" s="230">
        <v>4065000</v>
      </c>
      <c r="AW31" s="230">
        <v>2674500</v>
      </c>
      <c r="AX31" s="230">
        <v>1390500</v>
      </c>
      <c r="AY31" s="229">
        <v>0.51990000000000003</v>
      </c>
      <c r="AZ31" s="230">
        <v>145500</v>
      </c>
      <c r="BA31" s="230">
        <v>73500</v>
      </c>
      <c r="BB31" s="230">
        <v>72000</v>
      </c>
      <c r="BC31" s="229">
        <v>0.97960000000000003</v>
      </c>
      <c r="BD31" s="230">
        <v>25000</v>
      </c>
      <c r="BE31" s="230">
        <v>6000</v>
      </c>
      <c r="BF31" s="230">
        <v>19000</v>
      </c>
      <c r="BG31" s="229">
        <v>3.1667000000000001</v>
      </c>
      <c r="BH31" s="230">
        <v>14546000</v>
      </c>
      <c r="BI31" s="230">
        <v>4585500</v>
      </c>
      <c r="BJ31" s="230">
        <v>9960500</v>
      </c>
      <c r="BK31" s="229">
        <v>2.1722000000000001</v>
      </c>
      <c r="BL31" s="230">
        <v>4701500</v>
      </c>
      <c r="BM31" s="230">
        <v>3914000</v>
      </c>
      <c r="BN31" s="230">
        <v>787500</v>
      </c>
      <c r="BO31" s="229">
        <v>0.20119999999999999</v>
      </c>
      <c r="BP31" s="230">
        <v>23483000</v>
      </c>
      <c r="BQ31" s="230">
        <v>11253500</v>
      </c>
      <c r="BR31" s="230">
        <v>12229500</v>
      </c>
      <c r="BS31" s="229">
        <v>1.0867</v>
      </c>
      <c r="BT31" s="230">
        <v>3262041</v>
      </c>
      <c r="BU31" s="230">
        <v>1798104</v>
      </c>
      <c r="BV31" s="230">
        <v>1463937</v>
      </c>
      <c r="BW31" s="229">
        <v>0.81420000000000003</v>
      </c>
      <c r="BX31" s="230">
        <v>7007500</v>
      </c>
      <c r="BY31" s="230">
        <v>6810000</v>
      </c>
      <c r="BZ31" s="230">
        <v>197500</v>
      </c>
      <c r="CA31" s="229">
        <v>2.9000000000000001E-2</v>
      </c>
      <c r="CB31" s="230">
        <v>6898500</v>
      </c>
      <c r="CC31" s="230">
        <v>6707000</v>
      </c>
      <c r="CD31" s="230">
        <v>191500</v>
      </c>
      <c r="CE31" s="229">
        <v>2.86E-2</v>
      </c>
      <c r="CF31" s="230">
        <v>93000</v>
      </c>
      <c r="CG31" s="230">
        <v>89500</v>
      </c>
      <c r="CH31" s="230">
        <v>3500</v>
      </c>
      <c r="CI31" s="229">
        <v>3.9100000000000003E-2</v>
      </c>
      <c r="CJ31" s="230">
        <v>16000</v>
      </c>
      <c r="CK31" s="230">
        <v>13500</v>
      </c>
      <c r="CL31" s="230">
        <v>2500</v>
      </c>
      <c r="CM31" s="229">
        <v>0.1852</v>
      </c>
      <c r="CN31" s="230">
        <v>3483000</v>
      </c>
      <c r="CO31" s="230">
        <v>2733000</v>
      </c>
      <c r="CP31" s="230">
        <v>750000</v>
      </c>
      <c r="CQ31" s="229">
        <v>0.27439999999999998</v>
      </c>
      <c r="CR31" s="230">
        <v>2562500</v>
      </c>
      <c r="CS31" s="230">
        <v>2454500</v>
      </c>
      <c r="CT31" s="230">
        <v>108000</v>
      </c>
      <c r="CU31" s="229">
        <v>4.3999999999999997E-2</v>
      </c>
      <c r="CV31" s="230">
        <v>13053000</v>
      </c>
      <c r="CW31" s="230">
        <v>11997500</v>
      </c>
      <c r="CX31" s="230">
        <v>1055500</v>
      </c>
      <c r="CY31" s="229">
        <v>8.7999999999999995E-2</v>
      </c>
      <c r="CZ31" s="228">
        <v>31.4</v>
      </c>
      <c r="DA31" s="228">
        <v>33.92</v>
      </c>
      <c r="DB31" s="228">
        <v>-2.52</v>
      </c>
      <c r="DC31" s="228">
        <v>-2.52</v>
      </c>
      <c r="DD31" s="228">
        <v>37.659999999999997</v>
      </c>
      <c r="DE31" s="228">
        <v>37.53</v>
      </c>
      <c r="DF31" s="228">
        <v>-6.26</v>
      </c>
      <c r="DG31" s="228">
        <v>0.13</v>
      </c>
      <c r="DH31" s="228">
        <v>31.06</v>
      </c>
      <c r="DI31" s="228">
        <v>32.82</v>
      </c>
      <c r="DJ31" s="228">
        <v>-1.76</v>
      </c>
      <c r="DK31" s="228">
        <v>-1.76</v>
      </c>
      <c r="DL31" s="228">
        <v>32.47</v>
      </c>
      <c r="DM31" s="228">
        <v>35.21</v>
      </c>
      <c r="DN31" s="228">
        <v>-2.74</v>
      </c>
      <c r="DO31" s="228">
        <v>-2.74</v>
      </c>
      <c r="DP31" s="228">
        <v>0.74</v>
      </c>
      <c r="DQ31" s="228">
        <v>0.9</v>
      </c>
      <c r="DR31" s="228">
        <v>-0.16</v>
      </c>
      <c r="DS31" s="229">
        <v>-0.17780000000000001</v>
      </c>
      <c r="DT31" s="231">
        <v>1900</v>
      </c>
      <c r="DU31" s="231">
        <v>1800</v>
      </c>
      <c r="DV31" s="228">
        <v>0.32</v>
      </c>
      <c r="DW31" s="228">
        <v>0.85</v>
      </c>
      <c r="DX31" s="228">
        <v>-0.53</v>
      </c>
      <c r="DY31" s="229">
        <v>-0.62350000000000005</v>
      </c>
      <c r="DZ31" s="229">
        <v>1.5599999999999999E-2</v>
      </c>
      <c r="EA31" s="230">
        <v>103000</v>
      </c>
      <c r="EB31" s="229">
        <v>3.3E-3</v>
      </c>
      <c r="EC31" s="229">
        <v>1.5599999999999999E-2</v>
      </c>
      <c r="ED31" s="228">
        <v>9.26</v>
      </c>
      <c r="EE31" s="229">
        <v>4.8999999999999998E-3</v>
      </c>
      <c r="EF31" s="230">
        <v>1149355</v>
      </c>
      <c r="EG31" s="230">
        <v>955143</v>
      </c>
      <c r="EH31" s="229">
        <v>0.20330000000000001</v>
      </c>
      <c r="EI31" s="229">
        <v>0.3523</v>
      </c>
      <c r="EJ31" s="231">
        <v>290900.18</v>
      </c>
      <c r="EK31" s="231">
        <v>87867.9</v>
      </c>
      <c r="EL31" s="231">
        <v>80261.649999999994</v>
      </c>
      <c r="EM31" s="231">
        <v>4118</v>
      </c>
      <c r="EN31" s="231">
        <v>459029.73</v>
      </c>
      <c r="EO31" s="231">
        <v>212948.02</v>
      </c>
      <c r="EP31" s="231">
        <v>246081.71</v>
      </c>
      <c r="EQ31" s="229">
        <v>1.1556</v>
      </c>
      <c r="ER31" s="231">
        <v>66737</v>
      </c>
      <c r="ES31" s="231">
        <v>44998</v>
      </c>
      <c r="ET31" s="231">
        <v>133291</v>
      </c>
      <c r="EU31" s="231">
        <v>40107751</v>
      </c>
      <c r="EV31" s="231">
        <v>245026</v>
      </c>
      <c r="EW31" s="231">
        <v>220521</v>
      </c>
      <c r="EX31" s="231">
        <v>24505</v>
      </c>
      <c r="EY31" s="229">
        <v>0.1111</v>
      </c>
      <c r="EZ31" s="229">
        <v>0.32540000000000002</v>
      </c>
      <c r="FA31" s="227" t="s">
        <v>555</v>
      </c>
      <c r="FB31" s="161">
        <f t="shared" si="0"/>
        <v>109000</v>
      </c>
    </row>
    <row r="32" spans="1:158" ht="17.25" thickBot="1" x14ac:dyDescent="0.3">
      <c r="A32" s="226">
        <v>46086</v>
      </c>
      <c r="B32" s="227" t="s">
        <v>188</v>
      </c>
      <c r="C32" s="227" t="s">
        <v>189</v>
      </c>
      <c r="D32" s="228">
        <v>475</v>
      </c>
      <c r="E32" s="231">
        <v>1914.5</v>
      </c>
      <c r="F32" s="231">
        <v>1912.3</v>
      </c>
      <c r="G32" s="228">
        <v>2.2000000000000002</v>
      </c>
      <c r="H32" s="229">
        <v>1.1999999999999999E-3</v>
      </c>
      <c r="I32" s="231">
        <v>1907</v>
      </c>
      <c r="J32" s="231">
        <v>1905.9</v>
      </c>
      <c r="K32" s="228">
        <v>1.1000000000000001</v>
      </c>
      <c r="L32" s="229">
        <v>5.9999999999999995E-4</v>
      </c>
      <c r="M32" s="231">
        <v>1914.5</v>
      </c>
      <c r="N32" s="231">
        <v>1912.3</v>
      </c>
      <c r="O32" s="228">
        <v>2.2000000000000002</v>
      </c>
      <c r="P32" s="229">
        <v>1.1999999999999999E-3</v>
      </c>
      <c r="Q32" s="231">
        <v>1926.3</v>
      </c>
      <c r="R32" s="231">
        <v>1924.6</v>
      </c>
      <c r="S32" s="228">
        <v>1.7</v>
      </c>
      <c r="T32" s="229">
        <v>8.9999999999999998E-4</v>
      </c>
      <c r="U32" s="231">
        <v>1938.3</v>
      </c>
      <c r="V32" s="231">
        <v>1932.7</v>
      </c>
      <c r="W32" s="228">
        <v>5.6</v>
      </c>
      <c r="X32" s="229">
        <v>2.8999999999999998E-3</v>
      </c>
      <c r="Y32" s="228">
        <v>7.5</v>
      </c>
      <c r="Z32" s="228">
        <v>6.4</v>
      </c>
      <c r="AA32" s="228">
        <v>1.1000000000000001</v>
      </c>
      <c r="AB32" s="229">
        <v>3.8999999999999998E-3</v>
      </c>
      <c r="AC32" s="228">
        <v>7.5</v>
      </c>
      <c r="AD32" s="228">
        <v>6.4</v>
      </c>
      <c r="AE32" s="228">
        <v>1.1000000000000001</v>
      </c>
      <c r="AF32" s="229">
        <v>3.8999999999999998E-3</v>
      </c>
      <c r="AG32" s="228">
        <v>19.3</v>
      </c>
      <c r="AH32" s="228">
        <v>18.7</v>
      </c>
      <c r="AI32" s="228">
        <v>0.6</v>
      </c>
      <c r="AJ32" s="229">
        <v>1.01E-2</v>
      </c>
      <c r="AK32" s="228">
        <v>31.3</v>
      </c>
      <c r="AL32" s="228">
        <v>26.8</v>
      </c>
      <c r="AM32" s="228">
        <v>4.5</v>
      </c>
      <c r="AN32" s="229">
        <v>1.6400000000000001E-2</v>
      </c>
      <c r="AO32" s="231">
        <v>1916.56</v>
      </c>
      <c r="AP32" s="231">
        <v>1928.64</v>
      </c>
      <c r="AQ32" s="228">
        <v>0</v>
      </c>
      <c r="AR32" s="230">
        <v>6610575</v>
      </c>
      <c r="AS32" s="230">
        <v>12384675</v>
      </c>
      <c r="AT32" s="230">
        <v>-5774100</v>
      </c>
      <c r="AU32" s="229">
        <v>-0.4662</v>
      </c>
      <c r="AV32" s="230">
        <v>6132250</v>
      </c>
      <c r="AW32" s="230">
        <v>11398100</v>
      </c>
      <c r="AX32" s="230">
        <v>-5265850</v>
      </c>
      <c r="AY32" s="229">
        <v>-0.46200000000000002</v>
      </c>
      <c r="AZ32" s="230">
        <v>457425</v>
      </c>
      <c r="BA32" s="230">
        <v>930050</v>
      </c>
      <c r="BB32" s="230">
        <v>-472625</v>
      </c>
      <c r="BC32" s="229">
        <v>-0.50819999999999999</v>
      </c>
      <c r="BD32" s="230">
        <v>20900</v>
      </c>
      <c r="BE32" s="230">
        <v>56525</v>
      </c>
      <c r="BF32" s="230">
        <v>-35625</v>
      </c>
      <c r="BG32" s="229">
        <v>-0.63029999999999997</v>
      </c>
      <c r="BH32" s="230">
        <v>21447675</v>
      </c>
      <c r="BI32" s="230">
        <v>51638675</v>
      </c>
      <c r="BJ32" s="230">
        <v>-30191000</v>
      </c>
      <c r="BK32" s="229">
        <v>-0.5847</v>
      </c>
      <c r="BL32" s="230">
        <v>13793525</v>
      </c>
      <c r="BM32" s="230">
        <v>24584575</v>
      </c>
      <c r="BN32" s="230">
        <v>-10791050</v>
      </c>
      <c r="BO32" s="229">
        <v>-0.43890000000000001</v>
      </c>
      <c r="BP32" s="230">
        <v>41851775</v>
      </c>
      <c r="BQ32" s="230">
        <v>88607925</v>
      </c>
      <c r="BR32" s="230">
        <v>-46756150</v>
      </c>
      <c r="BS32" s="229">
        <v>-0.52769999999999995</v>
      </c>
      <c r="BT32" s="230">
        <v>13300106</v>
      </c>
      <c r="BU32" s="230">
        <v>21231269</v>
      </c>
      <c r="BV32" s="230">
        <v>-7931163</v>
      </c>
      <c r="BW32" s="229">
        <v>-0.37359999999999999</v>
      </c>
      <c r="BX32" s="230">
        <v>59609650</v>
      </c>
      <c r="BY32" s="230">
        <v>61022775</v>
      </c>
      <c r="BZ32" s="230">
        <v>-1413125</v>
      </c>
      <c r="CA32" s="229">
        <v>-2.3199999999999998E-2</v>
      </c>
      <c r="CB32" s="230">
        <v>57000950</v>
      </c>
      <c r="CC32" s="230">
        <v>58472025</v>
      </c>
      <c r="CD32" s="230">
        <v>-1471075</v>
      </c>
      <c r="CE32" s="229">
        <v>-2.52E-2</v>
      </c>
      <c r="CF32" s="230">
        <v>2484725</v>
      </c>
      <c r="CG32" s="230">
        <v>2426775</v>
      </c>
      <c r="CH32" s="230">
        <v>57950</v>
      </c>
      <c r="CI32" s="229">
        <v>2.3900000000000001E-2</v>
      </c>
      <c r="CJ32" s="230">
        <v>123975</v>
      </c>
      <c r="CK32" s="230">
        <v>123975</v>
      </c>
      <c r="CL32" s="228">
        <v>0</v>
      </c>
      <c r="CM32" s="229">
        <v>0</v>
      </c>
      <c r="CN32" s="230">
        <v>14461850</v>
      </c>
      <c r="CO32" s="230">
        <v>14408175</v>
      </c>
      <c r="CP32" s="230">
        <v>53675</v>
      </c>
      <c r="CQ32" s="229">
        <v>3.7000000000000002E-3</v>
      </c>
      <c r="CR32" s="230">
        <v>8076425</v>
      </c>
      <c r="CS32" s="230">
        <v>8723375</v>
      </c>
      <c r="CT32" s="230">
        <v>-646950</v>
      </c>
      <c r="CU32" s="229">
        <v>-7.4200000000000002E-2</v>
      </c>
      <c r="CV32" s="230">
        <v>82147925</v>
      </c>
      <c r="CW32" s="230">
        <v>84154325</v>
      </c>
      <c r="CX32" s="230">
        <v>-2006400</v>
      </c>
      <c r="CY32" s="229">
        <v>-2.3800000000000002E-2</v>
      </c>
      <c r="CZ32" s="228">
        <v>21.21</v>
      </c>
      <c r="DA32" s="228">
        <v>22.61</v>
      </c>
      <c r="DB32" s="228">
        <v>-1.4</v>
      </c>
      <c r="DC32" s="228">
        <v>-1.4</v>
      </c>
      <c r="DD32" s="228">
        <v>23.84</v>
      </c>
      <c r="DE32" s="228">
        <v>23.9</v>
      </c>
      <c r="DF32" s="228">
        <v>-2.63</v>
      </c>
      <c r="DG32" s="228">
        <v>-0.06</v>
      </c>
      <c r="DH32" s="228">
        <v>20.79</v>
      </c>
      <c r="DI32" s="228">
        <v>21.78</v>
      </c>
      <c r="DJ32" s="228">
        <v>-0.99</v>
      </c>
      <c r="DK32" s="228">
        <v>-0.99</v>
      </c>
      <c r="DL32" s="228">
        <v>21.87</v>
      </c>
      <c r="DM32" s="228">
        <v>24.36</v>
      </c>
      <c r="DN32" s="228">
        <v>-2.4900000000000002</v>
      </c>
      <c r="DO32" s="228">
        <v>-2.4900000000000002</v>
      </c>
      <c r="DP32" s="228">
        <v>0.56000000000000005</v>
      </c>
      <c r="DQ32" s="228">
        <v>0.61</v>
      </c>
      <c r="DR32" s="228">
        <v>-0.05</v>
      </c>
      <c r="DS32" s="229">
        <v>-8.2000000000000003E-2</v>
      </c>
      <c r="DT32" s="231">
        <v>2000</v>
      </c>
      <c r="DU32" s="231">
        <v>1900</v>
      </c>
      <c r="DV32" s="228">
        <v>0.64</v>
      </c>
      <c r="DW32" s="228">
        <v>0.48</v>
      </c>
      <c r="DX32" s="228">
        <v>0.16</v>
      </c>
      <c r="DY32" s="229">
        <v>0.33329999999999999</v>
      </c>
      <c r="DZ32" s="229">
        <v>4.3799999999999999E-2</v>
      </c>
      <c r="EA32" s="230">
        <v>2550750</v>
      </c>
      <c r="EB32" s="229">
        <v>6.1999999999999998E-3</v>
      </c>
      <c r="EC32" s="229">
        <v>4.3799999999999999E-2</v>
      </c>
      <c r="ED32" s="228">
        <v>12.08</v>
      </c>
      <c r="EE32" s="229">
        <v>6.3E-3</v>
      </c>
      <c r="EF32" s="230">
        <v>7893010</v>
      </c>
      <c r="EG32" s="230">
        <v>14410688</v>
      </c>
      <c r="EH32" s="229">
        <v>-0.45229999999999998</v>
      </c>
      <c r="EI32" s="229">
        <v>0.59350000000000003</v>
      </c>
      <c r="EJ32" s="231">
        <v>428573.01</v>
      </c>
      <c r="EK32" s="231">
        <v>260725.4</v>
      </c>
      <c r="EL32" s="231">
        <v>126756.02</v>
      </c>
      <c r="EM32" s="231">
        <v>19256</v>
      </c>
      <c r="EN32" s="231">
        <v>816054.43</v>
      </c>
      <c r="EO32" s="231">
        <v>1720037.9</v>
      </c>
      <c r="EP32" s="231">
        <v>-903983.47</v>
      </c>
      <c r="EQ32" s="229">
        <v>-0.52559999999999996</v>
      </c>
      <c r="ER32" s="231">
        <v>291003</v>
      </c>
      <c r="ES32" s="231">
        <v>151251</v>
      </c>
      <c r="ET32" s="231">
        <v>1141549</v>
      </c>
      <c r="EU32" s="231">
        <v>367085962</v>
      </c>
      <c r="EV32" s="231">
        <v>1583803</v>
      </c>
      <c r="EW32" s="231">
        <v>1620087</v>
      </c>
      <c r="EX32" s="231">
        <v>-36284</v>
      </c>
      <c r="EY32" s="229">
        <v>-2.24E-2</v>
      </c>
      <c r="EZ32" s="229">
        <v>0.2238</v>
      </c>
      <c r="FA32" s="227" t="s">
        <v>556</v>
      </c>
      <c r="FB32" s="161">
        <f t="shared" si="0"/>
        <v>2608700</v>
      </c>
    </row>
    <row r="33" spans="1:158" ht="17.25" thickBot="1" x14ac:dyDescent="0.3">
      <c r="A33" s="226">
        <v>46086</v>
      </c>
      <c r="B33" s="227" t="s">
        <v>184</v>
      </c>
      <c r="C33" s="227" t="s">
        <v>190</v>
      </c>
      <c r="D33" s="228">
        <v>2625</v>
      </c>
      <c r="E33" s="228">
        <v>257.64999999999998</v>
      </c>
      <c r="F33" s="228">
        <v>248.9</v>
      </c>
      <c r="G33" s="228">
        <v>8.75</v>
      </c>
      <c r="H33" s="229">
        <v>3.5200000000000002E-2</v>
      </c>
      <c r="I33" s="228">
        <v>257.25</v>
      </c>
      <c r="J33" s="228">
        <v>247.9</v>
      </c>
      <c r="K33" s="228">
        <v>9.35</v>
      </c>
      <c r="L33" s="229">
        <v>3.7699999999999997E-2</v>
      </c>
      <c r="M33" s="228">
        <v>257.64999999999998</v>
      </c>
      <c r="N33" s="228">
        <v>248.9</v>
      </c>
      <c r="O33" s="228">
        <v>8.75</v>
      </c>
      <c r="P33" s="229">
        <v>3.5200000000000002E-2</v>
      </c>
      <c r="Q33" s="228">
        <v>259.35000000000002</v>
      </c>
      <c r="R33" s="228">
        <v>250.65</v>
      </c>
      <c r="S33" s="228">
        <v>8.6999999999999993</v>
      </c>
      <c r="T33" s="229">
        <v>3.4700000000000002E-2</v>
      </c>
      <c r="U33" s="228">
        <v>260.35000000000002</v>
      </c>
      <c r="V33" s="228">
        <v>251.95</v>
      </c>
      <c r="W33" s="228">
        <v>8.4</v>
      </c>
      <c r="X33" s="229">
        <v>3.3300000000000003E-2</v>
      </c>
      <c r="Y33" s="228">
        <v>0.4</v>
      </c>
      <c r="Z33" s="228">
        <v>1</v>
      </c>
      <c r="AA33" s="228">
        <v>-0.6</v>
      </c>
      <c r="AB33" s="229">
        <v>1.6000000000000001E-3</v>
      </c>
      <c r="AC33" s="228">
        <v>0.4</v>
      </c>
      <c r="AD33" s="228">
        <v>1</v>
      </c>
      <c r="AE33" s="228">
        <v>-0.6</v>
      </c>
      <c r="AF33" s="229">
        <v>1.6000000000000001E-3</v>
      </c>
      <c r="AG33" s="228">
        <v>2.1</v>
      </c>
      <c r="AH33" s="228">
        <v>2.75</v>
      </c>
      <c r="AI33" s="228">
        <v>-0.65</v>
      </c>
      <c r="AJ33" s="229">
        <v>8.2000000000000007E-3</v>
      </c>
      <c r="AK33" s="228">
        <v>3.1</v>
      </c>
      <c r="AL33" s="228">
        <v>4.05</v>
      </c>
      <c r="AM33" s="228">
        <v>-0.95</v>
      </c>
      <c r="AN33" s="229">
        <v>1.21E-2</v>
      </c>
      <c r="AO33" s="228">
        <v>254.12</v>
      </c>
      <c r="AP33" s="228">
        <v>255.7</v>
      </c>
      <c r="AQ33" s="228">
        <v>0</v>
      </c>
      <c r="AR33" s="230">
        <v>31374000</v>
      </c>
      <c r="AS33" s="230">
        <v>33991125</v>
      </c>
      <c r="AT33" s="230">
        <v>-2617125</v>
      </c>
      <c r="AU33" s="229">
        <v>-7.6999999999999999E-2</v>
      </c>
      <c r="AV33" s="230">
        <v>25068750</v>
      </c>
      <c r="AW33" s="230">
        <v>23827125</v>
      </c>
      <c r="AX33" s="230">
        <v>1241625</v>
      </c>
      <c r="AY33" s="229">
        <v>5.21E-2</v>
      </c>
      <c r="AZ33" s="230">
        <v>3588375</v>
      </c>
      <c r="BA33" s="230">
        <v>1890000</v>
      </c>
      <c r="BB33" s="230">
        <v>1698375</v>
      </c>
      <c r="BC33" s="229">
        <v>0.89859999999999995</v>
      </c>
      <c r="BD33" s="230">
        <v>2716875</v>
      </c>
      <c r="BE33" s="230">
        <v>8274000</v>
      </c>
      <c r="BF33" s="230">
        <v>-5557125</v>
      </c>
      <c r="BG33" s="229">
        <v>-0.67159999999999997</v>
      </c>
      <c r="BH33" s="230">
        <v>41595750</v>
      </c>
      <c r="BI33" s="230">
        <v>51347625</v>
      </c>
      <c r="BJ33" s="230">
        <v>-9751875</v>
      </c>
      <c r="BK33" s="229">
        <v>-0.18990000000000001</v>
      </c>
      <c r="BL33" s="230">
        <v>19850250</v>
      </c>
      <c r="BM33" s="230">
        <v>26549250</v>
      </c>
      <c r="BN33" s="230">
        <v>-6699000</v>
      </c>
      <c r="BO33" s="229">
        <v>-0.25230000000000002</v>
      </c>
      <c r="BP33" s="230">
        <v>92820000</v>
      </c>
      <c r="BQ33" s="230">
        <v>111888000</v>
      </c>
      <c r="BR33" s="230">
        <v>-19068000</v>
      </c>
      <c r="BS33" s="229">
        <v>-0.1704</v>
      </c>
      <c r="BT33" s="230">
        <v>10934547</v>
      </c>
      <c r="BU33" s="230">
        <v>16709342</v>
      </c>
      <c r="BV33" s="230">
        <v>-5774795</v>
      </c>
      <c r="BW33" s="229">
        <v>-0.34560000000000002</v>
      </c>
      <c r="BX33" s="230">
        <v>135114000</v>
      </c>
      <c r="BY33" s="230">
        <v>130263000</v>
      </c>
      <c r="BZ33" s="230">
        <v>4851000</v>
      </c>
      <c r="CA33" s="229">
        <v>3.7199999999999997E-2</v>
      </c>
      <c r="CB33" s="230">
        <v>118723500</v>
      </c>
      <c r="CC33" s="230">
        <v>119198625</v>
      </c>
      <c r="CD33" s="230">
        <v>-475125</v>
      </c>
      <c r="CE33" s="229">
        <v>-4.0000000000000001E-3</v>
      </c>
      <c r="CF33" s="230">
        <v>9342375</v>
      </c>
      <c r="CG33" s="230">
        <v>6612375</v>
      </c>
      <c r="CH33" s="230">
        <v>2730000</v>
      </c>
      <c r="CI33" s="229">
        <v>0.41289999999999999</v>
      </c>
      <c r="CJ33" s="230">
        <v>7048125</v>
      </c>
      <c r="CK33" s="230">
        <v>4452000</v>
      </c>
      <c r="CL33" s="230">
        <v>2596125</v>
      </c>
      <c r="CM33" s="229">
        <v>0.58309999999999995</v>
      </c>
      <c r="CN33" s="230">
        <v>30195375</v>
      </c>
      <c r="CO33" s="230">
        <v>30058875</v>
      </c>
      <c r="CP33" s="230">
        <v>136500</v>
      </c>
      <c r="CQ33" s="229">
        <v>4.4999999999999997E-3</v>
      </c>
      <c r="CR33" s="230">
        <v>22561875</v>
      </c>
      <c r="CS33" s="230">
        <v>22118250</v>
      </c>
      <c r="CT33" s="230">
        <v>443625</v>
      </c>
      <c r="CU33" s="229">
        <v>2.01E-2</v>
      </c>
      <c r="CV33" s="230">
        <v>187871250</v>
      </c>
      <c r="CW33" s="230">
        <v>182440125</v>
      </c>
      <c r="CX33" s="230">
        <v>5431125</v>
      </c>
      <c r="CY33" s="229">
        <v>2.98E-2</v>
      </c>
      <c r="CZ33" s="228">
        <v>34.75</v>
      </c>
      <c r="DA33" s="228">
        <v>38.409999999999997</v>
      </c>
      <c r="DB33" s="228">
        <v>-3.66</v>
      </c>
      <c r="DC33" s="228">
        <v>-3.66</v>
      </c>
      <c r="DD33" s="228">
        <v>46.07</v>
      </c>
      <c r="DE33" s="228">
        <v>45.95</v>
      </c>
      <c r="DF33" s="228">
        <v>-11.32</v>
      </c>
      <c r="DG33" s="228">
        <v>0.12</v>
      </c>
      <c r="DH33" s="228">
        <v>33.47</v>
      </c>
      <c r="DI33" s="228">
        <v>37.85</v>
      </c>
      <c r="DJ33" s="228">
        <v>-4.38</v>
      </c>
      <c r="DK33" s="228">
        <v>-4.38</v>
      </c>
      <c r="DL33" s="228">
        <v>37.44</v>
      </c>
      <c r="DM33" s="228">
        <v>39.5</v>
      </c>
      <c r="DN33" s="228">
        <v>-2.06</v>
      </c>
      <c r="DO33" s="228">
        <v>-2.06</v>
      </c>
      <c r="DP33" s="228">
        <v>0.75</v>
      </c>
      <c r="DQ33" s="228">
        <v>0.74</v>
      </c>
      <c r="DR33" s="228">
        <v>0.01</v>
      </c>
      <c r="DS33" s="229">
        <v>1.35E-2</v>
      </c>
      <c r="DT33" s="228">
        <v>260</v>
      </c>
      <c r="DU33" s="228">
        <v>240</v>
      </c>
      <c r="DV33" s="228">
        <v>0.48</v>
      </c>
      <c r="DW33" s="228">
        <v>0.52</v>
      </c>
      <c r="DX33" s="228">
        <v>-0.04</v>
      </c>
      <c r="DY33" s="229">
        <v>-7.6899999999999996E-2</v>
      </c>
      <c r="DZ33" s="229">
        <v>0.12130000000000001</v>
      </c>
      <c r="EA33" s="230">
        <v>11064375</v>
      </c>
      <c r="EB33" s="229">
        <v>6.6E-3</v>
      </c>
      <c r="EC33" s="229">
        <v>0.12130000000000001</v>
      </c>
      <c r="ED33" s="228">
        <v>1.58</v>
      </c>
      <c r="EE33" s="229">
        <v>6.1999999999999998E-3</v>
      </c>
      <c r="EF33" s="230">
        <v>4301772</v>
      </c>
      <c r="EG33" s="230">
        <v>7649255</v>
      </c>
      <c r="EH33" s="229">
        <v>-0.43759999999999999</v>
      </c>
      <c r="EI33" s="229">
        <v>0.39340000000000003</v>
      </c>
      <c r="EJ33" s="231">
        <v>113014.34</v>
      </c>
      <c r="EK33" s="231">
        <v>49962.12</v>
      </c>
      <c r="EL33" s="231">
        <v>79864.81</v>
      </c>
      <c r="EM33" s="231">
        <v>9232</v>
      </c>
      <c r="EN33" s="231">
        <v>242841.27</v>
      </c>
      <c r="EO33" s="231">
        <v>293945.39</v>
      </c>
      <c r="EP33" s="231">
        <v>-51104.12</v>
      </c>
      <c r="EQ33" s="229">
        <v>-0.1739</v>
      </c>
      <c r="ER33" s="231">
        <v>83133</v>
      </c>
      <c r="ES33" s="231">
        <v>56375</v>
      </c>
      <c r="ET33" s="231">
        <v>348470</v>
      </c>
      <c r="EU33" s="231">
        <v>192361942</v>
      </c>
      <c r="EV33" s="231">
        <v>487978</v>
      </c>
      <c r="EW33" s="231">
        <v>462545</v>
      </c>
      <c r="EX33" s="231">
        <v>25433</v>
      </c>
      <c r="EY33" s="229">
        <v>5.5E-2</v>
      </c>
      <c r="EZ33" s="229">
        <v>0.97670000000000001</v>
      </c>
      <c r="FA33" s="227" t="s">
        <v>555</v>
      </c>
      <c r="FB33" s="161">
        <f t="shared" si="0"/>
        <v>16390500</v>
      </c>
    </row>
    <row r="34" spans="1:158" ht="17.25" thickBot="1" x14ac:dyDescent="0.3">
      <c r="A34" s="226">
        <v>46086</v>
      </c>
      <c r="B34" s="227" t="s">
        <v>170</v>
      </c>
      <c r="C34" s="227" t="s">
        <v>191</v>
      </c>
      <c r="D34" s="228">
        <v>2500</v>
      </c>
      <c r="E34" s="228">
        <v>388.6</v>
      </c>
      <c r="F34" s="228">
        <v>379.3</v>
      </c>
      <c r="G34" s="228">
        <v>9.3000000000000007</v>
      </c>
      <c r="H34" s="229">
        <v>2.4500000000000001E-2</v>
      </c>
      <c r="I34" s="228">
        <v>386.8</v>
      </c>
      <c r="J34" s="228">
        <v>378.35</v>
      </c>
      <c r="K34" s="228">
        <v>8.4499999999999993</v>
      </c>
      <c r="L34" s="229">
        <v>2.23E-2</v>
      </c>
      <c r="M34" s="228">
        <v>388.6</v>
      </c>
      <c r="N34" s="228">
        <v>379.3</v>
      </c>
      <c r="O34" s="228">
        <v>9.3000000000000007</v>
      </c>
      <c r="P34" s="229">
        <v>2.4500000000000001E-2</v>
      </c>
      <c r="Q34" s="228">
        <v>391</v>
      </c>
      <c r="R34" s="228">
        <v>382.1</v>
      </c>
      <c r="S34" s="228">
        <v>8.9</v>
      </c>
      <c r="T34" s="229">
        <v>2.3300000000000001E-2</v>
      </c>
      <c r="U34" s="228">
        <v>393.5</v>
      </c>
      <c r="V34" s="228">
        <v>384.85</v>
      </c>
      <c r="W34" s="228">
        <v>8.65</v>
      </c>
      <c r="X34" s="229">
        <v>2.2499999999999999E-2</v>
      </c>
      <c r="Y34" s="228">
        <v>1.8</v>
      </c>
      <c r="Z34" s="228">
        <v>0.95</v>
      </c>
      <c r="AA34" s="228">
        <v>0.85</v>
      </c>
      <c r="AB34" s="229">
        <v>4.7000000000000002E-3</v>
      </c>
      <c r="AC34" s="228">
        <v>1.8</v>
      </c>
      <c r="AD34" s="228">
        <v>0.95</v>
      </c>
      <c r="AE34" s="228">
        <v>0.85</v>
      </c>
      <c r="AF34" s="229">
        <v>4.7000000000000002E-3</v>
      </c>
      <c r="AG34" s="228">
        <v>4.2</v>
      </c>
      <c r="AH34" s="228">
        <v>3.75</v>
      </c>
      <c r="AI34" s="228">
        <v>0.45</v>
      </c>
      <c r="AJ34" s="229">
        <v>1.09E-2</v>
      </c>
      <c r="AK34" s="228">
        <v>6.7</v>
      </c>
      <c r="AL34" s="228">
        <v>6.5</v>
      </c>
      <c r="AM34" s="228">
        <v>0.2</v>
      </c>
      <c r="AN34" s="229">
        <v>1.7299999999999999E-2</v>
      </c>
      <c r="AO34" s="228">
        <v>385.57</v>
      </c>
      <c r="AP34" s="228">
        <v>387.72</v>
      </c>
      <c r="AQ34" s="228">
        <v>0</v>
      </c>
      <c r="AR34" s="230">
        <v>6102500</v>
      </c>
      <c r="AS34" s="230">
        <v>8507500</v>
      </c>
      <c r="AT34" s="230">
        <v>-2405000</v>
      </c>
      <c r="AU34" s="229">
        <v>-0.28270000000000001</v>
      </c>
      <c r="AV34" s="230">
        <v>5620000</v>
      </c>
      <c r="AW34" s="230">
        <v>7637500</v>
      </c>
      <c r="AX34" s="230">
        <v>-2017500</v>
      </c>
      <c r="AY34" s="229">
        <v>-0.26419999999999999</v>
      </c>
      <c r="AZ34" s="230">
        <v>407500</v>
      </c>
      <c r="BA34" s="230">
        <v>610000</v>
      </c>
      <c r="BB34" s="230">
        <v>-202500</v>
      </c>
      <c r="BC34" s="229">
        <v>-0.33200000000000002</v>
      </c>
      <c r="BD34" s="230">
        <v>75000</v>
      </c>
      <c r="BE34" s="230">
        <v>260000</v>
      </c>
      <c r="BF34" s="230">
        <v>-185000</v>
      </c>
      <c r="BG34" s="229">
        <v>-0.71150000000000002</v>
      </c>
      <c r="BH34" s="230">
        <v>14592500</v>
      </c>
      <c r="BI34" s="230">
        <v>18917500</v>
      </c>
      <c r="BJ34" s="230">
        <v>-4325000</v>
      </c>
      <c r="BK34" s="229">
        <v>-0.2286</v>
      </c>
      <c r="BL34" s="230">
        <v>5897500</v>
      </c>
      <c r="BM34" s="230">
        <v>6692500</v>
      </c>
      <c r="BN34" s="230">
        <v>-795000</v>
      </c>
      <c r="BO34" s="229">
        <v>-0.1188</v>
      </c>
      <c r="BP34" s="230">
        <v>26592500</v>
      </c>
      <c r="BQ34" s="230">
        <v>34117500</v>
      </c>
      <c r="BR34" s="230">
        <v>-7525000</v>
      </c>
      <c r="BS34" s="229">
        <v>-0.22059999999999999</v>
      </c>
      <c r="BT34" s="230">
        <v>2996865</v>
      </c>
      <c r="BU34" s="230">
        <v>5223195</v>
      </c>
      <c r="BV34" s="230">
        <v>-2226330</v>
      </c>
      <c r="BW34" s="229">
        <v>-0.42620000000000002</v>
      </c>
      <c r="BX34" s="230">
        <v>37137500</v>
      </c>
      <c r="BY34" s="230">
        <v>38535000</v>
      </c>
      <c r="BZ34" s="230">
        <v>-1397500</v>
      </c>
      <c r="CA34" s="229">
        <v>-3.6299999999999999E-2</v>
      </c>
      <c r="CB34" s="230">
        <v>35437500</v>
      </c>
      <c r="CC34" s="230">
        <v>36837500</v>
      </c>
      <c r="CD34" s="230">
        <v>-1400000</v>
      </c>
      <c r="CE34" s="229">
        <v>-3.7999999999999999E-2</v>
      </c>
      <c r="CF34" s="230">
        <v>1200000</v>
      </c>
      <c r="CG34" s="230">
        <v>1217500</v>
      </c>
      <c r="CH34" s="230">
        <v>-17500</v>
      </c>
      <c r="CI34" s="229">
        <v>-1.44E-2</v>
      </c>
      <c r="CJ34" s="230">
        <v>500000</v>
      </c>
      <c r="CK34" s="230">
        <v>480000</v>
      </c>
      <c r="CL34" s="230">
        <v>20000</v>
      </c>
      <c r="CM34" s="229">
        <v>4.1700000000000001E-2</v>
      </c>
      <c r="CN34" s="230">
        <v>15480000</v>
      </c>
      <c r="CO34" s="230">
        <v>15250000</v>
      </c>
      <c r="CP34" s="230">
        <v>230000</v>
      </c>
      <c r="CQ34" s="229">
        <v>1.5100000000000001E-2</v>
      </c>
      <c r="CR34" s="230">
        <v>10237500</v>
      </c>
      <c r="CS34" s="230">
        <v>10222500</v>
      </c>
      <c r="CT34" s="230">
        <v>15000</v>
      </c>
      <c r="CU34" s="229">
        <v>1.5E-3</v>
      </c>
      <c r="CV34" s="230">
        <v>62855000</v>
      </c>
      <c r="CW34" s="230">
        <v>64007500</v>
      </c>
      <c r="CX34" s="230">
        <v>-1152500</v>
      </c>
      <c r="CY34" s="229">
        <v>-1.7999999999999999E-2</v>
      </c>
      <c r="CZ34" s="228">
        <v>27.58</v>
      </c>
      <c r="DA34" s="228">
        <v>31.23</v>
      </c>
      <c r="DB34" s="228">
        <v>-3.65</v>
      </c>
      <c r="DC34" s="228">
        <v>-3.65</v>
      </c>
      <c r="DD34" s="228">
        <v>35.51</v>
      </c>
      <c r="DE34" s="228">
        <v>35.450000000000003</v>
      </c>
      <c r="DF34" s="228">
        <v>-7.93</v>
      </c>
      <c r="DG34" s="228">
        <v>0.06</v>
      </c>
      <c r="DH34" s="228">
        <v>26.67</v>
      </c>
      <c r="DI34" s="228">
        <v>30.79</v>
      </c>
      <c r="DJ34" s="228">
        <v>-4.12</v>
      </c>
      <c r="DK34" s="228">
        <v>-4.12</v>
      </c>
      <c r="DL34" s="228">
        <v>29.83</v>
      </c>
      <c r="DM34" s="228">
        <v>32.47</v>
      </c>
      <c r="DN34" s="228">
        <v>-2.64</v>
      </c>
      <c r="DO34" s="228">
        <v>-2.64</v>
      </c>
      <c r="DP34" s="228">
        <v>0.66</v>
      </c>
      <c r="DQ34" s="228">
        <v>0.67</v>
      </c>
      <c r="DR34" s="228">
        <v>-0.01</v>
      </c>
      <c r="DS34" s="229">
        <v>-1.49E-2</v>
      </c>
      <c r="DT34" s="228">
        <v>400</v>
      </c>
      <c r="DU34" s="228">
        <v>370</v>
      </c>
      <c r="DV34" s="228">
        <v>0.4</v>
      </c>
      <c r="DW34" s="228">
        <v>0.35</v>
      </c>
      <c r="DX34" s="228">
        <v>0.05</v>
      </c>
      <c r="DY34" s="229">
        <v>0.1429</v>
      </c>
      <c r="DZ34" s="229">
        <v>4.58E-2</v>
      </c>
      <c r="EA34" s="230">
        <v>1697500</v>
      </c>
      <c r="EB34" s="229">
        <v>6.1999999999999998E-3</v>
      </c>
      <c r="EC34" s="229">
        <v>4.58E-2</v>
      </c>
      <c r="ED34" s="228">
        <v>2.15</v>
      </c>
      <c r="EE34" s="229">
        <v>5.5999999999999999E-3</v>
      </c>
      <c r="EF34" s="230">
        <v>1604121</v>
      </c>
      <c r="EG34" s="230">
        <v>3345018</v>
      </c>
      <c r="EH34" s="229">
        <v>-0.52039999999999997</v>
      </c>
      <c r="EI34" s="229">
        <v>0.5353</v>
      </c>
      <c r="EJ34" s="231">
        <v>59777.21</v>
      </c>
      <c r="EK34" s="231">
        <v>22393.279999999999</v>
      </c>
      <c r="EL34" s="231">
        <v>23540.87</v>
      </c>
      <c r="EM34" s="231">
        <v>3411</v>
      </c>
      <c r="EN34" s="231">
        <v>105711.36</v>
      </c>
      <c r="EO34" s="231">
        <v>135033.67000000001</v>
      </c>
      <c r="EP34" s="231">
        <v>-29322.31</v>
      </c>
      <c r="EQ34" s="229">
        <v>-0.21709999999999999</v>
      </c>
      <c r="ER34" s="231">
        <v>62652</v>
      </c>
      <c r="ES34" s="231">
        <v>38262</v>
      </c>
      <c r="ET34" s="231">
        <v>144370</v>
      </c>
      <c r="EU34" s="231">
        <v>91057772</v>
      </c>
      <c r="EV34" s="231">
        <v>245284</v>
      </c>
      <c r="EW34" s="231">
        <v>246115</v>
      </c>
      <c r="EX34" s="228">
        <v>-831</v>
      </c>
      <c r="EY34" s="229">
        <v>-3.3999999999999998E-3</v>
      </c>
      <c r="EZ34" s="229">
        <v>0.69030000000000002</v>
      </c>
      <c r="FA34" s="227" t="s">
        <v>556</v>
      </c>
      <c r="FB34" s="161">
        <f t="shared" si="0"/>
        <v>1700000</v>
      </c>
    </row>
    <row r="35" spans="1:158" ht="17.25" thickBot="1" x14ac:dyDescent="0.3">
      <c r="A35" s="226">
        <v>46086</v>
      </c>
      <c r="B35" s="227" t="s">
        <v>184</v>
      </c>
      <c r="C35" s="227" t="s">
        <v>678</v>
      </c>
      <c r="D35" s="228">
        <v>325</v>
      </c>
      <c r="E35" s="231">
        <v>1949.7</v>
      </c>
      <c r="F35" s="231">
        <v>1846.4</v>
      </c>
      <c r="G35" s="228">
        <v>103.3</v>
      </c>
      <c r="H35" s="229">
        <v>5.5899999999999998E-2</v>
      </c>
      <c r="I35" s="231">
        <v>1946.7</v>
      </c>
      <c r="J35" s="231">
        <v>1843.6</v>
      </c>
      <c r="K35" s="228">
        <v>103.1</v>
      </c>
      <c r="L35" s="229">
        <v>5.5899999999999998E-2</v>
      </c>
      <c r="M35" s="231">
        <v>1949.7</v>
      </c>
      <c r="N35" s="231">
        <v>1846.4</v>
      </c>
      <c r="O35" s="228">
        <v>103.3</v>
      </c>
      <c r="P35" s="229">
        <v>5.5899999999999998E-2</v>
      </c>
      <c r="Q35" s="231">
        <v>1956.1</v>
      </c>
      <c r="R35" s="231">
        <v>1855.7</v>
      </c>
      <c r="S35" s="228">
        <v>100.4</v>
      </c>
      <c r="T35" s="229">
        <v>5.4100000000000002E-2</v>
      </c>
      <c r="U35" s="231">
        <v>1917.3</v>
      </c>
      <c r="V35" s="231">
        <v>1876.1</v>
      </c>
      <c r="W35" s="228">
        <v>41.2</v>
      </c>
      <c r="X35" s="229">
        <v>2.1999999999999999E-2</v>
      </c>
      <c r="Y35" s="228">
        <v>3</v>
      </c>
      <c r="Z35" s="228">
        <v>2.8</v>
      </c>
      <c r="AA35" s="228">
        <v>0.2</v>
      </c>
      <c r="AB35" s="229">
        <v>1.5E-3</v>
      </c>
      <c r="AC35" s="228">
        <v>3</v>
      </c>
      <c r="AD35" s="228">
        <v>2.8</v>
      </c>
      <c r="AE35" s="228">
        <v>0.2</v>
      </c>
      <c r="AF35" s="229">
        <v>1.5E-3</v>
      </c>
      <c r="AG35" s="228">
        <v>9.4</v>
      </c>
      <c r="AH35" s="228">
        <v>12.1</v>
      </c>
      <c r="AI35" s="228">
        <v>-2.7</v>
      </c>
      <c r="AJ35" s="229">
        <v>4.7999999999999996E-3</v>
      </c>
      <c r="AK35" s="228">
        <v>-29.4</v>
      </c>
      <c r="AL35" s="228">
        <v>32.5</v>
      </c>
      <c r="AM35" s="228">
        <v>-61.9</v>
      </c>
      <c r="AN35" s="229">
        <v>-1.5100000000000001E-2</v>
      </c>
      <c r="AO35" s="231">
        <v>1911.14</v>
      </c>
      <c r="AP35" s="231">
        <v>1916.74</v>
      </c>
      <c r="AQ35" s="228">
        <v>0</v>
      </c>
      <c r="AR35" s="230">
        <v>1554475</v>
      </c>
      <c r="AS35" s="230">
        <v>1036100</v>
      </c>
      <c r="AT35" s="230">
        <v>518375</v>
      </c>
      <c r="AU35" s="229">
        <v>0.50029999999999997</v>
      </c>
      <c r="AV35" s="230">
        <v>1511250</v>
      </c>
      <c r="AW35" s="230">
        <v>999700</v>
      </c>
      <c r="AX35" s="230">
        <v>511550</v>
      </c>
      <c r="AY35" s="229">
        <v>0.51170000000000004</v>
      </c>
      <c r="AZ35" s="230">
        <v>39000</v>
      </c>
      <c r="BA35" s="230">
        <v>35750</v>
      </c>
      <c r="BB35" s="230">
        <v>3250</v>
      </c>
      <c r="BC35" s="229">
        <v>9.0899999999999995E-2</v>
      </c>
      <c r="BD35" s="230">
        <v>4225</v>
      </c>
      <c r="BE35" s="228">
        <v>650</v>
      </c>
      <c r="BF35" s="230">
        <v>3575</v>
      </c>
      <c r="BG35" s="229">
        <v>5.5</v>
      </c>
      <c r="BH35" s="230">
        <v>3493425</v>
      </c>
      <c r="BI35" s="230">
        <v>1216150</v>
      </c>
      <c r="BJ35" s="230">
        <v>2277275</v>
      </c>
      <c r="BK35" s="229">
        <v>1.8725000000000001</v>
      </c>
      <c r="BL35" s="230">
        <v>528125</v>
      </c>
      <c r="BM35" s="230">
        <v>686400</v>
      </c>
      <c r="BN35" s="230">
        <v>-158275</v>
      </c>
      <c r="BO35" s="229">
        <v>-0.2306</v>
      </c>
      <c r="BP35" s="230">
        <v>5576025</v>
      </c>
      <c r="BQ35" s="230">
        <v>2938650</v>
      </c>
      <c r="BR35" s="230">
        <v>2637375</v>
      </c>
      <c r="BS35" s="229">
        <v>0.89749999999999996</v>
      </c>
      <c r="BT35" s="230">
        <v>843334</v>
      </c>
      <c r="BU35" s="230">
        <v>479789</v>
      </c>
      <c r="BV35" s="230">
        <v>363545</v>
      </c>
      <c r="BW35" s="229">
        <v>0.75770000000000004</v>
      </c>
      <c r="BX35" s="230">
        <v>2692625</v>
      </c>
      <c r="BY35" s="230">
        <v>2618525</v>
      </c>
      <c r="BZ35" s="230">
        <v>74100</v>
      </c>
      <c r="CA35" s="229">
        <v>2.8299999999999999E-2</v>
      </c>
      <c r="CB35" s="230">
        <v>2661100</v>
      </c>
      <c r="CC35" s="230">
        <v>2592200</v>
      </c>
      <c r="CD35" s="230">
        <v>68900</v>
      </c>
      <c r="CE35" s="229">
        <v>2.6599999999999999E-2</v>
      </c>
      <c r="CF35" s="230">
        <v>28600</v>
      </c>
      <c r="CG35" s="230">
        <v>25025</v>
      </c>
      <c r="CH35" s="230">
        <v>3575</v>
      </c>
      <c r="CI35" s="229">
        <v>0.1429</v>
      </c>
      <c r="CJ35" s="230">
        <v>2925</v>
      </c>
      <c r="CK35" s="230">
        <v>1300</v>
      </c>
      <c r="CL35" s="230">
        <v>1625</v>
      </c>
      <c r="CM35" s="229">
        <v>1.25</v>
      </c>
      <c r="CN35" s="230">
        <v>1046825</v>
      </c>
      <c r="CO35" s="230">
        <v>915525</v>
      </c>
      <c r="CP35" s="230">
        <v>131300</v>
      </c>
      <c r="CQ35" s="229">
        <v>0.1434</v>
      </c>
      <c r="CR35" s="230">
        <v>514150</v>
      </c>
      <c r="CS35" s="230">
        <v>415350</v>
      </c>
      <c r="CT35" s="230">
        <v>98800</v>
      </c>
      <c r="CU35" s="229">
        <v>0.2379</v>
      </c>
      <c r="CV35" s="230">
        <v>4253600</v>
      </c>
      <c r="CW35" s="230">
        <v>3949400</v>
      </c>
      <c r="CX35" s="230">
        <v>304200</v>
      </c>
      <c r="CY35" s="229">
        <v>7.6999999999999999E-2</v>
      </c>
      <c r="CZ35" s="228">
        <v>33.47</v>
      </c>
      <c r="DA35" s="228">
        <v>35.69</v>
      </c>
      <c r="DB35" s="228">
        <v>-2.2200000000000002</v>
      </c>
      <c r="DC35" s="228">
        <v>-2.2200000000000002</v>
      </c>
      <c r="DD35" s="228">
        <v>39.14</v>
      </c>
      <c r="DE35" s="228">
        <v>38.54</v>
      </c>
      <c r="DF35" s="228">
        <v>-5.67</v>
      </c>
      <c r="DG35" s="228">
        <v>0.6</v>
      </c>
      <c r="DH35" s="228">
        <v>33.43</v>
      </c>
      <c r="DI35" s="228">
        <v>36.97</v>
      </c>
      <c r="DJ35" s="228">
        <v>-3.54</v>
      </c>
      <c r="DK35" s="228">
        <v>-3.54</v>
      </c>
      <c r="DL35" s="228">
        <v>33.74</v>
      </c>
      <c r="DM35" s="228">
        <v>33.42</v>
      </c>
      <c r="DN35" s="228">
        <v>0.32</v>
      </c>
      <c r="DO35" s="228">
        <v>0.32</v>
      </c>
      <c r="DP35" s="228">
        <v>0.49</v>
      </c>
      <c r="DQ35" s="228">
        <v>0.45</v>
      </c>
      <c r="DR35" s="228">
        <v>0.04</v>
      </c>
      <c r="DS35" s="229">
        <v>8.8900000000000007E-2</v>
      </c>
      <c r="DT35" s="231">
        <v>2200</v>
      </c>
      <c r="DU35" s="231">
        <v>1900</v>
      </c>
      <c r="DV35" s="228">
        <v>0.15</v>
      </c>
      <c r="DW35" s="228">
        <v>0.56000000000000005</v>
      </c>
      <c r="DX35" s="228">
        <v>-0.41</v>
      </c>
      <c r="DY35" s="229">
        <v>-0.73209999999999997</v>
      </c>
      <c r="DZ35" s="229">
        <v>1.17E-2</v>
      </c>
      <c r="EA35" s="230">
        <v>26325</v>
      </c>
      <c r="EB35" s="229">
        <v>3.3E-3</v>
      </c>
      <c r="EC35" s="229">
        <v>1.17E-2</v>
      </c>
      <c r="ED35" s="228">
        <v>5.6</v>
      </c>
      <c r="EE35" s="229">
        <v>2.8999999999999998E-3</v>
      </c>
      <c r="EF35" s="230">
        <v>320519</v>
      </c>
      <c r="EG35" s="230">
        <v>212458</v>
      </c>
      <c r="EH35" s="229">
        <v>0.50860000000000005</v>
      </c>
      <c r="EI35" s="229">
        <v>0.38009999999999999</v>
      </c>
      <c r="EJ35" s="231">
        <v>71450.67</v>
      </c>
      <c r="EK35" s="231">
        <v>10263.530000000001</v>
      </c>
      <c r="EL35" s="231">
        <v>29709.31</v>
      </c>
      <c r="EM35" s="231">
        <v>2252</v>
      </c>
      <c r="EN35" s="231">
        <v>111423.51</v>
      </c>
      <c r="EO35" s="231">
        <v>57346.17</v>
      </c>
      <c r="EP35" s="231">
        <v>54077.34</v>
      </c>
      <c r="EQ35" s="229">
        <v>0.94299999999999995</v>
      </c>
      <c r="ER35" s="231">
        <v>21412</v>
      </c>
      <c r="ES35" s="231">
        <v>9723</v>
      </c>
      <c r="ET35" s="231">
        <v>52499</v>
      </c>
      <c r="EU35" s="231">
        <v>17213286</v>
      </c>
      <c r="EV35" s="231">
        <v>83634</v>
      </c>
      <c r="EW35" s="231">
        <v>74926</v>
      </c>
      <c r="EX35" s="231">
        <v>8708</v>
      </c>
      <c r="EY35" s="229">
        <v>0.1162</v>
      </c>
      <c r="EZ35" s="229">
        <v>0.24709999999999999</v>
      </c>
      <c r="FA35" s="227" t="s">
        <v>555</v>
      </c>
      <c r="FB35" s="161">
        <f t="shared" si="0"/>
        <v>31525</v>
      </c>
    </row>
    <row r="36" spans="1:158" ht="17.25" thickBot="1" x14ac:dyDescent="0.3">
      <c r="A36" s="226">
        <v>46086</v>
      </c>
      <c r="B36" s="227" t="s">
        <v>162</v>
      </c>
      <c r="C36" s="227" t="s">
        <v>192</v>
      </c>
      <c r="D36" s="228">
        <v>25</v>
      </c>
      <c r="E36" s="231">
        <v>33400</v>
      </c>
      <c r="F36" s="231">
        <v>33555</v>
      </c>
      <c r="G36" s="228">
        <v>-155</v>
      </c>
      <c r="H36" s="229">
        <v>-4.5999999999999999E-3</v>
      </c>
      <c r="I36" s="231">
        <v>33230</v>
      </c>
      <c r="J36" s="231">
        <v>33390</v>
      </c>
      <c r="K36" s="228">
        <v>-160</v>
      </c>
      <c r="L36" s="229">
        <v>-4.7999999999999996E-3</v>
      </c>
      <c r="M36" s="231">
        <v>33400</v>
      </c>
      <c r="N36" s="231">
        <v>33555</v>
      </c>
      <c r="O36" s="228">
        <v>-155</v>
      </c>
      <c r="P36" s="229">
        <v>-4.5999999999999999E-3</v>
      </c>
      <c r="Q36" s="231">
        <v>33640</v>
      </c>
      <c r="R36" s="231">
        <v>33755</v>
      </c>
      <c r="S36" s="228">
        <v>-115</v>
      </c>
      <c r="T36" s="229">
        <v>-3.3999999999999998E-3</v>
      </c>
      <c r="U36" s="231">
        <v>33800</v>
      </c>
      <c r="V36" s="231">
        <v>33895</v>
      </c>
      <c r="W36" s="228">
        <v>-95</v>
      </c>
      <c r="X36" s="229">
        <v>-2.8E-3</v>
      </c>
      <c r="Y36" s="228">
        <v>170</v>
      </c>
      <c r="Z36" s="228">
        <v>165</v>
      </c>
      <c r="AA36" s="228">
        <v>5</v>
      </c>
      <c r="AB36" s="229">
        <v>5.1000000000000004E-3</v>
      </c>
      <c r="AC36" s="228">
        <v>170</v>
      </c>
      <c r="AD36" s="228">
        <v>165</v>
      </c>
      <c r="AE36" s="228">
        <v>5</v>
      </c>
      <c r="AF36" s="229">
        <v>5.1000000000000004E-3</v>
      </c>
      <c r="AG36" s="228">
        <v>410</v>
      </c>
      <c r="AH36" s="228">
        <v>365</v>
      </c>
      <c r="AI36" s="228">
        <v>45</v>
      </c>
      <c r="AJ36" s="229">
        <v>1.23E-2</v>
      </c>
      <c r="AK36" s="228">
        <v>570</v>
      </c>
      <c r="AL36" s="228">
        <v>505</v>
      </c>
      <c r="AM36" s="228">
        <v>65</v>
      </c>
      <c r="AN36" s="229">
        <v>1.72E-2</v>
      </c>
      <c r="AO36" s="231">
        <v>33432.410000000003</v>
      </c>
      <c r="AP36" s="231">
        <v>33624</v>
      </c>
      <c r="AQ36" s="228">
        <v>0</v>
      </c>
      <c r="AR36" s="230">
        <v>48025</v>
      </c>
      <c r="AS36" s="230">
        <v>74000</v>
      </c>
      <c r="AT36" s="230">
        <v>-25975</v>
      </c>
      <c r="AU36" s="229">
        <v>-0.35099999999999998</v>
      </c>
      <c r="AV36" s="230">
        <v>45050</v>
      </c>
      <c r="AW36" s="230">
        <v>69475</v>
      </c>
      <c r="AX36" s="230">
        <v>-24425</v>
      </c>
      <c r="AY36" s="229">
        <v>-0.35160000000000002</v>
      </c>
      <c r="AZ36" s="230">
        <v>2875</v>
      </c>
      <c r="BA36" s="230">
        <v>4175</v>
      </c>
      <c r="BB36" s="230">
        <v>-1300</v>
      </c>
      <c r="BC36" s="229">
        <v>-0.31140000000000001</v>
      </c>
      <c r="BD36" s="228">
        <v>100</v>
      </c>
      <c r="BE36" s="228">
        <v>350</v>
      </c>
      <c r="BF36" s="228">
        <v>-250</v>
      </c>
      <c r="BG36" s="229">
        <v>-0.71430000000000005</v>
      </c>
      <c r="BH36" s="230">
        <v>138025</v>
      </c>
      <c r="BI36" s="230">
        <v>235100</v>
      </c>
      <c r="BJ36" s="230">
        <v>-97075</v>
      </c>
      <c r="BK36" s="229">
        <v>-0.41289999999999999</v>
      </c>
      <c r="BL36" s="230">
        <v>73850</v>
      </c>
      <c r="BM36" s="230">
        <v>226925</v>
      </c>
      <c r="BN36" s="230">
        <v>-153075</v>
      </c>
      <c r="BO36" s="229">
        <v>-0.67459999999999998</v>
      </c>
      <c r="BP36" s="230">
        <v>259900</v>
      </c>
      <c r="BQ36" s="230">
        <v>536025</v>
      </c>
      <c r="BR36" s="230">
        <v>-276125</v>
      </c>
      <c r="BS36" s="229">
        <v>-0.5151</v>
      </c>
      <c r="BT36" s="230">
        <v>23867</v>
      </c>
      <c r="BU36" s="230">
        <v>52538</v>
      </c>
      <c r="BV36" s="230">
        <v>-28671</v>
      </c>
      <c r="BW36" s="229">
        <v>-0.54569999999999996</v>
      </c>
      <c r="BX36" s="230">
        <v>208075</v>
      </c>
      <c r="BY36" s="230">
        <v>207650</v>
      </c>
      <c r="BZ36" s="228">
        <v>425</v>
      </c>
      <c r="CA36" s="229">
        <v>2E-3</v>
      </c>
      <c r="CB36" s="230">
        <v>202825</v>
      </c>
      <c r="CC36" s="230">
        <v>203800</v>
      </c>
      <c r="CD36" s="228">
        <v>-975</v>
      </c>
      <c r="CE36" s="229">
        <v>-4.7999999999999996E-3</v>
      </c>
      <c r="CF36" s="230">
        <v>4925</v>
      </c>
      <c r="CG36" s="230">
        <v>3600</v>
      </c>
      <c r="CH36" s="230">
        <v>1325</v>
      </c>
      <c r="CI36" s="229">
        <v>0.36809999999999998</v>
      </c>
      <c r="CJ36" s="228">
        <v>325</v>
      </c>
      <c r="CK36" s="228">
        <v>250</v>
      </c>
      <c r="CL36" s="228">
        <v>75</v>
      </c>
      <c r="CM36" s="229">
        <v>0.3</v>
      </c>
      <c r="CN36" s="230">
        <v>172575</v>
      </c>
      <c r="CO36" s="230">
        <v>155525</v>
      </c>
      <c r="CP36" s="230">
        <v>17050</v>
      </c>
      <c r="CQ36" s="229">
        <v>0.1096</v>
      </c>
      <c r="CR36" s="230">
        <v>83000</v>
      </c>
      <c r="CS36" s="230">
        <v>82300</v>
      </c>
      <c r="CT36" s="228">
        <v>700</v>
      </c>
      <c r="CU36" s="229">
        <v>8.5000000000000006E-3</v>
      </c>
      <c r="CV36" s="230">
        <v>463650</v>
      </c>
      <c r="CW36" s="230">
        <v>445475</v>
      </c>
      <c r="CX36" s="230">
        <v>18175</v>
      </c>
      <c r="CY36" s="229">
        <v>4.0800000000000003E-2</v>
      </c>
      <c r="CZ36" s="228">
        <v>30.11</v>
      </c>
      <c r="DA36" s="228">
        <v>33.619999999999997</v>
      </c>
      <c r="DB36" s="228">
        <v>-3.51</v>
      </c>
      <c r="DC36" s="228">
        <v>-3.51</v>
      </c>
      <c r="DD36" s="228">
        <v>30.21</v>
      </c>
      <c r="DE36" s="228">
        <v>30.28</v>
      </c>
      <c r="DF36" s="228">
        <v>-0.1</v>
      </c>
      <c r="DG36" s="228">
        <v>-7.0000000000000007E-2</v>
      </c>
      <c r="DH36" s="228">
        <v>29.96</v>
      </c>
      <c r="DI36" s="228">
        <v>32.61</v>
      </c>
      <c r="DJ36" s="228">
        <v>-2.65</v>
      </c>
      <c r="DK36" s="228">
        <v>-2.65</v>
      </c>
      <c r="DL36" s="228">
        <v>30.39</v>
      </c>
      <c r="DM36" s="228">
        <v>34.67</v>
      </c>
      <c r="DN36" s="228">
        <v>-4.28</v>
      </c>
      <c r="DO36" s="228">
        <v>-4.28</v>
      </c>
      <c r="DP36" s="228">
        <v>0.48</v>
      </c>
      <c r="DQ36" s="228">
        <v>0.53</v>
      </c>
      <c r="DR36" s="228">
        <v>-0.05</v>
      </c>
      <c r="DS36" s="229">
        <v>-9.4299999999999995E-2</v>
      </c>
      <c r="DT36" s="231">
        <v>40000</v>
      </c>
      <c r="DU36" s="231">
        <v>30000</v>
      </c>
      <c r="DV36" s="228">
        <v>0.54</v>
      </c>
      <c r="DW36" s="228">
        <v>0.97</v>
      </c>
      <c r="DX36" s="228">
        <v>-0.43</v>
      </c>
      <c r="DY36" s="229">
        <v>-0.44330000000000003</v>
      </c>
      <c r="DZ36" s="229">
        <v>2.52E-2</v>
      </c>
      <c r="EA36" s="230">
        <v>3850</v>
      </c>
      <c r="EB36" s="229">
        <v>7.1999999999999998E-3</v>
      </c>
      <c r="EC36" s="229">
        <v>2.52E-2</v>
      </c>
      <c r="ED36" s="228">
        <v>191.59</v>
      </c>
      <c r="EE36" s="229">
        <v>5.7000000000000002E-3</v>
      </c>
      <c r="EF36" s="230">
        <v>9986</v>
      </c>
      <c r="EG36" s="230">
        <v>25532</v>
      </c>
      <c r="EH36" s="229">
        <v>-0.6089</v>
      </c>
      <c r="EI36" s="229">
        <v>0.41839999999999999</v>
      </c>
      <c r="EJ36" s="231">
        <v>50351.31</v>
      </c>
      <c r="EK36" s="231">
        <v>23869.71</v>
      </c>
      <c r="EL36" s="231">
        <v>16061.68</v>
      </c>
      <c r="EM36" s="231">
        <v>1851</v>
      </c>
      <c r="EN36" s="231">
        <v>90282.7</v>
      </c>
      <c r="EO36" s="231">
        <v>187334.39</v>
      </c>
      <c r="EP36" s="231">
        <v>-97051.69</v>
      </c>
      <c r="EQ36" s="229">
        <v>-0.5181</v>
      </c>
      <c r="ER36" s="231">
        <v>65121</v>
      </c>
      <c r="ES36" s="231">
        <v>28049</v>
      </c>
      <c r="ET36" s="231">
        <v>69510</v>
      </c>
      <c r="EU36" s="231">
        <v>882048</v>
      </c>
      <c r="EV36" s="231">
        <v>162680</v>
      </c>
      <c r="EW36" s="231">
        <v>156721</v>
      </c>
      <c r="EX36" s="231">
        <v>5959</v>
      </c>
      <c r="EY36" s="229">
        <v>3.7999999999999999E-2</v>
      </c>
      <c r="EZ36" s="229">
        <v>0.52569999999999995</v>
      </c>
      <c r="FA36" s="227" t="s">
        <v>567</v>
      </c>
      <c r="FB36" s="161">
        <f t="shared" si="0"/>
        <v>5250</v>
      </c>
    </row>
    <row r="37" spans="1:158" ht="17.25" thickBot="1" x14ac:dyDescent="0.3">
      <c r="A37" s="226">
        <v>46086</v>
      </c>
      <c r="B37" s="227" t="s">
        <v>193</v>
      </c>
      <c r="C37" s="227" t="s">
        <v>194</v>
      </c>
      <c r="D37" s="228">
        <v>1975</v>
      </c>
      <c r="E37" s="228">
        <v>361.5</v>
      </c>
      <c r="F37" s="228">
        <v>356.8</v>
      </c>
      <c r="G37" s="228">
        <v>4.7</v>
      </c>
      <c r="H37" s="229">
        <v>1.32E-2</v>
      </c>
      <c r="I37" s="228">
        <v>360.35</v>
      </c>
      <c r="J37" s="228">
        <v>356.4</v>
      </c>
      <c r="K37" s="228">
        <v>3.95</v>
      </c>
      <c r="L37" s="229">
        <v>1.11E-2</v>
      </c>
      <c r="M37" s="228">
        <v>361.5</v>
      </c>
      <c r="N37" s="228">
        <v>356.8</v>
      </c>
      <c r="O37" s="228">
        <v>4.7</v>
      </c>
      <c r="P37" s="229">
        <v>1.32E-2</v>
      </c>
      <c r="Q37" s="228">
        <v>363.3</v>
      </c>
      <c r="R37" s="228">
        <v>359</v>
      </c>
      <c r="S37" s="228">
        <v>4.3</v>
      </c>
      <c r="T37" s="229">
        <v>1.2E-2</v>
      </c>
      <c r="U37" s="228">
        <v>363.8</v>
      </c>
      <c r="V37" s="228">
        <v>360.95</v>
      </c>
      <c r="W37" s="228">
        <v>2.85</v>
      </c>
      <c r="X37" s="229">
        <v>7.9000000000000008E-3</v>
      </c>
      <c r="Y37" s="228">
        <v>1.1499999999999999</v>
      </c>
      <c r="Z37" s="228">
        <v>0.4</v>
      </c>
      <c r="AA37" s="228">
        <v>0.75</v>
      </c>
      <c r="AB37" s="229">
        <v>3.2000000000000002E-3</v>
      </c>
      <c r="AC37" s="228">
        <v>1.1499999999999999</v>
      </c>
      <c r="AD37" s="228">
        <v>0.4</v>
      </c>
      <c r="AE37" s="228">
        <v>0.75</v>
      </c>
      <c r="AF37" s="229">
        <v>3.2000000000000002E-3</v>
      </c>
      <c r="AG37" s="228">
        <v>2.95</v>
      </c>
      <c r="AH37" s="228">
        <v>2.6</v>
      </c>
      <c r="AI37" s="228">
        <v>0.35</v>
      </c>
      <c r="AJ37" s="229">
        <v>8.2000000000000007E-3</v>
      </c>
      <c r="AK37" s="228">
        <v>3.45</v>
      </c>
      <c r="AL37" s="228">
        <v>4.55</v>
      </c>
      <c r="AM37" s="228">
        <v>-1.1000000000000001</v>
      </c>
      <c r="AN37" s="229">
        <v>9.5999999999999992E-3</v>
      </c>
      <c r="AO37" s="228">
        <v>358.74</v>
      </c>
      <c r="AP37" s="228">
        <v>361.33</v>
      </c>
      <c r="AQ37" s="228">
        <v>0</v>
      </c>
      <c r="AR37" s="230">
        <v>21051525</v>
      </c>
      <c r="AS37" s="230">
        <v>13339150</v>
      </c>
      <c r="AT37" s="230">
        <v>7712375</v>
      </c>
      <c r="AU37" s="229">
        <v>0.57820000000000005</v>
      </c>
      <c r="AV37" s="230">
        <v>20358300</v>
      </c>
      <c r="AW37" s="230">
        <v>12877000</v>
      </c>
      <c r="AX37" s="230">
        <v>7481300</v>
      </c>
      <c r="AY37" s="229">
        <v>0.58099999999999996</v>
      </c>
      <c r="AZ37" s="230">
        <v>582625</v>
      </c>
      <c r="BA37" s="230">
        <v>404875</v>
      </c>
      <c r="BB37" s="230">
        <v>177750</v>
      </c>
      <c r="BC37" s="229">
        <v>0.439</v>
      </c>
      <c r="BD37" s="230">
        <v>110600</v>
      </c>
      <c r="BE37" s="230">
        <v>57275</v>
      </c>
      <c r="BF37" s="230">
        <v>53325</v>
      </c>
      <c r="BG37" s="229">
        <v>0.93100000000000005</v>
      </c>
      <c r="BH37" s="230">
        <v>42203775</v>
      </c>
      <c r="BI37" s="230">
        <v>27659875</v>
      </c>
      <c r="BJ37" s="230">
        <v>14543900</v>
      </c>
      <c r="BK37" s="229">
        <v>0.52580000000000005</v>
      </c>
      <c r="BL37" s="230">
        <v>42340050</v>
      </c>
      <c r="BM37" s="230">
        <v>44866075</v>
      </c>
      <c r="BN37" s="230">
        <v>-2526025</v>
      </c>
      <c r="BO37" s="229">
        <v>-5.6300000000000003E-2</v>
      </c>
      <c r="BP37" s="230">
        <v>105595350</v>
      </c>
      <c r="BQ37" s="230">
        <v>85865100</v>
      </c>
      <c r="BR37" s="230">
        <v>19730250</v>
      </c>
      <c r="BS37" s="229">
        <v>0.2298</v>
      </c>
      <c r="BT37" s="230">
        <v>12647039</v>
      </c>
      <c r="BU37" s="230">
        <v>14549518</v>
      </c>
      <c r="BV37" s="230">
        <v>-1902479</v>
      </c>
      <c r="BW37" s="229">
        <v>-0.1308</v>
      </c>
      <c r="BX37" s="230">
        <v>38777150</v>
      </c>
      <c r="BY37" s="230">
        <v>36057575</v>
      </c>
      <c r="BZ37" s="230">
        <v>2719575</v>
      </c>
      <c r="CA37" s="229">
        <v>7.5399999999999995E-2</v>
      </c>
      <c r="CB37" s="230">
        <v>38224150</v>
      </c>
      <c r="CC37" s="230">
        <v>35569750</v>
      </c>
      <c r="CD37" s="230">
        <v>2654400</v>
      </c>
      <c r="CE37" s="229">
        <v>7.46E-2</v>
      </c>
      <c r="CF37" s="230">
        <v>475975</v>
      </c>
      <c r="CG37" s="230">
        <v>400925</v>
      </c>
      <c r="CH37" s="230">
        <v>75050</v>
      </c>
      <c r="CI37" s="229">
        <v>0.18720000000000001</v>
      </c>
      <c r="CJ37" s="230">
        <v>77025</v>
      </c>
      <c r="CK37" s="230">
        <v>86900</v>
      </c>
      <c r="CL37" s="230">
        <v>-9875</v>
      </c>
      <c r="CM37" s="229">
        <v>-0.11360000000000001</v>
      </c>
      <c r="CN37" s="230">
        <v>17160775</v>
      </c>
      <c r="CO37" s="230">
        <v>14850025</v>
      </c>
      <c r="CP37" s="230">
        <v>2310750</v>
      </c>
      <c r="CQ37" s="229">
        <v>0.15559999999999999</v>
      </c>
      <c r="CR37" s="230">
        <v>14492550</v>
      </c>
      <c r="CS37" s="230">
        <v>12837500</v>
      </c>
      <c r="CT37" s="230">
        <v>1655050</v>
      </c>
      <c r="CU37" s="229">
        <v>0.12889999999999999</v>
      </c>
      <c r="CV37" s="230">
        <v>70430475</v>
      </c>
      <c r="CW37" s="230">
        <v>63745100</v>
      </c>
      <c r="CX37" s="230">
        <v>6685375</v>
      </c>
      <c r="CY37" s="229">
        <v>0.10489999999999999</v>
      </c>
      <c r="CZ37" s="228">
        <v>34.03</v>
      </c>
      <c r="DA37" s="228">
        <v>39.26</v>
      </c>
      <c r="DB37" s="228">
        <v>-5.23</v>
      </c>
      <c r="DC37" s="228">
        <v>-5.23</v>
      </c>
      <c r="DD37" s="228">
        <v>33.03</v>
      </c>
      <c r="DE37" s="228">
        <v>33.06</v>
      </c>
      <c r="DF37" s="228">
        <v>1</v>
      </c>
      <c r="DG37" s="228">
        <v>-0.03</v>
      </c>
      <c r="DH37" s="228">
        <v>31.77</v>
      </c>
      <c r="DI37" s="228">
        <v>36.840000000000003</v>
      </c>
      <c r="DJ37" s="228">
        <v>-5.07</v>
      </c>
      <c r="DK37" s="228">
        <v>-5.07</v>
      </c>
      <c r="DL37" s="228">
        <v>36.270000000000003</v>
      </c>
      <c r="DM37" s="228">
        <v>40.76</v>
      </c>
      <c r="DN37" s="228">
        <v>-4.49</v>
      </c>
      <c r="DO37" s="228">
        <v>-4.49</v>
      </c>
      <c r="DP37" s="228">
        <v>0.84</v>
      </c>
      <c r="DQ37" s="228">
        <v>0.86</v>
      </c>
      <c r="DR37" s="228">
        <v>-0.02</v>
      </c>
      <c r="DS37" s="229">
        <v>-2.3300000000000001E-2</v>
      </c>
      <c r="DT37" s="228">
        <v>380</v>
      </c>
      <c r="DU37" s="228">
        <v>350</v>
      </c>
      <c r="DV37" s="228">
        <v>1</v>
      </c>
      <c r="DW37" s="228">
        <v>1.62</v>
      </c>
      <c r="DX37" s="228">
        <v>-0.62</v>
      </c>
      <c r="DY37" s="229">
        <v>-0.38269999999999998</v>
      </c>
      <c r="DZ37" s="229">
        <v>1.43E-2</v>
      </c>
      <c r="EA37" s="230">
        <v>487825</v>
      </c>
      <c r="EB37" s="229">
        <v>5.0000000000000001E-3</v>
      </c>
      <c r="EC37" s="229">
        <v>1.43E-2</v>
      </c>
      <c r="ED37" s="228">
        <v>2.59</v>
      </c>
      <c r="EE37" s="229">
        <v>7.1999999999999998E-3</v>
      </c>
      <c r="EF37" s="230">
        <v>6439996</v>
      </c>
      <c r="EG37" s="230">
        <v>8242937</v>
      </c>
      <c r="EH37" s="229">
        <v>-0.21870000000000001</v>
      </c>
      <c r="EI37" s="229">
        <v>0.50919999999999999</v>
      </c>
      <c r="EJ37" s="231">
        <v>162419.97</v>
      </c>
      <c r="EK37" s="231">
        <v>147825.53</v>
      </c>
      <c r="EL37" s="231">
        <v>75540.850000000006</v>
      </c>
      <c r="EM37" s="231">
        <v>5335</v>
      </c>
      <c r="EN37" s="231">
        <v>385786.35</v>
      </c>
      <c r="EO37" s="231">
        <v>315242.61</v>
      </c>
      <c r="EP37" s="231">
        <v>70543.740000000005</v>
      </c>
      <c r="EQ37" s="229">
        <v>0.2238</v>
      </c>
      <c r="ER37" s="231">
        <v>66067</v>
      </c>
      <c r="ES37" s="231">
        <v>50023</v>
      </c>
      <c r="ET37" s="231">
        <v>140190</v>
      </c>
      <c r="EU37" s="231">
        <v>306020745</v>
      </c>
      <c r="EV37" s="231">
        <v>256279</v>
      </c>
      <c r="EW37" s="231">
        <v>230617</v>
      </c>
      <c r="EX37" s="231">
        <v>25662</v>
      </c>
      <c r="EY37" s="229">
        <v>0.1113</v>
      </c>
      <c r="EZ37" s="229">
        <v>0.2301</v>
      </c>
      <c r="FA37" s="227" t="s">
        <v>555</v>
      </c>
      <c r="FB37" s="161">
        <f t="shared" si="0"/>
        <v>553000</v>
      </c>
    </row>
    <row r="38" spans="1:158" ht="17.25" thickBot="1" x14ac:dyDescent="0.3">
      <c r="A38" s="226">
        <v>46086</v>
      </c>
      <c r="B38" s="227" t="s">
        <v>168</v>
      </c>
      <c r="C38" s="227" t="s">
        <v>195</v>
      </c>
      <c r="D38" s="228">
        <v>125</v>
      </c>
      <c r="E38" s="231">
        <v>5982</v>
      </c>
      <c r="F38" s="231">
        <v>5902.5</v>
      </c>
      <c r="G38" s="228">
        <v>79.5</v>
      </c>
      <c r="H38" s="229">
        <v>1.35E-2</v>
      </c>
      <c r="I38" s="231">
        <v>5963</v>
      </c>
      <c r="J38" s="231">
        <v>5889.5</v>
      </c>
      <c r="K38" s="228">
        <v>73.5</v>
      </c>
      <c r="L38" s="229">
        <v>1.2500000000000001E-2</v>
      </c>
      <c r="M38" s="231">
        <v>5982</v>
      </c>
      <c r="N38" s="231">
        <v>5902.5</v>
      </c>
      <c r="O38" s="228">
        <v>79.5</v>
      </c>
      <c r="P38" s="229">
        <v>1.35E-2</v>
      </c>
      <c r="Q38" s="231">
        <v>6029</v>
      </c>
      <c r="R38" s="231">
        <v>5938</v>
      </c>
      <c r="S38" s="228">
        <v>91</v>
      </c>
      <c r="T38" s="229">
        <v>1.5299999999999999E-2</v>
      </c>
      <c r="U38" s="231">
        <v>6040</v>
      </c>
      <c r="V38" s="231">
        <v>5971.5</v>
      </c>
      <c r="W38" s="228">
        <v>68.5</v>
      </c>
      <c r="X38" s="229">
        <v>1.15E-2</v>
      </c>
      <c r="Y38" s="228">
        <v>19</v>
      </c>
      <c r="Z38" s="228">
        <v>13</v>
      </c>
      <c r="AA38" s="228">
        <v>6</v>
      </c>
      <c r="AB38" s="229">
        <v>3.2000000000000002E-3</v>
      </c>
      <c r="AC38" s="228">
        <v>19</v>
      </c>
      <c r="AD38" s="228">
        <v>13</v>
      </c>
      <c r="AE38" s="228">
        <v>6</v>
      </c>
      <c r="AF38" s="229">
        <v>3.2000000000000002E-3</v>
      </c>
      <c r="AG38" s="228">
        <v>66</v>
      </c>
      <c r="AH38" s="228">
        <v>48.5</v>
      </c>
      <c r="AI38" s="228">
        <v>17.5</v>
      </c>
      <c r="AJ38" s="229">
        <v>1.11E-2</v>
      </c>
      <c r="AK38" s="228">
        <v>77</v>
      </c>
      <c r="AL38" s="228">
        <v>82</v>
      </c>
      <c r="AM38" s="228">
        <v>-5</v>
      </c>
      <c r="AN38" s="229">
        <v>1.29E-2</v>
      </c>
      <c r="AO38" s="231">
        <v>5945</v>
      </c>
      <c r="AP38" s="231">
        <v>5980.9</v>
      </c>
      <c r="AQ38" s="228">
        <v>0</v>
      </c>
      <c r="AR38" s="230">
        <v>235750</v>
      </c>
      <c r="AS38" s="230">
        <v>261375</v>
      </c>
      <c r="AT38" s="230">
        <v>-25625</v>
      </c>
      <c r="AU38" s="229">
        <v>-9.8000000000000004E-2</v>
      </c>
      <c r="AV38" s="230">
        <v>231500</v>
      </c>
      <c r="AW38" s="230">
        <v>257750</v>
      </c>
      <c r="AX38" s="230">
        <v>-26250</v>
      </c>
      <c r="AY38" s="229">
        <v>-0.1018</v>
      </c>
      <c r="AZ38" s="230">
        <v>3875</v>
      </c>
      <c r="BA38" s="230">
        <v>3250</v>
      </c>
      <c r="BB38" s="228">
        <v>625</v>
      </c>
      <c r="BC38" s="229">
        <v>0.1923</v>
      </c>
      <c r="BD38" s="228">
        <v>375</v>
      </c>
      <c r="BE38" s="228">
        <v>375</v>
      </c>
      <c r="BF38" s="228">
        <v>0</v>
      </c>
      <c r="BG38" s="229">
        <v>0</v>
      </c>
      <c r="BH38" s="230">
        <v>575125</v>
      </c>
      <c r="BI38" s="230">
        <v>552375</v>
      </c>
      <c r="BJ38" s="230">
        <v>22750</v>
      </c>
      <c r="BK38" s="229">
        <v>4.1200000000000001E-2</v>
      </c>
      <c r="BL38" s="230">
        <v>378375</v>
      </c>
      <c r="BM38" s="230">
        <v>403375</v>
      </c>
      <c r="BN38" s="230">
        <v>-25000</v>
      </c>
      <c r="BO38" s="229">
        <v>-6.2E-2</v>
      </c>
      <c r="BP38" s="230">
        <v>1189250</v>
      </c>
      <c r="BQ38" s="230">
        <v>1217125</v>
      </c>
      <c r="BR38" s="230">
        <v>-27875</v>
      </c>
      <c r="BS38" s="229">
        <v>-2.29E-2</v>
      </c>
      <c r="BT38" s="230">
        <v>213749</v>
      </c>
      <c r="BU38" s="230">
        <v>304319</v>
      </c>
      <c r="BV38" s="230">
        <v>-90570</v>
      </c>
      <c r="BW38" s="229">
        <v>-0.29759999999999998</v>
      </c>
      <c r="BX38" s="230">
        <v>3346250</v>
      </c>
      <c r="BY38" s="230">
        <v>3379750</v>
      </c>
      <c r="BZ38" s="230">
        <v>-33500</v>
      </c>
      <c r="CA38" s="229">
        <v>-9.9000000000000008E-3</v>
      </c>
      <c r="CB38" s="230">
        <v>3331250</v>
      </c>
      <c r="CC38" s="230">
        <v>3366125</v>
      </c>
      <c r="CD38" s="230">
        <v>-34875</v>
      </c>
      <c r="CE38" s="229">
        <v>-1.04E-2</v>
      </c>
      <c r="CF38" s="230">
        <v>14375</v>
      </c>
      <c r="CG38" s="230">
        <v>13250</v>
      </c>
      <c r="CH38" s="230">
        <v>1125</v>
      </c>
      <c r="CI38" s="229">
        <v>8.4900000000000003E-2</v>
      </c>
      <c r="CJ38" s="228">
        <v>625</v>
      </c>
      <c r="CK38" s="228">
        <v>375</v>
      </c>
      <c r="CL38" s="228">
        <v>250</v>
      </c>
      <c r="CM38" s="229">
        <v>0.66669999999999996</v>
      </c>
      <c r="CN38" s="230">
        <v>642250</v>
      </c>
      <c r="CO38" s="230">
        <v>605500</v>
      </c>
      <c r="CP38" s="230">
        <v>36750</v>
      </c>
      <c r="CQ38" s="229">
        <v>6.0699999999999997E-2</v>
      </c>
      <c r="CR38" s="230">
        <v>328000</v>
      </c>
      <c r="CS38" s="230">
        <v>299000</v>
      </c>
      <c r="CT38" s="230">
        <v>29000</v>
      </c>
      <c r="CU38" s="229">
        <v>9.7000000000000003E-2</v>
      </c>
      <c r="CV38" s="230">
        <v>4316500</v>
      </c>
      <c r="CW38" s="230">
        <v>4284250</v>
      </c>
      <c r="CX38" s="230">
        <v>32250</v>
      </c>
      <c r="CY38" s="229">
        <v>7.4999999999999997E-3</v>
      </c>
      <c r="CZ38" s="228">
        <v>20.54</v>
      </c>
      <c r="DA38" s="228">
        <v>22.17</v>
      </c>
      <c r="DB38" s="228">
        <v>-1.63</v>
      </c>
      <c r="DC38" s="228">
        <v>-1.63</v>
      </c>
      <c r="DD38" s="228">
        <v>23.9</v>
      </c>
      <c r="DE38" s="228">
        <v>23.9</v>
      </c>
      <c r="DF38" s="228">
        <v>-3.36</v>
      </c>
      <c r="DG38" s="228">
        <v>0</v>
      </c>
      <c r="DH38" s="228">
        <v>19.649999999999999</v>
      </c>
      <c r="DI38" s="228">
        <v>21.42</v>
      </c>
      <c r="DJ38" s="228">
        <v>-1.77</v>
      </c>
      <c r="DK38" s="228">
        <v>-1.77</v>
      </c>
      <c r="DL38" s="228">
        <v>21.88</v>
      </c>
      <c r="DM38" s="228">
        <v>23.2</v>
      </c>
      <c r="DN38" s="228">
        <v>-1.32</v>
      </c>
      <c r="DO38" s="228">
        <v>-1.32</v>
      </c>
      <c r="DP38" s="228">
        <v>0.51</v>
      </c>
      <c r="DQ38" s="228">
        <v>0.49</v>
      </c>
      <c r="DR38" s="228">
        <v>0.02</v>
      </c>
      <c r="DS38" s="229">
        <v>4.0800000000000003E-2</v>
      </c>
      <c r="DT38" s="231">
        <v>6700</v>
      </c>
      <c r="DU38" s="231">
        <v>5500</v>
      </c>
      <c r="DV38" s="228">
        <v>0.66</v>
      </c>
      <c r="DW38" s="228">
        <v>0.73</v>
      </c>
      <c r="DX38" s="228">
        <v>-7.0000000000000007E-2</v>
      </c>
      <c r="DY38" s="229">
        <v>-9.5899999999999999E-2</v>
      </c>
      <c r="DZ38" s="229">
        <v>4.4999999999999997E-3</v>
      </c>
      <c r="EA38" s="230">
        <v>13625</v>
      </c>
      <c r="EB38" s="229">
        <v>7.9000000000000008E-3</v>
      </c>
      <c r="EC38" s="229">
        <v>4.4999999999999997E-3</v>
      </c>
      <c r="ED38" s="228">
        <v>35.9</v>
      </c>
      <c r="EE38" s="229">
        <v>6.0000000000000001E-3</v>
      </c>
      <c r="EF38" s="230">
        <v>120549</v>
      </c>
      <c r="EG38" s="230">
        <v>199841</v>
      </c>
      <c r="EH38" s="229">
        <v>-0.39679999999999999</v>
      </c>
      <c r="EI38" s="229">
        <v>0.56399999999999995</v>
      </c>
      <c r="EJ38" s="231">
        <v>35962.870000000003</v>
      </c>
      <c r="EK38" s="231">
        <v>21604.5</v>
      </c>
      <c r="EL38" s="231">
        <v>14016.92</v>
      </c>
      <c r="EM38" s="231">
        <v>2149</v>
      </c>
      <c r="EN38" s="231">
        <v>71584.289999999994</v>
      </c>
      <c r="EO38" s="231">
        <v>73612.13</v>
      </c>
      <c r="EP38" s="231">
        <v>-2027.84</v>
      </c>
      <c r="EQ38" s="229">
        <v>-2.75E-2</v>
      </c>
      <c r="ER38" s="231">
        <v>41151</v>
      </c>
      <c r="ES38" s="231">
        <v>18842</v>
      </c>
      <c r="ET38" s="231">
        <v>200180</v>
      </c>
      <c r="EU38" s="231">
        <v>16370935</v>
      </c>
      <c r="EV38" s="231">
        <v>260173</v>
      </c>
      <c r="EW38" s="231">
        <v>255586</v>
      </c>
      <c r="EX38" s="231">
        <v>4587</v>
      </c>
      <c r="EY38" s="229">
        <v>1.7899999999999999E-2</v>
      </c>
      <c r="EZ38" s="229">
        <v>0.26369999999999999</v>
      </c>
      <c r="FA38" s="227" t="s">
        <v>556</v>
      </c>
      <c r="FB38" s="161">
        <f t="shared" si="0"/>
        <v>15000</v>
      </c>
    </row>
    <row r="39" spans="1:158" ht="17.25" thickBot="1" x14ac:dyDescent="0.3">
      <c r="A39" s="226">
        <v>46086</v>
      </c>
      <c r="B39" s="227" t="s">
        <v>175</v>
      </c>
      <c r="C39" s="227" t="s">
        <v>584</v>
      </c>
      <c r="D39" s="228">
        <v>375</v>
      </c>
      <c r="E39" s="231">
        <v>2765</v>
      </c>
      <c r="F39" s="231">
        <v>2628.9</v>
      </c>
      <c r="G39" s="228">
        <v>136.1</v>
      </c>
      <c r="H39" s="229">
        <v>5.1799999999999999E-2</v>
      </c>
      <c r="I39" s="231">
        <v>2761.4</v>
      </c>
      <c r="J39" s="231">
        <v>2626.9</v>
      </c>
      <c r="K39" s="228">
        <v>134.5</v>
      </c>
      <c r="L39" s="229">
        <v>5.1200000000000002E-2</v>
      </c>
      <c r="M39" s="231">
        <v>2765</v>
      </c>
      <c r="N39" s="231">
        <v>2628.9</v>
      </c>
      <c r="O39" s="228">
        <v>136.1</v>
      </c>
      <c r="P39" s="229">
        <v>5.1799999999999999E-2</v>
      </c>
      <c r="Q39" s="231">
        <v>2778.7</v>
      </c>
      <c r="R39" s="231">
        <v>2643.7</v>
      </c>
      <c r="S39" s="228">
        <v>135</v>
      </c>
      <c r="T39" s="229">
        <v>5.11E-2</v>
      </c>
      <c r="U39" s="231">
        <v>2783.9</v>
      </c>
      <c r="V39" s="231">
        <v>2651.1</v>
      </c>
      <c r="W39" s="228">
        <v>132.80000000000001</v>
      </c>
      <c r="X39" s="229">
        <v>5.0099999999999999E-2</v>
      </c>
      <c r="Y39" s="228">
        <v>3.6</v>
      </c>
      <c r="Z39" s="228">
        <v>2</v>
      </c>
      <c r="AA39" s="228">
        <v>1.6</v>
      </c>
      <c r="AB39" s="229">
        <v>1.2999999999999999E-3</v>
      </c>
      <c r="AC39" s="228">
        <v>3.6</v>
      </c>
      <c r="AD39" s="228">
        <v>2</v>
      </c>
      <c r="AE39" s="228">
        <v>1.6</v>
      </c>
      <c r="AF39" s="229">
        <v>1.2999999999999999E-3</v>
      </c>
      <c r="AG39" s="228">
        <v>17.3</v>
      </c>
      <c r="AH39" s="228">
        <v>16.8</v>
      </c>
      <c r="AI39" s="228">
        <v>0.5</v>
      </c>
      <c r="AJ39" s="229">
        <v>6.3E-3</v>
      </c>
      <c r="AK39" s="228">
        <v>22.5</v>
      </c>
      <c r="AL39" s="228">
        <v>24.2</v>
      </c>
      <c r="AM39" s="228">
        <v>-1.7</v>
      </c>
      <c r="AN39" s="229">
        <v>8.0999999999999996E-3</v>
      </c>
      <c r="AO39" s="231">
        <v>2726.85</v>
      </c>
      <c r="AP39" s="231">
        <v>2740.13</v>
      </c>
      <c r="AQ39" s="228">
        <v>0</v>
      </c>
      <c r="AR39" s="230">
        <v>6503250</v>
      </c>
      <c r="AS39" s="230">
        <v>4417125</v>
      </c>
      <c r="AT39" s="230">
        <v>2086125</v>
      </c>
      <c r="AU39" s="229">
        <v>0.4723</v>
      </c>
      <c r="AV39" s="230">
        <v>6065250</v>
      </c>
      <c r="AW39" s="230">
        <v>4088625</v>
      </c>
      <c r="AX39" s="230">
        <v>1976625</v>
      </c>
      <c r="AY39" s="229">
        <v>0.4834</v>
      </c>
      <c r="AZ39" s="230">
        <v>373125</v>
      </c>
      <c r="BA39" s="230">
        <v>252375</v>
      </c>
      <c r="BB39" s="230">
        <v>120750</v>
      </c>
      <c r="BC39" s="229">
        <v>0.47849999999999998</v>
      </c>
      <c r="BD39" s="230">
        <v>64875</v>
      </c>
      <c r="BE39" s="230">
        <v>76125</v>
      </c>
      <c r="BF39" s="230">
        <v>-11250</v>
      </c>
      <c r="BG39" s="229">
        <v>-0.14779999999999999</v>
      </c>
      <c r="BH39" s="230">
        <v>23005500</v>
      </c>
      <c r="BI39" s="230">
        <v>13857750</v>
      </c>
      <c r="BJ39" s="230">
        <v>9147750</v>
      </c>
      <c r="BK39" s="229">
        <v>0.66010000000000002</v>
      </c>
      <c r="BL39" s="230">
        <v>11828250</v>
      </c>
      <c r="BM39" s="230">
        <v>9885000</v>
      </c>
      <c r="BN39" s="230">
        <v>1943250</v>
      </c>
      <c r="BO39" s="229">
        <v>0.1966</v>
      </c>
      <c r="BP39" s="230">
        <v>41337000</v>
      </c>
      <c r="BQ39" s="230">
        <v>28159875</v>
      </c>
      <c r="BR39" s="230">
        <v>13177125</v>
      </c>
      <c r="BS39" s="229">
        <v>0.46789999999999998</v>
      </c>
      <c r="BT39" s="230">
        <v>7464269</v>
      </c>
      <c r="BU39" s="230">
        <v>4779189</v>
      </c>
      <c r="BV39" s="230">
        <v>2685080</v>
      </c>
      <c r="BW39" s="229">
        <v>0.56179999999999997</v>
      </c>
      <c r="BX39" s="230">
        <v>8667375</v>
      </c>
      <c r="BY39" s="230">
        <v>9119625</v>
      </c>
      <c r="BZ39" s="230">
        <v>-452250</v>
      </c>
      <c r="CA39" s="229">
        <v>-4.9599999999999998E-2</v>
      </c>
      <c r="CB39" s="230">
        <v>8091000</v>
      </c>
      <c r="CC39" s="230">
        <v>8561625</v>
      </c>
      <c r="CD39" s="230">
        <v>-470625</v>
      </c>
      <c r="CE39" s="229">
        <v>-5.5E-2</v>
      </c>
      <c r="CF39" s="230">
        <v>516750</v>
      </c>
      <c r="CG39" s="230">
        <v>499500</v>
      </c>
      <c r="CH39" s="230">
        <v>17250</v>
      </c>
      <c r="CI39" s="229">
        <v>3.4500000000000003E-2</v>
      </c>
      <c r="CJ39" s="230">
        <v>59625</v>
      </c>
      <c r="CK39" s="230">
        <v>58500</v>
      </c>
      <c r="CL39" s="230">
        <v>1125</v>
      </c>
      <c r="CM39" s="229">
        <v>1.9199999999999998E-2</v>
      </c>
      <c r="CN39" s="230">
        <v>7206375</v>
      </c>
      <c r="CO39" s="230">
        <v>7241625</v>
      </c>
      <c r="CP39" s="230">
        <v>-35250</v>
      </c>
      <c r="CQ39" s="229">
        <v>-4.8999999999999998E-3</v>
      </c>
      <c r="CR39" s="230">
        <v>5457000</v>
      </c>
      <c r="CS39" s="230">
        <v>5259000</v>
      </c>
      <c r="CT39" s="230">
        <v>198000</v>
      </c>
      <c r="CU39" s="229">
        <v>3.7600000000000001E-2</v>
      </c>
      <c r="CV39" s="230">
        <v>21330750</v>
      </c>
      <c r="CW39" s="230">
        <v>21620250</v>
      </c>
      <c r="CX39" s="230">
        <v>-289500</v>
      </c>
      <c r="CY39" s="229">
        <v>-1.34E-2</v>
      </c>
      <c r="CZ39" s="228">
        <v>39.74</v>
      </c>
      <c r="DA39" s="228">
        <v>44.58</v>
      </c>
      <c r="DB39" s="228">
        <v>-4.84</v>
      </c>
      <c r="DC39" s="228">
        <v>-4.84</v>
      </c>
      <c r="DD39" s="228">
        <v>59.26</v>
      </c>
      <c r="DE39" s="228">
        <v>59.02</v>
      </c>
      <c r="DF39" s="228">
        <v>-19.52</v>
      </c>
      <c r="DG39" s="228">
        <v>0.24</v>
      </c>
      <c r="DH39" s="228">
        <v>38.64</v>
      </c>
      <c r="DI39" s="228">
        <v>43.12</v>
      </c>
      <c r="DJ39" s="228">
        <v>-4.4800000000000004</v>
      </c>
      <c r="DK39" s="228">
        <v>-4.4800000000000004</v>
      </c>
      <c r="DL39" s="228">
        <v>41.87</v>
      </c>
      <c r="DM39" s="228">
        <v>46.63</v>
      </c>
      <c r="DN39" s="228">
        <v>-4.76</v>
      </c>
      <c r="DO39" s="228">
        <v>-4.76</v>
      </c>
      <c r="DP39" s="228">
        <v>0.76</v>
      </c>
      <c r="DQ39" s="228">
        <v>0.73</v>
      </c>
      <c r="DR39" s="228">
        <v>0.03</v>
      </c>
      <c r="DS39" s="229">
        <v>4.1099999999999998E-2</v>
      </c>
      <c r="DT39" s="231">
        <v>2800</v>
      </c>
      <c r="DU39" s="231">
        <v>2700</v>
      </c>
      <c r="DV39" s="228">
        <v>0.51</v>
      </c>
      <c r="DW39" s="228">
        <v>0.71</v>
      </c>
      <c r="DX39" s="228">
        <v>-0.2</v>
      </c>
      <c r="DY39" s="229">
        <v>-0.28170000000000001</v>
      </c>
      <c r="DZ39" s="229">
        <v>6.6500000000000004E-2</v>
      </c>
      <c r="EA39" s="230">
        <v>558000</v>
      </c>
      <c r="EB39" s="229">
        <v>5.0000000000000001E-3</v>
      </c>
      <c r="EC39" s="229">
        <v>6.6500000000000004E-2</v>
      </c>
      <c r="ED39" s="228">
        <v>13.28</v>
      </c>
      <c r="EE39" s="229">
        <v>4.8999999999999998E-3</v>
      </c>
      <c r="EF39" s="230">
        <v>1859956</v>
      </c>
      <c r="EG39" s="230">
        <v>1234386</v>
      </c>
      <c r="EH39" s="229">
        <v>0.50680000000000003</v>
      </c>
      <c r="EI39" s="229">
        <v>0.2492</v>
      </c>
      <c r="EJ39" s="231">
        <v>674203.14</v>
      </c>
      <c r="EK39" s="231">
        <v>315692.64</v>
      </c>
      <c r="EL39" s="231">
        <v>177398.01</v>
      </c>
      <c r="EM39" s="231">
        <v>13910</v>
      </c>
      <c r="EN39" s="231">
        <v>1167293.79</v>
      </c>
      <c r="EO39" s="231">
        <v>763595.22</v>
      </c>
      <c r="EP39" s="231">
        <v>403698.57</v>
      </c>
      <c r="EQ39" s="229">
        <v>0.52869999999999995</v>
      </c>
      <c r="ER39" s="231">
        <v>211781</v>
      </c>
      <c r="ES39" s="231">
        <v>143761</v>
      </c>
      <c r="ET39" s="231">
        <v>239735</v>
      </c>
      <c r="EU39" s="231">
        <v>61094861</v>
      </c>
      <c r="EV39" s="231">
        <v>595277</v>
      </c>
      <c r="EW39" s="231">
        <v>590050</v>
      </c>
      <c r="EX39" s="231">
        <v>5227</v>
      </c>
      <c r="EY39" s="229">
        <v>8.8999999999999999E-3</v>
      </c>
      <c r="EZ39" s="229">
        <v>0.34910000000000002</v>
      </c>
      <c r="FA39" s="227" t="s">
        <v>556</v>
      </c>
      <c r="FB39" s="161">
        <f t="shared" si="0"/>
        <v>576375</v>
      </c>
    </row>
    <row r="40" spans="1:158" ht="17.25" thickBot="1" x14ac:dyDescent="0.3">
      <c r="A40" s="226">
        <v>46086</v>
      </c>
      <c r="B40" s="227" t="s">
        <v>175</v>
      </c>
      <c r="C40" s="227" t="s">
        <v>611</v>
      </c>
      <c r="D40" s="228">
        <v>750</v>
      </c>
      <c r="E40" s="228">
        <v>654.85</v>
      </c>
      <c r="F40" s="228">
        <v>633.25</v>
      </c>
      <c r="G40" s="228">
        <v>21.6</v>
      </c>
      <c r="H40" s="229">
        <v>3.4099999999999998E-2</v>
      </c>
      <c r="I40" s="228">
        <v>652.35</v>
      </c>
      <c r="J40" s="228">
        <v>629.9</v>
      </c>
      <c r="K40" s="228">
        <v>22.45</v>
      </c>
      <c r="L40" s="229">
        <v>3.56E-2</v>
      </c>
      <c r="M40" s="228">
        <v>654.85</v>
      </c>
      <c r="N40" s="228">
        <v>633.25</v>
      </c>
      <c r="O40" s="228">
        <v>21.6</v>
      </c>
      <c r="P40" s="229">
        <v>3.4099999999999998E-2</v>
      </c>
      <c r="Q40" s="228">
        <v>659.15</v>
      </c>
      <c r="R40" s="228">
        <v>636.6</v>
      </c>
      <c r="S40" s="228">
        <v>22.55</v>
      </c>
      <c r="T40" s="229">
        <v>3.5400000000000001E-2</v>
      </c>
      <c r="U40" s="228">
        <v>657.2</v>
      </c>
      <c r="V40" s="228">
        <v>641.95000000000005</v>
      </c>
      <c r="W40" s="228">
        <v>15.25</v>
      </c>
      <c r="X40" s="229">
        <v>2.3800000000000002E-2</v>
      </c>
      <c r="Y40" s="228">
        <v>2.5</v>
      </c>
      <c r="Z40" s="228">
        <v>3.35</v>
      </c>
      <c r="AA40" s="228">
        <v>-0.85</v>
      </c>
      <c r="AB40" s="229">
        <v>3.8E-3</v>
      </c>
      <c r="AC40" s="228">
        <v>2.5</v>
      </c>
      <c r="AD40" s="228">
        <v>3.35</v>
      </c>
      <c r="AE40" s="228">
        <v>-0.85</v>
      </c>
      <c r="AF40" s="229">
        <v>3.8E-3</v>
      </c>
      <c r="AG40" s="228">
        <v>6.8</v>
      </c>
      <c r="AH40" s="228">
        <v>6.7</v>
      </c>
      <c r="AI40" s="228">
        <v>0.1</v>
      </c>
      <c r="AJ40" s="229">
        <v>1.04E-2</v>
      </c>
      <c r="AK40" s="228">
        <v>4.8499999999999996</v>
      </c>
      <c r="AL40" s="228">
        <v>12.05</v>
      </c>
      <c r="AM40" s="228">
        <v>-7.2</v>
      </c>
      <c r="AN40" s="229">
        <v>7.4000000000000003E-3</v>
      </c>
      <c r="AO40" s="228">
        <v>647.34</v>
      </c>
      <c r="AP40" s="228">
        <v>652.53</v>
      </c>
      <c r="AQ40" s="228">
        <v>0</v>
      </c>
      <c r="AR40" s="230">
        <v>2991000</v>
      </c>
      <c r="AS40" s="230">
        <v>3225750</v>
      </c>
      <c r="AT40" s="230">
        <v>-234750</v>
      </c>
      <c r="AU40" s="229">
        <v>-7.2800000000000004E-2</v>
      </c>
      <c r="AV40" s="230">
        <v>2818500</v>
      </c>
      <c r="AW40" s="230">
        <v>3026250</v>
      </c>
      <c r="AX40" s="230">
        <v>-207750</v>
      </c>
      <c r="AY40" s="229">
        <v>-6.8599999999999994E-2</v>
      </c>
      <c r="AZ40" s="230">
        <v>162750</v>
      </c>
      <c r="BA40" s="230">
        <v>178500</v>
      </c>
      <c r="BB40" s="230">
        <v>-15750</v>
      </c>
      <c r="BC40" s="229">
        <v>-8.8200000000000001E-2</v>
      </c>
      <c r="BD40" s="230">
        <v>9750</v>
      </c>
      <c r="BE40" s="230">
        <v>21000</v>
      </c>
      <c r="BF40" s="230">
        <v>-11250</v>
      </c>
      <c r="BG40" s="229">
        <v>-0.53569999999999995</v>
      </c>
      <c r="BH40" s="230">
        <v>3035250</v>
      </c>
      <c r="BI40" s="230">
        <v>3021750</v>
      </c>
      <c r="BJ40" s="230">
        <v>13500</v>
      </c>
      <c r="BK40" s="229">
        <v>4.4999999999999997E-3</v>
      </c>
      <c r="BL40" s="230">
        <v>1738500</v>
      </c>
      <c r="BM40" s="230">
        <v>2393250</v>
      </c>
      <c r="BN40" s="230">
        <v>-654750</v>
      </c>
      <c r="BO40" s="229">
        <v>-0.27360000000000001</v>
      </c>
      <c r="BP40" s="230">
        <v>7764750</v>
      </c>
      <c r="BQ40" s="230">
        <v>8640750</v>
      </c>
      <c r="BR40" s="230">
        <v>-876000</v>
      </c>
      <c r="BS40" s="229">
        <v>-0.1014</v>
      </c>
      <c r="BT40" s="230">
        <v>4929099</v>
      </c>
      <c r="BU40" s="230">
        <v>3364841</v>
      </c>
      <c r="BV40" s="230">
        <v>1564258</v>
      </c>
      <c r="BW40" s="229">
        <v>0.46489999999999998</v>
      </c>
      <c r="BX40" s="230">
        <v>7476000</v>
      </c>
      <c r="BY40" s="230">
        <v>7422750</v>
      </c>
      <c r="BZ40" s="230">
        <v>53250</v>
      </c>
      <c r="CA40" s="229">
        <v>7.1999999999999998E-3</v>
      </c>
      <c r="CB40" s="230">
        <v>7101750</v>
      </c>
      <c r="CC40" s="230">
        <v>7062750</v>
      </c>
      <c r="CD40" s="230">
        <v>39000</v>
      </c>
      <c r="CE40" s="229">
        <v>5.4999999999999997E-3</v>
      </c>
      <c r="CF40" s="230">
        <v>333000</v>
      </c>
      <c r="CG40" s="230">
        <v>318750</v>
      </c>
      <c r="CH40" s="230">
        <v>14250</v>
      </c>
      <c r="CI40" s="229">
        <v>4.4699999999999997E-2</v>
      </c>
      <c r="CJ40" s="230">
        <v>41250</v>
      </c>
      <c r="CK40" s="230">
        <v>41250</v>
      </c>
      <c r="CL40" s="228">
        <v>0</v>
      </c>
      <c r="CM40" s="229">
        <v>0</v>
      </c>
      <c r="CN40" s="230">
        <v>2868000</v>
      </c>
      <c r="CO40" s="230">
        <v>2832000</v>
      </c>
      <c r="CP40" s="230">
        <v>36000</v>
      </c>
      <c r="CQ40" s="229">
        <v>1.2699999999999999E-2</v>
      </c>
      <c r="CR40" s="230">
        <v>2313750</v>
      </c>
      <c r="CS40" s="230">
        <v>2241750</v>
      </c>
      <c r="CT40" s="230">
        <v>72000</v>
      </c>
      <c r="CU40" s="229">
        <v>3.2099999999999997E-2</v>
      </c>
      <c r="CV40" s="230">
        <v>12657750</v>
      </c>
      <c r="CW40" s="230">
        <v>12496500</v>
      </c>
      <c r="CX40" s="230">
        <v>161250</v>
      </c>
      <c r="CY40" s="229">
        <v>1.29E-2</v>
      </c>
      <c r="CZ40" s="228">
        <v>32.61</v>
      </c>
      <c r="DA40" s="228">
        <v>35.729999999999997</v>
      </c>
      <c r="DB40" s="228">
        <v>-3.12</v>
      </c>
      <c r="DC40" s="228">
        <v>-3.12</v>
      </c>
      <c r="DD40" s="228">
        <v>40.18</v>
      </c>
      <c r="DE40" s="228">
        <v>40.020000000000003</v>
      </c>
      <c r="DF40" s="228">
        <v>-7.57</v>
      </c>
      <c r="DG40" s="228">
        <v>0.16</v>
      </c>
      <c r="DH40" s="228">
        <v>31.43</v>
      </c>
      <c r="DI40" s="228">
        <v>35.1</v>
      </c>
      <c r="DJ40" s="228">
        <v>-3.67</v>
      </c>
      <c r="DK40" s="228">
        <v>-3.67</v>
      </c>
      <c r="DL40" s="228">
        <v>34.68</v>
      </c>
      <c r="DM40" s="228">
        <v>36.520000000000003</v>
      </c>
      <c r="DN40" s="228">
        <v>-1.84</v>
      </c>
      <c r="DO40" s="228">
        <v>-1.84</v>
      </c>
      <c r="DP40" s="228">
        <v>0.81</v>
      </c>
      <c r="DQ40" s="228">
        <v>0.79</v>
      </c>
      <c r="DR40" s="228">
        <v>0.02</v>
      </c>
      <c r="DS40" s="229">
        <v>2.53E-2</v>
      </c>
      <c r="DT40" s="228">
        <v>700</v>
      </c>
      <c r="DU40" s="228">
        <v>600</v>
      </c>
      <c r="DV40" s="228">
        <v>0.56999999999999995</v>
      </c>
      <c r="DW40" s="228">
        <v>0.79</v>
      </c>
      <c r="DX40" s="228">
        <v>-0.22</v>
      </c>
      <c r="DY40" s="229">
        <v>-0.27850000000000003</v>
      </c>
      <c r="DZ40" s="229">
        <v>5.0099999999999999E-2</v>
      </c>
      <c r="EA40" s="230">
        <v>360000</v>
      </c>
      <c r="EB40" s="229">
        <v>6.6E-3</v>
      </c>
      <c r="EC40" s="229">
        <v>5.0099999999999999E-2</v>
      </c>
      <c r="ED40" s="228">
        <v>5.19</v>
      </c>
      <c r="EE40" s="229">
        <v>8.0000000000000002E-3</v>
      </c>
      <c r="EF40" s="230">
        <v>3343488</v>
      </c>
      <c r="EG40" s="230">
        <v>2152956</v>
      </c>
      <c r="EH40" s="229">
        <v>0.55300000000000005</v>
      </c>
      <c r="EI40" s="229">
        <v>0.67830000000000001</v>
      </c>
      <c r="EJ40" s="231">
        <v>20914.28</v>
      </c>
      <c r="EK40" s="231">
        <v>11315.45</v>
      </c>
      <c r="EL40" s="231">
        <v>19370.98</v>
      </c>
      <c r="EM40" s="231">
        <v>3334</v>
      </c>
      <c r="EN40" s="231">
        <v>51600.71</v>
      </c>
      <c r="EO40" s="231">
        <v>56957.52</v>
      </c>
      <c r="EP40" s="231">
        <v>-5356.81</v>
      </c>
      <c r="EQ40" s="229">
        <v>-9.4E-2</v>
      </c>
      <c r="ER40" s="231">
        <v>20403</v>
      </c>
      <c r="ES40" s="231">
        <v>15605</v>
      </c>
      <c r="ET40" s="231">
        <v>48972</v>
      </c>
      <c r="EU40" s="231">
        <v>37122288</v>
      </c>
      <c r="EV40" s="231">
        <v>84980</v>
      </c>
      <c r="EW40" s="231">
        <v>82357</v>
      </c>
      <c r="EX40" s="231">
        <v>2623</v>
      </c>
      <c r="EY40" s="229">
        <v>3.1800000000000002E-2</v>
      </c>
      <c r="EZ40" s="229">
        <v>0.34100000000000003</v>
      </c>
      <c r="FA40" s="227" t="s">
        <v>555</v>
      </c>
      <c r="FB40" s="161">
        <f t="shared" si="0"/>
        <v>374250</v>
      </c>
    </row>
    <row r="41" spans="1:158" ht="17.25" thickBot="1" x14ac:dyDescent="0.3">
      <c r="A41" s="226">
        <v>46086</v>
      </c>
      <c r="B41" s="227" t="s">
        <v>172</v>
      </c>
      <c r="C41" s="227" t="s">
        <v>196</v>
      </c>
      <c r="D41" s="228">
        <v>6750</v>
      </c>
      <c r="E41" s="228">
        <v>149.19</v>
      </c>
      <c r="F41" s="228">
        <v>147.57</v>
      </c>
      <c r="G41" s="228">
        <v>1.62</v>
      </c>
      <c r="H41" s="229">
        <v>1.0999999999999999E-2</v>
      </c>
      <c r="I41" s="228">
        <v>148.51</v>
      </c>
      <c r="J41" s="228">
        <v>146.93</v>
      </c>
      <c r="K41" s="228">
        <v>1.58</v>
      </c>
      <c r="L41" s="229">
        <v>1.0800000000000001E-2</v>
      </c>
      <c r="M41" s="228">
        <v>149.19</v>
      </c>
      <c r="N41" s="228">
        <v>147.57</v>
      </c>
      <c r="O41" s="228">
        <v>1.62</v>
      </c>
      <c r="P41" s="229">
        <v>1.0999999999999999E-2</v>
      </c>
      <c r="Q41" s="228">
        <v>150.13999999999999</v>
      </c>
      <c r="R41" s="228">
        <v>148.41999999999999</v>
      </c>
      <c r="S41" s="228">
        <v>1.72</v>
      </c>
      <c r="T41" s="229">
        <v>1.1599999999999999E-2</v>
      </c>
      <c r="U41" s="228">
        <v>150.65</v>
      </c>
      <c r="V41" s="228">
        <v>149.09</v>
      </c>
      <c r="W41" s="228">
        <v>1.56</v>
      </c>
      <c r="X41" s="229">
        <v>1.0500000000000001E-2</v>
      </c>
      <c r="Y41" s="228">
        <v>0.68</v>
      </c>
      <c r="Z41" s="228">
        <v>0.64</v>
      </c>
      <c r="AA41" s="228">
        <v>0.04</v>
      </c>
      <c r="AB41" s="229">
        <v>4.5999999999999999E-3</v>
      </c>
      <c r="AC41" s="228">
        <v>0.68</v>
      </c>
      <c r="AD41" s="228">
        <v>0.64</v>
      </c>
      <c r="AE41" s="228">
        <v>0.04</v>
      </c>
      <c r="AF41" s="229">
        <v>4.5999999999999999E-3</v>
      </c>
      <c r="AG41" s="228">
        <v>1.63</v>
      </c>
      <c r="AH41" s="228">
        <v>1.49</v>
      </c>
      <c r="AI41" s="228">
        <v>0.14000000000000001</v>
      </c>
      <c r="AJ41" s="229">
        <v>1.0999999999999999E-2</v>
      </c>
      <c r="AK41" s="228">
        <v>2.14</v>
      </c>
      <c r="AL41" s="228">
        <v>2.16</v>
      </c>
      <c r="AM41" s="228">
        <v>-0.02</v>
      </c>
      <c r="AN41" s="229">
        <v>1.44E-2</v>
      </c>
      <c r="AO41" s="228">
        <v>148.30000000000001</v>
      </c>
      <c r="AP41" s="228">
        <v>149.5</v>
      </c>
      <c r="AQ41" s="228">
        <v>0</v>
      </c>
      <c r="AR41" s="230">
        <v>65191500</v>
      </c>
      <c r="AS41" s="230">
        <v>75539250</v>
      </c>
      <c r="AT41" s="230">
        <v>-10347750</v>
      </c>
      <c r="AU41" s="229">
        <v>-0.13700000000000001</v>
      </c>
      <c r="AV41" s="230">
        <v>59427000</v>
      </c>
      <c r="AW41" s="230">
        <v>68863500</v>
      </c>
      <c r="AX41" s="230">
        <v>-9436500</v>
      </c>
      <c r="AY41" s="229">
        <v>-0.13700000000000001</v>
      </c>
      <c r="AZ41" s="230">
        <v>4664250</v>
      </c>
      <c r="BA41" s="230">
        <v>5130000</v>
      </c>
      <c r="BB41" s="230">
        <v>-465750</v>
      </c>
      <c r="BC41" s="229">
        <v>-9.0800000000000006E-2</v>
      </c>
      <c r="BD41" s="230">
        <v>1100250</v>
      </c>
      <c r="BE41" s="230">
        <v>1545750</v>
      </c>
      <c r="BF41" s="230">
        <v>-445500</v>
      </c>
      <c r="BG41" s="229">
        <v>-0.28820000000000001</v>
      </c>
      <c r="BH41" s="230">
        <v>105725250</v>
      </c>
      <c r="BI41" s="230">
        <v>106798500</v>
      </c>
      <c r="BJ41" s="230">
        <v>-1073250</v>
      </c>
      <c r="BK41" s="229">
        <v>-0.01</v>
      </c>
      <c r="BL41" s="230">
        <v>64368000</v>
      </c>
      <c r="BM41" s="230">
        <v>90267750</v>
      </c>
      <c r="BN41" s="230">
        <v>-25899750</v>
      </c>
      <c r="BO41" s="229">
        <v>-0.28689999999999999</v>
      </c>
      <c r="BP41" s="230">
        <v>235284750</v>
      </c>
      <c r="BQ41" s="230">
        <v>272605500</v>
      </c>
      <c r="BR41" s="230">
        <v>-37320750</v>
      </c>
      <c r="BS41" s="229">
        <v>-0.13689999999999999</v>
      </c>
      <c r="BT41" s="230">
        <v>25057925</v>
      </c>
      <c r="BU41" s="230">
        <v>37146334</v>
      </c>
      <c r="BV41" s="230">
        <v>-12088409</v>
      </c>
      <c r="BW41" s="229">
        <v>-0.32540000000000002</v>
      </c>
      <c r="BX41" s="230">
        <v>164538000</v>
      </c>
      <c r="BY41" s="230">
        <v>161581500</v>
      </c>
      <c r="BZ41" s="230">
        <v>2956500</v>
      </c>
      <c r="CA41" s="229">
        <v>1.83E-2</v>
      </c>
      <c r="CB41" s="230">
        <v>155904750</v>
      </c>
      <c r="CC41" s="230">
        <v>154102500</v>
      </c>
      <c r="CD41" s="230">
        <v>1802250</v>
      </c>
      <c r="CE41" s="229">
        <v>1.17E-2</v>
      </c>
      <c r="CF41" s="230">
        <v>7350750</v>
      </c>
      <c r="CG41" s="230">
        <v>6264000</v>
      </c>
      <c r="CH41" s="230">
        <v>1086750</v>
      </c>
      <c r="CI41" s="229">
        <v>0.17349999999999999</v>
      </c>
      <c r="CJ41" s="230">
        <v>1282500</v>
      </c>
      <c r="CK41" s="230">
        <v>1215000</v>
      </c>
      <c r="CL41" s="230">
        <v>67500</v>
      </c>
      <c r="CM41" s="229">
        <v>5.5599999999999997E-2</v>
      </c>
      <c r="CN41" s="230">
        <v>92468250</v>
      </c>
      <c r="CO41" s="230">
        <v>80797500</v>
      </c>
      <c r="CP41" s="230">
        <v>11670750</v>
      </c>
      <c r="CQ41" s="229">
        <v>0.1444</v>
      </c>
      <c r="CR41" s="230">
        <v>70490250</v>
      </c>
      <c r="CS41" s="230">
        <v>63882000</v>
      </c>
      <c r="CT41" s="230">
        <v>6608250</v>
      </c>
      <c r="CU41" s="229">
        <v>0.10340000000000001</v>
      </c>
      <c r="CV41" s="230">
        <v>327496500</v>
      </c>
      <c r="CW41" s="230">
        <v>306261000</v>
      </c>
      <c r="CX41" s="230">
        <v>21235500</v>
      </c>
      <c r="CY41" s="229">
        <v>6.93E-2</v>
      </c>
      <c r="CZ41" s="228">
        <v>30.86</v>
      </c>
      <c r="DA41" s="228">
        <v>34.81</v>
      </c>
      <c r="DB41" s="228">
        <v>-3.95</v>
      </c>
      <c r="DC41" s="228">
        <v>-3.95</v>
      </c>
      <c r="DD41" s="228">
        <v>35.94</v>
      </c>
      <c r="DE41" s="228">
        <v>36</v>
      </c>
      <c r="DF41" s="228">
        <v>-5.08</v>
      </c>
      <c r="DG41" s="228">
        <v>-0.06</v>
      </c>
      <c r="DH41" s="228">
        <v>30.45</v>
      </c>
      <c r="DI41" s="228">
        <v>34.42</v>
      </c>
      <c r="DJ41" s="228">
        <v>-3.97</v>
      </c>
      <c r="DK41" s="228">
        <v>-3.97</v>
      </c>
      <c r="DL41" s="228">
        <v>31.54</v>
      </c>
      <c r="DM41" s="228">
        <v>35.270000000000003</v>
      </c>
      <c r="DN41" s="228">
        <v>-3.73</v>
      </c>
      <c r="DO41" s="228">
        <v>-3.73</v>
      </c>
      <c r="DP41" s="228">
        <v>0.76</v>
      </c>
      <c r="DQ41" s="228">
        <v>0.79</v>
      </c>
      <c r="DR41" s="228">
        <v>-0.03</v>
      </c>
      <c r="DS41" s="229">
        <v>-3.7999999999999999E-2</v>
      </c>
      <c r="DT41" s="228">
        <v>160</v>
      </c>
      <c r="DU41" s="228">
        <v>140</v>
      </c>
      <c r="DV41" s="228">
        <v>0.61</v>
      </c>
      <c r="DW41" s="228">
        <v>0.85</v>
      </c>
      <c r="DX41" s="228">
        <v>-0.24</v>
      </c>
      <c r="DY41" s="229">
        <v>-0.28239999999999998</v>
      </c>
      <c r="DZ41" s="229">
        <v>5.2499999999999998E-2</v>
      </c>
      <c r="EA41" s="230">
        <v>7479000</v>
      </c>
      <c r="EB41" s="229">
        <v>6.4000000000000003E-3</v>
      </c>
      <c r="EC41" s="229">
        <v>5.2499999999999998E-2</v>
      </c>
      <c r="ED41" s="228">
        <v>1.2</v>
      </c>
      <c r="EE41" s="229">
        <v>8.0999999999999996E-3</v>
      </c>
      <c r="EF41" s="230">
        <v>11583210</v>
      </c>
      <c r="EG41" s="230">
        <v>19125070</v>
      </c>
      <c r="EH41" s="229">
        <v>-0.39429999999999998</v>
      </c>
      <c r="EI41" s="229">
        <v>0.46229999999999999</v>
      </c>
      <c r="EJ41" s="231">
        <v>166902.24</v>
      </c>
      <c r="EK41" s="231">
        <v>96438.37</v>
      </c>
      <c r="EL41" s="231">
        <v>96751.67</v>
      </c>
      <c r="EM41" s="231">
        <v>9586</v>
      </c>
      <c r="EN41" s="231">
        <v>360092.28</v>
      </c>
      <c r="EO41" s="231">
        <v>417486.78</v>
      </c>
      <c r="EP41" s="231">
        <v>-57394.5</v>
      </c>
      <c r="EQ41" s="229">
        <v>-0.13750000000000001</v>
      </c>
      <c r="ER41" s="231">
        <v>146113</v>
      </c>
      <c r="ES41" s="231">
        <v>104852</v>
      </c>
      <c r="ET41" s="231">
        <v>245563</v>
      </c>
      <c r="EU41" s="231">
        <v>504315430</v>
      </c>
      <c r="EV41" s="231">
        <v>496528</v>
      </c>
      <c r="EW41" s="231">
        <v>463084</v>
      </c>
      <c r="EX41" s="231">
        <v>33444</v>
      </c>
      <c r="EY41" s="229">
        <v>7.22E-2</v>
      </c>
      <c r="EZ41" s="229">
        <v>0.64939999999999998</v>
      </c>
      <c r="FA41" s="227" t="s">
        <v>555</v>
      </c>
      <c r="FB41" s="161">
        <f t="shared" si="0"/>
        <v>8633250</v>
      </c>
    </row>
    <row r="42" spans="1:158" ht="17.25" thickBot="1" x14ac:dyDescent="0.3">
      <c r="A42" s="226">
        <v>46086</v>
      </c>
      <c r="B42" s="227" t="s">
        <v>175</v>
      </c>
      <c r="C42" s="227" t="s">
        <v>597</v>
      </c>
      <c r="D42" s="228">
        <v>475</v>
      </c>
      <c r="E42" s="231">
        <v>1242.2</v>
      </c>
      <c r="F42" s="231">
        <v>1211.5999999999999</v>
      </c>
      <c r="G42" s="228">
        <v>30.6</v>
      </c>
      <c r="H42" s="229">
        <v>2.53E-2</v>
      </c>
      <c r="I42" s="231">
        <v>1239.5999999999999</v>
      </c>
      <c r="J42" s="231">
        <v>1209.4000000000001</v>
      </c>
      <c r="K42" s="228">
        <v>30.2</v>
      </c>
      <c r="L42" s="229">
        <v>2.5000000000000001E-2</v>
      </c>
      <c r="M42" s="231">
        <v>1242.2</v>
      </c>
      <c r="N42" s="231">
        <v>1211.5999999999999</v>
      </c>
      <c r="O42" s="228">
        <v>30.6</v>
      </c>
      <c r="P42" s="229">
        <v>2.53E-2</v>
      </c>
      <c r="Q42" s="231">
        <v>1242.0999999999999</v>
      </c>
      <c r="R42" s="231">
        <v>1210.9000000000001</v>
      </c>
      <c r="S42" s="228">
        <v>31.2</v>
      </c>
      <c r="T42" s="229">
        <v>2.58E-2</v>
      </c>
      <c r="U42" s="231">
        <v>1243.5</v>
      </c>
      <c r="V42" s="231">
        <v>1212.8</v>
      </c>
      <c r="W42" s="228">
        <v>30.7</v>
      </c>
      <c r="X42" s="229">
        <v>2.53E-2</v>
      </c>
      <c r="Y42" s="228">
        <v>2.6</v>
      </c>
      <c r="Z42" s="228">
        <v>2.2000000000000002</v>
      </c>
      <c r="AA42" s="228">
        <v>0.4</v>
      </c>
      <c r="AB42" s="229">
        <v>2.0999999999999999E-3</v>
      </c>
      <c r="AC42" s="228">
        <v>2.6</v>
      </c>
      <c r="AD42" s="228">
        <v>2.2000000000000002</v>
      </c>
      <c r="AE42" s="228">
        <v>0.4</v>
      </c>
      <c r="AF42" s="229">
        <v>2.0999999999999999E-3</v>
      </c>
      <c r="AG42" s="228">
        <v>2.5</v>
      </c>
      <c r="AH42" s="228">
        <v>1.5</v>
      </c>
      <c r="AI42" s="228">
        <v>1</v>
      </c>
      <c r="AJ42" s="229">
        <v>2E-3</v>
      </c>
      <c r="AK42" s="228">
        <v>3.9</v>
      </c>
      <c r="AL42" s="228">
        <v>3.4</v>
      </c>
      <c r="AM42" s="228">
        <v>0.5</v>
      </c>
      <c r="AN42" s="229">
        <v>3.0999999999999999E-3</v>
      </c>
      <c r="AO42" s="231">
        <v>1228.43</v>
      </c>
      <c r="AP42" s="231">
        <v>1228.3900000000001</v>
      </c>
      <c r="AQ42" s="228">
        <v>0</v>
      </c>
      <c r="AR42" s="230">
        <v>1896200</v>
      </c>
      <c r="AS42" s="230">
        <v>2539825</v>
      </c>
      <c r="AT42" s="230">
        <v>-643625</v>
      </c>
      <c r="AU42" s="229">
        <v>-0.25340000000000001</v>
      </c>
      <c r="AV42" s="230">
        <v>1649200</v>
      </c>
      <c r="AW42" s="230">
        <v>2319900</v>
      </c>
      <c r="AX42" s="230">
        <v>-670700</v>
      </c>
      <c r="AY42" s="229">
        <v>-0.28910000000000002</v>
      </c>
      <c r="AZ42" s="230">
        <v>204725</v>
      </c>
      <c r="BA42" s="230">
        <v>187150</v>
      </c>
      <c r="BB42" s="230">
        <v>17575</v>
      </c>
      <c r="BC42" s="229">
        <v>9.3899999999999997E-2</v>
      </c>
      <c r="BD42" s="230">
        <v>42275</v>
      </c>
      <c r="BE42" s="230">
        <v>32775</v>
      </c>
      <c r="BF42" s="230">
        <v>9500</v>
      </c>
      <c r="BG42" s="229">
        <v>0.28989999999999999</v>
      </c>
      <c r="BH42" s="230">
        <v>5534700</v>
      </c>
      <c r="BI42" s="230">
        <v>7084625</v>
      </c>
      <c r="BJ42" s="230">
        <v>-1549925</v>
      </c>
      <c r="BK42" s="229">
        <v>-0.21879999999999999</v>
      </c>
      <c r="BL42" s="230">
        <v>2245325</v>
      </c>
      <c r="BM42" s="230">
        <v>4001875</v>
      </c>
      <c r="BN42" s="230">
        <v>-1756550</v>
      </c>
      <c r="BO42" s="229">
        <v>-0.43890000000000001</v>
      </c>
      <c r="BP42" s="230">
        <v>9676225</v>
      </c>
      <c r="BQ42" s="230">
        <v>13626325</v>
      </c>
      <c r="BR42" s="230">
        <v>-3950100</v>
      </c>
      <c r="BS42" s="229">
        <v>-0.28989999999999999</v>
      </c>
      <c r="BT42" s="230">
        <v>1533461</v>
      </c>
      <c r="BU42" s="230">
        <v>2561793</v>
      </c>
      <c r="BV42" s="230">
        <v>-1028332</v>
      </c>
      <c r="BW42" s="229">
        <v>-0.40139999999999998</v>
      </c>
      <c r="BX42" s="230">
        <v>11377200</v>
      </c>
      <c r="BY42" s="230">
        <v>11354400</v>
      </c>
      <c r="BZ42" s="230">
        <v>22800</v>
      </c>
      <c r="CA42" s="229">
        <v>2E-3</v>
      </c>
      <c r="CB42" s="230">
        <v>10261900</v>
      </c>
      <c r="CC42" s="230">
        <v>10292775</v>
      </c>
      <c r="CD42" s="230">
        <v>-30875</v>
      </c>
      <c r="CE42" s="229">
        <v>-3.0000000000000001E-3</v>
      </c>
      <c r="CF42" s="230">
        <v>986100</v>
      </c>
      <c r="CG42" s="230">
        <v>950475</v>
      </c>
      <c r="CH42" s="230">
        <v>35625</v>
      </c>
      <c r="CI42" s="229">
        <v>3.7499999999999999E-2</v>
      </c>
      <c r="CJ42" s="230">
        <v>129200</v>
      </c>
      <c r="CK42" s="230">
        <v>111150</v>
      </c>
      <c r="CL42" s="230">
        <v>18050</v>
      </c>
      <c r="CM42" s="229">
        <v>0.16239999999999999</v>
      </c>
      <c r="CN42" s="230">
        <v>6382575</v>
      </c>
      <c r="CO42" s="230">
        <v>6277125</v>
      </c>
      <c r="CP42" s="230">
        <v>105450</v>
      </c>
      <c r="CQ42" s="229">
        <v>1.6799999999999999E-2</v>
      </c>
      <c r="CR42" s="230">
        <v>4889175</v>
      </c>
      <c r="CS42" s="230">
        <v>4931925</v>
      </c>
      <c r="CT42" s="230">
        <v>-42750</v>
      </c>
      <c r="CU42" s="229">
        <v>-8.6999999999999994E-3</v>
      </c>
      <c r="CV42" s="230">
        <v>22648950</v>
      </c>
      <c r="CW42" s="230">
        <v>22563450</v>
      </c>
      <c r="CX42" s="230">
        <v>85500</v>
      </c>
      <c r="CY42" s="229">
        <v>3.8E-3</v>
      </c>
      <c r="CZ42" s="228">
        <v>33.76</v>
      </c>
      <c r="DA42" s="228">
        <v>37.01</v>
      </c>
      <c r="DB42" s="228">
        <v>-3.25</v>
      </c>
      <c r="DC42" s="228">
        <v>-3.25</v>
      </c>
      <c r="DD42" s="228">
        <v>45.02</v>
      </c>
      <c r="DE42" s="228">
        <v>45</v>
      </c>
      <c r="DF42" s="228">
        <v>-11.26</v>
      </c>
      <c r="DG42" s="228">
        <v>0.02</v>
      </c>
      <c r="DH42" s="228">
        <v>33.19</v>
      </c>
      <c r="DI42" s="228">
        <v>36.46</v>
      </c>
      <c r="DJ42" s="228">
        <v>-3.27</v>
      </c>
      <c r="DK42" s="228">
        <v>-3.27</v>
      </c>
      <c r="DL42" s="228">
        <v>35.14</v>
      </c>
      <c r="DM42" s="228">
        <v>37.979999999999997</v>
      </c>
      <c r="DN42" s="228">
        <v>-2.84</v>
      </c>
      <c r="DO42" s="228">
        <v>-2.84</v>
      </c>
      <c r="DP42" s="228">
        <v>0.77</v>
      </c>
      <c r="DQ42" s="228">
        <v>0.79</v>
      </c>
      <c r="DR42" s="228">
        <v>-0.02</v>
      </c>
      <c r="DS42" s="229">
        <v>-2.53E-2</v>
      </c>
      <c r="DT42" s="231">
        <v>1400</v>
      </c>
      <c r="DU42" s="231">
        <v>1300</v>
      </c>
      <c r="DV42" s="228">
        <v>0.41</v>
      </c>
      <c r="DW42" s="228">
        <v>0.56000000000000005</v>
      </c>
      <c r="DX42" s="228">
        <v>-0.15</v>
      </c>
      <c r="DY42" s="229">
        <v>-0.26790000000000003</v>
      </c>
      <c r="DZ42" s="229">
        <v>9.8000000000000004E-2</v>
      </c>
      <c r="EA42" s="230">
        <v>1061625</v>
      </c>
      <c r="EB42" s="229">
        <v>-1E-4</v>
      </c>
      <c r="EC42" s="229">
        <v>9.8000000000000004E-2</v>
      </c>
      <c r="ED42" s="228">
        <v>-0.04</v>
      </c>
      <c r="EE42" s="229">
        <v>0</v>
      </c>
      <c r="EF42" s="230">
        <v>449252</v>
      </c>
      <c r="EG42" s="230">
        <v>921774</v>
      </c>
      <c r="EH42" s="229">
        <v>-0.51259999999999994</v>
      </c>
      <c r="EI42" s="229">
        <v>0.29299999999999998</v>
      </c>
      <c r="EJ42" s="231">
        <v>72985.97</v>
      </c>
      <c r="EK42" s="231">
        <v>27385.19</v>
      </c>
      <c r="EL42" s="231">
        <v>23293.66</v>
      </c>
      <c r="EM42" s="231">
        <v>7628</v>
      </c>
      <c r="EN42" s="231">
        <v>123664.82</v>
      </c>
      <c r="EO42" s="231">
        <v>172600.56</v>
      </c>
      <c r="EP42" s="231">
        <v>-48935.74</v>
      </c>
      <c r="EQ42" s="229">
        <v>-0.28349999999999997</v>
      </c>
      <c r="ER42" s="231">
        <v>87020</v>
      </c>
      <c r="ES42" s="231">
        <v>63589</v>
      </c>
      <c r="ET42" s="231">
        <v>141328</v>
      </c>
      <c r="EU42" s="231">
        <v>26647500</v>
      </c>
      <c r="EV42" s="231">
        <v>291938</v>
      </c>
      <c r="EW42" s="231">
        <v>287232</v>
      </c>
      <c r="EX42" s="231">
        <v>4706</v>
      </c>
      <c r="EY42" s="229">
        <v>1.6400000000000001E-2</v>
      </c>
      <c r="EZ42" s="229">
        <v>0.84989999999999999</v>
      </c>
      <c r="FA42" s="227" t="s">
        <v>555</v>
      </c>
      <c r="FB42" s="161">
        <f t="shared" si="0"/>
        <v>1115300</v>
      </c>
    </row>
    <row r="43" spans="1:158" ht="17.25" thickBot="1" x14ac:dyDescent="0.3">
      <c r="A43" s="226">
        <v>46086</v>
      </c>
      <c r="B43" s="227" t="s">
        <v>161</v>
      </c>
      <c r="C43" s="227" t="s">
        <v>612</v>
      </c>
      <c r="D43" s="228">
        <v>850</v>
      </c>
      <c r="E43" s="228">
        <v>702.5</v>
      </c>
      <c r="F43" s="228">
        <v>686.1</v>
      </c>
      <c r="G43" s="228">
        <v>16.399999999999999</v>
      </c>
      <c r="H43" s="229">
        <v>2.3900000000000001E-2</v>
      </c>
      <c r="I43" s="228">
        <v>701.1</v>
      </c>
      <c r="J43" s="228">
        <v>684.9</v>
      </c>
      <c r="K43" s="228">
        <v>16.2</v>
      </c>
      <c r="L43" s="229">
        <v>2.3699999999999999E-2</v>
      </c>
      <c r="M43" s="228">
        <v>702.5</v>
      </c>
      <c r="N43" s="228">
        <v>686.1</v>
      </c>
      <c r="O43" s="228">
        <v>16.399999999999999</v>
      </c>
      <c r="P43" s="229">
        <v>2.3900000000000001E-2</v>
      </c>
      <c r="Q43" s="228">
        <v>706.45</v>
      </c>
      <c r="R43" s="228">
        <v>690</v>
      </c>
      <c r="S43" s="228">
        <v>16.45</v>
      </c>
      <c r="T43" s="229">
        <v>2.3800000000000002E-2</v>
      </c>
      <c r="U43" s="228">
        <v>713.5</v>
      </c>
      <c r="V43" s="228">
        <v>693</v>
      </c>
      <c r="W43" s="228">
        <v>20.5</v>
      </c>
      <c r="X43" s="229">
        <v>2.9600000000000001E-2</v>
      </c>
      <c r="Y43" s="228">
        <v>1.4</v>
      </c>
      <c r="Z43" s="228">
        <v>1.2</v>
      </c>
      <c r="AA43" s="228">
        <v>0.2</v>
      </c>
      <c r="AB43" s="229">
        <v>2E-3</v>
      </c>
      <c r="AC43" s="228">
        <v>1.4</v>
      </c>
      <c r="AD43" s="228">
        <v>1.2</v>
      </c>
      <c r="AE43" s="228">
        <v>0.2</v>
      </c>
      <c r="AF43" s="229">
        <v>2E-3</v>
      </c>
      <c r="AG43" s="228">
        <v>5.35</v>
      </c>
      <c r="AH43" s="228">
        <v>5.0999999999999996</v>
      </c>
      <c r="AI43" s="228">
        <v>0.25</v>
      </c>
      <c r="AJ43" s="229">
        <v>7.6E-3</v>
      </c>
      <c r="AK43" s="228">
        <v>12.4</v>
      </c>
      <c r="AL43" s="228">
        <v>8.1</v>
      </c>
      <c r="AM43" s="228">
        <v>4.3</v>
      </c>
      <c r="AN43" s="229">
        <v>1.77E-2</v>
      </c>
      <c r="AO43" s="228">
        <v>695.42</v>
      </c>
      <c r="AP43" s="228">
        <v>697.56</v>
      </c>
      <c r="AQ43" s="228">
        <v>0</v>
      </c>
      <c r="AR43" s="230">
        <v>1534250</v>
      </c>
      <c r="AS43" s="230">
        <v>3866650</v>
      </c>
      <c r="AT43" s="230">
        <v>-2332400</v>
      </c>
      <c r="AU43" s="229">
        <v>-0.60319999999999996</v>
      </c>
      <c r="AV43" s="230">
        <v>1454350</v>
      </c>
      <c r="AW43" s="230">
        <v>3745100</v>
      </c>
      <c r="AX43" s="230">
        <v>-2290750</v>
      </c>
      <c r="AY43" s="229">
        <v>-0.61170000000000002</v>
      </c>
      <c r="AZ43" s="230">
        <v>70550</v>
      </c>
      <c r="BA43" s="230">
        <v>114750</v>
      </c>
      <c r="BB43" s="230">
        <v>-44200</v>
      </c>
      <c r="BC43" s="229">
        <v>-0.38519999999999999</v>
      </c>
      <c r="BD43" s="230">
        <v>9350</v>
      </c>
      <c r="BE43" s="230">
        <v>6800</v>
      </c>
      <c r="BF43" s="230">
        <v>2550</v>
      </c>
      <c r="BG43" s="229">
        <v>0.375</v>
      </c>
      <c r="BH43" s="230">
        <v>3284400</v>
      </c>
      <c r="BI43" s="230">
        <v>5519900</v>
      </c>
      <c r="BJ43" s="230">
        <v>-2235500</v>
      </c>
      <c r="BK43" s="229">
        <v>-0.40500000000000003</v>
      </c>
      <c r="BL43" s="230">
        <v>1469650</v>
      </c>
      <c r="BM43" s="230">
        <v>3818200</v>
      </c>
      <c r="BN43" s="230">
        <v>-2348550</v>
      </c>
      <c r="BO43" s="229">
        <v>-0.61509999999999998</v>
      </c>
      <c r="BP43" s="230">
        <v>6288300</v>
      </c>
      <c r="BQ43" s="230">
        <v>13204750</v>
      </c>
      <c r="BR43" s="230">
        <v>-6916450</v>
      </c>
      <c r="BS43" s="229">
        <v>-0.52380000000000004</v>
      </c>
      <c r="BT43" s="230">
        <v>1439098</v>
      </c>
      <c r="BU43" s="230">
        <v>4291057</v>
      </c>
      <c r="BV43" s="230">
        <v>-2851959</v>
      </c>
      <c r="BW43" s="229">
        <v>-0.66459999999999997</v>
      </c>
      <c r="BX43" s="230">
        <v>14911550</v>
      </c>
      <c r="BY43" s="230">
        <v>15117250</v>
      </c>
      <c r="BZ43" s="230">
        <v>-205700</v>
      </c>
      <c r="CA43" s="229">
        <v>-1.3599999999999999E-2</v>
      </c>
      <c r="CB43" s="230">
        <v>14735600</v>
      </c>
      <c r="CC43" s="230">
        <v>14948950</v>
      </c>
      <c r="CD43" s="230">
        <v>-213350</v>
      </c>
      <c r="CE43" s="229">
        <v>-1.43E-2</v>
      </c>
      <c r="CF43" s="230">
        <v>161500</v>
      </c>
      <c r="CG43" s="230">
        <v>157250</v>
      </c>
      <c r="CH43" s="230">
        <v>4250</v>
      </c>
      <c r="CI43" s="229">
        <v>2.7E-2</v>
      </c>
      <c r="CJ43" s="230">
        <v>14450</v>
      </c>
      <c r="CK43" s="230">
        <v>11050</v>
      </c>
      <c r="CL43" s="230">
        <v>3400</v>
      </c>
      <c r="CM43" s="229">
        <v>0.30769999999999997</v>
      </c>
      <c r="CN43" s="230">
        <v>3432300</v>
      </c>
      <c r="CO43" s="230">
        <v>3527500</v>
      </c>
      <c r="CP43" s="230">
        <v>-95200</v>
      </c>
      <c r="CQ43" s="229">
        <v>-2.7E-2</v>
      </c>
      <c r="CR43" s="230">
        <v>2120750</v>
      </c>
      <c r="CS43" s="230">
        <v>2147100</v>
      </c>
      <c r="CT43" s="230">
        <v>-26350</v>
      </c>
      <c r="CU43" s="229">
        <v>-1.23E-2</v>
      </c>
      <c r="CV43" s="230">
        <v>20464600</v>
      </c>
      <c r="CW43" s="230">
        <v>20791850</v>
      </c>
      <c r="CX43" s="230">
        <v>-327250</v>
      </c>
      <c r="CY43" s="229">
        <v>-1.5699999999999999E-2</v>
      </c>
      <c r="CZ43" s="228">
        <v>33.29</v>
      </c>
      <c r="DA43" s="228">
        <v>36.22</v>
      </c>
      <c r="DB43" s="228">
        <v>-2.93</v>
      </c>
      <c r="DC43" s="228">
        <v>-2.93</v>
      </c>
      <c r="DD43" s="228">
        <v>41.63</v>
      </c>
      <c r="DE43" s="228">
        <v>41.61</v>
      </c>
      <c r="DF43" s="228">
        <v>-8.34</v>
      </c>
      <c r="DG43" s="228">
        <v>0.02</v>
      </c>
      <c r="DH43" s="228">
        <v>32.68</v>
      </c>
      <c r="DI43" s="228">
        <v>35.380000000000003</v>
      </c>
      <c r="DJ43" s="228">
        <v>-2.7</v>
      </c>
      <c r="DK43" s="228">
        <v>-2.7</v>
      </c>
      <c r="DL43" s="228">
        <v>34.659999999999997</v>
      </c>
      <c r="DM43" s="228">
        <v>37.43</v>
      </c>
      <c r="DN43" s="228">
        <v>-2.77</v>
      </c>
      <c r="DO43" s="228">
        <v>-2.77</v>
      </c>
      <c r="DP43" s="228">
        <v>0.62</v>
      </c>
      <c r="DQ43" s="228">
        <v>0.61</v>
      </c>
      <c r="DR43" s="228">
        <v>0.01</v>
      </c>
      <c r="DS43" s="229">
        <v>1.6400000000000001E-2</v>
      </c>
      <c r="DT43" s="228">
        <v>720</v>
      </c>
      <c r="DU43" s="228">
        <v>700</v>
      </c>
      <c r="DV43" s="228">
        <v>0.45</v>
      </c>
      <c r="DW43" s="228">
        <v>0.69</v>
      </c>
      <c r="DX43" s="228">
        <v>-0.24</v>
      </c>
      <c r="DY43" s="229">
        <v>-0.3478</v>
      </c>
      <c r="DZ43" s="229">
        <v>1.18E-2</v>
      </c>
      <c r="EA43" s="230">
        <v>168300</v>
      </c>
      <c r="EB43" s="229">
        <v>5.5999999999999999E-3</v>
      </c>
      <c r="EC43" s="229">
        <v>1.18E-2</v>
      </c>
      <c r="ED43" s="228">
        <v>2.14</v>
      </c>
      <c r="EE43" s="229">
        <v>3.0999999999999999E-3</v>
      </c>
      <c r="EF43" s="230">
        <v>568151</v>
      </c>
      <c r="EG43" s="230">
        <v>2143355</v>
      </c>
      <c r="EH43" s="229">
        <v>-0.7349</v>
      </c>
      <c r="EI43" s="229">
        <v>0.39479999999999998</v>
      </c>
      <c r="EJ43" s="231">
        <v>24272.5</v>
      </c>
      <c r="EK43" s="231">
        <v>9925.85</v>
      </c>
      <c r="EL43" s="231">
        <v>10671.75</v>
      </c>
      <c r="EM43" s="231">
        <v>3995</v>
      </c>
      <c r="EN43" s="231">
        <v>44870.1</v>
      </c>
      <c r="EO43" s="231">
        <v>93686.38</v>
      </c>
      <c r="EP43" s="231">
        <v>-48816.28</v>
      </c>
      <c r="EQ43" s="229">
        <v>-0.52110000000000001</v>
      </c>
      <c r="ER43" s="231">
        <v>25156</v>
      </c>
      <c r="ES43" s="231">
        <v>14328</v>
      </c>
      <c r="ET43" s="231">
        <v>104762</v>
      </c>
      <c r="EU43" s="231">
        <v>103060454</v>
      </c>
      <c r="EV43" s="231">
        <v>144246</v>
      </c>
      <c r="EW43" s="231">
        <v>143970</v>
      </c>
      <c r="EX43" s="228">
        <v>276</v>
      </c>
      <c r="EY43" s="229">
        <v>1.9E-3</v>
      </c>
      <c r="EZ43" s="229">
        <v>0.1986</v>
      </c>
      <c r="FA43" s="227" t="s">
        <v>556</v>
      </c>
      <c r="FB43" s="161">
        <f t="shared" si="0"/>
        <v>175950</v>
      </c>
    </row>
    <row r="44" spans="1:158" ht="17.25" thickBot="1" x14ac:dyDescent="0.3">
      <c r="A44" s="226">
        <v>46086</v>
      </c>
      <c r="B44" s="227" t="s">
        <v>175</v>
      </c>
      <c r="C44" s="227" t="s">
        <v>198</v>
      </c>
      <c r="D44" s="228">
        <v>625</v>
      </c>
      <c r="E44" s="231">
        <v>1679.2</v>
      </c>
      <c r="F44" s="231">
        <v>1661.6</v>
      </c>
      <c r="G44" s="228">
        <v>17.600000000000001</v>
      </c>
      <c r="H44" s="229">
        <v>1.06E-2</v>
      </c>
      <c r="I44" s="231">
        <v>1669</v>
      </c>
      <c r="J44" s="231">
        <v>1653.6</v>
      </c>
      <c r="K44" s="228">
        <v>15.4</v>
      </c>
      <c r="L44" s="229">
        <v>9.2999999999999992E-3</v>
      </c>
      <c r="M44" s="231">
        <v>1679.2</v>
      </c>
      <c r="N44" s="231">
        <v>1661.6</v>
      </c>
      <c r="O44" s="228">
        <v>17.600000000000001</v>
      </c>
      <c r="P44" s="229">
        <v>1.06E-2</v>
      </c>
      <c r="Q44" s="231">
        <v>1687.4</v>
      </c>
      <c r="R44" s="231">
        <v>1670.9</v>
      </c>
      <c r="S44" s="228">
        <v>16.5</v>
      </c>
      <c r="T44" s="229">
        <v>9.9000000000000008E-3</v>
      </c>
      <c r="U44" s="231">
        <v>1686.7</v>
      </c>
      <c r="V44" s="231">
        <v>1668.6</v>
      </c>
      <c r="W44" s="228">
        <v>18.100000000000001</v>
      </c>
      <c r="X44" s="229">
        <v>1.0800000000000001E-2</v>
      </c>
      <c r="Y44" s="228">
        <v>10.199999999999999</v>
      </c>
      <c r="Z44" s="228">
        <v>8</v>
      </c>
      <c r="AA44" s="228">
        <v>2.2000000000000002</v>
      </c>
      <c r="AB44" s="229">
        <v>6.1000000000000004E-3</v>
      </c>
      <c r="AC44" s="228">
        <v>10.199999999999999</v>
      </c>
      <c r="AD44" s="228">
        <v>8</v>
      </c>
      <c r="AE44" s="228">
        <v>2.2000000000000002</v>
      </c>
      <c r="AF44" s="229">
        <v>6.1000000000000004E-3</v>
      </c>
      <c r="AG44" s="228">
        <v>18.399999999999999</v>
      </c>
      <c r="AH44" s="228">
        <v>17.3</v>
      </c>
      <c r="AI44" s="228">
        <v>1.1000000000000001</v>
      </c>
      <c r="AJ44" s="229">
        <v>1.0999999999999999E-2</v>
      </c>
      <c r="AK44" s="228">
        <v>17.7</v>
      </c>
      <c r="AL44" s="228">
        <v>15</v>
      </c>
      <c r="AM44" s="228">
        <v>2.7</v>
      </c>
      <c r="AN44" s="229">
        <v>1.06E-2</v>
      </c>
      <c r="AO44" s="231">
        <v>1672.17</v>
      </c>
      <c r="AP44" s="231">
        <v>1679.11</v>
      </c>
      <c r="AQ44" s="228">
        <v>0</v>
      </c>
      <c r="AR44" s="230">
        <v>2108125</v>
      </c>
      <c r="AS44" s="230">
        <v>2187500</v>
      </c>
      <c r="AT44" s="230">
        <v>-79375</v>
      </c>
      <c r="AU44" s="229">
        <v>-3.6299999999999999E-2</v>
      </c>
      <c r="AV44" s="230">
        <v>2045625</v>
      </c>
      <c r="AW44" s="230">
        <v>2143750</v>
      </c>
      <c r="AX44" s="230">
        <v>-98125</v>
      </c>
      <c r="AY44" s="229">
        <v>-4.58E-2</v>
      </c>
      <c r="AZ44" s="230">
        <v>58750</v>
      </c>
      <c r="BA44" s="230">
        <v>38125</v>
      </c>
      <c r="BB44" s="230">
        <v>20625</v>
      </c>
      <c r="BC44" s="229">
        <v>0.54100000000000004</v>
      </c>
      <c r="BD44" s="230">
        <v>3750</v>
      </c>
      <c r="BE44" s="230">
        <v>5625</v>
      </c>
      <c r="BF44" s="230">
        <v>-1875</v>
      </c>
      <c r="BG44" s="229">
        <v>-0.33329999999999999</v>
      </c>
      <c r="BH44" s="230">
        <v>3109375</v>
      </c>
      <c r="BI44" s="230">
        <v>3255000</v>
      </c>
      <c r="BJ44" s="230">
        <v>-145625</v>
      </c>
      <c r="BK44" s="229">
        <v>-4.4699999999999997E-2</v>
      </c>
      <c r="BL44" s="230">
        <v>2577500</v>
      </c>
      <c r="BM44" s="230">
        <v>3649375</v>
      </c>
      <c r="BN44" s="230">
        <v>-1071875</v>
      </c>
      <c r="BO44" s="229">
        <v>-0.29370000000000002</v>
      </c>
      <c r="BP44" s="230">
        <v>7795000</v>
      </c>
      <c r="BQ44" s="230">
        <v>9091875</v>
      </c>
      <c r="BR44" s="230">
        <v>-1296875</v>
      </c>
      <c r="BS44" s="229">
        <v>-0.1426</v>
      </c>
      <c r="BT44" s="230">
        <v>2098706</v>
      </c>
      <c r="BU44" s="230">
        <v>1550590</v>
      </c>
      <c r="BV44" s="230">
        <v>548116</v>
      </c>
      <c r="BW44" s="229">
        <v>0.35349999999999998</v>
      </c>
      <c r="BX44" s="230">
        <v>16037500</v>
      </c>
      <c r="BY44" s="230">
        <v>15919375</v>
      </c>
      <c r="BZ44" s="230">
        <v>118125</v>
      </c>
      <c r="CA44" s="229">
        <v>7.4000000000000003E-3</v>
      </c>
      <c r="CB44" s="230">
        <v>15938125</v>
      </c>
      <c r="CC44" s="230">
        <v>15826875</v>
      </c>
      <c r="CD44" s="230">
        <v>111250</v>
      </c>
      <c r="CE44" s="229">
        <v>7.0000000000000001E-3</v>
      </c>
      <c r="CF44" s="230">
        <v>86875</v>
      </c>
      <c r="CG44" s="230">
        <v>78750</v>
      </c>
      <c r="CH44" s="230">
        <v>8125</v>
      </c>
      <c r="CI44" s="229">
        <v>0.1032</v>
      </c>
      <c r="CJ44" s="230">
        <v>12500</v>
      </c>
      <c r="CK44" s="230">
        <v>13750</v>
      </c>
      <c r="CL44" s="230">
        <v>-1250</v>
      </c>
      <c r="CM44" s="229">
        <v>-9.0899999999999995E-2</v>
      </c>
      <c r="CN44" s="230">
        <v>2863750</v>
      </c>
      <c r="CO44" s="230">
        <v>2862500</v>
      </c>
      <c r="CP44" s="230">
        <v>1250</v>
      </c>
      <c r="CQ44" s="229">
        <v>4.0000000000000002E-4</v>
      </c>
      <c r="CR44" s="230">
        <v>2862500</v>
      </c>
      <c r="CS44" s="230">
        <v>3148125</v>
      </c>
      <c r="CT44" s="230">
        <v>-285625</v>
      </c>
      <c r="CU44" s="229">
        <v>-9.0700000000000003E-2</v>
      </c>
      <c r="CV44" s="230">
        <v>21763750</v>
      </c>
      <c r="CW44" s="230">
        <v>21930000</v>
      </c>
      <c r="CX44" s="230">
        <v>-166250</v>
      </c>
      <c r="CY44" s="229">
        <v>-7.6E-3</v>
      </c>
      <c r="CZ44" s="228">
        <v>28.96</v>
      </c>
      <c r="DA44" s="228">
        <v>32.72</v>
      </c>
      <c r="DB44" s="228">
        <v>-3.76</v>
      </c>
      <c r="DC44" s="228">
        <v>-3.76</v>
      </c>
      <c r="DD44" s="228">
        <v>36.89</v>
      </c>
      <c r="DE44" s="228">
        <v>36.97</v>
      </c>
      <c r="DF44" s="228">
        <v>-7.93</v>
      </c>
      <c r="DG44" s="228">
        <v>-0.08</v>
      </c>
      <c r="DH44" s="228">
        <v>27.48</v>
      </c>
      <c r="DI44" s="228">
        <v>30.98</v>
      </c>
      <c r="DJ44" s="228">
        <v>-3.5</v>
      </c>
      <c r="DK44" s="228">
        <v>-3.5</v>
      </c>
      <c r="DL44" s="228">
        <v>30.74</v>
      </c>
      <c r="DM44" s="228">
        <v>34.26</v>
      </c>
      <c r="DN44" s="228">
        <v>-3.52</v>
      </c>
      <c r="DO44" s="228">
        <v>-3.52</v>
      </c>
      <c r="DP44" s="228">
        <v>1</v>
      </c>
      <c r="DQ44" s="228">
        <v>1.1000000000000001</v>
      </c>
      <c r="DR44" s="228">
        <v>-0.1</v>
      </c>
      <c r="DS44" s="229">
        <v>-9.0899999999999995E-2</v>
      </c>
      <c r="DT44" s="231">
        <v>1800</v>
      </c>
      <c r="DU44" s="231">
        <v>1600</v>
      </c>
      <c r="DV44" s="228">
        <v>0.83</v>
      </c>
      <c r="DW44" s="228">
        <v>1.1200000000000001</v>
      </c>
      <c r="DX44" s="228">
        <v>-0.28999999999999998</v>
      </c>
      <c r="DY44" s="229">
        <v>-0.25890000000000002</v>
      </c>
      <c r="DZ44" s="229">
        <v>6.1999999999999998E-3</v>
      </c>
      <c r="EA44" s="230">
        <v>92500</v>
      </c>
      <c r="EB44" s="229">
        <v>4.8999999999999998E-3</v>
      </c>
      <c r="EC44" s="229">
        <v>6.1999999999999998E-3</v>
      </c>
      <c r="ED44" s="228">
        <v>6.94</v>
      </c>
      <c r="EE44" s="229">
        <v>4.1999999999999997E-3</v>
      </c>
      <c r="EF44" s="230">
        <v>1220999</v>
      </c>
      <c r="EG44" s="230">
        <v>905956</v>
      </c>
      <c r="EH44" s="229">
        <v>0.34770000000000001</v>
      </c>
      <c r="EI44" s="229">
        <v>0.58179999999999998</v>
      </c>
      <c r="EJ44" s="231">
        <v>55129.86</v>
      </c>
      <c r="EK44" s="231">
        <v>43027.63</v>
      </c>
      <c r="EL44" s="231">
        <v>35256.18</v>
      </c>
      <c r="EM44" s="231">
        <v>10898</v>
      </c>
      <c r="EN44" s="231">
        <v>133413.67000000001</v>
      </c>
      <c r="EO44" s="231">
        <v>153782.98000000001</v>
      </c>
      <c r="EP44" s="231">
        <v>-20369.310000000001</v>
      </c>
      <c r="EQ44" s="229">
        <v>-0.13250000000000001</v>
      </c>
      <c r="ER44" s="231">
        <v>50737</v>
      </c>
      <c r="ES44" s="231">
        <v>46763</v>
      </c>
      <c r="ET44" s="231">
        <v>269310</v>
      </c>
      <c r="EU44" s="231">
        <v>63257923</v>
      </c>
      <c r="EV44" s="231">
        <v>366810</v>
      </c>
      <c r="EW44" s="231">
        <v>366971</v>
      </c>
      <c r="EX44" s="228">
        <v>-161</v>
      </c>
      <c r="EY44" s="229">
        <v>-4.0000000000000002E-4</v>
      </c>
      <c r="EZ44" s="229">
        <v>0.34399999999999997</v>
      </c>
      <c r="FA44" s="227" t="s">
        <v>555</v>
      </c>
      <c r="FB44" s="161">
        <f t="shared" si="0"/>
        <v>99375</v>
      </c>
    </row>
    <row r="45" spans="1:158" ht="17.25" thickBot="1" x14ac:dyDescent="0.3">
      <c r="A45" s="226">
        <v>46086</v>
      </c>
      <c r="B45" s="227" t="s">
        <v>170</v>
      </c>
      <c r="C45" s="227" t="s">
        <v>199</v>
      </c>
      <c r="D45" s="228">
        <v>375</v>
      </c>
      <c r="E45" s="231">
        <v>1332.3</v>
      </c>
      <c r="F45" s="231">
        <v>1319.7</v>
      </c>
      <c r="G45" s="228">
        <v>12.6</v>
      </c>
      <c r="H45" s="229">
        <v>9.4999999999999998E-3</v>
      </c>
      <c r="I45" s="231">
        <v>1326.4</v>
      </c>
      <c r="J45" s="231">
        <v>1313.2</v>
      </c>
      <c r="K45" s="228">
        <v>13.2</v>
      </c>
      <c r="L45" s="229">
        <v>1.01E-2</v>
      </c>
      <c r="M45" s="231">
        <v>1332.3</v>
      </c>
      <c r="N45" s="231">
        <v>1319.7</v>
      </c>
      <c r="O45" s="228">
        <v>12.6</v>
      </c>
      <c r="P45" s="229">
        <v>9.4999999999999998E-3</v>
      </c>
      <c r="Q45" s="231">
        <v>1341</v>
      </c>
      <c r="R45" s="231">
        <v>1328.7</v>
      </c>
      <c r="S45" s="228">
        <v>12.3</v>
      </c>
      <c r="T45" s="229">
        <v>9.2999999999999992E-3</v>
      </c>
      <c r="U45" s="231">
        <v>1345.2</v>
      </c>
      <c r="V45" s="231">
        <v>1334.8</v>
      </c>
      <c r="W45" s="228">
        <v>10.4</v>
      </c>
      <c r="X45" s="229">
        <v>7.7999999999999996E-3</v>
      </c>
      <c r="Y45" s="228">
        <v>5.9</v>
      </c>
      <c r="Z45" s="228">
        <v>6.5</v>
      </c>
      <c r="AA45" s="228">
        <v>-0.6</v>
      </c>
      <c r="AB45" s="229">
        <v>4.4000000000000003E-3</v>
      </c>
      <c r="AC45" s="228">
        <v>5.9</v>
      </c>
      <c r="AD45" s="228">
        <v>6.5</v>
      </c>
      <c r="AE45" s="228">
        <v>-0.6</v>
      </c>
      <c r="AF45" s="229">
        <v>4.4000000000000003E-3</v>
      </c>
      <c r="AG45" s="228">
        <v>14.6</v>
      </c>
      <c r="AH45" s="228">
        <v>15.5</v>
      </c>
      <c r="AI45" s="228">
        <v>-0.9</v>
      </c>
      <c r="AJ45" s="229">
        <v>1.0999999999999999E-2</v>
      </c>
      <c r="AK45" s="228">
        <v>18.8</v>
      </c>
      <c r="AL45" s="228">
        <v>21.6</v>
      </c>
      <c r="AM45" s="228">
        <v>-2.8</v>
      </c>
      <c r="AN45" s="229">
        <v>1.4200000000000001E-2</v>
      </c>
      <c r="AO45" s="231">
        <v>1329.45</v>
      </c>
      <c r="AP45" s="231">
        <v>1337.66</v>
      </c>
      <c r="AQ45" s="228">
        <v>0</v>
      </c>
      <c r="AR45" s="230">
        <v>1294500</v>
      </c>
      <c r="AS45" s="230">
        <v>2008875</v>
      </c>
      <c r="AT45" s="230">
        <v>-714375</v>
      </c>
      <c r="AU45" s="229">
        <v>-0.35560000000000003</v>
      </c>
      <c r="AV45" s="230">
        <v>1243875</v>
      </c>
      <c r="AW45" s="230">
        <v>1861500</v>
      </c>
      <c r="AX45" s="230">
        <v>-617625</v>
      </c>
      <c r="AY45" s="229">
        <v>-0.33179999999999998</v>
      </c>
      <c r="AZ45" s="230">
        <v>44625</v>
      </c>
      <c r="BA45" s="230">
        <v>119250</v>
      </c>
      <c r="BB45" s="230">
        <v>-74625</v>
      </c>
      <c r="BC45" s="229">
        <v>-0.62580000000000002</v>
      </c>
      <c r="BD45" s="230">
        <v>6000</v>
      </c>
      <c r="BE45" s="230">
        <v>28125</v>
      </c>
      <c r="BF45" s="230">
        <v>-22125</v>
      </c>
      <c r="BG45" s="229">
        <v>-0.78669999999999995</v>
      </c>
      <c r="BH45" s="230">
        <v>2902125</v>
      </c>
      <c r="BI45" s="230">
        <v>5940000</v>
      </c>
      <c r="BJ45" s="230">
        <v>-3037875</v>
      </c>
      <c r="BK45" s="229">
        <v>-0.51139999999999997</v>
      </c>
      <c r="BL45" s="230">
        <v>1375500</v>
      </c>
      <c r="BM45" s="230">
        <v>2771250</v>
      </c>
      <c r="BN45" s="230">
        <v>-1395750</v>
      </c>
      <c r="BO45" s="229">
        <v>-0.50370000000000004</v>
      </c>
      <c r="BP45" s="230">
        <v>5572125</v>
      </c>
      <c r="BQ45" s="230">
        <v>10720125</v>
      </c>
      <c r="BR45" s="230">
        <v>-5148000</v>
      </c>
      <c r="BS45" s="229">
        <v>-0.48020000000000002</v>
      </c>
      <c r="BT45" s="230">
        <v>1216232</v>
      </c>
      <c r="BU45" s="230">
        <v>2065547</v>
      </c>
      <c r="BV45" s="230">
        <v>-849315</v>
      </c>
      <c r="BW45" s="229">
        <v>-0.41120000000000001</v>
      </c>
      <c r="BX45" s="230">
        <v>13269375</v>
      </c>
      <c r="BY45" s="230">
        <v>13321500</v>
      </c>
      <c r="BZ45" s="230">
        <v>-52125</v>
      </c>
      <c r="CA45" s="229">
        <v>-3.8999999999999998E-3</v>
      </c>
      <c r="CB45" s="230">
        <v>13060500</v>
      </c>
      <c r="CC45" s="230">
        <v>13118625</v>
      </c>
      <c r="CD45" s="230">
        <v>-58125</v>
      </c>
      <c r="CE45" s="229">
        <v>-4.4000000000000003E-3</v>
      </c>
      <c r="CF45" s="230">
        <v>172500</v>
      </c>
      <c r="CG45" s="230">
        <v>167625</v>
      </c>
      <c r="CH45" s="230">
        <v>4875</v>
      </c>
      <c r="CI45" s="229">
        <v>2.9100000000000001E-2</v>
      </c>
      <c r="CJ45" s="230">
        <v>36375</v>
      </c>
      <c r="CK45" s="230">
        <v>35250</v>
      </c>
      <c r="CL45" s="230">
        <v>1125</v>
      </c>
      <c r="CM45" s="229">
        <v>3.1899999999999998E-2</v>
      </c>
      <c r="CN45" s="230">
        <v>4858125</v>
      </c>
      <c r="CO45" s="230">
        <v>5116125</v>
      </c>
      <c r="CP45" s="230">
        <v>-258000</v>
      </c>
      <c r="CQ45" s="229">
        <v>-5.04E-2</v>
      </c>
      <c r="CR45" s="230">
        <v>3033750</v>
      </c>
      <c r="CS45" s="230">
        <v>3006375</v>
      </c>
      <c r="CT45" s="230">
        <v>27375</v>
      </c>
      <c r="CU45" s="229">
        <v>9.1000000000000004E-3</v>
      </c>
      <c r="CV45" s="230">
        <v>21161250</v>
      </c>
      <c r="CW45" s="230">
        <v>21444000</v>
      </c>
      <c r="CX45" s="230">
        <v>-282750</v>
      </c>
      <c r="CY45" s="229">
        <v>-1.32E-2</v>
      </c>
      <c r="CZ45" s="228">
        <v>21.47</v>
      </c>
      <c r="DA45" s="228">
        <v>24.21</v>
      </c>
      <c r="DB45" s="228">
        <v>-2.74</v>
      </c>
      <c r="DC45" s="228">
        <v>-2.74</v>
      </c>
      <c r="DD45" s="228">
        <v>25.27</v>
      </c>
      <c r="DE45" s="228">
        <v>25.3</v>
      </c>
      <c r="DF45" s="228">
        <v>-3.8</v>
      </c>
      <c r="DG45" s="228">
        <v>-0.03</v>
      </c>
      <c r="DH45" s="228">
        <v>20.62</v>
      </c>
      <c r="DI45" s="228">
        <v>23.48</v>
      </c>
      <c r="DJ45" s="228">
        <v>-2.86</v>
      </c>
      <c r="DK45" s="228">
        <v>-2.86</v>
      </c>
      <c r="DL45" s="228">
        <v>23.26</v>
      </c>
      <c r="DM45" s="228">
        <v>25.77</v>
      </c>
      <c r="DN45" s="228">
        <v>-2.5099999999999998</v>
      </c>
      <c r="DO45" s="228">
        <v>-2.5099999999999998</v>
      </c>
      <c r="DP45" s="228">
        <v>0.62</v>
      </c>
      <c r="DQ45" s="228">
        <v>0.59</v>
      </c>
      <c r="DR45" s="228">
        <v>0.03</v>
      </c>
      <c r="DS45" s="229">
        <v>5.0799999999999998E-2</v>
      </c>
      <c r="DT45" s="231">
        <v>1500</v>
      </c>
      <c r="DU45" s="231">
        <v>1260</v>
      </c>
      <c r="DV45" s="228">
        <v>0.47</v>
      </c>
      <c r="DW45" s="228">
        <v>0.47</v>
      </c>
      <c r="DX45" s="228">
        <v>0</v>
      </c>
      <c r="DY45" s="229">
        <v>0</v>
      </c>
      <c r="DZ45" s="229">
        <v>1.5699999999999999E-2</v>
      </c>
      <c r="EA45" s="230">
        <v>202875</v>
      </c>
      <c r="EB45" s="229">
        <v>6.4999999999999997E-3</v>
      </c>
      <c r="EC45" s="229">
        <v>1.5699999999999999E-2</v>
      </c>
      <c r="ED45" s="228">
        <v>8.2100000000000009</v>
      </c>
      <c r="EE45" s="229">
        <v>6.1999999999999998E-3</v>
      </c>
      <c r="EF45" s="230">
        <v>720072</v>
      </c>
      <c r="EG45" s="230">
        <v>1300002</v>
      </c>
      <c r="EH45" s="229">
        <v>-0.4461</v>
      </c>
      <c r="EI45" s="229">
        <v>0.59209999999999996</v>
      </c>
      <c r="EJ45" s="231">
        <v>40628.89</v>
      </c>
      <c r="EK45" s="231">
        <v>17732.810000000001</v>
      </c>
      <c r="EL45" s="231">
        <v>17214.310000000001</v>
      </c>
      <c r="EM45" s="231">
        <v>4911</v>
      </c>
      <c r="EN45" s="231">
        <v>75576.009999999995</v>
      </c>
      <c r="EO45" s="231">
        <v>146456.26</v>
      </c>
      <c r="EP45" s="231">
        <v>-70880.25</v>
      </c>
      <c r="EQ45" s="229">
        <v>-0.48399999999999999</v>
      </c>
      <c r="ER45" s="231">
        <v>68693</v>
      </c>
      <c r="ES45" s="231">
        <v>39161</v>
      </c>
      <c r="ET45" s="231">
        <v>176808</v>
      </c>
      <c r="EU45" s="231">
        <v>59297360</v>
      </c>
      <c r="EV45" s="231">
        <v>284661</v>
      </c>
      <c r="EW45" s="231">
        <v>286818</v>
      </c>
      <c r="EX45" s="231">
        <v>-2157</v>
      </c>
      <c r="EY45" s="229">
        <v>-7.4999999999999997E-3</v>
      </c>
      <c r="EZ45" s="229">
        <v>0.3569</v>
      </c>
      <c r="FA45" s="227" t="s">
        <v>556</v>
      </c>
      <c r="FB45" s="161">
        <f t="shared" si="0"/>
        <v>208875</v>
      </c>
    </row>
    <row r="46" spans="1:158" ht="17.25" thickBot="1" x14ac:dyDescent="0.3">
      <c r="A46" s="226">
        <v>46086</v>
      </c>
      <c r="B46" s="227" t="s">
        <v>227</v>
      </c>
      <c r="C46" s="227" t="s">
        <v>200</v>
      </c>
      <c r="D46" s="228">
        <v>1350</v>
      </c>
      <c r="E46" s="228">
        <v>450.5</v>
      </c>
      <c r="F46" s="228">
        <v>436.85</v>
      </c>
      <c r="G46" s="228">
        <v>13.65</v>
      </c>
      <c r="H46" s="229">
        <v>3.1199999999999999E-2</v>
      </c>
      <c r="I46" s="228">
        <v>449.4</v>
      </c>
      <c r="J46" s="228">
        <v>435.15</v>
      </c>
      <c r="K46" s="228">
        <v>14.25</v>
      </c>
      <c r="L46" s="229">
        <v>3.27E-2</v>
      </c>
      <c r="M46" s="228">
        <v>450.5</v>
      </c>
      <c r="N46" s="228">
        <v>436.85</v>
      </c>
      <c r="O46" s="228">
        <v>13.65</v>
      </c>
      <c r="P46" s="229">
        <v>3.1199999999999999E-2</v>
      </c>
      <c r="Q46" s="228">
        <v>453.3</v>
      </c>
      <c r="R46" s="228">
        <v>439.15</v>
      </c>
      <c r="S46" s="228">
        <v>14.15</v>
      </c>
      <c r="T46" s="229">
        <v>3.2199999999999999E-2</v>
      </c>
      <c r="U46" s="228">
        <v>455</v>
      </c>
      <c r="V46" s="228">
        <v>441.9</v>
      </c>
      <c r="W46" s="228">
        <v>13.1</v>
      </c>
      <c r="X46" s="229">
        <v>2.9600000000000001E-2</v>
      </c>
      <c r="Y46" s="228">
        <v>1.1000000000000001</v>
      </c>
      <c r="Z46" s="228">
        <v>1.7</v>
      </c>
      <c r="AA46" s="228">
        <v>-0.6</v>
      </c>
      <c r="AB46" s="229">
        <v>2.3999999999999998E-3</v>
      </c>
      <c r="AC46" s="228">
        <v>1.1000000000000001</v>
      </c>
      <c r="AD46" s="228">
        <v>1.7</v>
      </c>
      <c r="AE46" s="228">
        <v>-0.6</v>
      </c>
      <c r="AF46" s="229">
        <v>2.3999999999999998E-3</v>
      </c>
      <c r="AG46" s="228">
        <v>3.9</v>
      </c>
      <c r="AH46" s="228">
        <v>4</v>
      </c>
      <c r="AI46" s="228">
        <v>-0.1</v>
      </c>
      <c r="AJ46" s="229">
        <v>8.6999999999999994E-3</v>
      </c>
      <c r="AK46" s="228">
        <v>5.6</v>
      </c>
      <c r="AL46" s="228">
        <v>6.75</v>
      </c>
      <c r="AM46" s="228">
        <v>-1.1499999999999999</v>
      </c>
      <c r="AN46" s="229">
        <v>1.2500000000000001E-2</v>
      </c>
      <c r="AO46" s="228">
        <v>453.58</v>
      </c>
      <c r="AP46" s="228">
        <v>455.44</v>
      </c>
      <c r="AQ46" s="228">
        <v>0</v>
      </c>
      <c r="AR46" s="230">
        <v>30325050</v>
      </c>
      <c r="AS46" s="230">
        <v>22322250</v>
      </c>
      <c r="AT46" s="230">
        <v>8002800</v>
      </c>
      <c r="AU46" s="229">
        <v>0.35849999999999999</v>
      </c>
      <c r="AV46" s="230">
        <v>28421550</v>
      </c>
      <c r="AW46" s="230">
        <v>20954700</v>
      </c>
      <c r="AX46" s="230">
        <v>7466850</v>
      </c>
      <c r="AY46" s="229">
        <v>0.35630000000000001</v>
      </c>
      <c r="AZ46" s="230">
        <v>1669950</v>
      </c>
      <c r="BA46" s="230">
        <v>1201500</v>
      </c>
      <c r="BB46" s="230">
        <v>468450</v>
      </c>
      <c r="BC46" s="229">
        <v>0.38990000000000002</v>
      </c>
      <c r="BD46" s="230">
        <v>233550</v>
      </c>
      <c r="BE46" s="230">
        <v>166050</v>
      </c>
      <c r="BF46" s="230">
        <v>67500</v>
      </c>
      <c r="BG46" s="229">
        <v>0.40649999999999997</v>
      </c>
      <c r="BH46" s="230">
        <v>180297900</v>
      </c>
      <c r="BI46" s="230">
        <v>99407250</v>
      </c>
      <c r="BJ46" s="230">
        <v>80890650</v>
      </c>
      <c r="BK46" s="229">
        <v>0.81369999999999998</v>
      </c>
      <c r="BL46" s="230">
        <v>77880150</v>
      </c>
      <c r="BM46" s="230">
        <v>38900250</v>
      </c>
      <c r="BN46" s="230">
        <v>38979900</v>
      </c>
      <c r="BO46" s="229">
        <v>1.002</v>
      </c>
      <c r="BP46" s="230">
        <v>288503100</v>
      </c>
      <c r="BQ46" s="230">
        <v>160629750</v>
      </c>
      <c r="BR46" s="230">
        <v>127873350</v>
      </c>
      <c r="BS46" s="229">
        <v>0.79610000000000003</v>
      </c>
      <c r="BT46" s="230">
        <v>32390589</v>
      </c>
      <c r="BU46" s="230">
        <v>19950117</v>
      </c>
      <c r="BV46" s="230">
        <v>12440472</v>
      </c>
      <c r="BW46" s="229">
        <v>0.62360000000000004</v>
      </c>
      <c r="BX46" s="230">
        <v>46484550</v>
      </c>
      <c r="BY46" s="230">
        <v>46252350</v>
      </c>
      <c r="BZ46" s="230">
        <v>232200</v>
      </c>
      <c r="CA46" s="229">
        <v>5.0000000000000001E-3</v>
      </c>
      <c r="CB46" s="230">
        <v>41316750</v>
      </c>
      <c r="CC46" s="230">
        <v>41077800</v>
      </c>
      <c r="CD46" s="230">
        <v>238950</v>
      </c>
      <c r="CE46" s="229">
        <v>5.7999999999999996E-3</v>
      </c>
      <c r="CF46" s="230">
        <v>5024700</v>
      </c>
      <c r="CG46" s="230">
        <v>5038200</v>
      </c>
      <c r="CH46" s="230">
        <v>-13500</v>
      </c>
      <c r="CI46" s="229">
        <v>-2.7000000000000001E-3</v>
      </c>
      <c r="CJ46" s="230">
        <v>143100</v>
      </c>
      <c r="CK46" s="230">
        <v>136350</v>
      </c>
      <c r="CL46" s="230">
        <v>6750</v>
      </c>
      <c r="CM46" s="229">
        <v>4.9500000000000002E-2</v>
      </c>
      <c r="CN46" s="230">
        <v>28588950</v>
      </c>
      <c r="CO46" s="230">
        <v>25407000</v>
      </c>
      <c r="CP46" s="230">
        <v>3181950</v>
      </c>
      <c r="CQ46" s="229">
        <v>0.12520000000000001</v>
      </c>
      <c r="CR46" s="230">
        <v>21231450</v>
      </c>
      <c r="CS46" s="230">
        <v>15670800</v>
      </c>
      <c r="CT46" s="230">
        <v>5560650</v>
      </c>
      <c r="CU46" s="229">
        <v>0.3548</v>
      </c>
      <c r="CV46" s="230">
        <v>96304950</v>
      </c>
      <c r="CW46" s="230">
        <v>87330150</v>
      </c>
      <c r="CX46" s="230">
        <v>8974800</v>
      </c>
      <c r="CY46" s="229">
        <v>0.1028</v>
      </c>
      <c r="CZ46" s="228">
        <v>27.29</v>
      </c>
      <c r="DA46" s="228">
        <v>28.59</v>
      </c>
      <c r="DB46" s="228">
        <v>-1.3</v>
      </c>
      <c r="DC46" s="228">
        <v>-1.3</v>
      </c>
      <c r="DD46" s="228">
        <v>30.01</v>
      </c>
      <c r="DE46" s="228">
        <v>29.79</v>
      </c>
      <c r="DF46" s="228">
        <v>-2.72</v>
      </c>
      <c r="DG46" s="228">
        <v>0.22</v>
      </c>
      <c r="DH46" s="228">
        <v>27.1</v>
      </c>
      <c r="DI46" s="228">
        <v>28.43</v>
      </c>
      <c r="DJ46" s="228">
        <v>-1.33</v>
      </c>
      <c r="DK46" s="228">
        <v>-1.33</v>
      </c>
      <c r="DL46" s="228">
        <v>27.72</v>
      </c>
      <c r="DM46" s="228">
        <v>29.01</v>
      </c>
      <c r="DN46" s="228">
        <v>-1.29</v>
      </c>
      <c r="DO46" s="228">
        <v>-1.29</v>
      </c>
      <c r="DP46" s="228">
        <v>0.74</v>
      </c>
      <c r="DQ46" s="228">
        <v>0.62</v>
      </c>
      <c r="DR46" s="228">
        <v>0.12</v>
      </c>
      <c r="DS46" s="229">
        <v>0.19350000000000001</v>
      </c>
      <c r="DT46" s="228">
        <v>455</v>
      </c>
      <c r="DU46" s="228">
        <v>410</v>
      </c>
      <c r="DV46" s="228">
        <v>0.43</v>
      </c>
      <c r="DW46" s="228">
        <v>0.39</v>
      </c>
      <c r="DX46" s="228">
        <v>0.04</v>
      </c>
      <c r="DY46" s="229">
        <v>0.1026</v>
      </c>
      <c r="DZ46" s="229">
        <v>0.11119999999999999</v>
      </c>
      <c r="EA46" s="230">
        <v>5174550</v>
      </c>
      <c r="EB46" s="229">
        <v>6.1999999999999998E-3</v>
      </c>
      <c r="EC46" s="229">
        <v>0.11119999999999999</v>
      </c>
      <c r="ED46" s="228">
        <v>1.86</v>
      </c>
      <c r="EE46" s="229">
        <v>4.1000000000000003E-3</v>
      </c>
      <c r="EF46" s="230">
        <v>13299898</v>
      </c>
      <c r="EG46" s="230">
        <v>8185565</v>
      </c>
      <c r="EH46" s="229">
        <v>0.62480000000000002</v>
      </c>
      <c r="EI46" s="229">
        <v>0.41060000000000002</v>
      </c>
      <c r="EJ46" s="231">
        <v>857633.16</v>
      </c>
      <c r="EK46" s="231">
        <v>346009.31</v>
      </c>
      <c r="EL46" s="231">
        <v>137588.93</v>
      </c>
      <c r="EM46" s="231">
        <v>11567</v>
      </c>
      <c r="EN46" s="231">
        <v>1341231.3999999999</v>
      </c>
      <c r="EO46" s="231">
        <v>721940.65</v>
      </c>
      <c r="EP46" s="231">
        <v>619290.75</v>
      </c>
      <c r="EQ46" s="229">
        <v>0.85780000000000001</v>
      </c>
      <c r="ER46" s="231">
        <v>131437</v>
      </c>
      <c r="ES46" s="231">
        <v>90568</v>
      </c>
      <c r="ET46" s="231">
        <v>209560</v>
      </c>
      <c r="EU46" s="231">
        <v>278206904</v>
      </c>
      <c r="EV46" s="231">
        <v>431565</v>
      </c>
      <c r="EW46" s="231">
        <v>382544</v>
      </c>
      <c r="EX46" s="231">
        <v>49021</v>
      </c>
      <c r="EY46" s="229">
        <v>0.12809999999999999</v>
      </c>
      <c r="EZ46" s="229">
        <v>0.34620000000000001</v>
      </c>
      <c r="FA46" s="227" t="s">
        <v>555</v>
      </c>
      <c r="FB46" s="161">
        <f t="shared" si="0"/>
        <v>5167800</v>
      </c>
    </row>
    <row r="47" spans="1:158" ht="17.25" thickBot="1" x14ac:dyDescent="0.3">
      <c r="A47" s="226">
        <v>46086</v>
      </c>
      <c r="B47" s="227" t="s">
        <v>221</v>
      </c>
      <c r="C47" s="227" t="s">
        <v>470</v>
      </c>
      <c r="D47" s="228">
        <v>375</v>
      </c>
      <c r="E47" s="231">
        <v>1158.2</v>
      </c>
      <c r="F47" s="231">
        <v>1172.4000000000001</v>
      </c>
      <c r="G47" s="228">
        <v>-14.2</v>
      </c>
      <c r="H47" s="229">
        <v>-1.21E-2</v>
      </c>
      <c r="I47" s="231">
        <v>1152.7</v>
      </c>
      <c r="J47" s="231">
        <v>1170</v>
      </c>
      <c r="K47" s="228">
        <v>-17.3</v>
      </c>
      <c r="L47" s="229">
        <v>-1.4800000000000001E-2</v>
      </c>
      <c r="M47" s="231">
        <v>1158.2</v>
      </c>
      <c r="N47" s="231">
        <v>1172.4000000000001</v>
      </c>
      <c r="O47" s="228">
        <v>-14.2</v>
      </c>
      <c r="P47" s="229">
        <v>-1.21E-2</v>
      </c>
      <c r="Q47" s="231">
        <v>1164.2</v>
      </c>
      <c r="R47" s="231">
        <v>1178.2</v>
      </c>
      <c r="S47" s="228">
        <v>-14</v>
      </c>
      <c r="T47" s="229">
        <v>-1.1900000000000001E-2</v>
      </c>
      <c r="U47" s="231">
        <v>1165.4000000000001</v>
      </c>
      <c r="V47" s="231">
        <v>1180.8</v>
      </c>
      <c r="W47" s="228">
        <v>-15.4</v>
      </c>
      <c r="X47" s="229">
        <v>-1.2999999999999999E-2</v>
      </c>
      <c r="Y47" s="228">
        <v>5.5</v>
      </c>
      <c r="Z47" s="228">
        <v>2.4</v>
      </c>
      <c r="AA47" s="228">
        <v>3.1</v>
      </c>
      <c r="AB47" s="229">
        <v>4.7999999999999996E-3</v>
      </c>
      <c r="AC47" s="228">
        <v>5.5</v>
      </c>
      <c r="AD47" s="228">
        <v>2.4</v>
      </c>
      <c r="AE47" s="228">
        <v>3.1</v>
      </c>
      <c r="AF47" s="229">
        <v>4.7999999999999996E-3</v>
      </c>
      <c r="AG47" s="228">
        <v>11.5</v>
      </c>
      <c r="AH47" s="228">
        <v>8.1999999999999993</v>
      </c>
      <c r="AI47" s="228">
        <v>3.3</v>
      </c>
      <c r="AJ47" s="229">
        <v>0.01</v>
      </c>
      <c r="AK47" s="228">
        <v>12.7</v>
      </c>
      <c r="AL47" s="228">
        <v>10.8</v>
      </c>
      <c r="AM47" s="228">
        <v>1.9</v>
      </c>
      <c r="AN47" s="229">
        <v>1.0999999999999999E-2</v>
      </c>
      <c r="AO47" s="231">
        <v>1159.83</v>
      </c>
      <c r="AP47" s="231">
        <v>1164.3599999999999</v>
      </c>
      <c r="AQ47" s="228">
        <v>0</v>
      </c>
      <c r="AR47" s="230">
        <v>4645125</v>
      </c>
      <c r="AS47" s="230">
        <v>4375875</v>
      </c>
      <c r="AT47" s="230">
        <v>269250</v>
      </c>
      <c r="AU47" s="229">
        <v>6.1499999999999999E-2</v>
      </c>
      <c r="AV47" s="230">
        <v>4227750</v>
      </c>
      <c r="AW47" s="230">
        <v>4181625</v>
      </c>
      <c r="AX47" s="230">
        <v>46125</v>
      </c>
      <c r="AY47" s="229">
        <v>1.0999999999999999E-2</v>
      </c>
      <c r="AZ47" s="230">
        <v>319125</v>
      </c>
      <c r="BA47" s="230">
        <v>173625</v>
      </c>
      <c r="BB47" s="230">
        <v>145500</v>
      </c>
      <c r="BC47" s="229">
        <v>0.83799999999999997</v>
      </c>
      <c r="BD47" s="230">
        <v>98250</v>
      </c>
      <c r="BE47" s="230">
        <v>20625</v>
      </c>
      <c r="BF47" s="230">
        <v>77625</v>
      </c>
      <c r="BG47" s="229">
        <v>3.7635999999999998</v>
      </c>
      <c r="BH47" s="230">
        <v>9595125</v>
      </c>
      <c r="BI47" s="230">
        <v>8661750</v>
      </c>
      <c r="BJ47" s="230">
        <v>933375</v>
      </c>
      <c r="BK47" s="229">
        <v>0.10780000000000001</v>
      </c>
      <c r="BL47" s="230">
        <v>4523250</v>
      </c>
      <c r="BM47" s="230">
        <v>3605625</v>
      </c>
      <c r="BN47" s="230">
        <v>917625</v>
      </c>
      <c r="BO47" s="229">
        <v>0.2545</v>
      </c>
      <c r="BP47" s="230">
        <v>18763500</v>
      </c>
      <c r="BQ47" s="230">
        <v>16643250</v>
      </c>
      <c r="BR47" s="230">
        <v>2120250</v>
      </c>
      <c r="BS47" s="229">
        <v>0.12740000000000001</v>
      </c>
      <c r="BT47" s="230">
        <v>3314265</v>
      </c>
      <c r="BU47" s="230">
        <v>3278144</v>
      </c>
      <c r="BV47" s="230">
        <v>36121</v>
      </c>
      <c r="BW47" s="229">
        <v>1.0999999999999999E-2</v>
      </c>
      <c r="BX47" s="230">
        <v>27118875</v>
      </c>
      <c r="BY47" s="230">
        <v>26382750</v>
      </c>
      <c r="BZ47" s="230">
        <v>736125</v>
      </c>
      <c r="CA47" s="229">
        <v>2.7900000000000001E-2</v>
      </c>
      <c r="CB47" s="230">
        <v>26085750</v>
      </c>
      <c r="CC47" s="230">
        <v>25499250</v>
      </c>
      <c r="CD47" s="230">
        <v>586500</v>
      </c>
      <c r="CE47" s="229">
        <v>2.3E-2</v>
      </c>
      <c r="CF47" s="230">
        <v>915000</v>
      </c>
      <c r="CG47" s="230">
        <v>811500</v>
      </c>
      <c r="CH47" s="230">
        <v>103500</v>
      </c>
      <c r="CI47" s="229">
        <v>0.1275</v>
      </c>
      <c r="CJ47" s="230">
        <v>118125</v>
      </c>
      <c r="CK47" s="230">
        <v>72000</v>
      </c>
      <c r="CL47" s="230">
        <v>46125</v>
      </c>
      <c r="CM47" s="229">
        <v>0.64059999999999995</v>
      </c>
      <c r="CN47" s="230">
        <v>11232375</v>
      </c>
      <c r="CO47" s="230">
        <v>10337625</v>
      </c>
      <c r="CP47" s="230">
        <v>894750</v>
      </c>
      <c r="CQ47" s="229">
        <v>8.6599999999999996E-2</v>
      </c>
      <c r="CR47" s="230">
        <v>4816500</v>
      </c>
      <c r="CS47" s="230">
        <v>4561875</v>
      </c>
      <c r="CT47" s="230">
        <v>254625</v>
      </c>
      <c r="CU47" s="229">
        <v>5.5800000000000002E-2</v>
      </c>
      <c r="CV47" s="230">
        <v>43167750</v>
      </c>
      <c r="CW47" s="230">
        <v>41282250</v>
      </c>
      <c r="CX47" s="230">
        <v>1885500</v>
      </c>
      <c r="CY47" s="229">
        <v>4.5699999999999998E-2</v>
      </c>
      <c r="CZ47" s="228">
        <v>44.17</v>
      </c>
      <c r="DA47" s="228">
        <v>46.67</v>
      </c>
      <c r="DB47" s="228">
        <v>-2.5</v>
      </c>
      <c r="DC47" s="228">
        <v>-2.5</v>
      </c>
      <c r="DD47" s="228">
        <v>42.35</v>
      </c>
      <c r="DE47" s="228">
        <v>42.41</v>
      </c>
      <c r="DF47" s="228">
        <v>1.82</v>
      </c>
      <c r="DG47" s="228">
        <v>-0.06</v>
      </c>
      <c r="DH47" s="228">
        <v>43.97</v>
      </c>
      <c r="DI47" s="228">
        <v>46.1</v>
      </c>
      <c r="DJ47" s="228">
        <v>-2.13</v>
      </c>
      <c r="DK47" s="228">
        <v>-2.13</v>
      </c>
      <c r="DL47" s="228">
        <v>44.61</v>
      </c>
      <c r="DM47" s="228">
        <v>48.03</v>
      </c>
      <c r="DN47" s="228">
        <v>-3.42</v>
      </c>
      <c r="DO47" s="228">
        <v>-3.42</v>
      </c>
      <c r="DP47" s="228">
        <v>0.43</v>
      </c>
      <c r="DQ47" s="228">
        <v>0.44</v>
      </c>
      <c r="DR47" s="228">
        <v>-0.01</v>
      </c>
      <c r="DS47" s="229">
        <v>-2.2700000000000001E-2</v>
      </c>
      <c r="DT47" s="231">
        <v>1200</v>
      </c>
      <c r="DU47" s="231">
        <v>1100</v>
      </c>
      <c r="DV47" s="228">
        <v>0.47</v>
      </c>
      <c r="DW47" s="228">
        <v>0.42</v>
      </c>
      <c r="DX47" s="228">
        <v>0.05</v>
      </c>
      <c r="DY47" s="229">
        <v>0.11899999999999999</v>
      </c>
      <c r="DZ47" s="229">
        <v>3.8100000000000002E-2</v>
      </c>
      <c r="EA47" s="230">
        <v>883500</v>
      </c>
      <c r="EB47" s="229">
        <v>5.1999999999999998E-3</v>
      </c>
      <c r="EC47" s="229">
        <v>3.8100000000000002E-2</v>
      </c>
      <c r="ED47" s="228">
        <v>4.53</v>
      </c>
      <c r="EE47" s="229">
        <v>3.8999999999999998E-3</v>
      </c>
      <c r="EF47" s="230">
        <v>1424344</v>
      </c>
      <c r="EG47" s="230">
        <v>1585473</v>
      </c>
      <c r="EH47" s="229">
        <v>-0.1016</v>
      </c>
      <c r="EI47" s="229">
        <v>0.42980000000000002</v>
      </c>
      <c r="EJ47" s="231">
        <v>123641.82</v>
      </c>
      <c r="EK47" s="231">
        <v>52401.41</v>
      </c>
      <c r="EL47" s="231">
        <v>53892.81</v>
      </c>
      <c r="EM47" s="231">
        <v>12936</v>
      </c>
      <c r="EN47" s="231">
        <v>229936.04</v>
      </c>
      <c r="EO47" s="231">
        <v>204811.66</v>
      </c>
      <c r="EP47" s="231">
        <v>25124.38</v>
      </c>
      <c r="EQ47" s="229">
        <v>0.1227</v>
      </c>
      <c r="ER47" s="231">
        <v>150290</v>
      </c>
      <c r="ES47" s="231">
        <v>58199</v>
      </c>
      <c r="ET47" s="231">
        <v>314154</v>
      </c>
      <c r="EU47" s="231">
        <v>50189409</v>
      </c>
      <c r="EV47" s="231">
        <v>522643</v>
      </c>
      <c r="EW47" s="231">
        <v>505046</v>
      </c>
      <c r="EX47" s="231">
        <v>17597</v>
      </c>
      <c r="EY47" s="229">
        <v>3.4799999999999998E-2</v>
      </c>
      <c r="EZ47" s="229">
        <v>0.86009999999999998</v>
      </c>
      <c r="FA47" s="227" t="s">
        <v>567</v>
      </c>
      <c r="FB47" s="161">
        <f t="shared" si="0"/>
        <v>1033125</v>
      </c>
    </row>
    <row r="48" spans="1:158" ht="17.25" thickBot="1" x14ac:dyDescent="0.3">
      <c r="A48" s="226">
        <v>46086</v>
      </c>
      <c r="B48" s="227" t="s">
        <v>168</v>
      </c>
      <c r="C48" s="227" t="s">
        <v>201</v>
      </c>
      <c r="D48" s="228">
        <v>225</v>
      </c>
      <c r="E48" s="231">
        <v>2209.1</v>
      </c>
      <c r="F48" s="231">
        <v>2187.9</v>
      </c>
      <c r="G48" s="228">
        <v>21.2</v>
      </c>
      <c r="H48" s="229">
        <v>9.7000000000000003E-3</v>
      </c>
      <c r="I48" s="231">
        <v>2200.6</v>
      </c>
      <c r="J48" s="231">
        <v>2183.6999999999998</v>
      </c>
      <c r="K48" s="228">
        <v>16.899999999999999</v>
      </c>
      <c r="L48" s="229">
        <v>7.7000000000000002E-3</v>
      </c>
      <c r="M48" s="231">
        <v>2209.1</v>
      </c>
      <c r="N48" s="231">
        <v>2187.9</v>
      </c>
      <c r="O48" s="228">
        <v>21.2</v>
      </c>
      <c r="P48" s="229">
        <v>9.7000000000000003E-3</v>
      </c>
      <c r="Q48" s="231">
        <v>2217.9</v>
      </c>
      <c r="R48" s="231">
        <v>2197</v>
      </c>
      <c r="S48" s="228">
        <v>20.9</v>
      </c>
      <c r="T48" s="229">
        <v>9.4999999999999998E-3</v>
      </c>
      <c r="U48" s="231">
        <v>2198</v>
      </c>
      <c r="V48" s="231">
        <v>2196.3000000000002</v>
      </c>
      <c r="W48" s="228">
        <v>1.7</v>
      </c>
      <c r="X48" s="229">
        <v>8.0000000000000004E-4</v>
      </c>
      <c r="Y48" s="228">
        <v>8.5</v>
      </c>
      <c r="Z48" s="228">
        <v>4.2</v>
      </c>
      <c r="AA48" s="228">
        <v>4.3</v>
      </c>
      <c r="AB48" s="229">
        <v>3.8999999999999998E-3</v>
      </c>
      <c r="AC48" s="228">
        <v>8.5</v>
      </c>
      <c r="AD48" s="228">
        <v>4.2</v>
      </c>
      <c r="AE48" s="228">
        <v>4.3</v>
      </c>
      <c r="AF48" s="229">
        <v>3.8999999999999998E-3</v>
      </c>
      <c r="AG48" s="228">
        <v>17.3</v>
      </c>
      <c r="AH48" s="228">
        <v>13.3</v>
      </c>
      <c r="AI48" s="228">
        <v>4</v>
      </c>
      <c r="AJ48" s="229">
        <v>7.9000000000000008E-3</v>
      </c>
      <c r="AK48" s="228">
        <v>-2.6</v>
      </c>
      <c r="AL48" s="228">
        <v>12.6</v>
      </c>
      <c r="AM48" s="228">
        <v>-15.2</v>
      </c>
      <c r="AN48" s="229">
        <v>-1.1999999999999999E-3</v>
      </c>
      <c r="AO48" s="231">
        <v>2196.4499999999998</v>
      </c>
      <c r="AP48" s="231">
        <v>2202.9</v>
      </c>
      <c r="AQ48" s="228">
        <v>0</v>
      </c>
      <c r="AR48" s="230">
        <v>391950</v>
      </c>
      <c r="AS48" s="230">
        <v>509400</v>
      </c>
      <c r="AT48" s="230">
        <v>-117450</v>
      </c>
      <c r="AU48" s="229">
        <v>-0.2306</v>
      </c>
      <c r="AV48" s="230">
        <v>360450</v>
      </c>
      <c r="AW48" s="230">
        <v>474525</v>
      </c>
      <c r="AX48" s="230">
        <v>-114075</v>
      </c>
      <c r="AY48" s="229">
        <v>-0.2404</v>
      </c>
      <c r="AZ48" s="230">
        <v>24525</v>
      </c>
      <c r="BA48" s="230">
        <v>26100</v>
      </c>
      <c r="BB48" s="230">
        <v>-1575</v>
      </c>
      <c r="BC48" s="229">
        <v>-6.0299999999999999E-2</v>
      </c>
      <c r="BD48" s="230">
        <v>6975</v>
      </c>
      <c r="BE48" s="230">
        <v>8775</v>
      </c>
      <c r="BF48" s="230">
        <v>-1800</v>
      </c>
      <c r="BG48" s="229">
        <v>-0.2051</v>
      </c>
      <c r="BH48" s="230">
        <v>1273950</v>
      </c>
      <c r="BI48" s="230">
        <v>1126350</v>
      </c>
      <c r="BJ48" s="230">
        <v>147600</v>
      </c>
      <c r="BK48" s="229">
        <v>0.13100000000000001</v>
      </c>
      <c r="BL48" s="230">
        <v>471150</v>
      </c>
      <c r="BM48" s="230">
        <v>486900</v>
      </c>
      <c r="BN48" s="230">
        <v>-15750</v>
      </c>
      <c r="BO48" s="229">
        <v>-3.2300000000000002E-2</v>
      </c>
      <c r="BP48" s="230">
        <v>2137050</v>
      </c>
      <c r="BQ48" s="230">
        <v>2122650</v>
      </c>
      <c r="BR48" s="230">
        <v>14400</v>
      </c>
      <c r="BS48" s="229">
        <v>6.7999999999999996E-3</v>
      </c>
      <c r="BT48" s="230">
        <v>268826</v>
      </c>
      <c r="BU48" s="230">
        <v>287160</v>
      </c>
      <c r="BV48" s="230">
        <v>-18334</v>
      </c>
      <c r="BW48" s="229">
        <v>-6.3799999999999996E-2</v>
      </c>
      <c r="BX48" s="230">
        <v>5510925</v>
      </c>
      <c r="BY48" s="230">
        <v>5527575</v>
      </c>
      <c r="BZ48" s="230">
        <v>-16650</v>
      </c>
      <c r="CA48" s="229">
        <v>-3.0000000000000001E-3</v>
      </c>
      <c r="CB48" s="230">
        <v>5358375</v>
      </c>
      <c r="CC48" s="230">
        <v>5383800</v>
      </c>
      <c r="CD48" s="230">
        <v>-25425</v>
      </c>
      <c r="CE48" s="229">
        <v>-4.7000000000000002E-3</v>
      </c>
      <c r="CF48" s="230">
        <v>122400</v>
      </c>
      <c r="CG48" s="230">
        <v>119700</v>
      </c>
      <c r="CH48" s="230">
        <v>2700</v>
      </c>
      <c r="CI48" s="229">
        <v>2.2599999999999999E-2</v>
      </c>
      <c r="CJ48" s="230">
        <v>30150</v>
      </c>
      <c r="CK48" s="230">
        <v>24075</v>
      </c>
      <c r="CL48" s="230">
        <v>6075</v>
      </c>
      <c r="CM48" s="229">
        <v>0.25230000000000002</v>
      </c>
      <c r="CN48" s="230">
        <v>1785825</v>
      </c>
      <c r="CO48" s="230">
        <v>1795500</v>
      </c>
      <c r="CP48" s="230">
        <v>-9675</v>
      </c>
      <c r="CQ48" s="229">
        <v>-5.4000000000000003E-3</v>
      </c>
      <c r="CR48" s="230">
        <v>1209825</v>
      </c>
      <c r="CS48" s="230">
        <v>1102950</v>
      </c>
      <c r="CT48" s="230">
        <v>106875</v>
      </c>
      <c r="CU48" s="229">
        <v>9.69E-2</v>
      </c>
      <c r="CV48" s="230">
        <v>8506575</v>
      </c>
      <c r="CW48" s="230">
        <v>8426025</v>
      </c>
      <c r="CX48" s="230">
        <v>80550</v>
      </c>
      <c r="CY48" s="229">
        <v>9.5999999999999992E-3</v>
      </c>
      <c r="CZ48" s="228">
        <v>22.43</v>
      </c>
      <c r="DA48" s="228">
        <v>24.36</v>
      </c>
      <c r="DB48" s="228">
        <v>-1.93</v>
      </c>
      <c r="DC48" s="228">
        <v>-1.93</v>
      </c>
      <c r="DD48" s="228">
        <v>26.59</v>
      </c>
      <c r="DE48" s="228">
        <v>26.62</v>
      </c>
      <c r="DF48" s="228">
        <v>-4.16</v>
      </c>
      <c r="DG48" s="228">
        <v>-0.03</v>
      </c>
      <c r="DH48" s="228">
        <v>22.01</v>
      </c>
      <c r="DI48" s="228">
        <v>24.46</v>
      </c>
      <c r="DJ48" s="228">
        <v>-2.4500000000000002</v>
      </c>
      <c r="DK48" s="228">
        <v>-2.4500000000000002</v>
      </c>
      <c r="DL48" s="228">
        <v>23.58</v>
      </c>
      <c r="DM48" s="228">
        <v>24.11</v>
      </c>
      <c r="DN48" s="228">
        <v>-0.53</v>
      </c>
      <c r="DO48" s="228">
        <v>-0.53</v>
      </c>
      <c r="DP48" s="228">
        <v>0.68</v>
      </c>
      <c r="DQ48" s="228">
        <v>0.61</v>
      </c>
      <c r="DR48" s="228">
        <v>7.0000000000000007E-2</v>
      </c>
      <c r="DS48" s="229">
        <v>0.1148</v>
      </c>
      <c r="DT48" s="231">
        <v>2400</v>
      </c>
      <c r="DU48" s="231">
        <v>2200</v>
      </c>
      <c r="DV48" s="228">
        <v>0.37</v>
      </c>
      <c r="DW48" s="228">
        <v>0.43</v>
      </c>
      <c r="DX48" s="228">
        <v>-0.06</v>
      </c>
      <c r="DY48" s="229">
        <v>-0.13950000000000001</v>
      </c>
      <c r="DZ48" s="229">
        <v>2.7699999999999999E-2</v>
      </c>
      <c r="EA48" s="230">
        <v>143775</v>
      </c>
      <c r="EB48" s="229">
        <v>4.0000000000000001E-3</v>
      </c>
      <c r="EC48" s="229">
        <v>2.7699999999999999E-2</v>
      </c>
      <c r="ED48" s="228">
        <v>6.45</v>
      </c>
      <c r="EE48" s="229">
        <v>2.8999999999999998E-3</v>
      </c>
      <c r="EF48" s="230">
        <v>123315</v>
      </c>
      <c r="EG48" s="230">
        <v>157573</v>
      </c>
      <c r="EH48" s="229">
        <v>-0.21740000000000001</v>
      </c>
      <c r="EI48" s="229">
        <v>0.4587</v>
      </c>
      <c r="EJ48" s="231">
        <v>29643.53</v>
      </c>
      <c r="EK48" s="231">
        <v>10004.11</v>
      </c>
      <c r="EL48" s="231">
        <v>8610.44</v>
      </c>
      <c r="EM48" s="231">
        <v>3003</v>
      </c>
      <c r="EN48" s="231">
        <v>48258.080000000002</v>
      </c>
      <c r="EO48" s="231">
        <v>48305.26</v>
      </c>
      <c r="EP48" s="228">
        <v>-47.18</v>
      </c>
      <c r="EQ48" s="229">
        <v>-1E-3</v>
      </c>
      <c r="ER48" s="231">
        <v>41465</v>
      </c>
      <c r="ES48" s="231">
        <v>26305</v>
      </c>
      <c r="ET48" s="231">
        <v>121749</v>
      </c>
      <c r="EU48" s="231">
        <v>19546143</v>
      </c>
      <c r="EV48" s="231">
        <v>189519</v>
      </c>
      <c r="EW48" s="231">
        <v>186840</v>
      </c>
      <c r="EX48" s="231">
        <v>2679</v>
      </c>
      <c r="EY48" s="229">
        <v>1.43E-2</v>
      </c>
      <c r="EZ48" s="229">
        <v>0.43519999999999998</v>
      </c>
      <c r="FA48" s="227" t="s">
        <v>556</v>
      </c>
      <c r="FB48" s="161">
        <f t="shared" si="0"/>
        <v>152550</v>
      </c>
    </row>
    <row r="49" spans="1:158" ht="17.25" thickBot="1" x14ac:dyDescent="0.3">
      <c r="A49" s="226">
        <v>46086</v>
      </c>
      <c r="B49" s="227" t="s">
        <v>215</v>
      </c>
      <c r="C49" s="227" t="s">
        <v>202</v>
      </c>
      <c r="D49" s="228">
        <v>1250</v>
      </c>
      <c r="E49" s="228">
        <v>481.15</v>
      </c>
      <c r="F49" s="228">
        <v>463.25</v>
      </c>
      <c r="G49" s="228">
        <v>17.899999999999999</v>
      </c>
      <c r="H49" s="229">
        <v>3.8600000000000002E-2</v>
      </c>
      <c r="I49" s="228">
        <v>479.95</v>
      </c>
      <c r="J49" s="228">
        <v>462.2</v>
      </c>
      <c r="K49" s="228">
        <v>17.75</v>
      </c>
      <c r="L49" s="229">
        <v>3.8399999999999997E-2</v>
      </c>
      <c r="M49" s="228">
        <v>481.15</v>
      </c>
      <c r="N49" s="228">
        <v>463.25</v>
      </c>
      <c r="O49" s="228">
        <v>17.899999999999999</v>
      </c>
      <c r="P49" s="229">
        <v>3.8600000000000002E-2</v>
      </c>
      <c r="Q49" s="228">
        <v>483.45</v>
      </c>
      <c r="R49" s="228">
        <v>466.15</v>
      </c>
      <c r="S49" s="228">
        <v>17.3</v>
      </c>
      <c r="T49" s="229">
        <v>3.7100000000000001E-2</v>
      </c>
      <c r="U49" s="228">
        <v>488</v>
      </c>
      <c r="V49" s="228">
        <v>469.1</v>
      </c>
      <c r="W49" s="228">
        <v>18.899999999999999</v>
      </c>
      <c r="X49" s="229">
        <v>4.0300000000000002E-2</v>
      </c>
      <c r="Y49" s="228">
        <v>1.2</v>
      </c>
      <c r="Z49" s="228">
        <v>1.05</v>
      </c>
      <c r="AA49" s="228">
        <v>0.15</v>
      </c>
      <c r="AB49" s="229">
        <v>2.5000000000000001E-3</v>
      </c>
      <c r="AC49" s="228">
        <v>1.2</v>
      </c>
      <c r="AD49" s="228">
        <v>1.05</v>
      </c>
      <c r="AE49" s="228">
        <v>0.15</v>
      </c>
      <c r="AF49" s="229">
        <v>2.5000000000000001E-3</v>
      </c>
      <c r="AG49" s="228">
        <v>3.5</v>
      </c>
      <c r="AH49" s="228">
        <v>3.95</v>
      </c>
      <c r="AI49" s="228">
        <v>-0.45</v>
      </c>
      <c r="AJ49" s="229">
        <v>7.3000000000000001E-3</v>
      </c>
      <c r="AK49" s="228">
        <v>8.0500000000000007</v>
      </c>
      <c r="AL49" s="228">
        <v>6.9</v>
      </c>
      <c r="AM49" s="228">
        <v>1.1499999999999999</v>
      </c>
      <c r="AN49" s="229">
        <v>1.6799999999999999E-2</v>
      </c>
      <c r="AO49" s="228">
        <v>472.2</v>
      </c>
      <c r="AP49" s="228">
        <v>474.53</v>
      </c>
      <c r="AQ49" s="228">
        <v>0</v>
      </c>
      <c r="AR49" s="230">
        <v>4633750</v>
      </c>
      <c r="AS49" s="230">
        <v>5942500</v>
      </c>
      <c r="AT49" s="230">
        <v>-1308750</v>
      </c>
      <c r="AU49" s="229">
        <v>-0.22020000000000001</v>
      </c>
      <c r="AV49" s="230">
        <v>4283750</v>
      </c>
      <c r="AW49" s="230">
        <v>5406250</v>
      </c>
      <c r="AX49" s="230">
        <v>-1122500</v>
      </c>
      <c r="AY49" s="229">
        <v>-0.20760000000000001</v>
      </c>
      <c r="AZ49" s="230">
        <v>323750</v>
      </c>
      <c r="BA49" s="230">
        <v>481250</v>
      </c>
      <c r="BB49" s="230">
        <v>-157500</v>
      </c>
      <c r="BC49" s="229">
        <v>-0.32729999999999998</v>
      </c>
      <c r="BD49" s="230">
        <v>26250</v>
      </c>
      <c r="BE49" s="230">
        <v>55000</v>
      </c>
      <c r="BF49" s="230">
        <v>-28750</v>
      </c>
      <c r="BG49" s="229">
        <v>-0.52270000000000005</v>
      </c>
      <c r="BH49" s="230">
        <v>8875000</v>
      </c>
      <c r="BI49" s="230">
        <v>9427500</v>
      </c>
      <c r="BJ49" s="230">
        <v>-552500</v>
      </c>
      <c r="BK49" s="229">
        <v>-5.8599999999999999E-2</v>
      </c>
      <c r="BL49" s="230">
        <v>4617500</v>
      </c>
      <c r="BM49" s="230">
        <v>6086250</v>
      </c>
      <c r="BN49" s="230">
        <v>-1468750</v>
      </c>
      <c r="BO49" s="229">
        <v>-0.24129999999999999</v>
      </c>
      <c r="BP49" s="230">
        <v>18126250</v>
      </c>
      <c r="BQ49" s="230">
        <v>21456250</v>
      </c>
      <c r="BR49" s="230">
        <v>-3330000</v>
      </c>
      <c r="BS49" s="229">
        <v>-0.1552</v>
      </c>
      <c r="BT49" s="230">
        <v>1681218</v>
      </c>
      <c r="BU49" s="230">
        <v>2570892</v>
      </c>
      <c r="BV49" s="230">
        <v>-889674</v>
      </c>
      <c r="BW49" s="229">
        <v>-0.34610000000000002</v>
      </c>
      <c r="BX49" s="230">
        <v>29300000</v>
      </c>
      <c r="BY49" s="230">
        <v>29546250</v>
      </c>
      <c r="BZ49" s="230">
        <v>-246250</v>
      </c>
      <c r="CA49" s="229">
        <v>-8.3000000000000001E-3</v>
      </c>
      <c r="CB49" s="230">
        <v>28122500</v>
      </c>
      <c r="CC49" s="230">
        <v>28323750</v>
      </c>
      <c r="CD49" s="230">
        <v>-201250</v>
      </c>
      <c r="CE49" s="229">
        <v>-7.1000000000000004E-3</v>
      </c>
      <c r="CF49" s="230">
        <v>1093750</v>
      </c>
      <c r="CG49" s="230">
        <v>1150000</v>
      </c>
      <c r="CH49" s="230">
        <v>-56250</v>
      </c>
      <c r="CI49" s="229">
        <v>-4.8899999999999999E-2</v>
      </c>
      <c r="CJ49" s="230">
        <v>83750</v>
      </c>
      <c r="CK49" s="230">
        <v>72500</v>
      </c>
      <c r="CL49" s="230">
        <v>11250</v>
      </c>
      <c r="CM49" s="229">
        <v>0.1552</v>
      </c>
      <c r="CN49" s="230">
        <v>10265000</v>
      </c>
      <c r="CO49" s="230">
        <v>10865000</v>
      </c>
      <c r="CP49" s="230">
        <v>-600000</v>
      </c>
      <c r="CQ49" s="229">
        <v>-5.5199999999999999E-2</v>
      </c>
      <c r="CR49" s="230">
        <v>7838750</v>
      </c>
      <c r="CS49" s="230">
        <v>7337500</v>
      </c>
      <c r="CT49" s="230">
        <v>501250</v>
      </c>
      <c r="CU49" s="229">
        <v>6.83E-2</v>
      </c>
      <c r="CV49" s="230">
        <v>47403750</v>
      </c>
      <c r="CW49" s="230">
        <v>47748750</v>
      </c>
      <c r="CX49" s="230">
        <v>-345000</v>
      </c>
      <c r="CY49" s="229">
        <v>-7.1999999999999998E-3</v>
      </c>
      <c r="CZ49" s="228">
        <v>27.73</v>
      </c>
      <c r="DA49" s="228">
        <v>31.83</v>
      </c>
      <c r="DB49" s="228">
        <v>-4.0999999999999996</v>
      </c>
      <c r="DC49" s="228">
        <v>-4.0999999999999996</v>
      </c>
      <c r="DD49" s="228">
        <v>33.200000000000003</v>
      </c>
      <c r="DE49" s="228">
        <v>32.89</v>
      </c>
      <c r="DF49" s="228">
        <v>-5.47</v>
      </c>
      <c r="DG49" s="228">
        <v>0.31</v>
      </c>
      <c r="DH49" s="228">
        <v>26.71</v>
      </c>
      <c r="DI49" s="228">
        <v>31.48</v>
      </c>
      <c r="DJ49" s="228">
        <v>-4.7699999999999996</v>
      </c>
      <c r="DK49" s="228">
        <v>-4.7699999999999996</v>
      </c>
      <c r="DL49" s="228">
        <v>29.68</v>
      </c>
      <c r="DM49" s="228">
        <v>32.380000000000003</v>
      </c>
      <c r="DN49" s="228">
        <v>-2.7</v>
      </c>
      <c r="DO49" s="228">
        <v>-2.7</v>
      </c>
      <c r="DP49" s="228">
        <v>0.76</v>
      </c>
      <c r="DQ49" s="228">
        <v>0.68</v>
      </c>
      <c r="DR49" s="228">
        <v>0.08</v>
      </c>
      <c r="DS49" s="229">
        <v>0.1176</v>
      </c>
      <c r="DT49" s="228">
        <v>520</v>
      </c>
      <c r="DU49" s="228">
        <v>500</v>
      </c>
      <c r="DV49" s="228">
        <v>0.52</v>
      </c>
      <c r="DW49" s="228">
        <v>0.65</v>
      </c>
      <c r="DX49" s="228">
        <v>-0.13</v>
      </c>
      <c r="DY49" s="229">
        <v>-0.2</v>
      </c>
      <c r="DZ49" s="229">
        <v>4.02E-2</v>
      </c>
      <c r="EA49" s="230">
        <v>1222500</v>
      </c>
      <c r="EB49" s="229">
        <v>4.7999999999999996E-3</v>
      </c>
      <c r="EC49" s="229">
        <v>4.02E-2</v>
      </c>
      <c r="ED49" s="228">
        <v>2.33</v>
      </c>
      <c r="EE49" s="229">
        <v>4.8999999999999998E-3</v>
      </c>
      <c r="EF49" s="230">
        <v>814651</v>
      </c>
      <c r="EG49" s="230">
        <v>1406689</v>
      </c>
      <c r="EH49" s="229">
        <v>-0.4209</v>
      </c>
      <c r="EI49" s="229">
        <v>0.48459999999999998</v>
      </c>
      <c r="EJ49" s="231">
        <v>44726.57</v>
      </c>
      <c r="EK49" s="231">
        <v>21575.31</v>
      </c>
      <c r="EL49" s="231">
        <v>21888.83</v>
      </c>
      <c r="EM49" s="231">
        <v>3013</v>
      </c>
      <c r="EN49" s="231">
        <v>88190.71</v>
      </c>
      <c r="EO49" s="231">
        <v>104239.02</v>
      </c>
      <c r="EP49" s="231">
        <v>-16048.31</v>
      </c>
      <c r="EQ49" s="229">
        <v>-0.154</v>
      </c>
      <c r="ER49" s="231">
        <v>54001</v>
      </c>
      <c r="ES49" s="231">
        <v>39101</v>
      </c>
      <c r="ET49" s="231">
        <v>141008</v>
      </c>
      <c r="EU49" s="231">
        <v>51639257</v>
      </c>
      <c r="EV49" s="231">
        <v>234109</v>
      </c>
      <c r="EW49" s="231">
        <v>230713</v>
      </c>
      <c r="EX49" s="231">
        <v>3396</v>
      </c>
      <c r="EY49" s="229">
        <v>1.47E-2</v>
      </c>
      <c r="EZ49" s="229">
        <v>0.91800000000000004</v>
      </c>
      <c r="FA49" s="227" t="s">
        <v>556</v>
      </c>
      <c r="FB49" s="161">
        <f t="shared" si="0"/>
        <v>1177500</v>
      </c>
    </row>
    <row r="50" spans="1:158" ht="17.25" thickBot="1" x14ac:dyDescent="0.3">
      <c r="A50" s="226">
        <v>46086</v>
      </c>
      <c r="B50" s="227" t="s">
        <v>184</v>
      </c>
      <c r="C50" s="227" t="s">
        <v>523</v>
      </c>
      <c r="D50" s="228">
        <v>1800</v>
      </c>
      <c r="E50" s="228">
        <v>250.75</v>
      </c>
      <c r="F50" s="228">
        <v>246.55</v>
      </c>
      <c r="G50" s="228">
        <v>4.2</v>
      </c>
      <c r="H50" s="229">
        <v>1.7000000000000001E-2</v>
      </c>
      <c r="I50" s="228">
        <v>250.1</v>
      </c>
      <c r="J50" s="228">
        <v>245.35</v>
      </c>
      <c r="K50" s="228">
        <v>4.75</v>
      </c>
      <c r="L50" s="229">
        <v>1.9400000000000001E-2</v>
      </c>
      <c r="M50" s="228">
        <v>250.75</v>
      </c>
      <c r="N50" s="228">
        <v>246.55</v>
      </c>
      <c r="O50" s="228">
        <v>4.2</v>
      </c>
      <c r="P50" s="229">
        <v>1.7000000000000001E-2</v>
      </c>
      <c r="Q50" s="228">
        <v>252.5</v>
      </c>
      <c r="R50" s="228">
        <v>248.1</v>
      </c>
      <c r="S50" s="228">
        <v>4.4000000000000004</v>
      </c>
      <c r="T50" s="229">
        <v>1.77E-2</v>
      </c>
      <c r="U50" s="228">
        <v>253.55</v>
      </c>
      <c r="V50" s="228">
        <v>249.35</v>
      </c>
      <c r="W50" s="228">
        <v>4.2</v>
      </c>
      <c r="X50" s="229">
        <v>1.6799999999999999E-2</v>
      </c>
      <c r="Y50" s="228">
        <v>0.65</v>
      </c>
      <c r="Z50" s="228">
        <v>1.2</v>
      </c>
      <c r="AA50" s="228">
        <v>-0.55000000000000004</v>
      </c>
      <c r="AB50" s="229">
        <v>2.5999999999999999E-3</v>
      </c>
      <c r="AC50" s="228">
        <v>0.65</v>
      </c>
      <c r="AD50" s="228">
        <v>1.2</v>
      </c>
      <c r="AE50" s="228">
        <v>-0.55000000000000004</v>
      </c>
      <c r="AF50" s="229">
        <v>2.5999999999999999E-3</v>
      </c>
      <c r="AG50" s="228">
        <v>2.4</v>
      </c>
      <c r="AH50" s="228">
        <v>2.75</v>
      </c>
      <c r="AI50" s="228">
        <v>-0.35</v>
      </c>
      <c r="AJ50" s="229">
        <v>9.5999999999999992E-3</v>
      </c>
      <c r="AK50" s="228">
        <v>3.45</v>
      </c>
      <c r="AL50" s="228">
        <v>4</v>
      </c>
      <c r="AM50" s="228">
        <v>-0.55000000000000004</v>
      </c>
      <c r="AN50" s="229">
        <v>1.38E-2</v>
      </c>
      <c r="AO50" s="228">
        <v>246.87</v>
      </c>
      <c r="AP50" s="228">
        <v>248.73</v>
      </c>
      <c r="AQ50" s="228">
        <v>0</v>
      </c>
      <c r="AR50" s="230">
        <v>4163400</v>
      </c>
      <c r="AS50" s="230">
        <v>5220000</v>
      </c>
      <c r="AT50" s="230">
        <v>-1056600</v>
      </c>
      <c r="AU50" s="229">
        <v>-0.2024</v>
      </c>
      <c r="AV50" s="230">
        <v>3947400</v>
      </c>
      <c r="AW50" s="230">
        <v>4840200</v>
      </c>
      <c r="AX50" s="230">
        <v>-892800</v>
      </c>
      <c r="AY50" s="229">
        <v>-0.1845</v>
      </c>
      <c r="AZ50" s="230">
        <v>198000</v>
      </c>
      <c r="BA50" s="230">
        <v>291600</v>
      </c>
      <c r="BB50" s="230">
        <v>-93600</v>
      </c>
      <c r="BC50" s="229">
        <v>-0.32100000000000001</v>
      </c>
      <c r="BD50" s="230">
        <v>18000</v>
      </c>
      <c r="BE50" s="230">
        <v>88200</v>
      </c>
      <c r="BF50" s="230">
        <v>-70200</v>
      </c>
      <c r="BG50" s="229">
        <v>-0.79590000000000005</v>
      </c>
      <c r="BH50" s="230">
        <v>8087400</v>
      </c>
      <c r="BI50" s="230">
        <v>6062400</v>
      </c>
      <c r="BJ50" s="230">
        <v>2025000</v>
      </c>
      <c r="BK50" s="229">
        <v>0.33400000000000002</v>
      </c>
      <c r="BL50" s="230">
        <v>2935800</v>
      </c>
      <c r="BM50" s="230">
        <v>2817000</v>
      </c>
      <c r="BN50" s="230">
        <v>118800</v>
      </c>
      <c r="BO50" s="229">
        <v>4.2200000000000001E-2</v>
      </c>
      <c r="BP50" s="230">
        <v>15186600</v>
      </c>
      <c r="BQ50" s="230">
        <v>14099400</v>
      </c>
      <c r="BR50" s="230">
        <v>1087200</v>
      </c>
      <c r="BS50" s="229">
        <v>7.7100000000000002E-2</v>
      </c>
      <c r="BT50" s="230">
        <v>1476914</v>
      </c>
      <c r="BU50" s="230">
        <v>3386336</v>
      </c>
      <c r="BV50" s="230">
        <v>-1909422</v>
      </c>
      <c r="BW50" s="229">
        <v>-0.56389999999999996</v>
      </c>
      <c r="BX50" s="230">
        <v>48369600</v>
      </c>
      <c r="BY50" s="230">
        <v>48056400</v>
      </c>
      <c r="BZ50" s="230">
        <v>313200</v>
      </c>
      <c r="CA50" s="229">
        <v>6.4999999999999997E-3</v>
      </c>
      <c r="CB50" s="230">
        <v>47467800</v>
      </c>
      <c r="CC50" s="230">
        <v>47187000</v>
      </c>
      <c r="CD50" s="230">
        <v>280800</v>
      </c>
      <c r="CE50" s="229">
        <v>6.0000000000000001E-3</v>
      </c>
      <c r="CF50" s="230">
        <v>790200</v>
      </c>
      <c r="CG50" s="230">
        <v>761400</v>
      </c>
      <c r="CH50" s="230">
        <v>28800</v>
      </c>
      <c r="CI50" s="229">
        <v>3.78E-2</v>
      </c>
      <c r="CJ50" s="230">
        <v>111600</v>
      </c>
      <c r="CK50" s="230">
        <v>108000</v>
      </c>
      <c r="CL50" s="230">
        <v>3600</v>
      </c>
      <c r="CM50" s="229">
        <v>3.3300000000000003E-2</v>
      </c>
      <c r="CN50" s="230">
        <v>8816400</v>
      </c>
      <c r="CO50" s="230">
        <v>8445600</v>
      </c>
      <c r="CP50" s="230">
        <v>370800</v>
      </c>
      <c r="CQ50" s="229">
        <v>4.3900000000000002E-2</v>
      </c>
      <c r="CR50" s="230">
        <v>4478400</v>
      </c>
      <c r="CS50" s="230">
        <v>4262400</v>
      </c>
      <c r="CT50" s="230">
        <v>216000</v>
      </c>
      <c r="CU50" s="229">
        <v>5.0700000000000002E-2</v>
      </c>
      <c r="CV50" s="230">
        <v>61664400</v>
      </c>
      <c r="CW50" s="230">
        <v>60764400</v>
      </c>
      <c r="CX50" s="230">
        <v>900000</v>
      </c>
      <c r="CY50" s="229">
        <v>1.4800000000000001E-2</v>
      </c>
      <c r="CZ50" s="228">
        <v>31.48</v>
      </c>
      <c r="DA50" s="228">
        <v>33.28</v>
      </c>
      <c r="DB50" s="228">
        <v>-1.8</v>
      </c>
      <c r="DC50" s="228">
        <v>-1.8</v>
      </c>
      <c r="DD50" s="228">
        <v>32.51</v>
      </c>
      <c r="DE50" s="228">
        <v>32.51</v>
      </c>
      <c r="DF50" s="228">
        <v>-1.03</v>
      </c>
      <c r="DG50" s="228">
        <v>0</v>
      </c>
      <c r="DH50" s="228">
        <v>30.79</v>
      </c>
      <c r="DI50" s="228">
        <v>32.909999999999997</v>
      </c>
      <c r="DJ50" s="228">
        <v>-2.12</v>
      </c>
      <c r="DK50" s="228">
        <v>-2.12</v>
      </c>
      <c r="DL50" s="228">
        <v>33.39</v>
      </c>
      <c r="DM50" s="228">
        <v>34.07</v>
      </c>
      <c r="DN50" s="228">
        <v>-0.68</v>
      </c>
      <c r="DO50" s="228">
        <v>-0.68</v>
      </c>
      <c r="DP50" s="228">
        <v>0.51</v>
      </c>
      <c r="DQ50" s="228">
        <v>0.5</v>
      </c>
      <c r="DR50" s="228">
        <v>0.01</v>
      </c>
      <c r="DS50" s="229">
        <v>0.02</v>
      </c>
      <c r="DT50" s="228">
        <v>270</v>
      </c>
      <c r="DU50" s="228">
        <v>250</v>
      </c>
      <c r="DV50" s="228">
        <v>0.36</v>
      </c>
      <c r="DW50" s="228">
        <v>0.46</v>
      </c>
      <c r="DX50" s="228">
        <v>-0.1</v>
      </c>
      <c r="DY50" s="229">
        <v>-0.21740000000000001</v>
      </c>
      <c r="DZ50" s="229">
        <v>1.8599999999999998E-2</v>
      </c>
      <c r="EA50" s="230">
        <v>869400</v>
      </c>
      <c r="EB50" s="229">
        <v>7.0000000000000001E-3</v>
      </c>
      <c r="EC50" s="229">
        <v>1.8599999999999998E-2</v>
      </c>
      <c r="ED50" s="228">
        <v>1.86</v>
      </c>
      <c r="EE50" s="229">
        <v>7.4999999999999997E-3</v>
      </c>
      <c r="EF50" s="230">
        <v>545572</v>
      </c>
      <c r="EG50" s="230">
        <v>1845929</v>
      </c>
      <c r="EH50" s="229">
        <v>-0.70440000000000003</v>
      </c>
      <c r="EI50" s="229">
        <v>0.36940000000000001</v>
      </c>
      <c r="EJ50" s="231">
        <v>21361.98</v>
      </c>
      <c r="EK50" s="231">
        <v>7319.79</v>
      </c>
      <c r="EL50" s="231">
        <v>10282.35</v>
      </c>
      <c r="EM50" s="231">
        <v>2373</v>
      </c>
      <c r="EN50" s="231">
        <v>38964.120000000003</v>
      </c>
      <c r="EO50" s="231">
        <v>36130.239999999998</v>
      </c>
      <c r="EP50" s="231">
        <v>2833.88</v>
      </c>
      <c r="EQ50" s="229">
        <v>7.8399999999999997E-2</v>
      </c>
      <c r="ER50" s="231">
        <v>24176</v>
      </c>
      <c r="ES50" s="231">
        <v>11493</v>
      </c>
      <c r="ET50" s="231">
        <v>121304</v>
      </c>
      <c r="EU50" s="231">
        <v>96587231</v>
      </c>
      <c r="EV50" s="231">
        <v>156973</v>
      </c>
      <c r="EW50" s="231">
        <v>152789</v>
      </c>
      <c r="EX50" s="231">
        <v>4184</v>
      </c>
      <c r="EY50" s="229">
        <v>2.7400000000000001E-2</v>
      </c>
      <c r="EZ50" s="229">
        <v>0.63839999999999997</v>
      </c>
      <c r="FA50" s="227" t="s">
        <v>555</v>
      </c>
      <c r="FB50" s="161">
        <f t="shared" si="0"/>
        <v>901800</v>
      </c>
    </row>
    <row r="51" spans="1:158" ht="17.25" thickBot="1" x14ac:dyDescent="0.3">
      <c r="A51" s="226">
        <v>46086</v>
      </c>
      <c r="B51" s="227" t="s">
        <v>184</v>
      </c>
      <c r="C51" s="227" t="s">
        <v>203</v>
      </c>
      <c r="D51" s="228">
        <v>200</v>
      </c>
      <c r="E51" s="231">
        <v>4800.3999999999996</v>
      </c>
      <c r="F51" s="231">
        <v>4607.7</v>
      </c>
      <c r="G51" s="228">
        <v>192.7</v>
      </c>
      <c r="H51" s="229">
        <v>4.1799999999999997E-2</v>
      </c>
      <c r="I51" s="231">
        <v>4791.3999999999996</v>
      </c>
      <c r="J51" s="231">
        <v>4584.8</v>
      </c>
      <c r="K51" s="228">
        <v>206.6</v>
      </c>
      <c r="L51" s="229">
        <v>4.5100000000000001E-2</v>
      </c>
      <c r="M51" s="231">
        <v>4800.3999999999996</v>
      </c>
      <c r="N51" s="231">
        <v>4607.7</v>
      </c>
      <c r="O51" s="228">
        <v>192.7</v>
      </c>
      <c r="P51" s="229">
        <v>4.1799999999999997E-2</v>
      </c>
      <c r="Q51" s="231">
        <v>4817.6000000000004</v>
      </c>
      <c r="R51" s="231">
        <v>4625.6000000000004</v>
      </c>
      <c r="S51" s="228">
        <v>192</v>
      </c>
      <c r="T51" s="229">
        <v>4.1500000000000002E-2</v>
      </c>
      <c r="U51" s="231">
        <v>4849.1000000000004</v>
      </c>
      <c r="V51" s="231">
        <v>4689.3</v>
      </c>
      <c r="W51" s="228">
        <v>159.80000000000001</v>
      </c>
      <c r="X51" s="229">
        <v>3.4099999999999998E-2</v>
      </c>
      <c r="Y51" s="228">
        <v>9</v>
      </c>
      <c r="Z51" s="228">
        <v>22.9</v>
      </c>
      <c r="AA51" s="228">
        <v>-13.9</v>
      </c>
      <c r="AB51" s="229">
        <v>1.9E-3</v>
      </c>
      <c r="AC51" s="228">
        <v>9</v>
      </c>
      <c r="AD51" s="228">
        <v>22.9</v>
      </c>
      <c r="AE51" s="228">
        <v>-13.9</v>
      </c>
      <c r="AF51" s="229">
        <v>1.9E-3</v>
      </c>
      <c r="AG51" s="228">
        <v>26.2</v>
      </c>
      <c r="AH51" s="228">
        <v>40.799999999999997</v>
      </c>
      <c r="AI51" s="228">
        <v>-14.6</v>
      </c>
      <c r="AJ51" s="229">
        <v>5.4999999999999997E-3</v>
      </c>
      <c r="AK51" s="228">
        <v>57.7</v>
      </c>
      <c r="AL51" s="228">
        <v>104.5</v>
      </c>
      <c r="AM51" s="228">
        <v>-46.8</v>
      </c>
      <c r="AN51" s="229">
        <v>1.2E-2</v>
      </c>
      <c r="AO51" s="231">
        <v>4750.1499999999996</v>
      </c>
      <c r="AP51" s="231">
        <v>4763.12</v>
      </c>
      <c r="AQ51" s="228">
        <v>0</v>
      </c>
      <c r="AR51" s="230">
        <v>926800</v>
      </c>
      <c r="AS51" s="230">
        <v>1108600</v>
      </c>
      <c r="AT51" s="230">
        <v>-181800</v>
      </c>
      <c r="AU51" s="229">
        <v>-0.16400000000000001</v>
      </c>
      <c r="AV51" s="230">
        <v>889800</v>
      </c>
      <c r="AW51" s="230">
        <v>1079600</v>
      </c>
      <c r="AX51" s="230">
        <v>-189800</v>
      </c>
      <c r="AY51" s="229">
        <v>-0.17580000000000001</v>
      </c>
      <c r="AZ51" s="230">
        <v>33000</v>
      </c>
      <c r="BA51" s="230">
        <v>28000</v>
      </c>
      <c r="BB51" s="230">
        <v>5000</v>
      </c>
      <c r="BC51" s="229">
        <v>0.17860000000000001</v>
      </c>
      <c r="BD51" s="230">
        <v>4000</v>
      </c>
      <c r="BE51" s="230">
        <v>1000</v>
      </c>
      <c r="BF51" s="230">
        <v>3000</v>
      </c>
      <c r="BG51" s="229">
        <v>3</v>
      </c>
      <c r="BH51" s="230">
        <v>1992600</v>
      </c>
      <c r="BI51" s="230">
        <v>1389600</v>
      </c>
      <c r="BJ51" s="230">
        <v>603000</v>
      </c>
      <c r="BK51" s="229">
        <v>0.43390000000000001</v>
      </c>
      <c r="BL51" s="230">
        <v>783000</v>
      </c>
      <c r="BM51" s="230">
        <v>1759600</v>
      </c>
      <c r="BN51" s="230">
        <v>-976600</v>
      </c>
      <c r="BO51" s="229">
        <v>-0.55500000000000005</v>
      </c>
      <c r="BP51" s="230">
        <v>3702400</v>
      </c>
      <c r="BQ51" s="230">
        <v>4257800</v>
      </c>
      <c r="BR51" s="230">
        <v>-555400</v>
      </c>
      <c r="BS51" s="229">
        <v>-0.13039999999999999</v>
      </c>
      <c r="BT51" s="230">
        <v>980611</v>
      </c>
      <c r="BU51" s="230">
        <v>981730</v>
      </c>
      <c r="BV51" s="230">
        <v>-1119</v>
      </c>
      <c r="BW51" s="229">
        <v>-1.1000000000000001E-3</v>
      </c>
      <c r="BX51" s="230">
        <v>3262200</v>
      </c>
      <c r="BY51" s="230">
        <v>3309600</v>
      </c>
      <c r="BZ51" s="230">
        <v>-47400</v>
      </c>
      <c r="CA51" s="229">
        <v>-1.43E-2</v>
      </c>
      <c r="CB51" s="230">
        <v>3228800</v>
      </c>
      <c r="CC51" s="230">
        <v>3281200</v>
      </c>
      <c r="CD51" s="230">
        <v>-52400</v>
      </c>
      <c r="CE51" s="229">
        <v>-1.6E-2</v>
      </c>
      <c r="CF51" s="230">
        <v>31200</v>
      </c>
      <c r="CG51" s="230">
        <v>27200</v>
      </c>
      <c r="CH51" s="230">
        <v>4000</v>
      </c>
      <c r="CI51" s="229">
        <v>0.14710000000000001</v>
      </c>
      <c r="CJ51" s="230">
        <v>2200</v>
      </c>
      <c r="CK51" s="230">
        <v>1200</v>
      </c>
      <c r="CL51" s="230">
        <v>1000</v>
      </c>
      <c r="CM51" s="229">
        <v>0.83330000000000004</v>
      </c>
      <c r="CN51" s="230">
        <v>832800</v>
      </c>
      <c r="CO51" s="230">
        <v>737000</v>
      </c>
      <c r="CP51" s="230">
        <v>95800</v>
      </c>
      <c r="CQ51" s="229">
        <v>0.13</v>
      </c>
      <c r="CR51" s="230">
        <v>590400</v>
      </c>
      <c r="CS51" s="230">
        <v>598400</v>
      </c>
      <c r="CT51" s="230">
        <v>-8000</v>
      </c>
      <c r="CU51" s="229">
        <v>-1.34E-2</v>
      </c>
      <c r="CV51" s="230">
        <v>4685400</v>
      </c>
      <c r="CW51" s="230">
        <v>4645000</v>
      </c>
      <c r="CX51" s="230">
        <v>40400</v>
      </c>
      <c r="CY51" s="229">
        <v>8.6999999999999994E-3</v>
      </c>
      <c r="CZ51" s="228">
        <v>30.29</v>
      </c>
      <c r="DA51" s="228">
        <v>33.17</v>
      </c>
      <c r="DB51" s="228">
        <v>-2.88</v>
      </c>
      <c r="DC51" s="228">
        <v>-2.88</v>
      </c>
      <c r="DD51" s="228">
        <v>34.83</v>
      </c>
      <c r="DE51" s="228">
        <v>34.4</v>
      </c>
      <c r="DF51" s="228">
        <v>-4.54</v>
      </c>
      <c r="DG51" s="228">
        <v>0.43</v>
      </c>
      <c r="DH51" s="228">
        <v>29.51</v>
      </c>
      <c r="DI51" s="228">
        <v>32.06</v>
      </c>
      <c r="DJ51" s="228">
        <v>-2.5499999999999998</v>
      </c>
      <c r="DK51" s="228">
        <v>-2.5499999999999998</v>
      </c>
      <c r="DL51" s="228">
        <v>32.270000000000003</v>
      </c>
      <c r="DM51" s="228">
        <v>34.04</v>
      </c>
      <c r="DN51" s="228">
        <v>-1.77</v>
      </c>
      <c r="DO51" s="228">
        <v>-1.77</v>
      </c>
      <c r="DP51" s="228">
        <v>0.71</v>
      </c>
      <c r="DQ51" s="228">
        <v>0.81</v>
      </c>
      <c r="DR51" s="228">
        <v>-0.1</v>
      </c>
      <c r="DS51" s="229">
        <v>-0.1235</v>
      </c>
      <c r="DT51" s="231">
        <v>5000</v>
      </c>
      <c r="DU51" s="231">
        <v>4500</v>
      </c>
      <c r="DV51" s="228">
        <v>0.39</v>
      </c>
      <c r="DW51" s="228">
        <v>1.27</v>
      </c>
      <c r="DX51" s="228">
        <v>-0.88</v>
      </c>
      <c r="DY51" s="229">
        <v>-0.69289999999999996</v>
      </c>
      <c r="DZ51" s="229">
        <v>1.0200000000000001E-2</v>
      </c>
      <c r="EA51" s="230">
        <v>28400</v>
      </c>
      <c r="EB51" s="229">
        <v>3.5999999999999999E-3</v>
      </c>
      <c r="EC51" s="229">
        <v>1.0200000000000001E-2</v>
      </c>
      <c r="ED51" s="228">
        <v>12.97</v>
      </c>
      <c r="EE51" s="229">
        <v>2.7000000000000001E-3</v>
      </c>
      <c r="EF51" s="230">
        <v>631071</v>
      </c>
      <c r="EG51" s="230">
        <v>612234</v>
      </c>
      <c r="EH51" s="229">
        <v>3.0800000000000001E-2</v>
      </c>
      <c r="EI51" s="229">
        <v>0.64349999999999996</v>
      </c>
      <c r="EJ51" s="231">
        <v>99537.76</v>
      </c>
      <c r="EK51" s="231">
        <v>35936.5</v>
      </c>
      <c r="EL51" s="231">
        <v>44029.5</v>
      </c>
      <c r="EM51" s="231">
        <v>3886</v>
      </c>
      <c r="EN51" s="231">
        <v>179503.76</v>
      </c>
      <c r="EO51" s="231">
        <v>202244.57</v>
      </c>
      <c r="EP51" s="231">
        <v>-22740.81</v>
      </c>
      <c r="EQ51" s="229">
        <v>-0.1124</v>
      </c>
      <c r="ER51" s="231">
        <v>41189</v>
      </c>
      <c r="ES51" s="231">
        <v>26775</v>
      </c>
      <c r="ET51" s="231">
        <v>156605</v>
      </c>
      <c r="EU51" s="231">
        <v>19131188</v>
      </c>
      <c r="EV51" s="231">
        <v>224569</v>
      </c>
      <c r="EW51" s="231">
        <v>216028</v>
      </c>
      <c r="EX51" s="231">
        <v>8541</v>
      </c>
      <c r="EY51" s="229">
        <v>3.95E-2</v>
      </c>
      <c r="EZ51" s="229">
        <v>0.24490000000000001</v>
      </c>
      <c r="FA51" s="227" t="s">
        <v>556</v>
      </c>
      <c r="FB51" s="161">
        <f t="shared" si="0"/>
        <v>33400</v>
      </c>
    </row>
    <row r="52" spans="1:158" ht="17.25" thickBot="1" x14ac:dyDescent="0.3">
      <c r="A52" s="226">
        <v>46086</v>
      </c>
      <c r="B52" s="227" t="s">
        <v>168</v>
      </c>
      <c r="C52" s="227" t="s">
        <v>204</v>
      </c>
      <c r="D52" s="228">
        <v>1250</v>
      </c>
      <c r="E52" s="228">
        <v>489.7</v>
      </c>
      <c r="F52" s="228">
        <v>489.7</v>
      </c>
      <c r="G52" s="228">
        <v>0</v>
      </c>
      <c r="H52" s="229">
        <v>0</v>
      </c>
      <c r="I52" s="228">
        <v>487.9</v>
      </c>
      <c r="J52" s="228">
        <v>487.4</v>
      </c>
      <c r="K52" s="228">
        <v>0.5</v>
      </c>
      <c r="L52" s="229">
        <v>1E-3</v>
      </c>
      <c r="M52" s="228">
        <v>489.7</v>
      </c>
      <c r="N52" s="228">
        <v>489.7</v>
      </c>
      <c r="O52" s="228">
        <v>0</v>
      </c>
      <c r="P52" s="229">
        <v>0</v>
      </c>
      <c r="Q52" s="228">
        <v>492.95</v>
      </c>
      <c r="R52" s="228">
        <v>492.65</v>
      </c>
      <c r="S52" s="228">
        <v>0.3</v>
      </c>
      <c r="T52" s="229">
        <v>5.9999999999999995E-4</v>
      </c>
      <c r="U52" s="228">
        <v>496</v>
      </c>
      <c r="V52" s="228">
        <v>495.95</v>
      </c>
      <c r="W52" s="228">
        <v>0.05</v>
      </c>
      <c r="X52" s="229">
        <v>1E-4</v>
      </c>
      <c r="Y52" s="228">
        <v>1.8</v>
      </c>
      <c r="Z52" s="228">
        <v>2.2999999999999998</v>
      </c>
      <c r="AA52" s="228">
        <v>-0.5</v>
      </c>
      <c r="AB52" s="229">
        <v>3.7000000000000002E-3</v>
      </c>
      <c r="AC52" s="228">
        <v>1.8</v>
      </c>
      <c r="AD52" s="228">
        <v>2.2999999999999998</v>
      </c>
      <c r="AE52" s="228">
        <v>-0.5</v>
      </c>
      <c r="AF52" s="229">
        <v>3.7000000000000002E-3</v>
      </c>
      <c r="AG52" s="228">
        <v>5.05</v>
      </c>
      <c r="AH52" s="228">
        <v>5.25</v>
      </c>
      <c r="AI52" s="228">
        <v>-0.2</v>
      </c>
      <c r="AJ52" s="229">
        <v>1.04E-2</v>
      </c>
      <c r="AK52" s="228">
        <v>8.1</v>
      </c>
      <c r="AL52" s="228">
        <v>8.5500000000000007</v>
      </c>
      <c r="AM52" s="228">
        <v>-0.45</v>
      </c>
      <c r="AN52" s="229">
        <v>1.66E-2</v>
      </c>
      <c r="AO52" s="228">
        <v>488.34</v>
      </c>
      <c r="AP52" s="228">
        <v>491.85</v>
      </c>
      <c r="AQ52" s="228">
        <v>0</v>
      </c>
      <c r="AR52" s="230">
        <v>2976250</v>
      </c>
      <c r="AS52" s="230">
        <v>3902500</v>
      </c>
      <c r="AT52" s="230">
        <v>-926250</v>
      </c>
      <c r="AU52" s="229">
        <v>-0.23730000000000001</v>
      </c>
      <c r="AV52" s="230">
        <v>2751250</v>
      </c>
      <c r="AW52" s="230">
        <v>3658750</v>
      </c>
      <c r="AX52" s="230">
        <v>-907500</v>
      </c>
      <c r="AY52" s="229">
        <v>-0.248</v>
      </c>
      <c r="AZ52" s="230">
        <v>185000</v>
      </c>
      <c r="BA52" s="230">
        <v>168750</v>
      </c>
      <c r="BB52" s="230">
        <v>16250</v>
      </c>
      <c r="BC52" s="229">
        <v>9.6299999999999997E-2</v>
      </c>
      <c r="BD52" s="230">
        <v>40000</v>
      </c>
      <c r="BE52" s="230">
        <v>75000</v>
      </c>
      <c r="BF52" s="230">
        <v>-35000</v>
      </c>
      <c r="BG52" s="229">
        <v>-0.4667</v>
      </c>
      <c r="BH52" s="230">
        <v>7873750</v>
      </c>
      <c r="BI52" s="230">
        <v>7697500</v>
      </c>
      <c r="BJ52" s="230">
        <v>176250</v>
      </c>
      <c r="BK52" s="229">
        <v>2.29E-2</v>
      </c>
      <c r="BL52" s="230">
        <v>4523750</v>
      </c>
      <c r="BM52" s="230">
        <v>5103750</v>
      </c>
      <c r="BN52" s="230">
        <v>-580000</v>
      </c>
      <c r="BO52" s="229">
        <v>-0.11360000000000001</v>
      </c>
      <c r="BP52" s="230">
        <v>15373750</v>
      </c>
      <c r="BQ52" s="230">
        <v>16703750</v>
      </c>
      <c r="BR52" s="230">
        <v>-1330000</v>
      </c>
      <c r="BS52" s="229">
        <v>-7.9600000000000004E-2</v>
      </c>
      <c r="BT52" s="230">
        <v>1005878</v>
      </c>
      <c r="BU52" s="230">
        <v>1774096</v>
      </c>
      <c r="BV52" s="230">
        <v>-768218</v>
      </c>
      <c r="BW52" s="229">
        <v>-0.433</v>
      </c>
      <c r="BX52" s="230">
        <v>25213750</v>
      </c>
      <c r="BY52" s="230">
        <v>24852500</v>
      </c>
      <c r="BZ52" s="230">
        <v>361250</v>
      </c>
      <c r="CA52" s="229">
        <v>1.4500000000000001E-2</v>
      </c>
      <c r="CB52" s="230">
        <v>24767500</v>
      </c>
      <c r="CC52" s="230">
        <v>24507500</v>
      </c>
      <c r="CD52" s="230">
        <v>260000</v>
      </c>
      <c r="CE52" s="229">
        <v>1.06E-2</v>
      </c>
      <c r="CF52" s="230">
        <v>382500</v>
      </c>
      <c r="CG52" s="230">
        <v>292500</v>
      </c>
      <c r="CH52" s="230">
        <v>90000</v>
      </c>
      <c r="CI52" s="229">
        <v>0.30769999999999997</v>
      </c>
      <c r="CJ52" s="230">
        <v>63750</v>
      </c>
      <c r="CK52" s="230">
        <v>52500</v>
      </c>
      <c r="CL52" s="230">
        <v>11250</v>
      </c>
      <c r="CM52" s="229">
        <v>0.21429999999999999</v>
      </c>
      <c r="CN52" s="230">
        <v>8855000</v>
      </c>
      <c r="CO52" s="230">
        <v>7855000</v>
      </c>
      <c r="CP52" s="230">
        <v>1000000</v>
      </c>
      <c r="CQ52" s="229">
        <v>0.1273</v>
      </c>
      <c r="CR52" s="230">
        <v>4370000</v>
      </c>
      <c r="CS52" s="230">
        <v>4228750</v>
      </c>
      <c r="CT52" s="230">
        <v>141250</v>
      </c>
      <c r="CU52" s="229">
        <v>3.3399999999999999E-2</v>
      </c>
      <c r="CV52" s="230">
        <v>38438750</v>
      </c>
      <c r="CW52" s="230">
        <v>36936250</v>
      </c>
      <c r="CX52" s="230">
        <v>1502500</v>
      </c>
      <c r="CY52" s="229">
        <v>4.07E-2</v>
      </c>
      <c r="CZ52" s="228">
        <v>23.21</v>
      </c>
      <c r="DA52" s="228">
        <v>25.52</v>
      </c>
      <c r="DB52" s="228">
        <v>-2.31</v>
      </c>
      <c r="DC52" s="228">
        <v>-2.31</v>
      </c>
      <c r="DD52" s="228">
        <v>24.51</v>
      </c>
      <c r="DE52" s="228">
        <v>24.57</v>
      </c>
      <c r="DF52" s="228">
        <v>-1.3</v>
      </c>
      <c r="DG52" s="228">
        <v>-0.06</v>
      </c>
      <c r="DH52" s="228">
        <v>23.04</v>
      </c>
      <c r="DI52" s="228">
        <v>25.12</v>
      </c>
      <c r="DJ52" s="228">
        <v>-2.08</v>
      </c>
      <c r="DK52" s="228">
        <v>-2.08</v>
      </c>
      <c r="DL52" s="228">
        <v>23.5</v>
      </c>
      <c r="DM52" s="228">
        <v>26.11</v>
      </c>
      <c r="DN52" s="228">
        <v>-2.61</v>
      </c>
      <c r="DO52" s="228">
        <v>-2.61</v>
      </c>
      <c r="DP52" s="228">
        <v>0.49</v>
      </c>
      <c r="DQ52" s="228">
        <v>0.54</v>
      </c>
      <c r="DR52" s="228">
        <v>-0.05</v>
      </c>
      <c r="DS52" s="229">
        <v>-9.2600000000000002E-2</v>
      </c>
      <c r="DT52" s="228">
        <v>520</v>
      </c>
      <c r="DU52" s="228">
        <v>480</v>
      </c>
      <c r="DV52" s="228">
        <v>0.56999999999999995</v>
      </c>
      <c r="DW52" s="228">
        <v>0.66</v>
      </c>
      <c r="DX52" s="228">
        <v>-0.09</v>
      </c>
      <c r="DY52" s="229">
        <v>-0.13639999999999999</v>
      </c>
      <c r="DZ52" s="229">
        <v>1.77E-2</v>
      </c>
      <c r="EA52" s="230">
        <v>345000</v>
      </c>
      <c r="EB52" s="229">
        <v>6.6E-3</v>
      </c>
      <c r="EC52" s="229">
        <v>1.77E-2</v>
      </c>
      <c r="ED52" s="228">
        <v>3.51</v>
      </c>
      <c r="EE52" s="229">
        <v>7.1999999999999998E-3</v>
      </c>
      <c r="EF52" s="230">
        <v>487617</v>
      </c>
      <c r="EG52" s="230">
        <v>1047860</v>
      </c>
      <c r="EH52" s="229">
        <v>-0.53469999999999995</v>
      </c>
      <c r="EI52" s="229">
        <v>0.48480000000000001</v>
      </c>
      <c r="EJ52" s="231">
        <v>41070.49</v>
      </c>
      <c r="EK52" s="231">
        <v>22050.38</v>
      </c>
      <c r="EL52" s="231">
        <v>14543.28</v>
      </c>
      <c r="EM52" s="231">
        <v>2278</v>
      </c>
      <c r="EN52" s="231">
        <v>77664.149999999994</v>
      </c>
      <c r="EO52" s="231">
        <v>84764.15</v>
      </c>
      <c r="EP52" s="231">
        <v>-7100</v>
      </c>
      <c r="EQ52" s="229">
        <v>-8.3799999999999999E-2</v>
      </c>
      <c r="ER52" s="231">
        <v>47214</v>
      </c>
      <c r="ES52" s="231">
        <v>21352</v>
      </c>
      <c r="ET52" s="231">
        <v>123488</v>
      </c>
      <c r="EU52" s="231">
        <v>89873278</v>
      </c>
      <c r="EV52" s="231">
        <v>192054</v>
      </c>
      <c r="EW52" s="231">
        <v>184654</v>
      </c>
      <c r="EX52" s="231">
        <v>7400</v>
      </c>
      <c r="EY52" s="229">
        <v>4.0099999999999997E-2</v>
      </c>
      <c r="EZ52" s="229">
        <v>0.42770000000000002</v>
      </c>
      <c r="FA52" s="227" t="s">
        <v>237</v>
      </c>
      <c r="FB52" s="161">
        <f t="shared" si="0"/>
        <v>446250</v>
      </c>
    </row>
    <row r="53" spans="1:158" ht="17.25" thickBot="1" x14ac:dyDescent="0.3">
      <c r="A53" s="226">
        <v>46086</v>
      </c>
      <c r="B53" s="227" t="s">
        <v>157</v>
      </c>
      <c r="C53" s="227" t="s">
        <v>524</v>
      </c>
      <c r="D53" s="228">
        <v>325</v>
      </c>
      <c r="E53" s="231">
        <v>1932.6</v>
      </c>
      <c r="F53" s="231">
        <v>1901.3</v>
      </c>
      <c r="G53" s="228">
        <v>31.3</v>
      </c>
      <c r="H53" s="229">
        <v>1.6500000000000001E-2</v>
      </c>
      <c r="I53" s="231">
        <v>1928.7</v>
      </c>
      <c r="J53" s="231">
        <v>1895.7</v>
      </c>
      <c r="K53" s="228">
        <v>33</v>
      </c>
      <c r="L53" s="229">
        <v>1.7399999999999999E-2</v>
      </c>
      <c r="M53" s="231">
        <v>1932.6</v>
      </c>
      <c r="N53" s="231">
        <v>1901.3</v>
      </c>
      <c r="O53" s="228">
        <v>31.3</v>
      </c>
      <c r="P53" s="229">
        <v>1.6500000000000001E-2</v>
      </c>
      <c r="Q53" s="231">
        <v>1946</v>
      </c>
      <c r="R53" s="231">
        <v>1912</v>
      </c>
      <c r="S53" s="228">
        <v>34</v>
      </c>
      <c r="T53" s="229">
        <v>1.78E-2</v>
      </c>
      <c r="U53" s="231">
        <v>1907</v>
      </c>
      <c r="V53" s="231">
        <v>1922</v>
      </c>
      <c r="W53" s="228">
        <v>-15</v>
      </c>
      <c r="X53" s="229">
        <v>-7.7999999999999996E-3</v>
      </c>
      <c r="Y53" s="228">
        <v>3.9</v>
      </c>
      <c r="Z53" s="228">
        <v>5.6</v>
      </c>
      <c r="AA53" s="228">
        <v>-1.7</v>
      </c>
      <c r="AB53" s="229">
        <v>2E-3</v>
      </c>
      <c r="AC53" s="228">
        <v>3.9</v>
      </c>
      <c r="AD53" s="228">
        <v>5.6</v>
      </c>
      <c r="AE53" s="228">
        <v>-1.7</v>
      </c>
      <c r="AF53" s="229">
        <v>2E-3</v>
      </c>
      <c r="AG53" s="228">
        <v>17.3</v>
      </c>
      <c r="AH53" s="228">
        <v>16.3</v>
      </c>
      <c r="AI53" s="228">
        <v>1</v>
      </c>
      <c r="AJ53" s="229">
        <v>8.9999999999999993E-3</v>
      </c>
      <c r="AK53" s="228">
        <v>-21.7</v>
      </c>
      <c r="AL53" s="228">
        <v>26.3</v>
      </c>
      <c r="AM53" s="228">
        <v>-48</v>
      </c>
      <c r="AN53" s="229">
        <v>-1.1299999999999999E-2</v>
      </c>
      <c r="AO53" s="231">
        <v>1905.39</v>
      </c>
      <c r="AP53" s="231">
        <v>1913</v>
      </c>
      <c r="AQ53" s="228">
        <v>0</v>
      </c>
      <c r="AR53" s="230">
        <v>324025</v>
      </c>
      <c r="AS53" s="230">
        <v>476125</v>
      </c>
      <c r="AT53" s="230">
        <v>-152100</v>
      </c>
      <c r="AU53" s="229">
        <v>-0.31950000000000001</v>
      </c>
      <c r="AV53" s="230">
        <v>297375</v>
      </c>
      <c r="AW53" s="230">
        <v>455650</v>
      </c>
      <c r="AX53" s="230">
        <v>-158275</v>
      </c>
      <c r="AY53" s="229">
        <v>-0.34739999999999999</v>
      </c>
      <c r="AZ53" s="230">
        <v>24700</v>
      </c>
      <c r="BA53" s="230">
        <v>18525</v>
      </c>
      <c r="BB53" s="230">
        <v>6175</v>
      </c>
      <c r="BC53" s="229">
        <v>0.33329999999999999</v>
      </c>
      <c r="BD53" s="230">
        <v>1950</v>
      </c>
      <c r="BE53" s="230">
        <v>1950</v>
      </c>
      <c r="BF53" s="228">
        <v>0</v>
      </c>
      <c r="BG53" s="229">
        <v>0</v>
      </c>
      <c r="BH53" s="230">
        <v>390975</v>
      </c>
      <c r="BI53" s="230">
        <v>463125</v>
      </c>
      <c r="BJ53" s="230">
        <v>-72150</v>
      </c>
      <c r="BK53" s="229">
        <v>-0.15579999999999999</v>
      </c>
      <c r="BL53" s="230">
        <v>553475</v>
      </c>
      <c r="BM53" s="230">
        <v>778375</v>
      </c>
      <c r="BN53" s="230">
        <v>-224900</v>
      </c>
      <c r="BO53" s="229">
        <v>-0.28889999999999999</v>
      </c>
      <c r="BP53" s="230">
        <v>1268475</v>
      </c>
      <c r="BQ53" s="230">
        <v>1717625</v>
      </c>
      <c r="BR53" s="230">
        <v>-449150</v>
      </c>
      <c r="BS53" s="229">
        <v>-0.26150000000000001</v>
      </c>
      <c r="BT53" s="230">
        <v>106076</v>
      </c>
      <c r="BU53" s="230">
        <v>349614</v>
      </c>
      <c r="BV53" s="230">
        <v>-243538</v>
      </c>
      <c r="BW53" s="229">
        <v>-0.6966</v>
      </c>
      <c r="BX53" s="230">
        <v>2102750</v>
      </c>
      <c r="BY53" s="230">
        <v>2109575</v>
      </c>
      <c r="BZ53" s="230">
        <v>-6825</v>
      </c>
      <c r="CA53" s="229">
        <v>-3.2000000000000002E-3</v>
      </c>
      <c r="CB53" s="230">
        <v>2071875</v>
      </c>
      <c r="CC53" s="230">
        <v>2082600</v>
      </c>
      <c r="CD53" s="230">
        <v>-10725</v>
      </c>
      <c r="CE53" s="229">
        <v>-5.1000000000000004E-3</v>
      </c>
      <c r="CF53" s="230">
        <v>27625</v>
      </c>
      <c r="CG53" s="230">
        <v>25350</v>
      </c>
      <c r="CH53" s="230">
        <v>2275</v>
      </c>
      <c r="CI53" s="229">
        <v>8.9700000000000002E-2</v>
      </c>
      <c r="CJ53" s="230">
        <v>3250</v>
      </c>
      <c r="CK53" s="230">
        <v>1625</v>
      </c>
      <c r="CL53" s="230">
        <v>1625</v>
      </c>
      <c r="CM53" s="229">
        <v>1</v>
      </c>
      <c r="CN53" s="230">
        <v>944125</v>
      </c>
      <c r="CO53" s="230">
        <v>872300</v>
      </c>
      <c r="CP53" s="230">
        <v>71825</v>
      </c>
      <c r="CQ53" s="229">
        <v>8.2299999999999998E-2</v>
      </c>
      <c r="CR53" s="230">
        <v>937625</v>
      </c>
      <c r="CS53" s="230">
        <v>951925</v>
      </c>
      <c r="CT53" s="230">
        <v>-14300</v>
      </c>
      <c r="CU53" s="229">
        <v>-1.4999999999999999E-2</v>
      </c>
      <c r="CV53" s="230">
        <v>3984500</v>
      </c>
      <c r="CW53" s="230">
        <v>3933800</v>
      </c>
      <c r="CX53" s="230">
        <v>50700</v>
      </c>
      <c r="CY53" s="229">
        <v>1.29E-2</v>
      </c>
      <c r="CZ53" s="228">
        <v>32.42</v>
      </c>
      <c r="DA53" s="228">
        <v>37.049999999999997</v>
      </c>
      <c r="DB53" s="228">
        <v>-4.63</v>
      </c>
      <c r="DC53" s="228">
        <v>-4.63</v>
      </c>
      <c r="DD53" s="228">
        <v>30.68</v>
      </c>
      <c r="DE53" s="228">
        <v>30.68</v>
      </c>
      <c r="DF53" s="228">
        <v>1.74</v>
      </c>
      <c r="DG53" s="228">
        <v>0</v>
      </c>
      <c r="DH53" s="228">
        <v>30.47</v>
      </c>
      <c r="DI53" s="228">
        <v>35.57</v>
      </c>
      <c r="DJ53" s="228">
        <v>-5.0999999999999996</v>
      </c>
      <c r="DK53" s="228">
        <v>-5.0999999999999996</v>
      </c>
      <c r="DL53" s="228">
        <v>33.799999999999997</v>
      </c>
      <c r="DM53" s="228">
        <v>37.93</v>
      </c>
      <c r="DN53" s="228">
        <v>-4.13</v>
      </c>
      <c r="DO53" s="228">
        <v>-4.13</v>
      </c>
      <c r="DP53" s="228">
        <v>0.99</v>
      </c>
      <c r="DQ53" s="228">
        <v>1.0900000000000001</v>
      </c>
      <c r="DR53" s="228">
        <v>-0.1</v>
      </c>
      <c r="DS53" s="229">
        <v>-9.1700000000000004E-2</v>
      </c>
      <c r="DT53" s="231">
        <v>2200</v>
      </c>
      <c r="DU53" s="231">
        <v>1900</v>
      </c>
      <c r="DV53" s="228">
        <v>1.42</v>
      </c>
      <c r="DW53" s="228">
        <v>1.68</v>
      </c>
      <c r="DX53" s="228">
        <v>-0.26</v>
      </c>
      <c r="DY53" s="229">
        <v>-0.15479999999999999</v>
      </c>
      <c r="DZ53" s="229">
        <v>1.47E-2</v>
      </c>
      <c r="EA53" s="230">
        <v>26975</v>
      </c>
      <c r="EB53" s="229">
        <v>6.8999999999999999E-3</v>
      </c>
      <c r="EC53" s="229">
        <v>1.47E-2</v>
      </c>
      <c r="ED53" s="228">
        <v>7.61</v>
      </c>
      <c r="EE53" s="229">
        <v>4.0000000000000001E-3</v>
      </c>
      <c r="EF53" s="230">
        <v>44955</v>
      </c>
      <c r="EG53" s="230">
        <v>241897</v>
      </c>
      <c r="EH53" s="229">
        <v>-0.81420000000000003</v>
      </c>
      <c r="EI53" s="229">
        <v>0.42380000000000001</v>
      </c>
      <c r="EJ53" s="231">
        <v>7989.07</v>
      </c>
      <c r="EK53" s="231">
        <v>10656.74</v>
      </c>
      <c r="EL53" s="231">
        <v>6175.92</v>
      </c>
      <c r="EM53" s="231">
        <v>2064</v>
      </c>
      <c r="EN53" s="231">
        <v>24821.73</v>
      </c>
      <c r="EO53" s="231">
        <v>33861.54</v>
      </c>
      <c r="EP53" s="231">
        <v>-9039.81</v>
      </c>
      <c r="EQ53" s="229">
        <v>-0.26700000000000002</v>
      </c>
      <c r="ER53" s="231">
        <v>19908</v>
      </c>
      <c r="ES53" s="231">
        <v>17853</v>
      </c>
      <c r="ET53" s="231">
        <v>40641</v>
      </c>
      <c r="EU53" s="231">
        <v>12425041</v>
      </c>
      <c r="EV53" s="231">
        <v>78401</v>
      </c>
      <c r="EW53" s="231">
        <v>76754</v>
      </c>
      <c r="EX53" s="231">
        <v>1647</v>
      </c>
      <c r="EY53" s="229">
        <v>2.1499999999999998E-2</v>
      </c>
      <c r="EZ53" s="229">
        <v>0.32069999999999999</v>
      </c>
      <c r="FA53" s="227" t="s">
        <v>556</v>
      </c>
      <c r="FB53" s="161">
        <f t="shared" si="0"/>
        <v>30875</v>
      </c>
    </row>
    <row r="54" spans="1:158" ht="17.25" thickBot="1" x14ac:dyDescent="0.3">
      <c r="A54" s="226">
        <v>46086</v>
      </c>
      <c r="B54" s="227" t="s">
        <v>615</v>
      </c>
      <c r="C54" s="227" t="s">
        <v>600</v>
      </c>
      <c r="D54" s="228">
        <v>2075</v>
      </c>
      <c r="E54" s="228">
        <v>428.95</v>
      </c>
      <c r="F54" s="228">
        <v>418.85</v>
      </c>
      <c r="G54" s="228">
        <v>10.1</v>
      </c>
      <c r="H54" s="229">
        <v>2.41E-2</v>
      </c>
      <c r="I54" s="228">
        <v>428.1</v>
      </c>
      <c r="J54" s="228">
        <v>416.7</v>
      </c>
      <c r="K54" s="228">
        <v>11.4</v>
      </c>
      <c r="L54" s="229">
        <v>2.7400000000000001E-2</v>
      </c>
      <c r="M54" s="228">
        <v>428.95</v>
      </c>
      <c r="N54" s="228">
        <v>418.85</v>
      </c>
      <c r="O54" s="228">
        <v>10.1</v>
      </c>
      <c r="P54" s="229">
        <v>2.41E-2</v>
      </c>
      <c r="Q54" s="228">
        <v>431.9</v>
      </c>
      <c r="R54" s="228">
        <v>421.15</v>
      </c>
      <c r="S54" s="228">
        <v>10.75</v>
      </c>
      <c r="T54" s="229">
        <v>2.5499999999999998E-2</v>
      </c>
      <c r="U54" s="228">
        <v>432.95</v>
      </c>
      <c r="V54" s="228">
        <v>425</v>
      </c>
      <c r="W54" s="228">
        <v>7.95</v>
      </c>
      <c r="X54" s="229">
        <v>1.8700000000000001E-2</v>
      </c>
      <c r="Y54" s="228">
        <v>0.85</v>
      </c>
      <c r="Z54" s="228">
        <v>2.15</v>
      </c>
      <c r="AA54" s="228">
        <v>-1.3</v>
      </c>
      <c r="AB54" s="229">
        <v>2E-3</v>
      </c>
      <c r="AC54" s="228">
        <v>0.85</v>
      </c>
      <c r="AD54" s="228">
        <v>2.15</v>
      </c>
      <c r="AE54" s="228">
        <v>-1.3</v>
      </c>
      <c r="AF54" s="229">
        <v>2E-3</v>
      </c>
      <c r="AG54" s="228">
        <v>3.8</v>
      </c>
      <c r="AH54" s="228">
        <v>4.45</v>
      </c>
      <c r="AI54" s="228">
        <v>-0.65</v>
      </c>
      <c r="AJ54" s="229">
        <v>8.8999999999999999E-3</v>
      </c>
      <c r="AK54" s="228">
        <v>4.8499999999999996</v>
      </c>
      <c r="AL54" s="228">
        <v>8.3000000000000007</v>
      </c>
      <c r="AM54" s="228">
        <v>-3.45</v>
      </c>
      <c r="AN54" s="229">
        <v>1.1299999999999999E-2</v>
      </c>
      <c r="AO54" s="228">
        <v>423.33</v>
      </c>
      <c r="AP54" s="228">
        <v>425.05</v>
      </c>
      <c r="AQ54" s="228">
        <v>0</v>
      </c>
      <c r="AR54" s="230">
        <v>3552400</v>
      </c>
      <c r="AS54" s="230">
        <v>4475775</v>
      </c>
      <c r="AT54" s="230">
        <v>-923375</v>
      </c>
      <c r="AU54" s="229">
        <v>-0.20630000000000001</v>
      </c>
      <c r="AV54" s="230">
        <v>3330375</v>
      </c>
      <c r="AW54" s="230">
        <v>4268275</v>
      </c>
      <c r="AX54" s="230">
        <v>-937900</v>
      </c>
      <c r="AY54" s="229">
        <v>-0.21970000000000001</v>
      </c>
      <c r="AZ54" s="230">
        <v>207500</v>
      </c>
      <c r="BA54" s="230">
        <v>197125</v>
      </c>
      <c r="BB54" s="230">
        <v>10375</v>
      </c>
      <c r="BC54" s="229">
        <v>5.2600000000000001E-2</v>
      </c>
      <c r="BD54" s="230">
        <v>14525</v>
      </c>
      <c r="BE54" s="230">
        <v>10375</v>
      </c>
      <c r="BF54" s="230">
        <v>4150</v>
      </c>
      <c r="BG54" s="229">
        <v>0.4</v>
      </c>
      <c r="BH54" s="230">
        <v>8134000</v>
      </c>
      <c r="BI54" s="230">
        <v>4525575</v>
      </c>
      <c r="BJ54" s="230">
        <v>3608425</v>
      </c>
      <c r="BK54" s="229">
        <v>0.79730000000000001</v>
      </c>
      <c r="BL54" s="230">
        <v>1933900</v>
      </c>
      <c r="BM54" s="230">
        <v>2803325</v>
      </c>
      <c r="BN54" s="230">
        <v>-869425</v>
      </c>
      <c r="BO54" s="229">
        <v>-0.31009999999999999</v>
      </c>
      <c r="BP54" s="230">
        <v>13620300</v>
      </c>
      <c r="BQ54" s="230">
        <v>11804675</v>
      </c>
      <c r="BR54" s="230">
        <v>1815625</v>
      </c>
      <c r="BS54" s="229">
        <v>0.15379999999999999</v>
      </c>
      <c r="BT54" s="230">
        <v>1654109</v>
      </c>
      <c r="BU54" s="230">
        <v>1208629</v>
      </c>
      <c r="BV54" s="230">
        <v>445480</v>
      </c>
      <c r="BW54" s="229">
        <v>0.36859999999999998</v>
      </c>
      <c r="BX54" s="230">
        <v>23513900</v>
      </c>
      <c r="BY54" s="230">
        <v>23401850</v>
      </c>
      <c r="BZ54" s="230">
        <v>112050</v>
      </c>
      <c r="CA54" s="229">
        <v>4.7999999999999996E-3</v>
      </c>
      <c r="CB54" s="230">
        <v>23221325</v>
      </c>
      <c r="CC54" s="230">
        <v>23119650</v>
      </c>
      <c r="CD54" s="230">
        <v>101675</v>
      </c>
      <c r="CE54" s="229">
        <v>4.4000000000000003E-3</v>
      </c>
      <c r="CF54" s="230">
        <v>271825</v>
      </c>
      <c r="CG54" s="230">
        <v>265600</v>
      </c>
      <c r="CH54" s="230">
        <v>6225</v>
      </c>
      <c r="CI54" s="229">
        <v>2.3400000000000001E-2</v>
      </c>
      <c r="CJ54" s="230">
        <v>20750</v>
      </c>
      <c r="CK54" s="230">
        <v>16600</v>
      </c>
      <c r="CL54" s="230">
        <v>4150</v>
      </c>
      <c r="CM54" s="229">
        <v>0.25</v>
      </c>
      <c r="CN54" s="230">
        <v>6262350</v>
      </c>
      <c r="CO54" s="230">
        <v>5152225</v>
      </c>
      <c r="CP54" s="230">
        <v>1110125</v>
      </c>
      <c r="CQ54" s="229">
        <v>0.2155</v>
      </c>
      <c r="CR54" s="230">
        <v>2759750</v>
      </c>
      <c r="CS54" s="230">
        <v>2409075</v>
      </c>
      <c r="CT54" s="230">
        <v>350675</v>
      </c>
      <c r="CU54" s="229">
        <v>0.14560000000000001</v>
      </c>
      <c r="CV54" s="230">
        <v>32536000</v>
      </c>
      <c r="CW54" s="230">
        <v>30963150</v>
      </c>
      <c r="CX54" s="230">
        <v>1572850</v>
      </c>
      <c r="CY54" s="229">
        <v>5.0799999999999998E-2</v>
      </c>
      <c r="CZ54" s="228">
        <v>29.81</v>
      </c>
      <c r="DA54" s="228">
        <v>33.770000000000003</v>
      </c>
      <c r="DB54" s="228">
        <v>-3.96</v>
      </c>
      <c r="DC54" s="228">
        <v>-3.96</v>
      </c>
      <c r="DD54" s="228">
        <v>39.049999999999997</v>
      </c>
      <c r="DE54" s="228">
        <v>39.020000000000003</v>
      </c>
      <c r="DF54" s="228">
        <v>-9.24</v>
      </c>
      <c r="DG54" s="228">
        <v>0.03</v>
      </c>
      <c r="DH54" s="228">
        <v>29.03</v>
      </c>
      <c r="DI54" s="228">
        <v>32.520000000000003</v>
      </c>
      <c r="DJ54" s="228">
        <v>-3.49</v>
      </c>
      <c r="DK54" s="228">
        <v>-3.49</v>
      </c>
      <c r="DL54" s="228">
        <v>33.1</v>
      </c>
      <c r="DM54" s="228">
        <v>35.79</v>
      </c>
      <c r="DN54" s="228">
        <v>-2.69</v>
      </c>
      <c r="DO54" s="228">
        <v>-2.69</v>
      </c>
      <c r="DP54" s="228">
        <v>0.44</v>
      </c>
      <c r="DQ54" s="228">
        <v>0.47</v>
      </c>
      <c r="DR54" s="228">
        <v>-0.03</v>
      </c>
      <c r="DS54" s="229">
        <v>-6.3799999999999996E-2</v>
      </c>
      <c r="DT54" s="228">
        <v>450</v>
      </c>
      <c r="DU54" s="228">
        <v>400</v>
      </c>
      <c r="DV54" s="228">
        <v>0.24</v>
      </c>
      <c r="DW54" s="228">
        <v>0.62</v>
      </c>
      <c r="DX54" s="228">
        <v>-0.38</v>
      </c>
      <c r="DY54" s="229">
        <v>-0.6129</v>
      </c>
      <c r="DZ54" s="229">
        <v>1.24E-2</v>
      </c>
      <c r="EA54" s="230">
        <v>282200</v>
      </c>
      <c r="EB54" s="229">
        <v>6.8999999999999999E-3</v>
      </c>
      <c r="EC54" s="229">
        <v>1.24E-2</v>
      </c>
      <c r="ED54" s="228">
        <v>1.72</v>
      </c>
      <c r="EE54" s="229">
        <v>4.1000000000000003E-3</v>
      </c>
      <c r="EF54" s="230">
        <v>819666</v>
      </c>
      <c r="EG54" s="230">
        <v>528024</v>
      </c>
      <c r="EH54" s="229">
        <v>0.55230000000000001</v>
      </c>
      <c r="EI54" s="229">
        <v>0.4955</v>
      </c>
      <c r="EJ54" s="231">
        <v>36766.959999999999</v>
      </c>
      <c r="EK54" s="231">
        <v>7936.36</v>
      </c>
      <c r="EL54" s="231">
        <v>15042.26</v>
      </c>
      <c r="EM54" s="231">
        <v>1593</v>
      </c>
      <c r="EN54" s="231">
        <v>59745.58</v>
      </c>
      <c r="EO54" s="231">
        <v>50989.65</v>
      </c>
      <c r="EP54" s="231">
        <v>8755.93</v>
      </c>
      <c r="EQ54" s="229">
        <v>0.17169999999999999</v>
      </c>
      <c r="ER54" s="231">
        <v>28575</v>
      </c>
      <c r="ES54" s="231">
        <v>11375</v>
      </c>
      <c r="ET54" s="231">
        <v>100872</v>
      </c>
      <c r="EU54" s="231">
        <v>112112283</v>
      </c>
      <c r="EV54" s="231">
        <v>140821</v>
      </c>
      <c r="EW54" s="231">
        <v>131664</v>
      </c>
      <c r="EX54" s="231">
        <v>9157</v>
      </c>
      <c r="EY54" s="229">
        <v>6.9500000000000006E-2</v>
      </c>
      <c r="EZ54" s="229">
        <v>0.29020000000000001</v>
      </c>
      <c r="FA54" s="227" t="s">
        <v>555</v>
      </c>
      <c r="FB54" s="161">
        <f t="shared" si="0"/>
        <v>292575</v>
      </c>
    </row>
    <row r="55" spans="1:158" ht="17.25" thickBot="1" x14ac:dyDescent="0.3">
      <c r="A55" s="226">
        <v>46086</v>
      </c>
      <c r="B55" s="227" t="s">
        <v>170</v>
      </c>
      <c r="C55" s="227" t="s">
        <v>205</v>
      </c>
      <c r="D55" s="228">
        <v>100</v>
      </c>
      <c r="E55" s="231">
        <v>6392.5</v>
      </c>
      <c r="F55" s="231">
        <v>6329</v>
      </c>
      <c r="G55" s="228">
        <v>63.5</v>
      </c>
      <c r="H55" s="229">
        <v>0.01</v>
      </c>
      <c r="I55" s="231">
        <v>6364.5</v>
      </c>
      <c r="J55" s="231">
        <v>6316</v>
      </c>
      <c r="K55" s="228">
        <v>48.5</v>
      </c>
      <c r="L55" s="229">
        <v>7.7000000000000002E-3</v>
      </c>
      <c r="M55" s="231">
        <v>6392.5</v>
      </c>
      <c r="N55" s="231">
        <v>6329</v>
      </c>
      <c r="O55" s="228">
        <v>63.5</v>
      </c>
      <c r="P55" s="229">
        <v>0.01</v>
      </c>
      <c r="Q55" s="231">
        <v>6429.5</v>
      </c>
      <c r="R55" s="231">
        <v>6366</v>
      </c>
      <c r="S55" s="228">
        <v>63.5</v>
      </c>
      <c r="T55" s="229">
        <v>0.01</v>
      </c>
      <c r="U55" s="231">
        <v>6444.5</v>
      </c>
      <c r="V55" s="231">
        <v>6450</v>
      </c>
      <c r="W55" s="228">
        <v>-5.5</v>
      </c>
      <c r="X55" s="229">
        <v>-8.9999999999999998E-4</v>
      </c>
      <c r="Y55" s="228">
        <v>28</v>
      </c>
      <c r="Z55" s="228">
        <v>13</v>
      </c>
      <c r="AA55" s="228">
        <v>15</v>
      </c>
      <c r="AB55" s="229">
        <v>4.4000000000000003E-3</v>
      </c>
      <c r="AC55" s="228">
        <v>28</v>
      </c>
      <c r="AD55" s="228">
        <v>13</v>
      </c>
      <c r="AE55" s="228">
        <v>15</v>
      </c>
      <c r="AF55" s="229">
        <v>4.4000000000000003E-3</v>
      </c>
      <c r="AG55" s="228">
        <v>65</v>
      </c>
      <c r="AH55" s="228">
        <v>50</v>
      </c>
      <c r="AI55" s="228">
        <v>15</v>
      </c>
      <c r="AJ55" s="229">
        <v>1.0200000000000001E-2</v>
      </c>
      <c r="AK55" s="228">
        <v>80</v>
      </c>
      <c r="AL55" s="228">
        <v>134</v>
      </c>
      <c r="AM55" s="228">
        <v>-54</v>
      </c>
      <c r="AN55" s="229">
        <v>1.26E-2</v>
      </c>
      <c r="AO55" s="231">
        <v>6375.36</v>
      </c>
      <c r="AP55" s="231">
        <v>6417.28</v>
      </c>
      <c r="AQ55" s="228">
        <v>0</v>
      </c>
      <c r="AR55" s="230">
        <v>273700</v>
      </c>
      <c r="AS55" s="230">
        <v>199100</v>
      </c>
      <c r="AT55" s="230">
        <v>74600</v>
      </c>
      <c r="AU55" s="229">
        <v>0.37469999999999998</v>
      </c>
      <c r="AV55" s="230">
        <v>263100</v>
      </c>
      <c r="AW55" s="230">
        <v>189500</v>
      </c>
      <c r="AX55" s="230">
        <v>73600</v>
      </c>
      <c r="AY55" s="229">
        <v>0.38840000000000002</v>
      </c>
      <c r="AZ55" s="230">
        <v>10300</v>
      </c>
      <c r="BA55" s="230">
        <v>8100</v>
      </c>
      <c r="BB55" s="230">
        <v>2200</v>
      </c>
      <c r="BC55" s="229">
        <v>0.27160000000000001</v>
      </c>
      <c r="BD55" s="228">
        <v>300</v>
      </c>
      <c r="BE55" s="230">
        <v>1500</v>
      </c>
      <c r="BF55" s="230">
        <v>-1200</v>
      </c>
      <c r="BG55" s="229">
        <v>-0.8</v>
      </c>
      <c r="BH55" s="230">
        <v>691000</v>
      </c>
      <c r="BI55" s="230">
        <v>792400</v>
      </c>
      <c r="BJ55" s="230">
        <v>-101400</v>
      </c>
      <c r="BK55" s="229">
        <v>-0.128</v>
      </c>
      <c r="BL55" s="230">
        <v>189800</v>
      </c>
      <c r="BM55" s="230">
        <v>559000</v>
      </c>
      <c r="BN55" s="230">
        <v>-369200</v>
      </c>
      <c r="BO55" s="229">
        <v>-0.66049999999999998</v>
      </c>
      <c r="BP55" s="230">
        <v>1154500</v>
      </c>
      <c r="BQ55" s="230">
        <v>1550500</v>
      </c>
      <c r="BR55" s="230">
        <v>-396000</v>
      </c>
      <c r="BS55" s="229">
        <v>-0.25540000000000002</v>
      </c>
      <c r="BT55" s="230">
        <v>297729</v>
      </c>
      <c r="BU55" s="230">
        <v>511838</v>
      </c>
      <c r="BV55" s="230">
        <v>-214109</v>
      </c>
      <c r="BW55" s="229">
        <v>-0.41830000000000001</v>
      </c>
      <c r="BX55" s="230">
        <v>2732000</v>
      </c>
      <c r="BY55" s="230">
        <v>2748600</v>
      </c>
      <c r="BZ55" s="230">
        <v>-16600</v>
      </c>
      <c r="CA55" s="229">
        <v>-6.0000000000000001E-3</v>
      </c>
      <c r="CB55" s="230">
        <v>2713300</v>
      </c>
      <c r="CC55" s="230">
        <v>2730400</v>
      </c>
      <c r="CD55" s="230">
        <v>-17100</v>
      </c>
      <c r="CE55" s="229">
        <v>-6.3E-3</v>
      </c>
      <c r="CF55" s="230">
        <v>16400</v>
      </c>
      <c r="CG55" s="230">
        <v>15900</v>
      </c>
      <c r="CH55" s="228">
        <v>500</v>
      </c>
      <c r="CI55" s="229">
        <v>3.1399999999999997E-2</v>
      </c>
      <c r="CJ55" s="230">
        <v>2300</v>
      </c>
      <c r="CK55" s="230">
        <v>2300</v>
      </c>
      <c r="CL55" s="228">
        <v>0</v>
      </c>
      <c r="CM55" s="229">
        <v>0</v>
      </c>
      <c r="CN55" s="230">
        <v>700000</v>
      </c>
      <c r="CO55" s="230">
        <v>660200</v>
      </c>
      <c r="CP55" s="230">
        <v>39800</v>
      </c>
      <c r="CQ55" s="229">
        <v>6.0299999999999999E-2</v>
      </c>
      <c r="CR55" s="230">
        <v>399400</v>
      </c>
      <c r="CS55" s="230">
        <v>383300</v>
      </c>
      <c r="CT55" s="230">
        <v>16100</v>
      </c>
      <c r="CU55" s="229">
        <v>4.2000000000000003E-2</v>
      </c>
      <c r="CV55" s="230">
        <v>3831400</v>
      </c>
      <c r="CW55" s="230">
        <v>3792100</v>
      </c>
      <c r="CX55" s="230">
        <v>39300</v>
      </c>
      <c r="CY55" s="229">
        <v>1.04E-2</v>
      </c>
      <c r="CZ55" s="228">
        <v>24.73</v>
      </c>
      <c r="DA55" s="228">
        <v>27.29</v>
      </c>
      <c r="DB55" s="228">
        <v>-2.56</v>
      </c>
      <c r="DC55" s="228">
        <v>-2.56</v>
      </c>
      <c r="DD55" s="228">
        <v>30.28</v>
      </c>
      <c r="DE55" s="228">
        <v>30.34</v>
      </c>
      <c r="DF55" s="228">
        <v>-5.55</v>
      </c>
      <c r="DG55" s="228">
        <v>-0.06</v>
      </c>
      <c r="DH55" s="228">
        <v>24.3</v>
      </c>
      <c r="DI55" s="228">
        <v>25.93</v>
      </c>
      <c r="DJ55" s="228">
        <v>-1.63</v>
      </c>
      <c r="DK55" s="228">
        <v>-1.63</v>
      </c>
      <c r="DL55" s="228">
        <v>26.27</v>
      </c>
      <c r="DM55" s="228">
        <v>29.22</v>
      </c>
      <c r="DN55" s="228">
        <v>-2.95</v>
      </c>
      <c r="DO55" s="228">
        <v>-2.95</v>
      </c>
      <c r="DP55" s="228">
        <v>0.56999999999999995</v>
      </c>
      <c r="DQ55" s="228">
        <v>0.57999999999999996</v>
      </c>
      <c r="DR55" s="228">
        <v>-0.01</v>
      </c>
      <c r="DS55" s="229">
        <v>-1.72E-2</v>
      </c>
      <c r="DT55" s="231">
        <v>6500</v>
      </c>
      <c r="DU55" s="231">
        <v>5600</v>
      </c>
      <c r="DV55" s="228">
        <v>0.27</v>
      </c>
      <c r="DW55" s="228">
        <v>0.71</v>
      </c>
      <c r="DX55" s="228">
        <v>-0.44</v>
      </c>
      <c r="DY55" s="229">
        <v>-0.61970000000000003</v>
      </c>
      <c r="DZ55" s="229">
        <v>6.7999999999999996E-3</v>
      </c>
      <c r="EA55" s="230">
        <v>18200</v>
      </c>
      <c r="EB55" s="229">
        <v>5.7999999999999996E-3</v>
      </c>
      <c r="EC55" s="229">
        <v>6.7999999999999996E-3</v>
      </c>
      <c r="ED55" s="228">
        <v>41.92</v>
      </c>
      <c r="EE55" s="229">
        <v>6.6E-3</v>
      </c>
      <c r="EF55" s="230">
        <v>178784</v>
      </c>
      <c r="EG55" s="230">
        <v>375730</v>
      </c>
      <c r="EH55" s="229">
        <v>-0.5242</v>
      </c>
      <c r="EI55" s="229">
        <v>0.60050000000000003</v>
      </c>
      <c r="EJ55" s="231">
        <v>46368.58</v>
      </c>
      <c r="EK55" s="231">
        <v>11944.45</v>
      </c>
      <c r="EL55" s="231">
        <v>17453.89</v>
      </c>
      <c r="EM55" s="231">
        <v>3131</v>
      </c>
      <c r="EN55" s="231">
        <v>75766.92</v>
      </c>
      <c r="EO55" s="231">
        <v>100683.86</v>
      </c>
      <c r="EP55" s="231">
        <v>-24916.94</v>
      </c>
      <c r="EQ55" s="229">
        <v>-0.2475</v>
      </c>
      <c r="ER55" s="231">
        <v>47025</v>
      </c>
      <c r="ES55" s="231">
        <v>24312</v>
      </c>
      <c r="ET55" s="231">
        <v>174650</v>
      </c>
      <c r="EU55" s="231">
        <v>14898112</v>
      </c>
      <c r="EV55" s="231">
        <v>245987</v>
      </c>
      <c r="EW55" s="231">
        <v>241497</v>
      </c>
      <c r="EX55" s="231">
        <v>4490</v>
      </c>
      <c r="EY55" s="229">
        <v>1.8599999999999998E-2</v>
      </c>
      <c r="EZ55" s="229">
        <v>0.25719999999999998</v>
      </c>
      <c r="FA55" s="227" t="s">
        <v>556</v>
      </c>
      <c r="FB55" s="161">
        <f t="shared" si="0"/>
        <v>18700</v>
      </c>
    </row>
    <row r="56" spans="1:158" ht="17.25" thickBot="1" x14ac:dyDescent="0.3">
      <c r="A56" s="226">
        <v>46086</v>
      </c>
      <c r="B56" s="227" t="s">
        <v>184</v>
      </c>
      <c r="C56" s="227" t="s">
        <v>512</v>
      </c>
      <c r="D56" s="228">
        <v>50</v>
      </c>
      <c r="E56" s="231">
        <v>10236</v>
      </c>
      <c r="F56" s="231">
        <v>10175</v>
      </c>
      <c r="G56" s="228">
        <v>61</v>
      </c>
      <c r="H56" s="229">
        <v>6.0000000000000001E-3</v>
      </c>
      <c r="I56" s="231">
        <v>10224</v>
      </c>
      <c r="J56" s="231">
        <v>10136</v>
      </c>
      <c r="K56" s="228">
        <v>88</v>
      </c>
      <c r="L56" s="229">
        <v>8.6999999999999994E-3</v>
      </c>
      <c r="M56" s="231">
        <v>10236</v>
      </c>
      <c r="N56" s="231">
        <v>10175</v>
      </c>
      <c r="O56" s="228">
        <v>61</v>
      </c>
      <c r="P56" s="229">
        <v>6.0000000000000001E-3</v>
      </c>
      <c r="Q56" s="231">
        <v>10313</v>
      </c>
      <c r="R56" s="231">
        <v>10234</v>
      </c>
      <c r="S56" s="228">
        <v>79</v>
      </c>
      <c r="T56" s="229">
        <v>7.7000000000000002E-3</v>
      </c>
      <c r="U56" s="231">
        <v>10361</v>
      </c>
      <c r="V56" s="231">
        <v>10290</v>
      </c>
      <c r="W56" s="228">
        <v>71</v>
      </c>
      <c r="X56" s="229">
        <v>6.8999999999999999E-3</v>
      </c>
      <c r="Y56" s="228">
        <v>12</v>
      </c>
      <c r="Z56" s="228">
        <v>39</v>
      </c>
      <c r="AA56" s="228">
        <v>-27</v>
      </c>
      <c r="AB56" s="229">
        <v>1.1999999999999999E-3</v>
      </c>
      <c r="AC56" s="228">
        <v>12</v>
      </c>
      <c r="AD56" s="228">
        <v>39</v>
      </c>
      <c r="AE56" s="228">
        <v>-27</v>
      </c>
      <c r="AF56" s="229">
        <v>1.1999999999999999E-3</v>
      </c>
      <c r="AG56" s="228">
        <v>89</v>
      </c>
      <c r="AH56" s="228">
        <v>98</v>
      </c>
      <c r="AI56" s="228">
        <v>-9</v>
      </c>
      <c r="AJ56" s="229">
        <v>8.6999999999999994E-3</v>
      </c>
      <c r="AK56" s="228">
        <v>137</v>
      </c>
      <c r="AL56" s="228">
        <v>154</v>
      </c>
      <c r="AM56" s="228">
        <v>-17</v>
      </c>
      <c r="AN56" s="229">
        <v>1.34E-2</v>
      </c>
      <c r="AO56" s="231">
        <v>10160.120000000001</v>
      </c>
      <c r="AP56" s="231">
        <v>10216.290000000001</v>
      </c>
      <c r="AQ56" s="228">
        <v>0</v>
      </c>
      <c r="AR56" s="230">
        <v>615200</v>
      </c>
      <c r="AS56" s="230">
        <v>784800</v>
      </c>
      <c r="AT56" s="230">
        <v>-169600</v>
      </c>
      <c r="AU56" s="229">
        <v>-0.21609999999999999</v>
      </c>
      <c r="AV56" s="230">
        <v>565550</v>
      </c>
      <c r="AW56" s="230">
        <v>731300</v>
      </c>
      <c r="AX56" s="230">
        <v>-165750</v>
      </c>
      <c r="AY56" s="229">
        <v>-0.22670000000000001</v>
      </c>
      <c r="AZ56" s="230">
        <v>42300</v>
      </c>
      <c r="BA56" s="230">
        <v>41350</v>
      </c>
      <c r="BB56" s="228">
        <v>950</v>
      </c>
      <c r="BC56" s="229">
        <v>2.3E-2</v>
      </c>
      <c r="BD56" s="230">
        <v>7350</v>
      </c>
      <c r="BE56" s="230">
        <v>12150</v>
      </c>
      <c r="BF56" s="230">
        <v>-4800</v>
      </c>
      <c r="BG56" s="229">
        <v>-0.39510000000000001</v>
      </c>
      <c r="BH56" s="230">
        <v>2268850</v>
      </c>
      <c r="BI56" s="230">
        <v>2843450</v>
      </c>
      <c r="BJ56" s="230">
        <v>-574600</v>
      </c>
      <c r="BK56" s="229">
        <v>-0.2021</v>
      </c>
      <c r="BL56" s="230">
        <v>1078250</v>
      </c>
      <c r="BM56" s="230">
        <v>1670250</v>
      </c>
      <c r="BN56" s="230">
        <v>-592000</v>
      </c>
      <c r="BO56" s="229">
        <v>-0.35439999999999999</v>
      </c>
      <c r="BP56" s="230">
        <v>3962300</v>
      </c>
      <c r="BQ56" s="230">
        <v>5298500</v>
      </c>
      <c r="BR56" s="230">
        <v>-1336200</v>
      </c>
      <c r="BS56" s="229">
        <v>-0.25219999999999998</v>
      </c>
      <c r="BT56" s="230">
        <v>633790</v>
      </c>
      <c r="BU56" s="230">
        <v>1027376</v>
      </c>
      <c r="BV56" s="230">
        <v>-393586</v>
      </c>
      <c r="BW56" s="229">
        <v>-0.3831</v>
      </c>
      <c r="BX56" s="230">
        <v>2610100</v>
      </c>
      <c r="BY56" s="230">
        <v>2649800</v>
      </c>
      <c r="BZ56" s="230">
        <v>-39700</v>
      </c>
      <c r="CA56" s="229">
        <v>-1.4999999999999999E-2</v>
      </c>
      <c r="CB56" s="230">
        <v>2472600</v>
      </c>
      <c r="CC56" s="230">
        <v>2512350</v>
      </c>
      <c r="CD56" s="230">
        <v>-39750</v>
      </c>
      <c r="CE56" s="229">
        <v>-1.5800000000000002E-2</v>
      </c>
      <c r="CF56" s="230">
        <v>123150</v>
      </c>
      <c r="CG56" s="230">
        <v>123600</v>
      </c>
      <c r="CH56" s="228">
        <v>-450</v>
      </c>
      <c r="CI56" s="229">
        <v>-3.5999999999999999E-3</v>
      </c>
      <c r="CJ56" s="230">
        <v>14350</v>
      </c>
      <c r="CK56" s="230">
        <v>13850</v>
      </c>
      <c r="CL56" s="228">
        <v>500</v>
      </c>
      <c r="CM56" s="229">
        <v>3.61E-2</v>
      </c>
      <c r="CN56" s="230">
        <v>1867450</v>
      </c>
      <c r="CO56" s="230">
        <v>1866350</v>
      </c>
      <c r="CP56" s="230">
        <v>1100</v>
      </c>
      <c r="CQ56" s="229">
        <v>5.9999999999999995E-4</v>
      </c>
      <c r="CR56" s="230">
        <v>1130400</v>
      </c>
      <c r="CS56" s="230">
        <v>1131150</v>
      </c>
      <c r="CT56" s="228">
        <v>-750</v>
      </c>
      <c r="CU56" s="229">
        <v>-6.9999999999999999E-4</v>
      </c>
      <c r="CV56" s="230">
        <v>5607950</v>
      </c>
      <c r="CW56" s="230">
        <v>5647300</v>
      </c>
      <c r="CX56" s="230">
        <v>-39350</v>
      </c>
      <c r="CY56" s="229">
        <v>-7.0000000000000001E-3</v>
      </c>
      <c r="CZ56" s="228">
        <v>41.79</v>
      </c>
      <c r="DA56" s="228">
        <v>45.73</v>
      </c>
      <c r="DB56" s="228">
        <v>-3.94</v>
      </c>
      <c r="DC56" s="228">
        <v>-3.94</v>
      </c>
      <c r="DD56" s="228">
        <v>45.17</v>
      </c>
      <c r="DE56" s="228">
        <v>45.27</v>
      </c>
      <c r="DF56" s="228">
        <v>-3.38</v>
      </c>
      <c r="DG56" s="228">
        <v>-0.1</v>
      </c>
      <c r="DH56" s="228">
        <v>41.63</v>
      </c>
      <c r="DI56" s="228">
        <v>45.04</v>
      </c>
      <c r="DJ56" s="228">
        <v>-3.41</v>
      </c>
      <c r="DK56" s="228">
        <v>-3.41</v>
      </c>
      <c r="DL56" s="228">
        <v>42.14</v>
      </c>
      <c r="DM56" s="228">
        <v>46.9</v>
      </c>
      <c r="DN56" s="228">
        <v>-4.76</v>
      </c>
      <c r="DO56" s="228">
        <v>-4.76</v>
      </c>
      <c r="DP56" s="228">
        <v>0.61</v>
      </c>
      <c r="DQ56" s="228">
        <v>0.61</v>
      </c>
      <c r="DR56" s="228">
        <v>0</v>
      </c>
      <c r="DS56" s="229">
        <v>0</v>
      </c>
      <c r="DT56" s="231">
        <v>12000</v>
      </c>
      <c r="DU56" s="231">
        <v>10000</v>
      </c>
      <c r="DV56" s="228">
        <v>0.48</v>
      </c>
      <c r="DW56" s="228">
        <v>0.59</v>
      </c>
      <c r="DX56" s="228">
        <v>-0.11</v>
      </c>
      <c r="DY56" s="229">
        <v>-0.18640000000000001</v>
      </c>
      <c r="DZ56" s="229">
        <v>5.2699999999999997E-2</v>
      </c>
      <c r="EA56" s="230">
        <v>137450</v>
      </c>
      <c r="EB56" s="229">
        <v>7.4999999999999997E-3</v>
      </c>
      <c r="EC56" s="229">
        <v>5.2699999999999997E-2</v>
      </c>
      <c r="ED56" s="228">
        <v>56.17</v>
      </c>
      <c r="EE56" s="229">
        <v>5.4999999999999997E-3</v>
      </c>
      <c r="EF56" s="230">
        <v>173794</v>
      </c>
      <c r="EG56" s="230">
        <v>355856</v>
      </c>
      <c r="EH56" s="229">
        <v>-0.51160000000000005</v>
      </c>
      <c r="EI56" s="229">
        <v>0.2742</v>
      </c>
      <c r="EJ56" s="231">
        <v>254014.72</v>
      </c>
      <c r="EK56" s="231">
        <v>107842.81</v>
      </c>
      <c r="EL56" s="231">
        <v>62536.89</v>
      </c>
      <c r="EM56" s="231">
        <v>19500</v>
      </c>
      <c r="EN56" s="231">
        <v>424394.42</v>
      </c>
      <c r="EO56" s="231">
        <v>561873.41</v>
      </c>
      <c r="EP56" s="231">
        <v>-137478.99</v>
      </c>
      <c r="EQ56" s="229">
        <v>-0.2447</v>
      </c>
      <c r="ER56" s="231">
        <v>215162</v>
      </c>
      <c r="ES56" s="231">
        <v>115227</v>
      </c>
      <c r="ET56" s="231">
        <v>267283</v>
      </c>
      <c r="EU56" s="231">
        <v>6452220</v>
      </c>
      <c r="EV56" s="231">
        <v>597671</v>
      </c>
      <c r="EW56" s="231">
        <v>600905</v>
      </c>
      <c r="EX56" s="231">
        <v>-3234</v>
      </c>
      <c r="EY56" s="229">
        <v>-5.4000000000000003E-3</v>
      </c>
      <c r="EZ56" s="229">
        <v>0.86919999999999997</v>
      </c>
      <c r="FA56" s="227" t="s">
        <v>556</v>
      </c>
      <c r="FB56" s="161">
        <f t="shared" si="0"/>
        <v>137500</v>
      </c>
    </row>
    <row r="57" spans="1:158" ht="17.25" thickBot="1" x14ac:dyDescent="0.3">
      <c r="A57" s="226">
        <v>46086</v>
      </c>
      <c r="B57" s="227" t="s">
        <v>206</v>
      </c>
      <c r="C57" s="227" t="s">
        <v>207</v>
      </c>
      <c r="D57" s="228">
        <v>825</v>
      </c>
      <c r="E57" s="228">
        <v>587.29999999999995</v>
      </c>
      <c r="F57" s="228">
        <v>571.54999999999995</v>
      </c>
      <c r="G57" s="228">
        <v>15.75</v>
      </c>
      <c r="H57" s="229">
        <v>2.76E-2</v>
      </c>
      <c r="I57" s="228">
        <v>585.15</v>
      </c>
      <c r="J57" s="228">
        <v>569.04999999999995</v>
      </c>
      <c r="K57" s="228">
        <v>16.100000000000001</v>
      </c>
      <c r="L57" s="229">
        <v>2.8299999999999999E-2</v>
      </c>
      <c r="M57" s="228">
        <v>587.29999999999995</v>
      </c>
      <c r="N57" s="228">
        <v>571.54999999999995</v>
      </c>
      <c r="O57" s="228">
        <v>15.75</v>
      </c>
      <c r="P57" s="229">
        <v>2.76E-2</v>
      </c>
      <c r="Q57" s="228">
        <v>591.5</v>
      </c>
      <c r="R57" s="228">
        <v>574.79999999999995</v>
      </c>
      <c r="S57" s="228">
        <v>16.7</v>
      </c>
      <c r="T57" s="229">
        <v>2.9100000000000001E-2</v>
      </c>
      <c r="U57" s="228">
        <v>593.6</v>
      </c>
      <c r="V57" s="228">
        <v>577.5</v>
      </c>
      <c r="W57" s="228">
        <v>16.100000000000001</v>
      </c>
      <c r="X57" s="229">
        <v>2.7900000000000001E-2</v>
      </c>
      <c r="Y57" s="228">
        <v>2.15</v>
      </c>
      <c r="Z57" s="228">
        <v>2.5</v>
      </c>
      <c r="AA57" s="228">
        <v>-0.35</v>
      </c>
      <c r="AB57" s="229">
        <v>3.7000000000000002E-3</v>
      </c>
      <c r="AC57" s="228">
        <v>2.15</v>
      </c>
      <c r="AD57" s="228">
        <v>2.5</v>
      </c>
      <c r="AE57" s="228">
        <v>-0.35</v>
      </c>
      <c r="AF57" s="229">
        <v>3.7000000000000002E-3</v>
      </c>
      <c r="AG57" s="228">
        <v>6.35</v>
      </c>
      <c r="AH57" s="228">
        <v>5.75</v>
      </c>
      <c r="AI57" s="228">
        <v>0.6</v>
      </c>
      <c r="AJ57" s="229">
        <v>1.09E-2</v>
      </c>
      <c r="AK57" s="228">
        <v>8.4499999999999993</v>
      </c>
      <c r="AL57" s="228">
        <v>8.4499999999999993</v>
      </c>
      <c r="AM57" s="228">
        <v>0</v>
      </c>
      <c r="AN57" s="229">
        <v>1.44E-2</v>
      </c>
      <c r="AO57" s="228">
        <v>583.4</v>
      </c>
      <c r="AP57" s="228">
        <v>586.95000000000005</v>
      </c>
      <c r="AQ57" s="228">
        <v>0</v>
      </c>
      <c r="AR57" s="230">
        <v>6313725</v>
      </c>
      <c r="AS57" s="230">
        <v>12391500</v>
      </c>
      <c r="AT57" s="230">
        <v>-6077775</v>
      </c>
      <c r="AU57" s="229">
        <v>-0.49049999999999999</v>
      </c>
      <c r="AV57" s="230">
        <v>5814600</v>
      </c>
      <c r="AW57" s="230">
        <v>10107075</v>
      </c>
      <c r="AX57" s="230">
        <v>-4292475</v>
      </c>
      <c r="AY57" s="229">
        <v>-0.42470000000000002</v>
      </c>
      <c r="AZ57" s="230">
        <v>447975</v>
      </c>
      <c r="BA57" s="230">
        <v>2135100</v>
      </c>
      <c r="BB57" s="230">
        <v>-1687125</v>
      </c>
      <c r="BC57" s="229">
        <v>-0.79020000000000001</v>
      </c>
      <c r="BD57" s="230">
        <v>51150</v>
      </c>
      <c r="BE57" s="230">
        <v>149325</v>
      </c>
      <c r="BF57" s="230">
        <v>-98175</v>
      </c>
      <c r="BG57" s="229">
        <v>-0.65749999999999997</v>
      </c>
      <c r="BH57" s="230">
        <v>13223925</v>
      </c>
      <c r="BI57" s="230">
        <v>18419775</v>
      </c>
      <c r="BJ57" s="230">
        <v>-5195850</v>
      </c>
      <c r="BK57" s="229">
        <v>-0.28210000000000002</v>
      </c>
      <c r="BL57" s="230">
        <v>6882975</v>
      </c>
      <c r="BM57" s="230">
        <v>15513300</v>
      </c>
      <c r="BN57" s="230">
        <v>-8630325</v>
      </c>
      <c r="BO57" s="229">
        <v>-0.55630000000000002</v>
      </c>
      <c r="BP57" s="230">
        <v>26420625</v>
      </c>
      <c r="BQ57" s="230">
        <v>46324575</v>
      </c>
      <c r="BR57" s="230">
        <v>-19903950</v>
      </c>
      <c r="BS57" s="229">
        <v>-0.42970000000000003</v>
      </c>
      <c r="BT57" s="230">
        <v>8058532</v>
      </c>
      <c r="BU57" s="230">
        <v>15601519</v>
      </c>
      <c r="BV57" s="230">
        <v>-7542987</v>
      </c>
      <c r="BW57" s="229">
        <v>-0.48349999999999999</v>
      </c>
      <c r="BX57" s="230">
        <v>55259325</v>
      </c>
      <c r="BY57" s="230">
        <v>55844250</v>
      </c>
      <c r="BZ57" s="230">
        <v>-584925</v>
      </c>
      <c r="CA57" s="229">
        <v>-1.0500000000000001E-2</v>
      </c>
      <c r="CB57" s="230">
        <v>52429575</v>
      </c>
      <c r="CC57" s="230">
        <v>53081325</v>
      </c>
      <c r="CD57" s="230">
        <v>-651750</v>
      </c>
      <c r="CE57" s="229">
        <v>-1.23E-2</v>
      </c>
      <c r="CF57" s="230">
        <v>2640825</v>
      </c>
      <c r="CG57" s="230">
        <v>2579775</v>
      </c>
      <c r="CH57" s="230">
        <v>61050</v>
      </c>
      <c r="CI57" s="229">
        <v>2.3699999999999999E-2</v>
      </c>
      <c r="CJ57" s="230">
        <v>188925</v>
      </c>
      <c r="CK57" s="230">
        <v>183150</v>
      </c>
      <c r="CL57" s="230">
        <v>5775</v>
      </c>
      <c r="CM57" s="229">
        <v>3.15E-2</v>
      </c>
      <c r="CN57" s="230">
        <v>11295900</v>
      </c>
      <c r="CO57" s="230">
        <v>11468325</v>
      </c>
      <c r="CP57" s="230">
        <v>-172425</v>
      </c>
      <c r="CQ57" s="229">
        <v>-1.4999999999999999E-2</v>
      </c>
      <c r="CR57" s="230">
        <v>9488325</v>
      </c>
      <c r="CS57" s="230">
        <v>9419850</v>
      </c>
      <c r="CT57" s="230">
        <v>68475</v>
      </c>
      <c r="CU57" s="229">
        <v>7.3000000000000001E-3</v>
      </c>
      <c r="CV57" s="230">
        <v>76043550</v>
      </c>
      <c r="CW57" s="230">
        <v>76732425</v>
      </c>
      <c r="CX57" s="230">
        <v>-688875</v>
      </c>
      <c r="CY57" s="229">
        <v>-8.9999999999999993E-3</v>
      </c>
      <c r="CZ57" s="228">
        <v>34.06</v>
      </c>
      <c r="DA57" s="228">
        <v>38.96</v>
      </c>
      <c r="DB57" s="228">
        <v>-4.9000000000000004</v>
      </c>
      <c r="DC57" s="228">
        <v>-4.9000000000000004</v>
      </c>
      <c r="DD57" s="228">
        <v>35.89</v>
      </c>
      <c r="DE57" s="228">
        <v>35.79</v>
      </c>
      <c r="DF57" s="228">
        <v>-1.83</v>
      </c>
      <c r="DG57" s="228">
        <v>0.1</v>
      </c>
      <c r="DH57" s="228">
        <v>32.94</v>
      </c>
      <c r="DI57" s="228">
        <v>37.409999999999997</v>
      </c>
      <c r="DJ57" s="228">
        <v>-4.47</v>
      </c>
      <c r="DK57" s="228">
        <v>-4.47</v>
      </c>
      <c r="DL57" s="228">
        <v>36.22</v>
      </c>
      <c r="DM57" s="228">
        <v>40.79</v>
      </c>
      <c r="DN57" s="228">
        <v>-4.57</v>
      </c>
      <c r="DO57" s="228">
        <v>-4.57</v>
      </c>
      <c r="DP57" s="228">
        <v>0.84</v>
      </c>
      <c r="DQ57" s="228">
        <v>0.82</v>
      </c>
      <c r="DR57" s="228">
        <v>0.02</v>
      </c>
      <c r="DS57" s="229">
        <v>2.4400000000000002E-2</v>
      </c>
      <c r="DT57" s="228">
        <v>640</v>
      </c>
      <c r="DU57" s="228">
        <v>580</v>
      </c>
      <c r="DV57" s="228">
        <v>0.52</v>
      </c>
      <c r="DW57" s="228">
        <v>0.84</v>
      </c>
      <c r="DX57" s="228">
        <v>-0.32</v>
      </c>
      <c r="DY57" s="229">
        <v>-0.38100000000000001</v>
      </c>
      <c r="DZ57" s="229">
        <v>5.1200000000000002E-2</v>
      </c>
      <c r="EA57" s="230">
        <v>2762925</v>
      </c>
      <c r="EB57" s="229">
        <v>7.1999999999999998E-3</v>
      </c>
      <c r="EC57" s="229">
        <v>5.1200000000000002E-2</v>
      </c>
      <c r="ED57" s="228">
        <v>3.55</v>
      </c>
      <c r="EE57" s="229">
        <v>6.1000000000000004E-3</v>
      </c>
      <c r="EF57" s="230">
        <v>5091431</v>
      </c>
      <c r="EG57" s="230">
        <v>10923856</v>
      </c>
      <c r="EH57" s="229">
        <v>-0.53390000000000004</v>
      </c>
      <c r="EI57" s="229">
        <v>0.63180000000000003</v>
      </c>
      <c r="EJ57" s="231">
        <v>82751.289999999994</v>
      </c>
      <c r="EK57" s="231">
        <v>39648.019999999997</v>
      </c>
      <c r="EL57" s="231">
        <v>36852.74</v>
      </c>
      <c r="EM57" s="231">
        <v>8914</v>
      </c>
      <c r="EN57" s="231">
        <v>159252.04999999999</v>
      </c>
      <c r="EO57" s="231">
        <v>274840.69</v>
      </c>
      <c r="EP57" s="231">
        <v>-115588.64</v>
      </c>
      <c r="EQ57" s="229">
        <v>-0.42059999999999997</v>
      </c>
      <c r="ER57" s="231">
        <v>72394</v>
      </c>
      <c r="ES57" s="231">
        <v>56960</v>
      </c>
      <c r="ET57" s="231">
        <v>324661</v>
      </c>
      <c r="EU57" s="231">
        <v>96058266</v>
      </c>
      <c r="EV57" s="231">
        <v>454014</v>
      </c>
      <c r="EW57" s="231">
        <v>449236</v>
      </c>
      <c r="EX57" s="231">
        <v>4778</v>
      </c>
      <c r="EY57" s="229">
        <v>1.06E-2</v>
      </c>
      <c r="EZ57" s="229">
        <v>0.79159999999999997</v>
      </c>
      <c r="FA57" s="227" t="s">
        <v>556</v>
      </c>
      <c r="FB57" s="161">
        <f t="shared" si="0"/>
        <v>2829750</v>
      </c>
    </row>
    <row r="58" spans="1:158" ht="17.25" thickBot="1" x14ac:dyDescent="0.3">
      <c r="A58" s="226">
        <v>46086</v>
      </c>
      <c r="B58" s="227" t="s">
        <v>615</v>
      </c>
      <c r="C58" s="227" t="s">
        <v>583</v>
      </c>
      <c r="D58" s="228">
        <v>150</v>
      </c>
      <c r="E58" s="231">
        <v>3844.7</v>
      </c>
      <c r="F58" s="231">
        <v>3744.8</v>
      </c>
      <c r="G58" s="228">
        <v>99.9</v>
      </c>
      <c r="H58" s="229">
        <v>2.6700000000000002E-2</v>
      </c>
      <c r="I58" s="231">
        <v>3835.4</v>
      </c>
      <c r="J58" s="231">
        <v>3760.9</v>
      </c>
      <c r="K58" s="228">
        <v>74.5</v>
      </c>
      <c r="L58" s="229">
        <v>1.9800000000000002E-2</v>
      </c>
      <c r="M58" s="231">
        <v>3844.7</v>
      </c>
      <c r="N58" s="231">
        <v>3744.8</v>
      </c>
      <c r="O58" s="228">
        <v>99.9</v>
      </c>
      <c r="P58" s="229">
        <v>2.6700000000000002E-2</v>
      </c>
      <c r="Q58" s="231">
        <v>3842.4</v>
      </c>
      <c r="R58" s="231">
        <v>3736</v>
      </c>
      <c r="S58" s="228">
        <v>106.4</v>
      </c>
      <c r="T58" s="229">
        <v>2.8500000000000001E-2</v>
      </c>
      <c r="U58" s="231">
        <v>3840.6</v>
      </c>
      <c r="V58" s="231">
        <v>3740.2</v>
      </c>
      <c r="W58" s="228">
        <v>100.4</v>
      </c>
      <c r="X58" s="229">
        <v>2.6800000000000001E-2</v>
      </c>
      <c r="Y58" s="228">
        <v>9.3000000000000007</v>
      </c>
      <c r="Z58" s="228">
        <v>-16.100000000000001</v>
      </c>
      <c r="AA58" s="228">
        <v>25.4</v>
      </c>
      <c r="AB58" s="229">
        <v>2.3999999999999998E-3</v>
      </c>
      <c r="AC58" s="228">
        <v>9.3000000000000007</v>
      </c>
      <c r="AD58" s="228">
        <v>-16.100000000000001</v>
      </c>
      <c r="AE58" s="228">
        <v>25.4</v>
      </c>
      <c r="AF58" s="229">
        <v>2.3999999999999998E-3</v>
      </c>
      <c r="AG58" s="228">
        <v>7</v>
      </c>
      <c r="AH58" s="228">
        <v>-24.9</v>
      </c>
      <c r="AI58" s="228">
        <v>31.9</v>
      </c>
      <c r="AJ58" s="229">
        <v>1.8E-3</v>
      </c>
      <c r="AK58" s="228">
        <v>5.2</v>
      </c>
      <c r="AL58" s="228">
        <v>-20.7</v>
      </c>
      <c r="AM58" s="228">
        <v>25.9</v>
      </c>
      <c r="AN58" s="229">
        <v>1.4E-3</v>
      </c>
      <c r="AO58" s="231">
        <v>3804.87</v>
      </c>
      <c r="AP58" s="231">
        <v>3785.43</v>
      </c>
      <c r="AQ58" s="228">
        <v>0</v>
      </c>
      <c r="AR58" s="230">
        <v>770100</v>
      </c>
      <c r="AS58" s="230">
        <v>482250</v>
      </c>
      <c r="AT58" s="230">
        <v>287850</v>
      </c>
      <c r="AU58" s="229">
        <v>0.59689999999999999</v>
      </c>
      <c r="AV58" s="230">
        <v>668400</v>
      </c>
      <c r="AW58" s="230">
        <v>406650</v>
      </c>
      <c r="AX58" s="230">
        <v>261750</v>
      </c>
      <c r="AY58" s="229">
        <v>0.64370000000000005</v>
      </c>
      <c r="AZ58" s="230">
        <v>98550</v>
      </c>
      <c r="BA58" s="230">
        <v>74100</v>
      </c>
      <c r="BB58" s="230">
        <v>24450</v>
      </c>
      <c r="BC58" s="229">
        <v>0.33</v>
      </c>
      <c r="BD58" s="230">
        <v>3150</v>
      </c>
      <c r="BE58" s="230">
        <v>1500</v>
      </c>
      <c r="BF58" s="230">
        <v>1650</v>
      </c>
      <c r="BG58" s="229">
        <v>1.1000000000000001</v>
      </c>
      <c r="BH58" s="230">
        <v>1339650</v>
      </c>
      <c r="BI58" s="230">
        <v>711450</v>
      </c>
      <c r="BJ58" s="230">
        <v>628200</v>
      </c>
      <c r="BK58" s="229">
        <v>0.88300000000000001</v>
      </c>
      <c r="BL58" s="230">
        <v>534150</v>
      </c>
      <c r="BM58" s="230">
        <v>659100</v>
      </c>
      <c r="BN58" s="230">
        <v>-124950</v>
      </c>
      <c r="BO58" s="229">
        <v>-0.18959999999999999</v>
      </c>
      <c r="BP58" s="230">
        <v>2643900</v>
      </c>
      <c r="BQ58" s="230">
        <v>1852800</v>
      </c>
      <c r="BR58" s="230">
        <v>791100</v>
      </c>
      <c r="BS58" s="229">
        <v>0.42699999999999999</v>
      </c>
      <c r="BT58" s="230">
        <v>553537</v>
      </c>
      <c r="BU58" s="230">
        <v>612052</v>
      </c>
      <c r="BV58" s="230">
        <v>-58515</v>
      </c>
      <c r="BW58" s="229">
        <v>-9.5600000000000004E-2</v>
      </c>
      <c r="BX58" s="230">
        <v>5549550</v>
      </c>
      <c r="BY58" s="230">
        <v>5612700</v>
      </c>
      <c r="BZ58" s="230">
        <v>-63150</v>
      </c>
      <c r="CA58" s="229">
        <v>-1.1299999999999999E-2</v>
      </c>
      <c r="CB58" s="230">
        <v>5293650</v>
      </c>
      <c r="CC58" s="230">
        <v>5413200</v>
      </c>
      <c r="CD58" s="230">
        <v>-119550</v>
      </c>
      <c r="CE58" s="229">
        <v>-2.2100000000000002E-2</v>
      </c>
      <c r="CF58" s="230">
        <v>247650</v>
      </c>
      <c r="CG58" s="230">
        <v>192150</v>
      </c>
      <c r="CH58" s="230">
        <v>55500</v>
      </c>
      <c r="CI58" s="229">
        <v>0.2888</v>
      </c>
      <c r="CJ58" s="230">
        <v>8250</v>
      </c>
      <c r="CK58" s="230">
        <v>7350</v>
      </c>
      <c r="CL58" s="228">
        <v>900</v>
      </c>
      <c r="CM58" s="229">
        <v>0.12239999999999999</v>
      </c>
      <c r="CN58" s="230">
        <v>977400</v>
      </c>
      <c r="CO58" s="230">
        <v>871800</v>
      </c>
      <c r="CP58" s="230">
        <v>105600</v>
      </c>
      <c r="CQ58" s="229">
        <v>0.1211</v>
      </c>
      <c r="CR58" s="230">
        <v>761700</v>
      </c>
      <c r="CS58" s="230">
        <v>726000</v>
      </c>
      <c r="CT58" s="230">
        <v>35700</v>
      </c>
      <c r="CU58" s="229">
        <v>4.9200000000000001E-2</v>
      </c>
      <c r="CV58" s="230">
        <v>7288650</v>
      </c>
      <c r="CW58" s="230">
        <v>7210500</v>
      </c>
      <c r="CX58" s="230">
        <v>78150</v>
      </c>
      <c r="CY58" s="229">
        <v>1.0800000000000001E-2</v>
      </c>
      <c r="CZ58" s="228">
        <v>24.92</v>
      </c>
      <c r="DA58" s="228">
        <v>28.03</v>
      </c>
      <c r="DB58" s="228">
        <v>-3.11</v>
      </c>
      <c r="DC58" s="228">
        <v>-3.11</v>
      </c>
      <c r="DD58" s="228">
        <v>30.03</v>
      </c>
      <c r="DE58" s="228">
        <v>29.98</v>
      </c>
      <c r="DF58" s="228">
        <v>-5.1100000000000003</v>
      </c>
      <c r="DG58" s="228">
        <v>0.05</v>
      </c>
      <c r="DH58" s="228">
        <v>24.23</v>
      </c>
      <c r="DI58" s="228">
        <v>26.56</v>
      </c>
      <c r="DJ58" s="228">
        <v>-2.33</v>
      </c>
      <c r="DK58" s="228">
        <v>-2.33</v>
      </c>
      <c r="DL58" s="228">
        <v>26.65</v>
      </c>
      <c r="DM58" s="228">
        <v>29.61</v>
      </c>
      <c r="DN58" s="228">
        <v>-2.96</v>
      </c>
      <c r="DO58" s="228">
        <v>-2.96</v>
      </c>
      <c r="DP58" s="228">
        <v>0.78</v>
      </c>
      <c r="DQ58" s="228">
        <v>0.83</v>
      </c>
      <c r="DR58" s="228">
        <v>-0.05</v>
      </c>
      <c r="DS58" s="229">
        <v>-6.0199999999999997E-2</v>
      </c>
      <c r="DT58" s="231">
        <v>4000</v>
      </c>
      <c r="DU58" s="231">
        <v>3600</v>
      </c>
      <c r="DV58" s="228">
        <v>0.4</v>
      </c>
      <c r="DW58" s="228">
        <v>0.93</v>
      </c>
      <c r="DX58" s="228">
        <v>-0.53</v>
      </c>
      <c r="DY58" s="229">
        <v>-0.56989999999999996</v>
      </c>
      <c r="DZ58" s="229">
        <v>4.6100000000000002E-2</v>
      </c>
      <c r="EA58" s="230">
        <v>199500</v>
      </c>
      <c r="EB58" s="229">
        <v>-5.9999999999999995E-4</v>
      </c>
      <c r="EC58" s="229">
        <v>4.6100000000000002E-2</v>
      </c>
      <c r="ED58" s="228">
        <v>-19.440000000000001</v>
      </c>
      <c r="EE58" s="229">
        <v>-5.1000000000000004E-3</v>
      </c>
      <c r="EF58" s="230">
        <v>316188</v>
      </c>
      <c r="EG58" s="230">
        <v>398869</v>
      </c>
      <c r="EH58" s="229">
        <v>-0.20730000000000001</v>
      </c>
      <c r="EI58" s="229">
        <v>0.57120000000000004</v>
      </c>
      <c r="EJ58" s="231">
        <v>54451.49</v>
      </c>
      <c r="EK58" s="231">
        <v>20141.55</v>
      </c>
      <c r="EL58" s="231">
        <v>29281.599999999999</v>
      </c>
      <c r="EM58" s="231">
        <v>3819</v>
      </c>
      <c r="EN58" s="231">
        <v>103874.64</v>
      </c>
      <c r="EO58" s="231">
        <v>71137.960000000006</v>
      </c>
      <c r="EP58" s="231">
        <v>32736.68</v>
      </c>
      <c r="EQ58" s="229">
        <v>0.4602</v>
      </c>
      <c r="ER58" s="231">
        <v>39626</v>
      </c>
      <c r="ES58" s="231">
        <v>28169</v>
      </c>
      <c r="ET58" s="231">
        <v>213358</v>
      </c>
      <c r="EU58" s="231">
        <v>18750186</v>
      </c>
      <c r="EV58" s="231">
        <v>281153</v>
      </c>
      <c r="EW58" s="231">
        <v>272199</v>
      </c>
      <c r="EX58" s="231">
        <v>8954</v>
      </c>
      <c r="EY58" s="229">
        <v>3.2899999999999999E-2</v>
      </c>
      <c r="EZ58" s="229">
        <v>0.38869999999999999</v>
      </c>
      <c r="FA58" s="227" t="s">
        <v>556</v>
      </c>
      <c r="FB58" s="161">
        <f t="shared" si="0"/>
        <v>255900</v>
      </c>
    </row>
    <row r="59" spans="1:158" ht="17.25" thickBot="1" x14ac:dyDescent="0.3">
      <c r="A59" s="226">
        <v>46086</v>
      </c>
      <c r="B59" s="227" t="s">
        <v>170</v>
      </c>
      <c r="C59" s="227" t="s">
        <v>208</v>
      </c>
      <c r="D59" s="228">
        <v>625</v>
      </c>
      <c r="E59" s="231">
        <v>1318</v>
      </c>
      <c r="F59" s="231">
        <v>1293.8</v>
      </c>
      <c r="G59" s="228">
        <v>24.2</v>
      </c>
      <c r="H59" s="229">
        <v>1.8700000000000001E-2</v>
      </c>
      <c r="I59" s="231">
        <v>1313.5</v>
      </c>
      <c r="J59" s="231">
        <v>1291.2</v>
      </c>
      <c r="K59" s="228">
        <v>22.3</v>
      </c>
      <c r="L59" s="229">
        <v>1.7299999999999999E-2</v>
      </c>
      <c r="M59" s="231">
        <v>1318</v>
      </c>
      <c r="N59" s="231">
        <v>1293.8</v>
      </c>
      <c r="O59" s="228">
        <v>24.2</v>
      </c>
      <c r="P59" s="229">
        <v>1.8700000000000001E-2</v>
      </c>
      <c r="Q59" s="231">
        <v>1325.8</v>
      </c>
      <c r="R59" s="231">
        <v>1301.9000000000001</v>
      </c>
      <c r="S59" s="228">
        <v>23.9</v>
      </c>
      <c r="T59" s="229">
        <v>1.84E-2</v>
      </c>
      <c r="U59" s="231">
        <v>1331.2</v>
      </c>
      <c r="V59" s="231">
        <v>1314</v>
      </c>
      <c r="W59" s="228">
        <v>17.2</v>
      </c>
      <c r="X59" s="229">
        <v>1.3100000000000001E-2</v>
      </c>
      <c r="Y59" s="228">
        <v>4.5</v>
      </c>
      <c r="Z59" s="228">
        <v>2.6</v>
      </c>
      <c r="AA59" s="228">
        <v>1.9</v>
      </c>
      <c r="AB59" s="229">
        <v>3.3999999999999998E-3</v>
      </c>
      <c r="AC59" s="228">
        <v>4.5</v>
      </c>
      <c r="AD59" s="228">
        <v>2.6</v>
      </c>
      <c r="AE59" s="228">
        <v>1.9</v>
      </c>
      <c r="AF59" s="229">
        <v>3.3999999999999998E-3</v>
      </c>
      <c r="AG59" s="228">
        <v>12.3</v>
      </c>
      <c r="AH59" s="228">
        <v>10.7</v>
      </c>
      <c r="AI59" s="228">
        <v>1.6</v>
      </c>
      <c r="AJ59" s="229">
        <v>9.4000000000000004E-3</v>
      </c>
      <c r="AK59" s="228">
        <v>17.7</v>
      </c>
      <c r="AL59" s="228">
        <v>22.8</v>
      </c>
      <c r="AM59" s="228">
        <v>-5.0999999999999996</v>
      </c>
      <c r="AN59" s="229">
        <v>1.35E-2</v>
      </c>
      <c r="AO59" s="231">
        <v>1314.08</v>
      </c>
      <c r="AP59" s="231">
        <v>1319.59</v>
      </c>
      <c r="AQ59" s="228">
        <v>0</v>
      </c>
      <c r="AR59" s="230">
        <v>2033125</v>
      </c>
      <c r="AS59" s="230">
        <v>1981875</v>
      </c>
      <c r="AT59" s="230">
        <v>51250</v>
      </c>
      <c r="AU59" s="229">
        <v>2.5899999999999999E-2</v>
      </c>
      <c r="AV59" s="230">
        <v>1931250</v>
      </c>
      <c r="AW59" s="230">
        <v>1925625</v>
      </c>
      <c r="AX59" s="230">
        <v>5625</v>
      </c>
      <c r="AY59" s="229">
        <v>2.8999999999999998E-3</v>
      </c>
      <c r="AZ59" s="230">
        <v>97500</v>
      </c>
      <c r="BA59" s="230">
        <v>46250</v>
      </c>
      <c r="BB59" s="230">
        <v>51250</v>
      </c>
      <c r="BC59" s="229">
        <v>1.1081000000000001</v>
      </c>
      <c r="BD59" s="230">
        <v>4375</v>
      </c>
      <c r="BE59" s="230">
        <v>10000</v>
      </c>
      <c r="BF59" s="230">
        <v>-5625</v>
      </c>
      <c r="BG59" s="229">
        <v>-0.5625</v>
      </c>
      <c r="BH59" s="230">
        <v>7578750</v>
      </c>
      <c r="BI59" s="230">
        <v>6444375</v>
      </c>
      <c r="BJ59" s="230">
        <v>1134375</v>
      </c>
      <c r="BK59" s="229">
        <v>0.17599999999999999</v>
      </c>
      <c r="BL59" s="230">
        <v>2715625</v>
      </c>
      <c r="BM59" s="230">
        <v>3558750</v>
      </c>
      <c r="BN59" s="230">
        <v>-843125</v>
      </c>
      <c r="BO59" s="229">
        <v>-0.2369</v>
      </c>
      <c r="BP59" s="230">
        <v>12327500</v>
      </c>
      <c r="BQ59" s="230">
        <v>11985000</v>
      </c>
      <c r="BR59" s="230">
        <v>342500</v>
      </c>
      <c r="BS59" s="229">
        <v>2.86E-2</v>
      </c>
      <c r="BT59" s="230">
        <v>1109930</v>
      </c>
      <c r="BU59" s="230">
        <v>1945580</v>
      </c>
      <c r="BV59" s="230">
        <v>-835650</v>
      </c>
      <c r="BW59" s="229">
        <v>-0.42949999999999999</v>
      </c>
      <c r="BX59" s="230">
        <v>15733750</v>
      </c>
      <c r="BY59" s="230">
        <v>15901250</v>
      </c>
      <c r="BZ59" s="230">
        <v>-167500</v>
      </c>
      <c r="CA59" s="229">
        <v>-1.0500000000000001E-2</v>
      </c>
      <c r="CB59" s="230">
        <v>15538750</v>
      </c>
      <c r="CC59" s="230">
        <v>15689375</v>
      </c>
      <c r="CD59" s="230">
        <v>-150625</v>
      </c>
      <c r="CE59" s="229">
        <v>-9.5999999999999992E-3</v>
      </c>
      <c r="CF59" s="230">
        <v>176875</v>
      </c>
      <c r="CG59" s="230">
        <v>194375</v>
      </c>
      <c r="CH59" s="230">
        <v>-17500</v>
      </c>
      <c r="CI59" s="229">
        <v>-0.09</v>
      </c>
      <c r="CJ59" s="230">
        <v>18125</v>
      </c>
      <c r="CK59" s="230">
        <v>17500</v>
      </c>
      <c r="CL59" s="228">
        <v>625</v>
      </c>
      <c r="CM59" s="229">
        <v>3.5700000000000003E-2</v>
      </c>
      <c r="CN59" s="230">
        <v>4626250</v>
      </c>
      <c r="CO59" s="230">
        <v>4390625</v>
      </c>
      <c r="CP59" s="230">
        <v>235625</v>
      </c>
      <c r="CQ59" s="229">
        <v>5.3699999999999998E-2</v>
      </c>
      <c r="CR59" s="230">
        <v>3076250</v>
      </c>
      <c r="CS59" s="230">
        <v>2926250</v>
      </c>
      <c r="CT59" s="230">
        <v>150000</v>
      </c>
      <c r="CU59" s="229">
        <v>5.1299999999999998E-2</v>
      </c>
      <c r="CV59" s="230">
        <v>23436250</v>
      </c>
      <c r="CW59" s="230">
        <v>23218125</v>
      </c>
      <c r="CX59" s="230">
        <v>218125</v>
      </c>
      <c r="CY59" s="229">
        <v>9.4000000000000004E-3</v>
      </c>
      <c r="CZ59" s="228">
        <v>22.06</v>
      </c>
      <c r="DA59" s="228">
        <v>24.65</v>
      </c>
      <c r="DB59" s="228">
        <v>-2.59</v>
      </c>
      <c r="DC59" s="228">
        <v>-2.59</v>
      </c>
      <c r="DD59" s="228">
        <v>25.01</v>
      </c>
      <c r="DE59" s="228">
        <v>24.97</v>
      </c>
      <c r="DF59" s="228">
        <v>-2.95</v>
      </c>
      <c r="DG59" s="228">
        <v>0.04</v>
      </c>
      <c r="DH59" s="228">
        <v>21.35</v>
      </c>
      <c r="DI59" s="228">
        <v>23.6</v>
      </c>
      <c r="DJ59" s="228">
        <v>-2.25</v>
      </c>
      <c r="DK59" s="228">
        <v>-2.25</v>
      </c>
      <c r="DL59" s="228">
        <v>24.06</v>
      </c>
      <c r="DM59" s="228">
        <v>26.54</v>
      </c>
      <c r="DN59" s="228">
        <v>-2.48</v>
      </c>
      <c r="DO59" s="228">
        <v>-2.48</v>
      </c>
      <c r="DP59" s="228">
        <v>0.66</v>
      </c>
      <c r="DQ59" s="228">
        <v>0.67</v>
      </c>
      <c r="DR59" s="228">
        <v>-0.01</v>
      </c>
      <c r="DS59" s="229">
        <v>-1.49E-2</v>
      </c>
      <c r="DT59" s="231">
        <v>1360</v>
      </c>
      <c r="DU59" s="231">
        <v>1300</v>
      </c>
      <c r="DV59" s="228">
        <v>0.36</v>
      </c>
      <c r="DW59" s="228">
        <v>0.55000000000000004</v>
      </c>
      <c r="DX59" s="228">
        <v>-0.19</v>
      </c>
      <c r="DY59" s="229">
        <v>-0.34549999999999997</v>
      </c>
      <c r="DZ59" s="229">
        <v>1.24E-2</v>
      </c>
      <c r="EA59" s="230">
        <v>211875</v>
      </c>
      <c r="EB59" s="229">
        <v>5.8999999999999999E-3</v>
      </c>
      <c r="EC59" s="229">
        <v>1.24E-2</v>
      </c>
      <c r="ED59" s="228">
        <v>5.51</v>
      </c>
      <c r="EE59" s="229">
        <v>4.1999999999999997E-3</v>
      </c>
      <c r="EF59" s="230">
        <v>529623</v>
      </c>
      <c r="EG59" s="230">
        <v>1253017</v>
      </c>
      <c r="EH59" s="229">
        <v>-0.57730000000000004</v>
      </c>
      <c r="EI59" s="229">
        <v>0.47720000000000001</v>
      </c>
      <c r="EJ59" s="231">
        <v>103052.51</v>
      </c>
      <c r="EK59" s="231">
        <v>35048.19</v>
      </c>
      <c r="EL59" s="231">
        <v>26722.75</v>
      </c>
      <c r="EM59" s="231">
        <v>3338</v>
      </c>
      <c r="EN59" s="231">
        <v>164823.45000000001</v>
      </c>
      <c r="EO59" s="231">
        <v>157526.82999999999</v>
      </c>
      <c r="EP59" s="231">
        <v>7296.62</v>
      </c>
      <c r="EQ59" s="229">
        <v>4.6300000000000001E-2</v>
      </c>
      <c r="ER59" s="231">
        <v>62592</v>
      </c>
      <c r="ES59" s="231">
        <v>37809</v>
      </c>
      <c r="ET59" s="231">
        <v>207387</v>
      </c>
      <c r="EU59" s="231">
        <v>91531454</v>
      </c>
      <c r="EV59" s="231">
        <v>307788</v>
      </c>
      <c r="EW59" s="231">
        <v>300758</v>
      </c>
      <c r="EX59" s="231">
        <v>7030</v>
      </c>
      <c r="EY59" s="229">
        <v>2.3400000000000001E-2</v>
      </c>
      <c r="EZ59" s="229">
        <v>0.25600000000000001</v>
      </c>
      <c r="FA59" s="227" t="s">
        <v>556</v>
      </c>
      <c r="FB59" s="161">
        <f t="shared" si="0"/>
        <v>195000</v>
      </c>
    </row>
    <row r="60" spans="1:158" ht="17.25" thickBot="1" x14ac:dyDescent="0.3">
      <c r="A60" s="226">
        <v>46086</v>
      </c>
      <c r="B60" s="227" t="s">
        <v>162</v>
      </c>
      <c r="C60" s="227" t="s">
        <v>209</v>
      </c>
      <c r="D60" s="228">
        <v>100</v>
      </c>
      <c r="E60" s="231">
        <v>7768</v>
      </c>
      <c r="F60" s="231">
        <v>7654</v>
      </c>
      <c r="G60" s="228">
        <v>114</v>
      </c>
      <c r="H60" s="229">
        <v>1.49E-2</v>
      </c>
      <c r="I60" s="231">
        <v>7755</v>
      </c>
      <c r="J60" s="231">
        <v>7626.5</v>
      </c>
      <c r="K60" s="228">
        <v>128.5</v>
      </c>
      <c r="L60" s="229">
        <v>1.6799999999999999E-2</v>
      </c>
      <c r="M60" s="231">
        <v>7768</v>
      </c>
      <c r="N60" s="231">
        <v>7654</v>
      </c>
      <c r="O60" s="228">
        <v>114</v>
      </c>
      <c r="P60" s="229">
        <v>1.49E-2</v>
      </c>
      <c r="Q60" s="231">
        <v>7814.5</v>
      </c>
      <c r="R60" s="231">
        <v>7703.5</v>
      </c>
      <c r="S60" s="228">
        <v>111</v>
      </c>
      <c r="T60" s="229">
        <v>1.44E-2</v>
      </c>
      <c r="U60" s="231">
        <v>7850</v>
      </c>
      <c r="V60" s="231">
        <v>7739</v>
      </c>
      <c r="W60" s="228">
        <v>111</v>
      </c>
      <c r="X60" s="229">
        <v>1.43E-2</v>
      </c>
      <c r="Y60" s="228">
        <v>13</v>
      </c>
      <c r="Z60" s="228">
        <v>27.5</v>
      </c>
      <c r="AA60" s="228">
        <v>-14.5</v>
      </c>
      <c r="AB60" s="229">
        <v>1.6999999999999999E-3</v>
      </c>
      <c r="AC60" s="228">
        <v>13</v>
      </c>
      <c r="AD60" s="228">
        <v>27.5</v>
      </c>
      <c r="AE60" s="228">
        <v>-14.5</v>
      </c>
      <c r="AF60" s="229">
        <v>1.6999999999999999E-3</v>
      </c>
      <c r="AG60" s="228">
        <v>59.5</v>
      </c>
      <c r="AH60" s="228">
        <v>77</v>
      </c>
      <c r="AI60" s="228">
        <v>-17.5</v>
      </c>
      <c r="AJ60" s="229">
        <v>7.7000000000000002E-3</v>
      </c>
      <c r="AK60" s="228">
        <v>95</v>
      </c>
      <c r="AL60" s="228">
        <v>112.5</v>
      </c>
      <c r="AM60" s="228">
        <v>-17.5</v>
      </c>
      <c r="AN60" s="229">
        <v>1.23E-2</v>
      </c>
      <c r="AO60" s="231">
        <v>7722.72</v>
      </c>
      <c r="AP60" s="231">
        <v>7775.54</v>
      </c>
      <c r="AQ60" s="228">
        <v>0</v>
      </c>
      <c r="AR60" s="230">
        <v>476000</v>
      </c>
      <c r="AS60" s="230">
        <v>544600</v>
      </c>
      <c r="AT60" s="230">
        <v>-68600</v>
      </c>
      <c r="AU60" s="229">
        <v>-0.126</v>
      </c>
      <c r="AV60" s="230">
        <v>453600</v>
      </c>
      <c r="AW60" s="230">
        <v>492400</v>
      </c>
      <c r="AX60" s="230">
        <v>-38800</v>
      </c>
      <c r="AY60" s="229">
        <v>-7.8799999999999995E-2</v>
      </c>
      <c r="AZ60" s="230">
        <v>16800</v>
      </c>
      <c r="BA60" s="230">
        <v>42000</v>
      </c>
      <c r="BB60" s="230">
        <v>-25200</v>
      </c>
      <c r="BC60" s="229">
        <v>-0.6</v>
      </c>
      <c r="BD60" s="230">
        <v>5600</v>
      </c>
      <c r="BE60" s="230">
        <v>10200</v>
      </c>
      <c r="BF60" s="230">
        <v>-4600</v>
      </c>
      <c r="BG60" s="229">
        <v>-0.45100000000000001</v>
      </c>
      <c r="BH60" s="230">
        <v>1726500</v>
      </c>
      <c r="BI60" s="230">
        <v>1527300</v>
      </c>
      <c r="BJ60" s="230">
        <v>199200</v>
      </c>
      <c r="BK60" s="229">
        <v>0.13039999999999999</v>
      </c>
      <c r="BL60" s="230">
        <v>807000</v>
      </c>
      <c r="BM60" s="230">
        <v>1459600</v>
      </c>
      <c r="BN60" s="230">
        <v>-652600</v>
      </c>
      <c r="BO60" s="229">
        <v>-0.4471</v>
      </c>
      <c r="BP60" s="230">
        <v>3009500</v>
      </c>
      <c r="BQ60" s="230">
        <v>3531500</v>
      </c>
      <c r="BR60" s="230">
        <v>-522000</v>
      </c>
      <c r="BS60" s="229">
        <v>-0.14779999999999999</v>
      </c>
      <c r="BT60" s="230">
        <v>581924</v>
      </c>
      <c r="BU60" s="230">
        <v>609822</v>
      </c>
      <c r="BV60" s="230">
        <v>-27898</v>
      </c>
      <c r="BW60" s="229">
        <v>-4.5699999999999998E-2</v>
      </c>
      <c r="BX60" s="230">
        <v>3029900</v>
      </c>
      <c r="BY60" s="230">
        <v>3034900</v>
      </c>
      <c r="BZ60" s="230">
        <v>-5000</v>
      </c>
      <c r="CA60" s="229">
        <v>-1.6000000000000001E-3</v>
      </c>
      <c r="CB60" s="230">
        <v>2964600</v>
      </c>
      <c r="CC60" s="230">
        <v>2972300</v>
      </c>
      <c r="CD60" s="230">
        <v>-7700</v>
      </c>
      <c r="CE60" s="229">
        <v>-2.5999999999999999E-3</v>
      </c>
      <c r="CF60" s="230">
        <v>54300</v>
      </c>
      <c r="CG60" s="230">
        <v>52200</v>
      </c>
      <c r="CH60" s="230">
        <v>2100</v>
      </c>
      <c r="CI60" s="229">
        <v>4.02E-2</v>
      </c>
      <c r="CJ60" s="230">
        <v>11000</v>
      </c>
      <c r="CK60" s="230">
        <v>10400</v>
      </c>
      <c r="CL60" s="228">
        <v>600</v>
      </c>
      <c r="CM60" s="229">
        <v>5.7700000000000001E-2</v>
      </c>
      <c r="CN60" s="230">
        <v>1786900</v>
      </c>
      <c r="CO60" s="230">
        <v>1736000</v>
      </c>
      <c r="CP60" s="230">
        <v>50900</v>
      </c>
      <c r="CQ60" s="229">
        <v>2.93E-2</v>
      </c>
      <c r="CR60" s="230">
        <v>1096200</v>
      </c>
      <c r="CS60" s="230">
        <v>1091000</v>
      </c>
      <c r="CT60" s="230">
        <v>5200</v>
      </c>
      <c r="CU60" s="229">
        <v>4.7999999999999996E-3</v>
      </c>
      <c r="CV60" s="230">
        <v>5913000</v>
      </c>
      <c r="CW60" s="230">
        <v>5861900</v>
      </c>
      <c r="CX60" s="230">
        <v>51100</v>
      </c>
      <c r="CY60" s="229">
        <v>8.6999999999999994E-3</v>
      </c>
      <c r="CZ60" s="228">
        <v>25.9</v>
      </c>
      <c r="DA60" s="228">
        <v>30.3</v>
      </c>
      <c r="DB60" s="228">
        <v>-4.4000000000000004</v>
      </c>
      <c r="DC60" s="228">
        <v>-4.4000000000000004</v>
      </c>
      <c r="DD60" s="228">
        <v>28.24</v>
      </c>
      <c r="DE60" s="228">
        <v>28.22</v>
      </c>
      <c r="DF60" s="228">
        <v>-2.34</v>
      </c>
      <c r="DG60" s="228">
        <v>0.02</v>
      </c>
      <c r="DH60" s="228">
        <v>24.86</v>
      </c>
      <c r="DI60" s="228">
        <v>27.87</v>
      </c>
      <c r="DJ60" s="228">
        <v>-3.01</v>
      </c>
      <c r="DK60" s="228">
        <v>-3.01</v>
      </c>
      <c r="DL60" s="228">
        <v>28.12</v>
      </c>
      <c r="DM60" s="228">
        <v>32.840000000000003</v>
      </c>
      <c r="DN60" s="228">
        <v>-4.72</v>
      </c>
      <c r="DO60" s="228">
        <v>-4.72</v>
      </c>
      <c r="DP60" s="228">
        <v>0.61</v>
      </c>
      <c r="DQ60" s="228">
        <v>0.63</v>
      </c>
      <c r="DR60" s="228">
        <v>-0.02</v>
      </c>
      <c r="DS60" s="229">
        <v>-3.1699999999999999E-2</v>
      </c>
      <c r="DT60" s="231">
        <v>9000</v>
      </c>
      <c r="DU60" s="231">
        <v>7500</v>
      </c>
      <c r="DV60" s="228">
        <v>0.47</v>
      </c>
      <c r="DW60" s="228">
        <v>0.96</v>
      </c>
      <c r="DX60" s="228">
        <v>-0.49</v>
      </c>
      <c r="DY60" s="229">
        <v>-0.51039999999999996</v>
      </c>
      <c r="DZ60" s="229">
        <v>2.1600000000000001E-2</v>
      </c>
      <c r="EA60" s="230">
        <v>62600</v>
      </c>
      <c r="EB60" s="229">
        <v>6.0000000000000001E-3</v>
      </c>
      <c r="EC60" s="229">
        <v>2.1600000000000001E-2</v>
      </c>
      <c r="ED60" s="228">
        <v>52.82</v>
      </c>
      <c r="EE60" s="229">
        <v>6.7999999999999996E-3</v>
      </c>
      <c r="EF60" s="230">
        <v>349047</v>
      </c>
      <c r="EG60" s="230">
        <v>366946</v>
      </c>
      <c r="EH60" s="229">
        <v>-4.8800000000000003E-2</v>
      </c>
      <c r="EI60" s="229">
        <v>0.5998</v>
      </c>
      <c r="EJ60" s="231">
        <v>143591.74</v>
      </c>
      <c r="EK60" s="231">
        <v>59744.95</v>
      </c>
      <c r="EL60" s="231">
        <v>36774.800000000003</v>
      </c>
      <c r="EM60" s="231">
        <v>6480</v>
      </c>
      <c r="EN60" s="231">
        <v>240111.49</v>
      </c>
      <c r="EO60" s="231">
        <v>273718.19</v>
      </c>
      <c r="EP60" s="231">
        <v>-33606.699999999997</v>
      </c>
      <c r="EQ60" s="229">
        <v>-0.12280000000000001</v>
      </c>
      <c r="ER60" s="231">
        <v>148559</v>
      </c>
      <c r="ES60" s="231">
        <v>83682</v>
      </c>
      <c r="ET60" s="231">
        <v>235397</v>
      </c>
      <c r="EU60" s="231">
        <v>19199175</v>
      </c>
      <c r="EV60" s="231">
        <v>467637</v>
      </c>
      <c r="EW60" s="231">
        <v>459851</v>
      </c>
      <c r="EX60" s="231">
        <v>7786</v>
      </c>
      <c r="EY60" s="229">
        <v>1.6899999999999998E-2</v>
      </c>
      <c r="EZ60" s="229">
        <v>0.308</v>
      </c>
      <c r="FA60" s="227" t="s">
        <v>556</v>
      </c>
      <c r="FB60" s="161">
        <f t="shared" si="0"/>
        <v>65300</v>
      </c>
    </row>
    <row r="61" spans="1:158" ht="17.25" thickBot="1" x14ac:dyDescent="0.3">
      <c r="A61" s="226">
        <v>46086</v>
      </c>
      <c r="B61" s="227" t="s">
        <v>615</v>
      </c>
      <c r="C61" s="227" t="s">
        <v>666</v>
      </c>
      <c r="D61" s="228">
        <v>2425</v>
      </c>
      <c r="E61" s="228">
        <v>240.67</v>
      </c>
      <c r="F61" s="228">
        <v>241.18</v>
      </c>
      <c r="G61" s="228">
        <v>-0.51</v>
      </c>
      <c r="H61" s="229">
        <v>-2.0999999999999999E-3</v>
      </c>
      <c r="I61" s="228">
        <v>240.14</v>
      </c>
      <c r="J61" s="228">
        <v>240.73</v>
      </c>
      <c r="K61" s="228">
        <v>-0.59</v>
      </c>
      <c r="L61" s="229">
        <v>-2.5000000000000001E-3</v>
      </c>
      <c r="M61" s="228">
        <v>240.67</v>
      </c>
      <c r="N61" s="228">
        <v>241.18</v>
      </c>
      <c r="O61" s="228">
        <v>-0.51</v>
      </c>
      <c r="P61" s="229">
        <v>-2.0999999999999999E-3</v>
      </c>
      <c r="Q61" s="228">
        <v>242.21</v>
      </c>
      <c r="R61" s="228">
        <v>242.8</v>
      </c>
      <c r="S61" s="228">
        <v>-0.59</v>
      </c>
      <c r="T61" s="229">
        <v>-2.3999999999999998E-3</v>
      </c>
      <c r="U61" s="228">
        <v>243.43</v>
      </c>
      <c r="V61" s="228">
        <v>244.11</v>
      </c>
      <c r="W61" s="228">
        <v>-0.68</v>
      </c>
      <c r="X61" s="229">
        <v>-2.8E-3</v>
      </c>
      <c r="Y61" s="228">
        <v>0.53</v>
      </c>
      <c r="Z61" s="228">
        <v>0.45</v>
      </c>
      <c r="AA61" s="228">
        <v>0.08</v>
      </c>
      <c r="AB61" s="229">
        <v>2.2000000000000001E-3</v>
      </c>
      <c r="AC61" s="228">
        <v>0.53</v>
      </c>
      <c r="AD61" s="228">
        <v>0.45</v>
      </c>
      <c r="AE61" s="228">
        <v>0.08</v>
      </c>
      <c r="AF61" s="229">
        <v>2.2000000000000001E-3</v>
      </c>
      <c r="AG61" s="228">
        <v>2.0699999999999998</v>
      </c>
      <c r="AH61" s="228">
        <v>2.0699999999999998</v>
      </c>
      <c r="AI61" s="228">
        <v>0</v>
      </c>
      <c r="AJ61" s="229">
        <v>8.6E-3</v>
      </c>
      <c r="AK61" s="228">
        <v>3.29</v>
      </c>
      <c r="AL61" s="228">
        <v>3.38</v>
      </c>
      <c r="AM61" s="228">
        <v>-0.09</v>
      </c>
      <c r="AN61" s="229">
        <v>1.37E-2</v>
      </c>
      <c r="AO61" s="228">
        <v>238.41</v>
      </c>
      <c r="AP61" s="228">
        <v>240.31</v>
      </c>
      <c r="AQ61" s="228">
        <v>0</v>
      </c>
      <c r="AR61" s="230">
        <v>44741250</v>
      </c>
      <c r="AS61" s="230">
        <v>40800625</v>
      </c>
      <c r="AT61" s="230">
        <v>3940625</v>
      </c>
      <c r="AU61" s="229">
        <v>9.6600000000000005E-2</v>
      </c>
      <c r="AV61" s="230">
        <v>40109500</v>
      </c>
      <c r="AW61" s="230">
        <v>38028850</v>
      </c>
      <c r="AX61" s="230">
        <v>2080650</v>
      </c>
      <c r="AY61" s="229">
        <v>5.4699999999999999E-2</v>
      </c>
      <c r="AZ61" s="230">
        <v>3812100</v>
      </c>
      <c r="BA61" s="230">
        <v>2117025</v>
      </c>
      <c r="BB61" s="230">
        <v>1695075</v>
      </c>
      <c r="BC61" s="229">
        <v>0.80069999999999997</v>
      </c>
      <c r="BD61" s="230">
        <v>819650</v>
      </c>
      <c r="BE61" s="230">
        <v>654750</v>
      </c>
      <c r="BF61" s="230">
        <v>164900</v>
      </c>
      <c r="BG61" s="229">
        <v>0.25190000000000001</v>
      </c>
      <c r="BH61" s="230">
        <v>103637225</v>
      </c>
      <c r="BI61" s="230">
        <v>75478125</v>
      </c>
      <c r="BJ61" s="230">
        <v>28159100</v>
      </c>
      <c r="BK61" s="229">
        <v>0.37309999999999999</v>
      </c>
      <c r="BL61" s="230">
        <v>48686725</v>
      </c>
      <c r="BM61" s="230">
        <v>36430775</v>
      </c>
      <c r="BN61" s="230">
        <v>12255950</v>
      </c>
      <c r="BO61" s="229">
        <v>0.33639999999999998</v>
      </c>
      <c r="BP61" s="230">
        <v>197065200</v>
      </c>
      <c r="BQ61" s="230">
        <v>152709525</v>
      </c>
      <c r="BR61" s="230">
        <v>44355675</v>
      </c>
      <c r="BS61" s="229">
        <v>0.29049999999999998</v>
      </c>
      <c r="BT61" s="230">
        <v>48507681</v>
      </c>
      <c r="BU61" s="230">
        <v>51514721</v>
      </c>
      <c r="BV61" s="230">
        <v>-3007040</v>
      </c>
      <c r="BW61" s="229">
        <v>-5.8400000000000001E-2</v>
      </c>
      <c r="BX61" s="230">
        <v>291885125</v>
      </c>
      <c r="BY61" s="230">
        <v>293619000</v>
      </c>
      <c r="BZ61" s="230">
        <v>-1733875</v>
      </c>
      <c r="CA61" s="229">
        <v>-5.8999999999999999E-3</v>
      </c>
      <c r="CB61" s="230">
        <v>262465025</v>
      </c>
      <c r="CC61" s="230">
        <v>265935200</v>
      </c>
      <c r="CD61" s="230">
        <v>-3470175</v>
      </c>
      <c r="CE61" s="229">
        <v>-1.2999999999999999E-2</v>
      </c>
      <c r="CF61" s="230">
        <v>17947425</v>
      </c>
      <c r="CG61" s="230">
        <v>16477875</v>
      </c>
      <c r="CH61" s="230">
        <v>1469550</v>
      </c>
      <c r="CI61" s="229">
        <v>8.9200000000000002E-2</v>
      </c>
      <c r="CJ61" s="230">
        <v>11472675</v>
      </c>
      <c r="CK61" s="230">
        <v>11205925</v>
      </c>
      <c r="CL61" s="230">
        <v>266750</v>
      </c>
      <c r="CM61" s="229">
        <v>2.3800000000000002E-2</v>
      </c>
      <c r="CN61" s="230">
        <v>111225050</v>
      </c>
      <c r="CO61" s="230">
        <v>102730275</v>
      </c>
      <c r="CP61" s="230">
        <v>8494775</v>
      </c>
      <c r="CQ61" s="229">
        <v>8.2699999999999996E-2</v>
      </c>
      <c r="CR61" s="230">
        <v>54623125</v>
      </c>
      <c r="CS61" s="230">
        <v>50423025</v>
      </c>
      <c r="CT61" s="230">
        <v>4200100</v>
      </c>
      <c r="CU61" s="229">
        <v>8.3299999999999999E-2</v>
      </c>
      <c r="CV61" s="230">
        <v>457733300</v>
      </c>
      <c r="CW61" s="230">
        <v>446772300</v>
      </c>
      <c r="CX61" s="230">
        <v>10961000</v>
      </c>
      <c r="CY61" s="229">
        <v>2.4500000000000001E-2</v>
      </c>
      <c r="CZ61" s="228">
        <v>38.75</v>
      </c>
      <c r="DA61" s="228">
        <v>41.56</v>
      </c>
      <c r="DB61" s="228">
        <v>-2.81</v>
      </c>
      <c r="DC61" s="228">
        <v>-2.81</v>
      </c>
      <c r="DD61" s="228">
        <v>44.69</v>
      </c>
      <c r="DE61" s="228">
        <v>44.8</v>
      </c>
      <c r="DF61" s="228">
        <v>-5.94</v>
      </c>
      <c r="DG61" s="228">
        <v>-0.11</v>
      </c>
      <c r="DH61" s="228">
        <v>38.659999999999997</v>
      </c>
      <c r="DI61" s="228">
        <v>40.98</v>
      </c>
      <c r="DJ61" s="228">
        <v>-2.3199999999999998</v>
      </c>
      <c r="DK61" s="228">
        <v>-2.3199999999999998</v>
      </c>
      <c r="DL61" s="228">
        <v>38.950000000000003</v>
      </c>
      <c r="DM61" s="228">
        <v>42.75</v>
      </c>
      <c r="DN61" s="228">
        <v>-3.8</v>
      </c>
      <c r="DO61" s="228">
        <v>-3.8</v>
      </c>
      <c r="DP61" s="228">
        <v>0.49</v>
      </c>
      <c r="DQ61" s="228">
        <v>0.49</v>
      </c>
      <c r="DR61" s="228">
        <v>0</v>
      </c>
      <c r="DS61" s="229">
        <v>0</v>
      </c>
      <c r="DT61" s="228">
        <v>300</v>
      </c>
      <c r="DU61" s="228">
        <v>250</v>
      </c>
      <c r="DV61" s="228">
        <v>0.47</v>
      </c>
      <c r="DW61" s="228">
        <v>0.48</v>
      </c>
      <c r="DX61" s="228">
        <v>-0.01</v>
      </c>
      <c r="DY61" s="229">
        <v>-2.0799999999999999E-2</v>
      </c>
      <c r="DZ61" s="229">
        <v>0.1008</v>
      </c>
      <c r="EA61" s="230">
        <v>27683800</v>
      </c>
      <c r="EB61" s="229">
        <v>6.4000000000000003E-3</v>
      </c>
      <c r="EC61" s="229">
        <v>0.1008</v>
      </c>
      <c r="ED61" s="228">
        <v>1.9</v>
      </c>
      <c r="EE61" s="229">
        <v>8.0000000000000002E-3</v>
      </c>
      <c r="EF61" s="230">
        <v>21073464</v>
      </c>
      <c r="EG61" s="230">
        <v>28216982</v>
      </c>
      <c r="EH61" s="229">
        <v>-0.25319999999999998</v>
      </c>
      <c r="EI61" s="229">
        <v>0.43440000000000001</v>
      </c>
      <c r="EJ61" s="231">
        <v>272580.56</v>
      </c>
      <c r="EK61" s="231">
        <v>117295.85</v>
      </c>
      <c r="EL61" s="231">
        <v>106761.84</v>
      </c>
      <c r="EM61" s="231">
        <v>25650</v>
      </c>
      <c r="EN61" s="231">
        <v>496638.25</v>
      </c>
      <c r="EO61" s="231">
        <v>385632.35</v>
      </c>
      <c r="EP61" s="231">
        <v>111005.9</v>
      </c>
      <c r="EQ61" s="229">
        <v>0.28789999999999999</v>
      </c>
      <c r="ER61" s="231">
        <v>304486</v>
      </c>
      <c r="ES61" s="231">
        <v>138072</v>
      </c>
      <c r="ET61" s="231">
        <v>703073</v>
      </c>
      <c r="EU61" s="231">
        <v>1251309857</v>
      </c>
      <c r="EV61" s="231">
        <v>1145631</v>
      </c>
      <c r="EW61" s="231">
        <v>1119634</v>
      </c>
      <c r="EX61" s="231">
        <v>25997</v>
      </c>
      <c r="EY61" s="229">
        <v>2.3199999999999998E-2</v>
      </c>
      <c r="EZ61" s="229">
        <v>0.36580000000000001</v>
      </c>
      <c r="FA61" s="227" t="s">
        <v>568</v>
      </c>
      <c r="FB61" s="161">
        <f t="shared" si="0"/>
        <v>29420100</v>
      </c>
    </row>
    <row r="62" spans="1:158" ht="17.25" thickBot="1" x14ac:dyDescent="0.3">
      <c r="A62" s="226">
        <v>46086</v>
      </c>
      <c r="B62" s="227" t="s">
        <v>162</v>
      </c>
      <c r="C62" s="227" t="s">
        <v>211</v>
      </c>
      <c r="D62" s="228">
        <v>1800</v>
      </c>
      <c r="E62" s="228">
        <v>320.95</v>
      </c>
      <c r="F62" s="228">
        <v>315.14999999999998</v>
      </c>
      <c r="G62" s="228">
        <v>5.8</v>
      </c>
      <c r="H62" s="229">
        <v>1.84E-2</v>
      </c>
      <c r="I62" s="228">
        <v>319.64999999999998</v>
      </c>
      <c r="J62" s="228">
        <v>313.95</v>
      </c>
      <c r="K62" s="228">
        <v>5.7</v>
      </c>
      <c r="L62" s="229">
        <v>1.8200000000000001E-2</v>
      </c>
      <c r="M62" s="228">
        <v>320.95</v>
      </c>
      <c r="N62" s="228">
        <v>315.14999999999998</v>
      </c>
      <c r="O62" s="228">
        <v>5.8</v>
      </c>
      <c r="P62" s="229">
        <v>1.84E-2</v>
      </c>
      <c r="Q62" s="228">
        <v>323</v>
      </c>
      <c r="R62" s="228">
        <v>317.25</v>
      </c>
      <c r="S62" s="228">
        <v>5.75</v>
      </c>
      <c r="T62" s="229">
        <v>1.8100000000000002E-2</v>
      </c>
      <c r="U62" s="228">
        <v>324.25</v>
      </c>
      <c r="V62" s="228">
        <v>319.05</v>
      </c>
      <c r="W62" s="228">
        <v>5.2</v>
      </c>
      <c r="X62" s="229">
        <v>1.6299999999999999E-2</v>
      </c>
      <c r="Y62" s="228">
        <v>1.3</v>
      </c>
      <c r="Z62" s="228">
        <v>1.2</v>
      </c>
      <c r="AA62" s="228">
        <v>0.1</v>
      </c>
      <c r="AB62" s="229">
        <v>4.1000000000000003E-3</v>
      </c>
      <c r="AC62" s="228">
        <v>1.3</v>
      </c>
      <c r="AD62" s="228">
        <v>1.2</v>
      </c>
      <c r="AE62" s="228">
        <v>0.1</v>
      </c>
      <c r="AF62" s="229">
        <v>4.1000000000000003E-3</v>
      </c>
      <c r="AG62" s="228">
        <v>3.35</v>
      </c>
      <c r="AH62" s="228">
        <v>3.3</v>
      </c>
      <c r="AI62" s="228">
        <v>0.05</v>
      </c>
      <c r="AJ62" s="229">
        <v>1.0500000000000001E-2</v>
      </c>
      <c r="AK62" s="228">
        <v>4.5999999999999996</v>
      </c>
      <c r="AL62" s="228">
        <v>5.0999999999999996</v>
      </c>
      <c r="AM62" s="228">
        <v>-0.5</v>
      </c>
      <c r="AN62" s="229">
        <v>1.44E-2</v>
      </c>
      <c r="AO62" s="228">
        <v>317.24</v>
      </c>
      <c r="AP62" s="228">
        <v>319.45999999999998</v>
      </c>
      <c r="AQ62" s="228">
        <v>0</v>
      </c>
      <c r="AR62" s="230">
        <v>3157200</v>
      </c>
      <c r="AS62" s="230">
        <v>3313800</v>
      </c>
      <c r="AT62" s="230">
        <v>-156600</v>
      </c>
      <c r="AU62" s="229">
        <v>-4.7300000000000002E-2</v>
      </c>
      <c r="AV62" s="230">
        <v>2781000</v>
      </c>
      <c r="AW62" s="230">
        <v>2923200</v>
      </c>
      <c r="AX62" s="230">
        <v>-142200</v>
      </c>
      <c r="AY62" s="229">
        <v>-4.8599999999999997E-2</v>
      </c>
      <c r="AZ62" s="230">
        <v>334800</v>
      </c>
      <c r="BA62" s="230">
        <v>298800</v>
      </c>
      <c r="BB62" s="230">
        <v>36000</v>
      </c>
      <c r="BC62" s="229">
        <v>0.1205</v>
      </c>
      <c r="BD62" s="230">
        <v>41400</v>
      </c>
      <c r="BE62" s="230">
        <v>91800</v>
      </c>
      <c r="BF62" s="230">
        <v>-50400</v>
      </c>
      <c r="BG62" s="229">
        <v>-0.54900000000000004</v>
      </c>
      <c r="BH62" s="230">
        <v>6195600</v>
      </c>
      <c r="BI62" s="230">
        <v>6361200</v>
      </c>
      <c r="BJ62" s="230">
        <v>-165600</v>
      </c>
      <c r="BK62" s="229">
        <v>-2.5999999999999999E-2</v>
      </c>
      <c r="BL62" s="230">
        <v>3416400</v>
      </c>
      <c r="BM62" s="230">
        <v>2496600</v>
      </c>
      <c r="BN62" s="230">
        <v>919800</v>
      </c>
      <c r="BO62" s="229">
        <v>0.36840000000000001</v>
      </c>
      <c r="BP62" s="230">
        <v>12769200</v>
      </c>
      <c r="BQ62" s="230">
        <v>12171600</v>
      </c>
      <c r="BR62" s="230">
        <v>597600</v>
      </c>
      <c r="BS62" s="229">
        <v>4.9099999999999998E-2</v>
      </c>
      <c r="BT62" s="230">
        <v>1409015</v>
      </c>
      <c r="BU62" s="230">
        <v>1469545</v>
      </c>
      <c r="BV62" s="230">
        <v>-60530</v>
      </c>
      <c r="BW62" s="229">
        <v>-4.1200000000000001E-2</v>
      </c>
      <c r="BX62" s="230">
        <v>29655000</v>
      </c>
      <c r="BY62" s="230">
        <v>30155400</v>
      </c>
      <c r="BZ62" s="230">
        <v>-500400</v>
      </c>
      <c r="CA62" s="229">
        <v>-1.66E-2</v>
      </c>
      <c r="CB62" s="230">
        <v>28315800</v>
      </c>
      <c r="CC62" s="230">
        <v>28848600</v>
      </c>
      <c r="CD62" s="230">
        <v>-532800</v>
      </c>
      <c r="CE62" s="229">
        <v>-1.8499999999999999E-2</v>
      </c>
      <c r="CF62" s="230">
        <v>1227600</v>
      </c>
      <c r="CG62" s="230">
        <v>1195200</v>
      </c>
      <c r="CH62" s="230">
        <v>32400</v>
      </c>
      <c r="CI62" s="229">
        <v>2.7099999999999999E-2</v>
      </c>
      <c r="CJ62" s="230">
        <v>111600</v>
      </c>
      <c r="CK62" s="230">
        <v>111600</v>
      </c>
      <c r="CL62" s="228">
        <v>0</v>
      </c>
      <c r="CM62" s="229">
        <v>0</v>
      </c>
      <c r="CN62" s="230">
        <v>9687600</v>
      </c>
      <c r="CO62" s="230">
        <v>9343800</v>
      </c>
      <c r="CP62" s="230">
        <v>343800</v>
      </c>
      <c r="CQ62" s="229">
        <v>3.6799999999999999E-2</v>
      </c>
      <c r="CR62" s="230">
        <v>9073800</v>
      </c>
      <c r="CS62" s="230">
        <v>8478000</v>
      </c>
      <c r="CT62" s="230">
        <v>595800</v>
      </c>
      <c r="CU62" s="229">
        <v>7.0300000000000001E-2</v>
      </c>
      <c r="CV62" s="230">
        <v>48416400</v>
      </c>
      <c r="CW62" s="230">
        <v>47977200</v>
      </c>
      <c r="CX62" s="230">
        <v>439200</v>
      </c>
      <c r="CY62" s="229">
        <v>9.1999999999999998E-3</v>
      </c>
      <c r="CZ62" s="228">
        <v>28.82</v>
      </c>
      <c r="DA62" s="228">
        <v>33.880000000000003</v>
      </c>
      <c r="DB62" s="228">
        <v>-5.0599999999999996</v>
      </c>
      <c r="DC62" s="228">
        <v>-5.0599999999999996</v>
      </c>
      <c r="DD62" s="228">
        <v>32.729999999999997</v>
      </c>
      <c r="DE62" s="228">
        <v>32.72</v>
      </c>
      <c r="DF62" s="228">
        <v>-3.91</v>
      </c>
      <c r="DG62" s="228">
        <v>0.01</v>
      </c>
      <c r="DH62" s="228">
        <v>28.47</v>
      </c>
      <c r="DI62" s="228">
        <v>33.61</v>
      </c>
      <c r="DJ62" s="228">
        <v>-5.14</v>
      </c>
      <c r="DK62" s="228">
        <v>-5.14</v>
      </c>
      <c r="DL62" s="228">
        <v>29.47</v>
      </c>
      <c r="DM62" s="228">
        <v>34.57</v>
      </c>
      <c r="DN62" s="228">
        <v>-5.0999999999999996</v>
      </c>
      <c r="DO62" s="228">
        <v>-5.0999999999999996</v>
      </c>
      <c r="DP62" s="228">
        <v>0.94</v>
      </c>
      <c r="DQ62" s="228">
        <v>0.91</v>
      </c>
      <c r="DR62" s="228">
        <v>0.03</v>
      </c>
      <c r="DS62" s="229">
        <v>3.3000000000000002E-2</v>
      </c>
      <c r="DT62" s="228">
        <v>340</v>
      </c>
      <c r="DU62" s="228">
        <v>340</v>
      </c>
      <c r="DV62" s="228">
        <v>0.55000000000000004</v>
      </c>
      <c r="DW62" s="228">
        <v>0.39</v>
      </c>
      <c r="DX62" s="228">
        <v>0.16</v>
      </c>
      <c r="DY62" s="229">
        <v>0.4103</v>
      </c>
      <c r="DZ62" s="229">
        <v>4.5199999999999997E-2</v>
      </c>
      <c r="EA62" s="230">
        <v>1306800</v>
      </c>
      <c r="EB62" s="229">
        <v>6.4000000000000003E-3</v>
      </c>
      <c r="EC62" s="229">
        <v>4.5199999999999997E-2</v>
      </c>
      <c r="ED62" s="228">
        <v>2.2200000000000002</v>
      </c>
      <c r="EE62" s="229">
        <v>7.0000000000000001E-3</v>
      </c>
      <c r="EF62" s="230">
        <v>476197</v>
      </c>
      <c r="EG62" s="230">
        <v>613886</v>
      </c>
      <c r="EH62" s="229">
        <v>-0.2243</v>
      </c>
      <c r="EI62" s="229">
        <v>0.33800000000000002</v>
      </c>
      <c r="EJ62" s="231">
        <v>21333.3</v>
      </c>
      <c r="EK62" s="231">
        <v>11118.4</v>
      </c>
      <c r="EL62" s="231">
        <v>10025.14</v>
      </c>
      <c r="EM62" s="231">
        <v>1682</v>
      </c>
      <c r="EN62" s="231">
        <v>42476.84</v>
      </c>
      <c r="EO62" s="231">
        <v>40539.089999999997</v>
      </c>
      <c r="EP62" s="231">
        <v>1937.75</v>
      </c>
      <c r="EQ62" s="229">
        <v>4.7800000000000002E-2</v>
      </c>
      <c r="ER62" s="231">
        <v>34080</v>
      </c>
      <c r="ES62" s="231">
        <v>31147</v>
      </c>
      <c r="ET62" s="231">
        <v>95207</v>
      </c>
      <c r="EU62" s="231">
        <v>68856800</v>
      </c>
      <c r="EV62" s="231">
        <v>160434</v>
      </c>
      <c r="EW62" s="231">
        <v>157371</v>
      </c>
      <c r="EX62" s="231">
        <v>3063</v>
      </c>
      <c r="EY62" s="229">
        <v>1.95E-2</v>
      </c>
      <c r="EZ62" s="229">
        <v>0.70309999999999995</v>
      </c>
      <c r="FA62" s="227" t="s">
        <v>556</v>
      </c>
      <c r="FB62" s="161">
        <f t="shared" si="0"/>
        <v>1339200</v>
      </c>
    </row>
    <row r="63" spans="1:158" ht="17.25" thickBot="1" x14ac:dyDescent="0.3">
      <c r="A63" s="226">
        <v>46086</v>
      </c>
      <c r="B63" s="227" t="s">
        <v>172</v>
      </c>
      <c r="C63" s="227" t="s">
        <v>212</v>
      </c>
      <c r="D63" s="228">
        <v>5000</v>
      </c>
      <c r="E63" s="228">
        <v>290.85000000000002</v>
      </c>
      <c r="F63" s="228">
        <v>287.8</v>
      </c>
      <c r="G63" s="228">
        <v>3.05</v>
      </c>
      <c r="H63" s="229">
        <v>1.06E-2</v>
      </c>
      <c r="I63" s="228">
        <v>289.7</v>
      </c>
      <c r="J63" s="228">
        <v>286.45</v>
      </c>
      <c r="K63" s="228">
        <v>3.25</v>
      </c>
      <c r="L63" s="229">
        <v>1.1299999999999999E-2</v>
      </c>
      <c r="M63" s="228">
        <v>290.85000000000002</v>
      </c>
      <c r="N63" s="228">
        <v>287.8</v>
      </c>
      <c r="O63" s="228">
        <v>3.05</v>
      </c>
      <c r="P63" s="229">
        <v>1.06E-2</v>
      </c>
      <c r="Q63" s="228">
        <v>292.60000000000002</v>
      </c>
      <c r="R63" s="228">
        <v>288.95</v>
      </c>
      <c r="S63" s="228">
        <v>3.65</v>
      </c>
      <c r="T63" s="229">
        <v>1.26E-2</v>
      </c>
      <c r="U63" s="228">
        <v>294</v>
      </c>
      <c r="V63" s="228">
        <v>290.05</v>
      </c>
      <c r="W63" s="228">
        <v>3.95</v>
      </c>
      <c r="X63" s="229">
        <v>1.3599999999999999E-2</v>
      </c>
      <c r="Y63" s="228">
        <v>1.1499999999999999</v>
      </c>
      <c r="Z63" s="228">
        <v>1.35</v>
      </c>
      <c r="AA63" s="228">
        <v>-0.2</v>
      </c>
      <c r="AB63" s="229">
        <v>4.0000000000000001E-3</v>
      </c>
      <c r="AC63" s="228">
        <v>1.1499999999999999</v>
      </c>
      <c r="AD63" s="228">
        <v>1.35</v>
      </c>
      <c r="AE63" s="228">
        <v>-0.2</v>
      </c>
      <c r="AF63" s="229">
        <v>4.0000000000000001E-3</v>
      </c>
      <c r="AG63" s="228">
        <v>2.9</v>
      </c>
      <c r="AH63" s="228">
        <v>2.5</v>
      </c>
      <c r="AI63" s="228">
        <v>0.4</v>
      </c>
      <c r="AJ63" s="229">
        <v>0.01</v>
      </c>
      <c r="AK63" s="228">
        <v>4.3</v>
      </c>
      <c r="AL63" s="228">
        <v>3.6</v>
      </c>
      <c r="AM63" s="228">
        <v>0.7</v>
      </c>
      <c r="AN63" s="229">
        <v>1.4800000000000001E-2</v>
      </c>
      <c r="AO63" s="228">
        <v>289.94</v>
      </c>
      <c r="AP63" s="228">
        <v>291.62</v>
      </c>
      <c r="AQ63" s="228">
        <v>0</v>
      </c>
      <c r="AR63" s="230">
        <v>18430000</v>
      </c>
      <c r="AS63" s="230">
        <v>34190000</v>
      </c>
      <c r="AT63" s="230">
        <v>-15760000</v>
      </c>
      <c r="AU63" s="229">
        <v>-0.46100000000000002</v>
      </c>
      <c r="AV63" s="230">
        <v>17305000</v>
      </c>
      <c r="AW63" s="230">
        <v>32800000</v>
      </c>
      <c r="AX63" s="230">
        <v>-15495000</v>
      </c>
      <c r="AY63" s="229">
        <v>-0.47239999999999999</v>
      </c>
      <c r="AZ63" s="230">
        <v>965000</v>
      </c>
      <c r="BA63" s="230">
        <v>1145000</v>
      </c>
      <c r="BB63" s="230">
        <v>-180000</v>
      </c>
      <c r="BC63" s="229">
        <v>-0.15720000000000001</v>
      </c>
      <c r="BD63" s="230">
        <v>160000</v>
      </c>
      <c r="BE63" s="230">
        <v>245000</v>
      </c>
      <c r="BF63" s="230">
        <v>-85000</v>
      </c>
      <c r="BG63" s="229">
        <v>-0.34689999999999999</v>
      </c>
      <c r="BH63" s="230">
        <v>47660000</v>
      </c>
      <c r="BI63" s="230">
        <v>50770000</v>
      </c>
      <c r="BJ63" s="230">
        <v>-3110000</v>
      </c>
      <c r="BK63" s="229">
        <v>-6.13E-2</v>
      </c>
      <c r="BL63" s="230">
        <v>33380000</v>
      </c>
      <c r="BM63" s="230">
        <v>48970000</v>
      </c>
      <c r="BN63" s="230">
        <v>-15590000</v>
      </c>
      <c r="BO63" s="229">
        <v>-0.31840000000000002</v>
      </c>
      <c r="BP63" s="230">
        <v>99470000</v>
      </c>
      <c r="BQ63" s="230">
        <v>133930000</v>
      </c>
      <c r="BR63" s="230">
        <v>-34460000</v>
      </c>
      <c r="BS63" s="229">
        <v>-0.25729999999999997</v>
      </c>
      <c r="BT63" s="230">
        <v>6509161</v>
      </c>
      <c r="BU63" s="230">
        <v>8940552</v>
      </c>
      <c r="BV63" s="230">
        <v>-2431391</v>
      </c>
      <c r="BW63" s="229">
        <v>-0.27200000000000002</v>
      </c>
      <c r="BX63" s="230">
        <v>64315000</v>
      </c>
      <c r="BY63" s="230">
        <v>63355000</v>
      </c>
      <c r="BZ63" s="230">
        <v>960000</v>
      </c>
      <c r="CA63" s="229">
        <v>1.52E-2</v>
      </c>
      <c r="CB63" s="230">
        <v>62495000</v>
      </c>
      <c r="CC63" s="230">
        <v>61815000</v>
      </c>
      <c r="CD63" s="230">
        <v>680000</v>
      </c>
      <c r="CE63" s="229">
        <v>1.0999999999999999E-2</v>
      </c>
      <c r="CF63" s="230">
        <v>1555000</v>
      </c>
      <c r="CG63" s="230">
        <v>1295000</v>
      </c>
      <c r="CH63" s="230">
        <v>260000</v>
      </c>
      <c r="CI63" s="229">
        <v>0.20080000000000001</v>
      </c>
      <c r="CJ63" s="230">
        <v>265000</v>
      </c>
      <c r="CK63" s="230">
        <v>245000</v>
      </c>
      <c r="CL63" s="230">
        <v>20000</v>
      </c>
      <c r="CM63" s="229">
        <v>8.1600000000000006E-2</v>
      </c>
      <c r="CN63" s="230">
        <v>35730000</v>
      </c>
      <c r="CO63" s="230">
        <v>30900000</v>
      </c>
      <c r="CP63" s="230">
        <v>4830000</v>
      </c>
      <c r="CQ63" s="229">
        <v>0.15629999999999999</v>
      </c>
      <c r="CR63" s="230">
        <v>25185000</v>
      </c>
      <c r="CS63" s="230">
        <v>22140000</v>
      </c>
      <c r="CT63" s="230">
        <v>3045000</v>
      </c>
      <c r="CU63" s="229">
        <v>0.13750000000000001</v>
      </c>
      <c r="CV63" s="230">
        <v>125230000</v>
      </c>
      <c r="CW63" s="230">
        <v>116395000</v>
      </c>
      <c r="CX63" s="230">
        <v>8835000</v>
      </c>
      <c r="CY63" s="229">
        <v>7.5899999999999995E-2</v>
      </c>
      <c r="CZ63" s="228">
        <v>24.11</v>
      </c>
      <c r="DA63" s="228">
        <v>27.03</v>
      </c>
      <c r="DB63" s="228">
        <v>-2.92</v>
      </c>
      <c r="DC63" s="228">
        <v>-2.92</v>
      </c>
      <c r="DD63" s="228">
        <v>29.86</v>
      </c>
      <c r="DE63" s="228">
        <v>29.89</v>
      </c>
      <c r="DF63" s="228">
        <v>-5.75</v>
      </c>
      <c r="DG63" s="228">
        <v>-0.03</v>
      </c>
      <c r="DH63" s="228">
        <v>23.18</v>
      </c>
      <c r="DI63" s="228">
        <v>26.08</v>
      </c>
      <c r="DJ63" s="228">
        <v>-2.9</v>
      </c>
      <c r="DK63" s="228">
        <v>-2.9</v>
      </c>
      <c r="DL63" s="228">
        <v>25.43</v>
      </c>
      <c r="DM63" s="228">
        <v>28.02</v>
      </c>
      <c r="DN63" s="228">
        <v>-2.59</v>
      </c>
      <c r="DO63" s="228">
        <v>-2.59</v>
      </c>
      <c r="DP63" s="228">
        <v>0.7</v>
      </c>
      <c r="DQ63" s="228">
        <v>0.72</v>
      </c>
      <c r="DR63" s="228">
        <v>-0.02</v>
      </c>
      <c r="DS63" s="229">
        <v>-2.7799999999999998E-2</v>
      </c>
      <c r="DT63" s="228">
        <v>300</v>
      </c>
      <c r="DU63" s="228">
        <v>280</v>
      </c>
      <c r="DV63" s="228">
        <v>0.7</v>
      </c>
      <c r="DW63" s="228">
        <v>0.96</v>
      </c>
      <c r="DX63" s="228">
        <v>-0.26</v>
      </c>
      <c r="DY63" s="229">
        <v>-0.27079999999999999</v>
      </c>
      <c r="DZ63" s="229">
        <v>2.8299999999999999E-2</v>
      </c>
      <c r="EA63" s="230">
        <v>1540000</v>
      </c>
      <c r="EB63" s="229">
        <v>6.0000000000000001E-3</v>
      </c>
      <c r="EC63" s="229">
        <v>2.8299999999999999E-2</v>
      </c>
      <c r="ED63" s="228">
        <v>1.68</v>
      </c>
      <c r="EE63" s="229">
        <v>5.7999999999999996E-3</v>
      </c>
      <c r="EF63" s="230">
        <v>3134492</v>
      </c>
      <c r="EG63" s="230">
        <v>5007122</v>
      </c>
      <c r="EH63" s="229">
        <v>-0.374</v>
      </c>
      <c r="EI63" s="229">
        <v>0.48159999999999997</v>
      </c>
      <c r="EJ63" s="231">
        <v>146103.96</v>
      </c>
      <c r="EK63" s="231">
        <v>94792.92</v>
      </c>
      <c r="EL63" s="231">
        <v>53456.28</v>
      </c>
      <c r="EM63" s="231">
        <v>4576</v>
      </c>
      <c r="EN63" s="231">
        <v>294353.15999999997</v>
      </c>
      <c r="EO63" s="231">
        <v>393763.04</v>
      </c>
      <c r="EP63" s="231">
        <v>-99409.88</v>
      </c>
      <c r="EQ63" s="229">
        <v>-0.2525</v>
      </c>
      <c r="ER63" s="231">
        <v>109366</v>
      </c>
      <c r="ES63" s="231">
        <v>71254</v>
      </c>
      <c r="ET63" s="231">
        <v>187096</v>
      </c>
      <c r="EU63" s="231">
        <v>320636733</v>
      </c>
      <c r="EV63" s="231">
        <v>367716</v>
      </c>
      <c r="EW63" s="231">
        <v>340105</v>
      </c>
      <c r="EX63" s="231">
        <v>27611</v>
      </c>
      <c r="EY63" s="229">
        <v>8.1199999999999994E-2</v>
      </c>
      <c r="EZ63" s="229">
        <v>0.3906</v>
      </c>
      <c r="FA63" s="227" t="s">
        <v>555</v>
      </c>
      <c r="FB63" s="161">
        <f t="shared" si="0"/>
        <v>1820000</v>
      </c>
    </row>
    <row r="64" spans="1:158" ht="17.25" thickBot="1" x14ac:dyDescent="0.3">
      <c r="A64" s="226">
        <v>46086</v>
      </c>
      <c r="B64" s="227" t="s">
        <v>181</v>
      </c>
      <c r="C64" s="227" t="s">
        <v>480</v>
      </c>
      <c r="D64" s="228">
        <v>60</v>
      </c>
      <c r="E64" s="231">
        <v>27361.1</v>
      </c>
      <c r="F64" s="231">
        <v>27137.3</v>
      </c>
      <c r="G64" s="228">
        <v>223.8</v>
      </c>
      <c r="H64" s="229">
        <v>8.2000000000000007E-3</v>
      </c>
      <c r="I64" s="231">
        <v>27235.8</v>
      </c>
      <c r="J64" s="231">
        <v>27020.45</v>
      </c>
      <c r="K64" s="228">
        <v>215.35</v>
      </c>
      <c r="L64" s="229">
        <v>8.0000000000000002E-3</v>
      </c>
      <c r="M64" s="231">
        <v>27361.1</v>
      </c>
      <c r="N64" s="231">
        <v>27137.3</v>
      </c>
      <c r="O64" s="228">
        <v>223.8</v>
      </c>
      <c r="P64" s="229">
        <v>8.2000000000000007E-3</v>
      </c>
      <c r="Q64" s="231">
        <v>27521.4</v>
      </c>
      <c r="R64" s="231">
        <v>27051.200000000001</v>
      </c>
      <c r="S64" s="228">
        <v>470.2</v>
      </c>
      <c r="T64" s="229">
        <v>1.7399999999999999E-2</v>
      </c>
      <c r="U64" s="228">
        <v>0</v>
      </c>
      <c r="V64" s="228">
        <v>0</v>
      </c>
      <c r="W64" s="228">
        <v>0</v>
      </c>
      <c r="X64" s="229">
        <v>0</v>
      </c>
      <c r="Y64" s="228">
        <v>125.3</v>
      </c>
      <c r="Z64" s="228">
        <v>116.85</v>
      </c>
      <c r="AA64" s="228">
        <v>8.4499999999999993</v>
      </c>
      <c r="AB64" s="229">
        <v>4.5999999999999999E-3</v>
      </c>
      <c r="AC64" s="228">
        <v>125.3</v>
      </c>
      <c r="AD64" s="228">
        <v>116.85</v>
      </c>
      <c r="AE64" s="228">
        <v>8.4499999999999993</v>
      </c>
      <c r="AF64" s="229">
        <v>4.5999999999999999E-3</v>
      </c>
      <c r="AG64" s="228">
        <v>285.60000000000002</v>
      </c>
      <c r="AH64" s="228">
        <v>30.75</v>
      </c>
      <c r="AI64" s="228">
        <v>254.85</v>
      </c>
      <c r="AJ64" s="229">
        <v>1.0500000000000001E-2</v>
      </c>
      <c r="AK64" s="228">
        <v>0</v>
      </c>
      <c r="AL64" s="228">
        <v>0</v>
      </c>
      <c r="AM64" s="228">
        <v>0</v>
      </c>
      <c r="AN64" s="229">
        <v>0</v>
      </c>
      <c r="AO64" s="231">
        <v>27239.59</v>
      </c>
      <c r="AP64" s="231">
        <v>27364.44</v>
      </c>
      <c r="AQ64" s="228">
        <v>0</v>
      </c>
      <c r="AR64" s="230">
        <v>35280</v>
      </c>
      <c r="AS64" s="230">
        <v>48600</v>
      </c>
      <c r="AT64" s="230">
        <v>-13320</v>
      </c>
      <c r="AU64" s="229">
        <v>-0.27410000000000001</v>
      </c>
      <c r="AV64" s="230">
        <v>34380</v>
      </c>
      <c r="AW64" s="230">
        <v>48540</v>
      </c>
      <c r="AX64" s="230">
        <v>-14160</v>
      </c>
      <c r="AY64" s="229">
        <v>-0.29170000000000001</v>
      </c>
      <c r="AZ64" s="228">
        <v>900</v>
      </c>
      <c r="BA64" s="228">
        <v>60</v>
      </c>
      <c r="BB64" s="228">
        <v>840</v>
      </c>
      <c r="BC64" s="229">
        <v>14</v>
      </c>
      <c r="BD64" s="228">
        <v>0</v>
      </c>
      <c r="BE64" s="228">
        <v>0</v>
      </c>
      <c r="BF64" s="228">
        <v>0</v>
      </c>
      <c r="BG64" s="229">
        <v>0</v>
      </c>
      <c r="BH64" s="230">
        <v>1242240</v>
      </c>
      <c r="BI64" s="230">
        <v>1115580</v>
      </c>
      <c r="BJ64" s="230">
        <v>126660</v>
      </c>
      <c r="BK64" s="229">
        <v>0.1135</v>
      </c>
      <c r="BL64" s="230">
        <v>1338240</v>
      </c>
      <c r="BM64" s="230">
        <v>1439220</v>
      </c>
      <c r="BN64" s="230">
        <v>-100980</v>
      </c>
      <c r="BO64" s="229">
        <v>-7.0199999999999999E-2</v>
      </c>
      <c r="BP64" s="230">
        <v>2615760</v>
      </c>
      <c r="BQ64" s="230">
        <v>2603400</v>
      </c>
      <c r="BR64" s="230">
        <v>12360</v>
      </c>
      <c r="BS64" s="229">
        <v>4.7000000000000002E-3</v>
      </c>
      <c r="BT64" s="228">
        <v>0</v>
      </c>
      <c r="BU64" s="228">
        <v>0</v>
      </c>
      <c r="BV64" s="228">
        <v>0</v>
      </c>
      <c r="BW64" s="229">
        <v>0</v>
      </c>
      <c r="BX64" s="230">
        <v>56880</v>
      </c>
      <c r="BY64" s="230">
        <v>50880</v>
      </c>
      <c r="BZ64" s="230">
        <v>6000</v>
      </c>
      <c r="CA64" s="229">
        <v>0.1179</v>
      </c>
      <c r="CB64" s="230">
        <v>55860</v>
      </c>
      <c r="CC64" s="230">
        <v>50640</v>
      </c>
      <c r="CD64" s="230">
        <v>5220</v>
      </c>
      <c r="CE64" s="229">
        <v>0.1031</v>
      </c>
      <c r="CF64" s="230">
        <v>1020</v>
      </c>
      <c r="CG64" s="228">
        <v>240</v>
      </c>
      <c r="CH64" s="228">
        <v>780</v>
      </c>
      <c r="CI64" s="229">
        <v>3.25</v>
      </c>
      <c r="CJ64" s="228">
        <v>0</v>
      </c>
      <c r="CK64" s="228">
        <v>0</v>
      </c>
      <c r="CL64" s="228">
        <v>0</v>
      </c>
      <c r="CM64" s="229">
        <v>0</v>
      </c>
      <c r="CN64" s="230">
        <v>721980</v>
      </c>
      <c r="CO64" s="230">
        <v>702660</v>
      </c>
      <c r="CP64" s="230">
        <v>19320</v>
      </c>
      <c r="CQ64" s="229">
        <v>2.75E-2</v>
      </c>
      <c r="CR64" s="230">
        <v>616860</v>
      </c>
      <c r="CS64" s="230">
        <v>591600</v>
      </c>
      <c r="CT64" s="230">
        <v>25260</v>
      </c>
      <c r="CU64" s="229">
        <v>4.2700000000000002E-2</v>
      </c>
      <c r="CV64" s="230">
        <v>1395720</v>
      </c>
      <c r="CW64" s="230">
        <v>1345140</v>
      </c>
      <c r="CX64" s="230">
        <v>50580</v>
      </c>
      <c r="CY64" s="229">
        <v>3.7600000000000001E-2</v>
      </c>
      <c r="CZ64" s="228">
        <v>18.440000000000001</v>
      </c>
      <c r="DA64" s="228">
        <v>21.92</v>
      </c>
      <c r="DB64" s="228">
        <v>-3.48</v>
      </c>
      <c r="DC64" s="228">
        <v>-3.48</v>
      </c>
      <c r="DD64" s="228">
        <v>16.809999999999999</v>
      </c>
      <c r="DE64" s="228">
        <v>16.82</v>
      </c>
      <c r="DF64" s="228">
        <v>1.63</v>
      </c>
      <c r="DG64" s="228">
        <v>-0.01</v>
      </c>
      <c r="DH64" s="228">
        <v>16.62</v>
      </c>
      <c r="DI64" s="228">
        <v>19.39</v>
      </c>
      <c r="DJ64" s="228">
        <v>-2.77</v>
      </c>
      <c r="DK64" s="228">
        <v>-2.77</v>
      </c>
      <c r="DL64" s="228">
        <v>20.13</v>
      </c>
      <c r="DM64" s="228">
        <v>23.87</v>
      </c>
      <c r="DN64" s="228">
        <v>-3.74</v>
      </c>
      <c r="DO64" s="228">
        <v>-3.74</v>
      </c>
      <c r="DP64" s="228">
        <v>0.85</v>
      </c>
      <c r="DQ64" s="228">
        <v>0.84</v>
      </c>
      <c r="DR64" s="228">
        <v>0.01</v>
      </c>
      <c r="DS64" s="229">
        <v>1.1900000000000001E-2</v>
      </c>
      <c r="DT64" s="231">
        <v>28100</v>
      </c>
      <c r="DU64" s="231">
        <v>27500</v>
      </c>
      <c r="DV64" s="228">
        <v>1.08</v>
      </c>
      <c r="DW64" s="228">
        <v>1.29</v>
      </c>
      <c r="DX64" s="228">
        <v>-0.21</v>
      </c>
      <c r="DY64" s="229">
        <v>-0.1628</v>
      </c>
      <c r="DZ64" s="229">
        <v>1.7899999999999999E-2</v>
      </c>
      <c r="EA64" s="228">
        <v>240</v>
      </c>
      <c r="EB64" s="229">
        <v>5.8999999999999999E-3</v>
      </c>
      <c r="EC64" s="229">
        <v>1.7899999999999999E-2</v>
      </c>
      <c r="ED64" s="228">
        <v>124.85</v>
      </c>
      <c r="EE64" s="229">
        <v>4.5999999999999999E-3</v>
      </c>
      <c r="EF64" s="228">
        <v>0</v>
      </c>
      <c r="EG64" s="228">
        <v>0</v>
      </c>
      <c r="EH64" s="229">
        <v>0</v>
      </c>
      <c r="EI64" s="229">
        <v>0</v>
      </c>
      <c r="EJ64" s="231">
        <v>350916.76</v>
      </c>
      <c r="EK64" s="231">
        <v>356304.85</v>
      </c>
      <c r="EL64" s="231">
        <v>9611.25</v>
      </c>
      <c r="EM64" s="228">
        <v>0</v>
      </c>
      <c r="EN64" s="231">
        <v>716832.86</v>
      </c>
      <c r="EO64" s="231">
        <v>711574.78</v>
      </c>
      <c r="EP64" s="231">
        <v>5258.08</v>
      </c>
      <c r="EQ64" s="229">
        <v>7.4000000000000003E-3</v>
      </c>
      <c r="ER64" s="231">
        <v>206003</v>
      </c>
      <c r="ES64" s="231">
        <v>166077</v>
      </c>
      <c r="ET64" s="231">
        <v>15565</v>
      </c>
      <c r="EU64" s="228">
        <v>0</v>
      </c>
      <c r="EV64" s="231">
        <v>387645</v>
      </c>
      <c r="EW64" s="231">
        <v>374640</v>
      </c>
      <c r="EX64" s="231">
        <v>13005</v>
      </c>
      <c r="EY64" s="229">
        <v>3.4700000000000002E-2</v>
      </c>
      <c r="EZ64" s="229">
        <v>0</v>
      </c>
      <c r="FA64" s="227" t="s">
        <v>555</v>
      </c>
      <c r="FB64" s="161">
        <f t="shared" si="0"/>
        <v>1020</v>
      </c>
    </row>
    <row r="65" spans="1:158" ht="17.25" thickBot="1" x14ac:dyDescent="0.3">
      <c r="A65" s="226">
        <v>46086</v>
      </c>
      <c r="B65" s="227" t="s">
        <v>170</v>
      </c>
      <c r="C65" s="227" t="s">
        <v>676</v>
      </c>
      <c r="D65" s="228">
        <v>775</v>
      </c>
      <c r="E65" s="228">
        <v>922.7</v>
      </c>
      <c r="F65" s="228">
        <v>914.95</v>
      </c>
      <c r="G65" s="228">
        <v>7.75</v>
      </c>
      <c r="H65" s="229">
        <v>8.5000000000000006E-3</v>
      </c>
      <c r="I65" s="228">
        <v>920.95</v>
      </c>
      <c r="J65" s="228">
        <v>910.9</v>
      </c>
      <c r="K65" s="228">
        <v>10.050000000000001</v>
      </c>
      <c r="L65" s="229">
        <v>1.0999999999999999E-2</v>
      </c>
      <c r="M65" s="228">
        <v>922.7</v>
      </c>
      <c r="N65" s="228">
        <v>914.95</v>
      </c>
      <c r="O65" s="228">
        <v>7.75</v>
      </c>
      <c r="P65" s="229">
        <v>8.5000000000000006E-3</v>
      </c>
      <c r="Q65" s="228">
        <v>929.3</v>
      </c>
      <c r="R65" s="228">
        <v>920.75</v>
      </c>
      <c r="S65" s="228">
        <v>8.5500000000000007</v>
      </c>
      <c r="T65" s="229">
        <v>9.2999999999999992E-3</v>
      </c>
      <c r="U65" s="228">
        <v>920.1</v>
      </c>
      <c r="V65" s="228">
        <v>929.55</v>
      </c>
      <c r="W65" s="228">
        <v>-9.4499999999999993</v>
      </c>
      <c r="X65" s="229">
        <v>-1.0200000000000001E-2</v>
      </c>
      <c r="Y65" s="228">
        <v>1.75</v>
      </c>
      <c r="Z65" s="228">
        <v>4.05</v>
      </c>
      <c r="AA65" s="228">
        <v>-2.2999999999999998</v>
      </c>
      <c r="AB65" s="229">
        <v>1.9E-3</v>
      </c>
      <c r="AC65" s="228">
        <v>1.75</v>
      </c>
      <c r="AD65" s="228">
        <v>4.05</v>
      </c>
      <c r="AE65" s="228">
        <v>-2.2999999999999998</v>
      </c>
      <c r="AF65" s="229">
        <v>1.9E-3</v>
      </c>
      <c r="AG65" s="228">
        <v>8.35</v>
      </c>
      <c r="AH65" s="228">
        <v>9.85</v>
      </c>
      <c r="AI65" s="228">
        <v>-1.5</v>
      </c>
      <c r="AJ65" s="229">
        <v>9.1000000000000004E-3</v>
      </c>
      <c r="AK65" s="228">
        <v>-0.85</v>
      </c>
      <c r="AL65" s="228">
        <v>18.649999999999999</v>
      </c>
      <c r="AM65" s="228">
        <v>-19.5</v>
      </c>
      <c r="AN65" s="229">
        <v>-8.9999999999999998E-4</v>
      </c>
      <c r="AO65" s="228">
        <v>918.44</v>
      </c>
      <c r="AP65" s="228">
        <v>923.57</v>
      </c>
      <c r="AQ65" s="228">
        <v>0</v>
      </c>
      <c r="AR65" s="230">
        <v>966425</v>
      </c>
      <c r="AS65" s="230">
        <v>1579450</v>
      </c>
      <c r="AT65" s="230">
        <v>-613025</v>
      </c>
      <c r="AU65" s="229">
        <v>-0.3881</v>
      </c>
      <c r="AV65" s="230">
        <v>891250</v>
      </c>
      <c r="AW65" s="230">
        <v>1498850</v>
      </c>
      <c r="AX65" s="230">
        <v>-607600</v>
      </c>
      <c r="AY65" s="229">
        <v>-0.40539999999999998</v>
      </c>
      <c r="AZ65" s="230">
        <v>69750</v>
      </c>
      <c r="BA65" s="230">
        <v>75950</v>
      </c>
      <c r="BB65" s="230">
        <v>-6200</v>
      </c>
      <c r="BC65" s="229">
        <v>-8.1600000000000006E-2</v>
      </c>
      <c r="BD65" s="230">
        <v>5425</v>
      </c>
      <c r="BE65" s="230">
        <v>4650</v>
      </c>
      <c r="BF65" s="228">
        <v>775</v>
      </c>
      <c r="BG65" s="229">
        <v>0.16669999999999999</v>
      </c>
      <c r="BH65" s="230">
        <v>2812475</v>
      </c>
      <c r="BI65" s="230">
        <v>3740925</v>
      </c>
      <c r="BJ65" s="230">
        <v>-928450</v>
      </c>
      <c r="BK65" s="229">
        <v>-0.2482</v>
      </c>
      <c r="BL65" s="230">
        <v>1393450</v>
      </c>
      <c r="BM65" s="230">
        <v>1729025</v>
      </c>
      <c r="BN65" s="230">
        <v>-335575</v>
      </c>
      <c r="BO65" s="229">
        <v>-0.19409999999999999</v>
      </c>
      <c r="BP65" s="230">
        <v>5172350</v>
      </c>
      <c r="BQ65" s="230">
        <v>7049400</v>
      </c>
      <c r="BR65" s="230">
        <v>-1877050</v>
      </c>
      <c r="BS65" s="229">
        <v>-0.26629999999999998</v>
      </c>
      <c r="BT65" s="230">
        <v>989481</v>
      </c>
      <c r="BU65" s="230">
        <v>2160881</v>
      </c>
      <c r="BV65" s="230">
        <v>-1171400</v>
      </c>
      <c r="BW65" s="229">
        <v>-0.54210000000000003</v>
      </c>
      <c r="BX65" s="230">
        <v>11293300</v>
      </c>
      <c r="BY65" s="230">
        <v>11315775</v>
      </c>
      <c r="BZ65" s="230">
        <v>-22475</v>
      </c>
      <c r="CA65" s="229">
        <v>-2E-3</v>
      </c>
      <c r="CB65" s="230">
        <v>11129000</v>
      </c>
      <c r="CC65" s="230">
        <v>11184025</v>
      </c>
      <c r="CD65" s="230">
        <v>-55025</v>
      </c>
      <c r="CE65" s="229">
        <v>-4.8999999999999998E-3</v>
      </c>
      <c r="CF65" s="230">
        <v>151125</v>
      </c>
      <c r="CG65" s="230">
        <v>121675</v>
      </c>
      <c r="CH65" s="230">
        <v>29450</v>
      </c>
      <c r="CI65" s="229">
        <v>0.24199999999999999</v>
      </c>
      <c r="CJ65" s="230">
        <v>13175</v>
      </c>
      <c r="CK65" s="230">
        <v>10075</v>
      </c>
      <c r="CL65" s="230">
        <v>3100</v>
      </c>
      <c r="CM65" s="229">
        <v>0.30769999999999997</v>
      </c>
      <c r="CN65" s="230">
        <v>3658000</v>
      </c>
      <c r="CO65" s="230">
        <v>3228650</v>
      </c>
      <c r="CP65" s="230">
        <v>429350</v>
      </c>
      <c r="CQ65" s="229">
        <v>0.13300000000000001</v>
      </c>
      <c r="CR65" s="230">
        <v>1691825</v>
      </c>
      <c r="CS65" s="230">
        <v>1674775</v>
      </c>
      <c r="CT65" s="230">
        <v>17050</v>
      </c>
      <c r="CU65" s="229">
        <v>1.0200000000000001E-2</v>
      </c>
      <c r="CV65" s="230">
        <v>16643125</v>
      </c>
      <c r="CW65" s="230">
        <v>16219200</v>
      </c>
      <c r="CX65" s="230">
        <v>423925</v>
      </c>
      <c r="CY65" s="229">
        <v>2.6100000000000002E-2</v>
      </c>
      <c r="CZ65" s="228">
        <v>27.93</v>
      </c>
      <c r="DA65" s="228">
        <v>30.8</v>
      </c>
      <c r="DB65" s="228">
        <v>-2.87</v>
      </c>
      <c r="DC65" s="228">
        <v>-2.87</v>
      </c>
      <c r="DD65" s="228">
        <v>34.56</v>
      </c>
      <c r="DE65" s="228">
        <v>34.619999999999997</v>
      </c>
      <c r="DF65" s="228">
        <v>-6.63</v>
      </c>
      <c r="DG65" s="228">
        <v>-0.06</v>
      </c>
      <c r="DH65" s="228">
        <v>27.61</v>
      </c>
      <c r="DI65" s="228">
        <v>30.11</v>
      </c>
      <c r="DJ65" s="228">
        <v>-2.5</v>
      </c>
      <c r="DK65" s="228">
        <v>-2.5</v>
      </c>
      <c r="DL65" s="228">
        <v>28.58</v>
      </c>
      <c r="DM65" s="228">
        <v>32.299999999999997</v>
      </c>
      <c r="DN65" s="228">
        <v>-3.72</v>
      </c>
      <c r="DO65" s="228">
        <v>-3.72</v>
      </c>
      <c r="DP65" s="228">
        <v>0.46</v>
      </c>
      <c r="DQ65" s="228">
        <v>0.52</v>
      </c>
      <c r="DR65" s="228">
        <v>-0.06</v>
      </c>
      <c r="DS65" s="229">
        <v>-0.1154</v>
      </c>
      <c r="DT65" s="231">
        <v>1000</v>
      </c>
      <c r="DU65" s="228">
        <v>900</v>
      </c>
      <c r="DV65" s="228">
        <v>0.5</v>
      </c>
      <c r="DW65" s="228">
        <v>0.46</v>
      </c>
      <c r="DX65" s="228">
        <v>0.04</v>
      </c>
      <c r="DY65" s="229">
        <v>8.6999999999999994E-2</v>
      </c>
      <c r="DZ65" s="229">
        <v>1.4500000000000001E-2</v>
      </c>
      <c r="EA65" s="230">
        <v>131750</v>
      </c>
      <c r="EB65" s="229">
        <v>7.1999999999999998E-3</v>
      </c>
      <c r="EC65" s="229">
        <v>1.4500000000000001E-2</v>
      </c>
      <c r="ED65" s="228">
        <v>5.13</v>
      </c>
      <c r="EE65" s="229">
        <v>5.5999999999999999E-3</v>
      </c>
      <c r="EF65" s="230">
        <v>545751</v>
      </c>
      <c r="EG65" s="230">
        <v>1321697</v>
      </c>
      <c r="EH65" s="229">
        <v>-0.58709999999999996</v>
      </c>
      <c r="EI65" s="229">
        <v>0.55159999999999998</v>
      </c>
      <c r="EJ65" s="231">
        <v>27150.03</v>
      </c>
      <c r="EK65" s="231">
        <v>12820.85</v>
      </c>
      <c r="EL65" s="231">
        <v>8880.27</v>
      </c>
      <c r="EM65" s="231">
        <v>3341</v>
      </c>
      <c r="EN65" s="231">
        <v>48851.15</v>
      </c>
      <c r="EO65" s="231">
        <v>66664.479999999996</v>
      </c>
      <c r="EP65" s="231">
        <v>-17813.330000000002</v>
      </c>
      <c r="EQ65" s="229">
        <v>-0.26719999999999999</v>
      </c>
      <c r="ER65" s="231">
        <v>35532</v>
      </c>
      <c r="ES65" s="231">
        <v>15469</v>
      </c>
      <c r="ET65" s="231">
        <v>104213</v>
      </c>
      <c r="EU65" s="231">
        <v>77949604</v>
      </c>
      <c r="EV65" s="231">
        <v>155214</v>
      </c>
      <c r="EW65" s="231">
        <v>150388</v>
      </c>
      <c r="EX65" s="231">
        <v>4826</v>
      </c>
      <c r="EY65" s="229">
        <v>3.2099999999999997E-2</v>
      </c>
      <c r="EZ65" s="229">
        <v>0.2135</v>
      </c>
      <c r="FA65" s="227" t="s">
        <v>556</v>
      </c>
      <c r="FB65" s="161">
        <f t="shared" si="0"/>
        <v>164300</v>
      </c>
    </row>
    <row r="66" spans="1:158" ht="17.25" thickBot="1" x14ac:dyDescent="0.3">
      <c r="A66" s="226">
        <v>46086</v>
      </c>
      <c r="B66" s="227" t="s">
        <v>193</v>
      </c>
      <c r="C66" s="227" t="s">
        <v>213</v>
      </c>
      <c r="D66" s="228">
        <v>3150</v>
      </c>
      <c r="E66" s="228">
        <v>156.94</v>
      </c>
      <c r="F66" s="228">
        <v>154.97999999999999</v>
      </c>
      <c r="G66" s="228">
        <v>1.96</v>
      </c>
      <c r="H66" s="229">
        <v>1.26E-2</v>
      </c>
      <c r="I66" s="228">
        <v>156.72999999999999</v>
      </c>
      <c r="J66" s="228">
        <v>154.61000000000001</v>
      </c>
      <c r="K66" s="228">
        <v>2.12</v>
      </c>
      <c r="L66" s="229">
        <v>1.37E-2</v>
      </c>
      <c r="M66" s="228">
        <v>156.94</v>
      </c>
      <c r="N66" s="228">
        <v>154.97999999999999</v>
      </c>
      <c r="O66" s="228">
        <v>1.96</v>
      </c>
      <c r="P66" s="229">
        <v>1.26E-2</v>
      </c>
      <c r="Q66" s="228">
        <v>157.87</v>
      </c>
      <c r="R66" s="228">
        <v>156.04</v>
      </c>
      <c r="S66" s="228">
        <v>1.83</v>
      </c>
      <c r="T66" s="229">
        <v>1.17E-2</v>
      </c>
      <c r="U66" s="228">
        <v>159.05000000000001</v>
      </c>
      <c r="V66" s="228">
        <v>157.06</v>
      </c>
      <c r="W66" s="228">
        <v>1.99</v>
      </c>
      <c r="X66" s="229">
        <v>1.2699999999999999E-2</v>
      </c>
      <c r="Y66" s="228">
        <v>0.21</v>
      </c>
      <c r="Z66" s="228">
        <v>0.37</v>
      </c>
      <c r="AA66" s="228">
        <v>-0.16</v>
      </c>
      <c r="AB66" s="229">
        <v>1.2999999999999999E-3</v>
      </c>
      <c r="AC66" s="228">
        <v>0.21</v>
      </c>
      <c r="AD66" s="228">
        <v>0.37</v>
      </c>
      <c r="AE66" s="228">
        <v>-0.16</v>
      </c>
      <c r="AF66" s="229">
        <v>1.2999999999999999E-3</v>
      </c>
      <c r="AG66" s="228">
        <v>1.1399999999999999</v>
      </c>
      <c r="AH66" s="228">
        <v>1.43</v>
      </c>
      <c r="AI66" s="228">
        <v>-0.28999999999999998</v>
      </c>
      <c r="AJ66" s="229">
        <v>7.3000000000000001E-3</v>
      </c>
      <c r="AK66" s="228">
        <v>2.3199999999999998</v>
      </c>
      <c r="AL66" s="228">
        <v>2.4500000000000002</v>
      </c>
      <c r="AM66" s="228">
        <v>-0.13</v>
      </c>
      <c r="AN66" s="229">
        <v>1.4800000000000001E-2</v>
      </c>
      <c r="AO66" s="228">
        <v>156.54</v>
      </c>
      <c r="AP66" s="228">
        <v>157.49</v>
      </c>
      <c r="AQ66" s="228">
        <v>0</v>
      </c>
      <c r="AR66" s="230">
        <v>33919200</v>
      </c>
      <c r="AS66" s="230">
        <v>43933050</v>
      </c>
      <c r="AT66" s="230">
        <v>-10013850</v>
      </c>
      <c r="AU66" s="229">
        <v>-0.22789999999999999</v>
      </c>
      <c r="AV66" s="230">
        <v>31852800</v>
      </c>
      <c r="AW66" s="230">
        <v>40023900</v>
      </c>
      <c r="AX66" s="230">
        <v>-8171100</v>
      </c>
      <c r="AY66" s="229">
        <v>-0.20419999999999999</v>
      </c>
      <c r="AZ66" s="230">
        <v>1836450</v>
      </c>
      <c r="BA66" s="230">
        <v>3556350</v>
      </c>
      <c r="BB66" s="230">
        <v>-1719900</v>
      </c>
      <c r="BC66" s="229">
        <v>-0.48359999999999997</v>
      </c>
      <c r="BD66" s="230">
        <v>229950</v>
      </c>
      <c r="BE66" s="230">
        <v>352800</v>
      </c>
      <c r="BF66" s="230">
        <v>-122850</v>
      </c>
      <c r="BG66" s="229">
        <v>-0.34820000000000001</v>
      </c>
      <c r="BH66" s="230">
        <v>40171950</v>
      </c>
      <c r="BI66" s="230">
        <v>73253250</v>
      </c>
      <c r="BJ66" s="230">
        <v>-33081300</v>
      </c>
      <c r="BK66" s="229">
        <v>-0.4516</v>
      </c>
      <c r="BL66" s="230">
        <v>37318050</v>
      </c>
      <c r="BM66" s="230">
        <v>106920450</v>
      </c>
      <c r="BN66" s="230">
        <v>-69602400</v>
      </c>
      <c r="BO66" s="229">
        <v>-0.65100000000000002</v>
      </c>
      <c r="BP66" s="230">
        <v>111409200</v>
      </c>
      <c r="BQ66" s="230">
        <v>224106750</v>
      </c>
      <c r="BR66" s="230">
        <v>-112697550</v>
      </c>
      <c r="BS66" s="229">
        <v>-0.50290000000000001</v>
      </c>
      <c r="BT66" s="230">
        <v>20540578</v>
      </c>
      <c r="BU66" s="230">
        <v>32709086</v>
      </c>
      <c r="BV66" s="230">
        <v>-12168508</v>
      </c>
      <c r="BW66" s="229">
        <v>-0.372</v>
      </c>
      <c r="BX66" s="230">
        <v>95980500</v>
      </c>
      <c r="BY66" s="230">
        <v>95193000</v>
      </c>
      <c r="BZ66" s="230">
        <v>787500</v>
      </c>
      <c r="CA66" s="229">
        <v>8.3000000000000001E-3</v>
      </c>
      <c r="CB66" s="230">
        <v>90483750</v>
      </c>
      <c r="CC66" s="230">
        <v>90108900</v>
      </c>
      <c r="CD66" s="230">
        <v>374850</v>
      </c>
      <c r="CE66" s="229">
        <v>4.1999999999999997E-3</v>
      </c>
      <c r="CF66" s="230">
        <v>5134500</v>
      </c>
      <c r="CG66" s="230">
        <v>4765950</v>
      </c>
      <c r="CH66" s="230">
        <v>368550</v>
      </c>
      <c r="CI66" s="229">
        <v>7.7299999999999994E-2</v>
      </c>
      <c r="CJ66" s="230">
        <v>362250</v>
      </c>
      <c r="CK66" s="230">
        <v>318150</v>
      </c>
      <c r="CL66" s="230">
        <v>44100</v>
      </c>
      <c r="CM66" s="229">
        <v>0.1386</v>
      </c>
      <c r="CN66" s="230">
        <v>33207300</v>
      </c>
      <c r="CO66" s="230">
        <v>30353400</v>
      </c>
      <c r="CP66" s="230">
        <v>2853900</v>
      </c>
      <c r="CQ66" s="229">
        <v>9.4E-2</v>
      </c>
      <c r="CR66" s="230">
        <v>40486950</v>
      </c>
      <c r="CS66" s="230">
        <v>40493250</v>
      </c>
      <c r="CT66" s="230">
        <v>-6300</v>
      </c>
      <c r="CU66" s="229">
        <v>-2.0000000000000001E-4</v>
      </c>
      <c r="CV66" s="230">
        <v>169674750</v>
      </c>
      <c r="CW66" s="230">
        <v>166039650</v>
      </c>
      <c r="CX66" s="230">
        <v>3635100</v>
      </c>
      <c r="CY66" s="229">
        <v>2.1899999999999999E-2</v>
      </c>
      <c r="CZ66" s="228">
        <v>35.020000000000003</v>
      </c>
      <c r="DA66" s="228">
        <v>40.31</v>
      </c>
      <c r="DB66" s="228">
        <v>-5.29</v>
      </c>
      <c r="DC66" s="228">
        <v>-5.29</v>
      </c>
      <c r="DD66" s="228">
        <v>34.03</v>
      </c>
      <c r="DE66" s="228">
        <v>34.07</v>
      </c>
      <c r="DF66" s="228">
        <v>0.99</v>
      </c>
      <c r="DG66" s="228">
        <v>-0.04</v>
      </c>
      <c r="DH66" s="228">
        <v>33.24</v>
      </c>
      <c r="DI66" s="228">
        <v>36.11</v>
      </c>
      <c r="DJ66" s="228">
        <v>-2.87</v>
      </c>
      <c r="DK66" s="228">
        <v>-2.87</v>
      </c>
      <c r="DL66" s="228">
        <v>36.94</v>
      </c>
      <c r="DM66" s="228">
        <v>43.19</v>
      </c>
      <c r="DN66" s="228">
        <v>-6.25</v>
      </c>
      <c r="DO66" s="228">
        <v>-6.25</v>
      </c>
      <c r="DP66" s="228">
        <v>1.22</v>
      </c>
      <c r="DQ66" s="228">
        <v>1.33</v>
      </c>
      <c r="DR66" s="228">
        <v>-0.11</v>
      </c>
      <c r="DS66" s="229">
        <v>-8.2699999999999996E-2</v>
      </c>
      <c r="DT66" s="228">
        <v>170</v>
      </c>
      <c r="DU66" s="228">
        <v>160</v>
      </c>
      <c r="DV66" s="228">
        <v>0.93</v>
      </c>
      <c r="DW66" s="228">
        <v>1.46</v>
      </c>
      <c r="DX66" s="228">
        <v>-0.53</v>
      </c>
      <c r="DY66" s="229">
        <v>-0.36299999999999999</v>
      </c>
      <c r="DZ66" s="229">
        <v>5.7299999999999997E-2</v>
      </c>
      <c r="EA66" s="230">
        <v>5084100</v>
      </c>
      <c r="EB66" s="229">
        <v>5.8999999999999999E-3</v>
      </c>
      <c r="EC66" s="229">
        <v>5.7299999999999997E-2</v>
      </c>
      <c r="ED66" s="228">
        <v>0.95</v>
      </c>
      <c r="EE66" s="229">
        <v>6.1000000000000004E-3</v>
      </c>
      <c r="EF66" s="230">
        <v>10936935</v>
      </c>
      <c r="EG66" s="230">
        <v>17894306</v>
      </c>
      <c r="EH66" s="229">
        <v>-0.38879999999999998</v>
      </c>
      <c r="EI66" s="229">
        <v>0.53249999999999997</v>
      </c>
      <c r="EJ66" s="231">
        <v>67219.31</v>
      </c>
      <c r="EK66" s="231">
        <v>57338.5</v>
      </c>
      <c r="EL66" s="231">
        <v>53120.3</v>
      </c>
      <c r="EM66" s="231">
        <v>6578</v>
      </c>
      <c r="EN66" s="231">
        <v>177678.11</v>
      </c>
      <c r="EO66" s="231">
        <v>359508.25</v>
      </c>
      <c r="EP66" s="231">
        <v>-181830.14</v>
      </c>
      <c r="EQ66" s="229">
        <v>-0.50580000000000003</v>
      </c>
      <c r="ER66" s="231">
        <v>56221</v>
      </c>
      <c r="ES66" s="231">
        <v>64767</v>
      </c>
      <c r="ET66" s="231">
        <v>150687</v>
      </c>
      <c r="EU66" s="231">
        <v>435694919</v>
      </c>
      <c r="EV66" s="231">
        <v>271676</v>
      </c>
      <c r="EW66" s="231">
        <v>264002</v>
      </c>
      <c r="EX66" s="231">
        <v>7674</v>
      </c>
      <c r="EY66" s="229">
        <v>2.9100000000000001E-2</v>
      </c>
      <c r="EZ66" s="229">
        <v>0.38940000000000002</v>
      </c>
      <c r="FA66" s="227" t="s">
        <v>555</v>
      </c>
      <c r="FB66" s="161">
        <f t="shared" si="0"/>
        <v>5496750</v>
      </c>
    </row>
    <row r="67" spans="1:158" ht="17.25" thickBot="1" x14ac:dyDescent="0.3">
      <c r="A67" s="226">
        <v>46086</v>
      </c>
      <c r="B67" s="227" t="s">
        <v>170</v>
      </c>
      <c r="C67" s="227" t="s">
        <v>214</v>
      </c>
      <c r="D67" s="228">
        <v>375</v>
      </c>
      <c r="E67" s="231">
        <v>2111.9</v>
      </c>
      <c r="F67" s="231">
        <v>2048.8000000000002</v>
      </c>
      <c r="G67" s="228">
        <v>63.1</v>
      </c>
      <c r="H67" s="229">
        <v>3.0800000000000001E-2</v>
      </c>
      <c r="I67" s="231">
        <v>2108.9</v>
      </c>
      <c r="J67" s="231">
        <v>2039.7</v>
      </c>
      <c r="K67" s="228">
        <v>69.2</v>
      </c>
      <c r="L67" s="229">
        <v>3.39E-2</v>
      </c>
      <c r="M67" s="231">
        <v>2111.9</v>
      </c>
      <c r="N67" s="231">
        <v>2048.8000000000002</v>
      </c>
      <c r="O67" s="228">
        <v>63.1</v>
      </c>
      <c r="P67" s="229">
        <v>3.0800000000000001E-2</v>
      </c>
      <c r="Q67" s="231">
        <v>2122.1999999999998</v>
      </c>
      <c r="R67" s="231">
        <v>2064</v>
      </c>
      <c r="S67" s="228">
        <v>58.2</v>
      </c>
      <c r="T67" s="229">
        <v>2.8199999999999999E-2</v>
      </c>
      <c r="U67" s="231">
        <v>2108</v>
      </c>
      <c r="V67" s="231">
        <v>2074.4</v>
      </c>
      <c r="W67" s="228">
        <v>33.6</v>
      </c>
      <c r="X67" s="229">
        <v>1.6199999999999999E-2</v>
      </c>
      <c r="Y67" s="228">
        <v>3</v>
      </c>
      <c r="Z67" s="228">
        <v>9.1</v>
      </c>
      <c r="AA67" s="228">
        <v>-6.1</v>
      </c>
      <c r="AB67" s="229">
        <v>1.4E-3</v>
      </c>
      <c r="AC67" s="228">
        <v>3</v>
      </c>
      <c r="AD67" s="228">
        <v>9.1</v>
      </c>
      <c r="AE67" s="228">
        <v>-6.1</v>
      </c>
      <c r="AF67" s="229">
        <v>1.4E-3</v>
      </c>
      <c r="AG67" s="228">
        <v>13.3</v>
      </c>
      <c r="AH67" s="228">
        <v>24.3</v>
      </c>
      <c r="AI67" s="228">
        <v>-11</v>
      </c>
      <c r="AJ67" s="229">
        <v>6.3E-3</v>
      </c>
      <c r="AK67" s="228">
        <v>-0.9</v>
      </c>
      <c r="AL67" s="228">
        <v>34.700000000000003</v>
      </c>
      <c r="AM67" s="228">
        <v>-35.6</v>
      </c>
      <c r="AN67" s="229">
        <v>-4.0000000000000002E-4</v>
      </c>
      <c r="AO67" s="231">
        <v>2095.27</v>
      </c>
      <c r="AP67" s="231">
        <v>2104.02</v>
      </c>
      <c r="AQ67" s="228">
        <v>0</v>
      </c>
      <c r="AR67" s="230">
        <v>1245375</v>
      </c>
      <c r="AS67" s="230">
        <v>1121250</v>
      </c>
      <c r="AT67" s="230">
        <v>124125</v>
      </c>
      <c r="AU67" s="229">
        <v>0.11070000000000001</v>
      </c>
      <c r="AV67" s="230">
        <v>1202250</v>
      </c>
      <c r="AW67" s="230">
        <v>1077375</v>
      </c>
      <c r="AX67" s="230">
        <v>124875</v>
      </c>
      <c r="AY67" s="229">
        <v>0.1159</v>
      </c>
      <c r="AZ67" s="230">
        <v>42000</v>
      </c>
      <c r="BA67" s="230">
        <v>41625</v>
      </c>
      <c r="BB67" s="228">
        <v>375</v>
      </c>
      <c r="BC67" s="229">
        <v>8.9999999999999993E-3</v>
      </c>
      <c r="BD67" s="230">
        <v>1125</v>
      </c>
      <c r="BE67" s="230">
        <v>2250</v>
      </c>
      <c r="BF67" s="230">
        <v>-1125</v>
      </c>
      <c r="BG67" s="229">
        <v>-0.5</v>
      </c>
      <c r="BH67" s="230">
        <v>2125125</v>
      </c>
      <c r="BI67" s="230">
        <v>2356875</v>
      </c>
      <c r="BJ67" s="230">
        <v>-231750</v>
      </c>
      <c r="BK67" s="229">
        <v>-9.8299999999999998E-2</v>
      </c>
      <c r="BL67" s="230">
        <v>679500</v>
      </c>
      <c r="BM67" s="230">
        <v>1183875</v>
      </c>
      <c r="BN67" s="230">
        <v>-504375</v>
      </c>
      <c r="BO67" s="229">
        <v>-0.42599999999999999</v>
      </c>
      <c r="BP67" s="230">
        <v>4050000</v>
      </c>
      <c r="BQ67" s="230">
        <v>4662000</v>
      </c>
      <c r="BR67" s="230">
        <v>-612000</v>
      </c>
      <c r="BS67" s="229">
        <v>-0.1313</v>
      </c>
      <c r="BT67" s="230">
        <v>537775</v>
      </c>
      <c r="BU67" s="230">
        <v>438805</v>
      </c>
      <c r="BV67" s="230">
        <v>98970</v>
      </c>
      <c r="BW67" s="229">
        <v>0.22550000000000001</v>
      </c>
      <c r="BX67" s="230">
        <v>11495625</v>
      </c>
      <c r="BY67" s="230">
        <v>11615250</v>
      </c>
      <c r="BZ67" s="230">
        <v>-119625</v>
      </c>
      <c r="CA67" s="229">
        <v>-1.03E-2</v>
      </c>
      <c r="CB67" s="230">
        <v>11443125</v>
      </c>
      <c r="CC67" s="230">
        <v>11570625</v>
      </c>
      <c r="CD67" s="230">
        <v>-127500</v>
      </c>
      <c r="CE67" s="229">
        <v>-1.0999999999999999E-2</v>
      </c>
      <c r="CF67" s="230">
        <v>45375</v>
      </c>
      <c r="CG67" s="230">
        <v>37875</v>
      </c>
      <c r="CH67" s="230">
        <v>7500</v>
      </c>
      <c r="CI67" s="229">
        <v>0.19800000000000001</v>
      </c>
      <c r="CJ67" s="230">
        <v>7125</v>
      </c>
      <c r="CK67" s="230">
        <v>6750</v>
      </c>
      <c r="CL67" s="228">
        <v>375</v>
      </c>
      <c r="CM67" s="229">
        <v>5.5599999999999997E-2</v>
      </c>
      <c r="CN67" s="230">
        <v>1606125</v>
      </c>
      <c r="CO67" s="230">
        <v>1587375</v>
      </c>
      <c r="CP67" s="230">
        <v>18750</v>
      </c>
      <c r="CQ67" s="229">
        <v>1.18E-2</v>
      </c>
      <c r="CR67" s="230">
        <v>761250</v>
      </c>
      <c r="CS67" s="230">
        <v>747375</v>
      </c>
      <c r="CT67" s="230">
        <v>13875</v>
      </c>
      <c r="CU67" s="229">
        <v>1.8599999999999998E-2</v>
      </c>
      <c r="CV67" s="230">
        <v>13863000</v>
      </c>
      <c r="CW67" s="230">
        <v>13950000</v>
      </c>
      <c r="CX67" s="230">
        <v>-87000</v>
      </c>
      <c r="CY67" s="229">
        <v>-6.1999999999999998E-3</v>
      </c>
      <c r="CZ67" s="228">
        <v>28.71</v>
      </c>
      <c r="DA67" s="228">
        <v>31.55</v>
      </c>
      <c r="DB67" s="228">
        <v>-2.84</v>
      </c>
      <c r="DC67" s="228">
        <v>-2.84</v>
      </c>
      <c r="DD67" s="228">
        <v>34.97</v>
      </c>
      <c r="DE67" s="228">
        <v>34.76</v>
      </c>
      <c r="DF67" s="228">
        <v>-6.26</v>
      </c>
      <c r="DG67" s="228">
        <v>0.21</v>
      </c>
      <c r="DH67" s="228">
        <v>28.23</v>
      </c>
      <c r="DI67" s="228">
        <v>31.2</v>
      </c>
      <c r="DJ67" s="228">
        <v>-2.97</v>
      </c>
      <c r="DK67" s="228">
        <v>-2.97</v>
      </c>
      <c r="DL67" s="228">
        <v>30.19</v>
      </c>
      <c r="DM67" s="228">
        <v>32.26</v>
      </c>
      <c r="DN67" s="228">
        <v>-2.0699999999999998</v>
      </c>
      <c r="DO67" s="228">
        <v>-2.0699999999999998</v>
      </c>
      <c r="DP67" s="228">
        <v>0.47</v>
      </c>
      <c r="DQ67" s="228">
        <v>0.47</v>
      </c>
      <c r="DR67" s="228">
        <v>0</v>
      </c>
      <c r="DS67" s="229">
        <v>0</v>
      </c>
      <c r="DT67" s="231">
        <v>2100</v>
      </c>
      <c r="DU67" s="231">
        <v>2100</v>
      </c>
      <c r="DV67" s="228">
        <v>0.32</v>
      </c>
      <c r="DW67" s="228">
        <v>0.5</v>
      </c>
      <c r="DX67" s="228">
        <v>-0.18</v>
      </c>
      <c r="DY67" s="229">
        <v>-0.36</v>
      </c>
      <c r="DZ67" s="229">
        <v>4.5999999999999999E-3</v>
      </c>
      <c r="EA67" s="230">
        <v>44625</v>
      </c>
      <c r="EB67" s="229">
        <v>4.8999999999999998E-3</v>
      </c>
      <c r="EC67" s="229">
        <v>4.5999999999999999E-3</v>
      </c>
      <c r="ED67" s="228">
        <v>8.75</v>
      </c>
      <c r="EE67" s="229">
        <v>4.1999999999999997E-3</v>
      </c>
      <c r="EF67" s="230">
        <v>252266</v>
      </c>
      <c r="EG67" s="230">
        <v>187108</v>
      </c>
      <c r="EH67" s="229">
        <v>0.34820000000000001</v>
      </c>
      <c r="EI67" s="229">
        <v>0.46910000000000002</v>
      </c>
      <c r="EJ67" s="231">
        <v>46663.15</v>
      </c>
      <c r="EK67" s="231">
        <v>14113.76</v>
      </c>
      <c r="EL67" s="231">
        <v>26097.74</v>
      </c>
      <c r="EM67" s="231">
        <v>4067</v>
      </c>
      <c r="EN67" s="231">
        <v>86874.65</v>
      </c>
      <c r="EO67" s="231">
        <v>99574.8</v>
      </c>
      <c r="EP67" s="231">
        <v>-12700.15</v>
      </c>
      <c r="EQ67" s="229">
        <v>-0.1275</v>
      </c>
      <c r="ER67" s="231">
        <v>34844</v>
      </c>
      <c r="ES67" s="231">
        <v>15537</v>
      </c>
      <c r="ET67" s="231">
        <v>242781</v>
      </c>
      <c r="EU67" s="231">
        <v>22585180</v>
      </c>
      <c r="EV67" s="231">
        <v>293162</v>
      </c>
      <c r="EW67" s="231">
        <v>287599</v>
      </c>
      <c r="EX67" s="231">
        <v>5563</v>
      </c>
      <c r="EY67" s="229">
        <v>1.9300000000000001E-2</v>
      </c>
      <c r="EZ67" s="229">
        <v>0.61380000000000001</v>
      </c>
      <c r="FA67" s="227" t="s">
        <v>556</v>
      </c>
      <c r="FB67" s="161">
        <f t="shared" ref="FB67:FB130" si="1">BX67-CB67</f>
        <v>52500</v>
      </c>
    </row>
    <row r="68" spans="1:158" ht="17.25" thickBot="1" x14ac:dyDescent="0.3">
      <c r="A68" s="226">
        <v>46086</v>
      </c>
      <c r="B68" s="227" t="s">
        <v>215</v>
      </c>
      <c r="C68" s="227" t="s">
        <v>631</v>
      </c>
      <c r="D68" s="228">
        <v>6975</v>
      </c>
      <c r="E68" s="228">
        <v>98.33</v>
      </c>
      <c r="F68" s="228">
        <v>95.38</v>
      </c>
      <c r="G68" s="228">
        <v>2.95</v>
      </c>
      <c r="H68" s="229">
        <v>3.09E-2</v>
      </c>
      <c r="I68" s="228">
        <v>97.98</v>
      </c>
      <c r="J68" s="228">
        <v>95.2</v>
      </c>
      <c r="K68" s="228">
        <v>2.78</v>
      </c>
      <c r="L68" s="229">
        <v>2.92E-2</v>
      </c>
      <c r="M68" s="228">
        <v>98.33</v>
      </c>
      <c r="N68" s="228">
        <v>95.38</v>
      </c>
      <c r="O68" s="228">
        <v>2.95</v>
      </c>
      <c r="P68" s="229">
        <v>3.09E-2</v>
      </c>
      <c r="Q68" s="228">
        <v>99.01</v>
      </c>
      <c r="R68" s="228">
        <v>95.96</v>
      </c>
      <c r="S68" s="228">
        <v>3.05</v>
      </c>
      <c r="T68" s="229">
        <v>3.1800000000000002E-2</v>
      </c>
      <c r="U68" s="228">
        <v>99.09</v>
      </c>
      <c r="V68" s="228">
        <v>96.5</v>
      </c>
      <c r="W68" s="228">
        <v>2.59</v>
      </c>
      <c r="X68" s="229">
        <v>2.6800000000000001E-2</v>
      </c>
      <c r="Y68" s="228">
        <v>0.35</v>
      </c>
      <c r="Z68" s="228">
        <v>0.18</v>
      </c>
      <c r="AA68" s="228">
        <v>0.17</v>
      </c>
      <c r="AB68" s="229">
        <v>3.5999999999999999E-3</v>
      </c>
      <c r="AC68" s="228">
        <v>0.35</v>
      </c>
      <c r="AD68" s="228">
        <v>0.18</v>
      </c>
      <c r="AE68" s="228">
        <v>0.17</v>
      </c>
      <c r="AF68" s="229">
        <v>3.5999999999999999E-3</v>
      </c>
      <c r="AG68" s="228">
        <v>1.03</v>
      </c>
      <c r="AH68" s="228">
        <v>0.76</v>
      </c>
      <c r="AI68" s="228">
        <v>0.27</v>
      </c>
      <c r="AJ68" s="229">
        <v>1.0500000000000001E-2</v>
      </c>
      <c r="AK68" s="228">
        <v>1.1100000000000001</v>
      </c>
      <c r="AL68" s="228">
        <v>1.3</v>
      </c>
      <c r="AM68" s="228">
        <v>-0.19</v>
      </c>
      <c r="AN68" s="229">
        <v>1.1299999999999999E-2</v>
      </c>
      <c r="AO68" s="228">
        <v>97.31</v>
      </c>
      <c r="AP68" s="228">
        <v>98.02</v>
      </c>
      <c r="AQ68" s="228">
        <v>0</v>
      </c>
      <c r="AR68" s="230">
        <v>23122125</v>
      </c>
      <c r="AS68" s="230">
        <v>27251325</v>
      </c>
      <c r="AT68" s="230">
        <v>-4129200</v>
      </c>
      <c r="AU68" s="229">
        <v>-0.1515</v>
      </c>
      <c r="AV68" s="230">
        <v>21573675</v>
      </c>
      <c r="AW68" s="230">
        <v>24810075</v>
      </c>
      <c r="AX68" s="230">
        <v>-3236400</v>
      </c>
      <c r="AY68" s="229">
        <v>-0.13039999999999999</v>
      </c>
      <c r="AZ68" s="230">
        <v>1116000</v>
      </c>
      <c r="BA68" s="230">
        <v>1869300</v>
      </c>
      <c r="BB68" s="230">
        <v>-753300</v>
      </c>
      <c r="BC68" s="229">
        <v>-0.40300000000000002</v>
      </c>
      <c r="BD68" s="230">
        <v>432450</v>
      </c>
      <c r="BE68" s="230">
        <v>571950</v>
      </c>
      <c r="BF68" s="230">
        <v>-139500</v>
      </c>
      <c r="BG68" s="229">
        <v>-0.24390000000000001</v>
      </c>
      <c r="BH68" s="230">
        <v>27139725</v>
      </c>
      <c r="BI68" s="230">
        <v>35551575</v>
      </c>
      <c r="BJ68" s="230">
        <v>-8411850</v>
      </c>
      <c r="BK68" s="229">
        <v>-0.2366</v>
      </c>
      <c r="BL68" s="230">
        <v>18665100</v>
      </c>
      <c r="BM68" s="230">
        <v>40873500</v>
      </c>
      <c r="BN68" s="230">
        <v>-22208400</v>
      </c>
      <c r="BO68" s="229">
        <v>-0.54330000000000001</v>
      </c>
      <c r="BP68" s="230">
        <v>68926950</v>
      </c>
      <c r="BQ68" s="230">
        <v>103676400</v>
      </c>
      <c r="BR68" s="230">
        <v>-34749450</v>
      </c>
      <c r="BS68" s="229">
        <v>-0.3352</v>
      </c>
      <c r="BT68" s="230">
        <v>22736777</v>
      </c>
      <c r="BU68" s="230">
        <v>13937168</v>
      </c>
      <c r="BV68" s="230">
        <v>8799609</v>
      </c>
      <c r="BW68" s="229">
        <v>0.63139999999999996</v>
      </c>
      <c r="BX68" s="230">
        <v>146977200</v>
      </c>
      <c r="BY68" s="230">
        <v>148581450</v>
      </c>
      <c r="BZ68" s="230">
        <v>-1604250</v>
      </c>
      <c r="CA68" s="229">
        <v>-1.0800000000000001E-2</v>
      </c>
      <c r="CB68" s="230">
        <v>143761725</v>
      </c>
      <c r="CC68" s="230">
        <v>145477575</v>
      </c>
      <c r="CD68" s="230">
        <v>-1715850</v>
      </c>
      <c r="CE68" s="229">
        <v>-1.18E-2</v>
      </c>
      <c r="CF68" s="230">
        <v>2587725</v>
      </c>
      <c r="CG68" s="230">
        <v>2385450</v>
      </c>
      <c r="CH68" s="230">
        <v>202275</v>
      </c>
      <c r="CI68" s="229">
        <v>8.48E-2</v>
      </c>
      <c r="CJ68" s="230">
        <v>627750</v>
      </c>
      <c r="CK68" s="230">
        <v>718425</v>
      </c>
      <c r="CL68" s="230">
        <v>-90675</v>
      </c>
      <c r="CM68" s="229">
        <v>-0.12620000000000001</v>
      </c>
      <c r="CN68" s="230">
        <v>51384825</v>
      </c>
      <c r="CO68" s="230">
        <v>51545250</v>
      </c>
      <c r="CP68" s="230">
        <v>-160425</v>
      </c>
      <c r="CQ68" s="229">
        <v>-3.0999999999999999E-3</v>
      </c>
      <c r="CR68" s="230">
        <v>36493200</v>
      </c>
      <c r="CS68" s="230">
        <v>35460900</v>
      </c>
      <c r="CT68" s="230">
        <v>1032300</v>
      </c>
      <c r="CU68" s="229">
        <v>2.9100000000000001E-2</v>
      </c>
      <c r="CV68" s="230">
        <v>234855225</v>
      </c>
      <c r="CW68" s="230">
        <v>235587600</v>
      </c>
      <c r="CX68" s="230">
        <v>-732375</v>
      </c>
      <c r="CY68" s="229">
        <v>-3.0999999999999999E-3</v>
      </c>
      <c r="CZ68" s="228">
        <v>31.78</v>
      </c>
      <c r="DA68" s="228">
        <v>36.01</v>
      </c>
      <c r="DB68" s="228">
        <v>-4.2300000000000004</v>
      </c>
      <c r="DC68" s="228">
        <v>-4.2300000000000004</v>
      </c>
      <c r="DD68" s="228">
        <v>37.85</v>
      </c>
      <c r="DE68" s="228">
        <v>37.72</v>
      </c>
      <c r="DF68" s="228">
        <v>-6.07</v>
      </c>
      <c r="DG68" s="228">
        <v>0.13</v>
      </c>
      <c r="DH68" s="228">
        <v>30.96</v>
      </c>
      <c r="DI68" s="228">
        <v>35</v>
      </c>
      <c r="DJ68" s="228">
        <v>-4.04</v>
      </c>
      <c r="DK68" s="228">
        <v>-4.04</v>
      </c>
      <c r="DL68" s="228">
        <v>32.96</v>
      </c>
      <c r="DM68" s="228">
        <v>36.9</v>
      </c>
      <c r="DN68" s="228">
        <v>-3.94</v>
      </c>
      <c r="DO68" s="228">
        <v>-3.94</v>
      </c>
      <c r="DP68" s="228">
        <v>0.71</v>
      </c>
      <c r="DQ68" s="228">
        <v>0.69</v>
      </c>
      <c r="DR68" s="228">
        <v>0.02</v>
      </c>
      <c r="DS68" s="229">
        <v>2.9000000000000001E-2</v>
      </c>
      <c r="DT68" s="228">
        <v>105</v>
      </c>
      <c r="DU68" s="228">
        <v>95</v>
      </c>
      <c r="DV68" s="228">
        <v>0.69</v>
      </c>
      <c r="DW68" s="228">
        <v>1.1499999999999999</v>
      </c>
      <c r="DX68" s="228">
        <v>-0.46</v>
      </c>
      <c r="DY68" s="229">
        <v>-0.4</v>
      </c>
      <c r="DZ68" s="229">
        <v>2.1899999999999999E-2</v>
      </c>
      <c r="EA68" s="230">
        <v>3103875</v>
      </c>
      <c r="EB68" s="229">
        <v>6.8999999999999999E-3</v>
      </c>
      <c r="EC68" s="229">
        <v>2.1899999999999999E-2</v>
      </c>
      <c r="ED68" s="228">
        <v>0.71</v>
      </c>
      <c r="EE68" s="229">
        <v>7.3000000000000001E-3</v>
      </c>
      <c r="EF68" s="230">
        <v>14078084</v>
      </c>
      <c r="EG68" s="230">
        <v>7498173</v>
      </c>
      <c r="EH68" s="229">
        <v>0.87749999999999995</v>
      </c>
      <c r="EI68" s="229">
        <v>0.61919999999999997</v>
      </c>
      <c r="EJ68" s="231">
        <v>28007.23</v>
      </c>
      <c r="EK68" s="231">
        <v>17774.509999999998</v>
      </c>
      <c r="EL68" s="231">
        <v>22513.51</v>
      </c>
      <c r="EM68" s="231">
        <v>3364</v>
      </c>
      <c r="EN68" s="231">
        <v>68295.25</v>
      </c>
      <c r="EO68" s="231">
        <v>100435.7</v>
      </c>
      <c r="EP68" s="231">
        <v>-32140.45</v>
      </c>
      <c r="EQ68" s="229">
        <v>-0.32</v>
      </c>
      <c r="ER68" s="231">
        <v>53656</v>
      </c>
      <c r="ES68" s="231">
        <v>34533</v>
      </c>
      <c r="ET68" s="231">
        <v>144545</v>
      </c>
      <c r="EU68" s="231">
        <v>534704421</v>
      </c>
      <c r="EV68" s="231">
        <v>232734</v>
      </c>
      <c r="EW68" s="231">
        <v>229064</v>
      </c>
      <c r="EX68" s="231">
        <v>3670</v>
      </c>
      <c r="EY68" s="229">
        <v>1.6E-2</v>
      </c>
      <c r="EZ68" s="229">
        <v>0.43919999999999998</v>
      </c>
      <c r="FA68" s="227" t="s">
        <v>556</v>
      </c>
      <c r="FB68" s="161">
        <f t="shared" si="1"/>
        <v>3215475</v>
      </c>
    </row>
    <row r="69" spans="1:158" ht="17.25" thickBot="1" x14ac:dyDescent="0.3">
      <c r="A69" s="226">
        <v>46086</v>
      </c>
      <c r="B69" s="227" t="s">
        <v>168</v>
      </c>
      <c r="C69" s="227" t="s">
        <v>217</v>
      </c>
      <c r="D69" s="228">
        <v>500</v>
      </c>
      <c r="E69" s="231">
        <v>1138.4000000000001</v>
      </c>
      <c r="F69" s="231">
        <v>1142.8</v>
      </c>
      <c r="G69" s="228">
        <v>-4.4000000000000004</v>
      </c>
      <c r="H69" s="229">
        <v>-3.8999999999999998E-3</v>
      </c>
      <c r="I69" s="231">
        <v>1132.4000000000001</v>
      </c>
      <c r="J69" s="231">
        <v>1137.5</v>
      </c>
      <c r="K69" s="228">
        <v>-5.0999999999999996</v>
      </c>
      <c r="L69" s="229">
        <v>-4.4999999999999997E-3</v>
      </c>
      <c r="M69" s="231">
        <v>1138.4000000000001</v>
      </c>
      <c r="N69" s="231">
        <v>1142.8</v>
      </c>
      <c r="O69" s="228">
        <v>-4.4000000000000004</v>
      </c>
      <c r="P69" s="229">
        <v>-3.8999999999999998E-3</v>
      </c>
      <c r="Q69" s="231">
        <v>1145.8</v>
      </c>
      <c r="R69" s="231">
        <v>1149.5999999999999</v>
      </c>
      <c r="S69" s="228">
        <v>-3.8</v>
      </c>
      <c r="T69" s="229">
        <v>-3.3E-3</v>
      </c>
      <c r="U69" s="231">
        <v>1257</v>
      </c>
      <c r="V69" s="231">
        <v>1257</v>
      </c>
      <c r="W69" s="228">
        <v>0</v>
      </c>
      <c r="X69" s="229">
        <v>0</v>
      </c>
      <c r="Y69" s="228">
        <v>6</v>
      </c>
      <c r="Z69" s="228">
        <v>5.3</v>
      </c>
      <c r="AA69" s="228">
        <v>0.7</v>
      </c>
      <c r="AB69" s="229">
        <v>5.3E-3</v>
      </c>
      <c r="AC69" s="228">
        <v>6</v>
      </c>
      <c r="AD69" s="228">
        <v>5.3</v>
      </c>
      <c r="AE69" s="228">
        <v>0.7</v>
      </c>
      <c r="AF69" s="229">
        <v>5.3E-3</v>
      </c>
      <c r="AG69" s="228">
        <v>13.4</v>
      </c>
      <c r="AH69" s="228">
        <v>12.1</v>
      </c>
      <c r="AI69" s="228">
        <v>1.3</v>
      </c>
      <c r="AJ69" s="229">
        <v>1.18E-2</v>
      </c>
      <c r="AK69" s="228">
        <v>124.6</v>
      </c>
      <c r="AL69" s="228">
        <v>119.5</v>
      </c>
      <c r="AM69" s="228">
        <v>5.0999999999999996</v>
      </c>
      <c r="AN69" s="229">
        <v>0.11</v>
      </c>
      <c r="AO69" s="231">
        <v>1135.54</v>
      </c>
      <c r="AP69" s="231">
        <v>1140.8800000000001</v>
      </c>
      <c r="AQ69" s="228">
        <v>0</v>
      </c>
      <c r="AR69" s="230">
        <v>1319500</v>
      </c>
      <c r="AS69" s="230">
        <v>2323000</v>
      </c>
      <c r="AT69" s="230">
        <v>-1003500</v>
      </c>
      <c r="AU69" s="229">
        <v>-0.432</v>
      </c>
      <c r="AV69" s="230">
        <v>1290000</v>
      </c>
      <c r="AW69" s="230">
        <v>2282500</v>
      </c>
      <c r="AX69" s="230">
        <v>-992500</v>
      </c>
      <c r="AY69" s="229">
        <v>-0.43480000000000002</v>
      </c>
      <c r="AZ69" s="230">
        <v>29500</v>
      </c>
      <c r="BA69" s="230">
        <v>40500</v>
      </c>
      <c r="BB69" s="230">
        <v>-11000</v>
      </c>
      <c r="BC69" s="229">
        <v>-0.27160000000000001</v>
      </c>
      <c r="BD69" s="228">
        <v>0</v>
      </c>
      <c r="BE69" s="228">
        <v>0</v>
      </c>
      <c r="BF69" s="228">
        <v>0</v>
      </c>
      <c r="BG69" s="229">
        <v>0</v>
      </c>
      <c r="BH69" s="230">
        <v>902000</v>
      </c>
      <c r="BI69" s="230">
        <v>2136000</v>
      </c>
      <c r="BJ69" s="230">
        <v>-1234000</v>
      </c>
      <c r="BK69" s="229">
        <v>-0.57769999999999999</v>
      </c>
      <c r="BL69" s="230">
        <v>646500</v>
      </c>
      <c r="BM69" s="230">
        <v>1662500</v>
      </c>
      <c r="BN69" s="230">
        <v>-1016000</v>
      </c>
      <c r="BO69" s="229">
        <v>-0.61109999999999998</v>
      </c>
      <c r="BP69" s="230">
        <v>2868000</v>
      </c>
      <c r="BQ69" s="230">
        <v>6121500</v>
      </c>
      <c r="BR69" s="230">
        <v>-3253500</v>
      </c>
      <c r="BS69" s="229">
        <v>-0.53149999999999997</v>
      </c>
      <c r="BT69" s="230">
        <v>1933067</v>
      </c>
      <c r="BU69" s="230">
        <v>1807394</v>
      </c>
      <c r="BV69" s="230">
        <v>125673</v>
      </c>
      <c r="BW69" s="229">
        <v>6.9500000000000006E-2</v>
      </c>
      <c r="BX69" s="230">
        <v>8433000</v>
      </c>
      <c r="BY69" s="230">
        <v>8308000</v>
      </c>
      <c r="BZ69" s="230">
        <v>125000</v>
      </c>
      <c r="CA69" s="229">
        <v>1.4999999999999999E-2</v>
      </c>
      <c r="CB69" s="230">
        <v>8389500</v>
      </c>
      <c r="CC69" s="230">
        <v>8272500</v>
      </c>
      <c r="CD69" s="230">
        <v>117000</v>
      </c>
      <c r="CE69" s="229">
        <v>1.41E-2</v>
      </c>
      <c r="CF69" s="230">
        <v>43000</v>
      </c>
      <c r="CG69" s="230">
        <v>35000</v>
      </c>
      <c r="CH69" s="230">
        <v>8000</v>
      </c>
      <c r="CI69" s="229">
        <v>0.2286</v>
      </c>
      <c r="CJ69" s="228">
        <v>500</v>
      </c>
      <c r="CK69" s="228">
        <v>500</v>
      </c>
      <c r="CL69" s="228">
        <v>0</v>
      </c>
      <c r="CM69" s="229">
        <v>0</v>
      </c>
      <c r="CN69" s="230">
        <v>1262500</v>
      </c>
      <c r="CO69" s="230">
        <v>1165500</v>
      </c>
      <c r="CP69" s="230">
        <v>97000</v>
      </c>
      <c r="CQ69" s="229">
        <v>8.3199999999999996E-2</v>
      </c>
      <c r="CR69" s="230">
        <v>1072000</v>
      </c>
      <c r="CS69" s="230">
        <v>907000</v>
      </c>
      <c r="CT69" s="230">
        <v>165000</v>
      </c>
      <c r="CU69" s="229">
        <v>0.18190000000000001</v>
      </c>
      <c r="CV69" s="230">
        <v>10767500</v>
      </c>
      <c r="CW69" s="230">
        <v>10380500</v>
      </c>
      <c r="CX69" s="230">
        <v>387000</v>
      </c>
      <c r="CY69" s="229">
        <v>3.73E-2</v>
      </c>
      <c r="CZ69" s="228">
        <v>24.05</v>
      </c>
      <c r="DA69" s="228">
        <v>26.98</v>
      </c>
      <c r="DB69" s="228">
        <v>-2.93</v>
      </c>
      <c r="DC69" s="228">
        <v>-2.93</v>
      </c>
      <c r="DD69" s="228">
        <v>28.35</v>
      </c>
      <c r="DE69" s="228">
        <v>28.41</v>
      </c>
      <c r="DF69" s="228">
        <v>-4.3</v>
      </c>
      <c r="DG69" s="228">
        <v>-0.06</v>
      </c>
      <c r="DH69" s="228">
        <v>24.28</v>
      </c>
      <c r="DI69" s="228">
        <v>26.7</v>
      </c>
      <c r="DJ69" s="228">
        <v>-2.42</v>
      </c>
      <c r="DK69" s="228">
        <v>-2.42</v>
      </c>
      <c r="DL69" s="228">
        <v>23.73</v>
      </c>
      <c r="DM69" s="228">
        <v>27.33</v>
      </c>
      <c r="DN69" s="228">
        <v>-3.6</v>
      </c>
      <c r="DO69" s="228">
        <v>-3.6</v>
      </c>
      <c r="DP69" s="228">
        <v>0.85</v>
      </c>
      <c r="DQ69" s="228">
        <v>0.78</v>
      </c>
      <c r="DR69" s="228">
        <v>7.0000000000000007E-2</v>
      </c>
      <c r="DS69" s="229">
        <v>8.9700000000000002E-2</v>
      </c>
      <c r="DT69" s="231">
        <v>1180</v>
      </c>
      <c r="DU69" s="231">
        <v>1180</v>
      </c>
      <c r="DV69" s="228">
        <v>0.72</v>
      </c>
      <c r="DW69" s="228">
        <v>0.78</v>
      </c>
      <c r="DX69" s="228">
        <v>-0.06</v>
      </c>
      <c r="DY69" s="229">
        <v>-7.6899999999999996E-2</v>
      </c>
      <c r="DZ69" s="229">
        <v>5.1999999999999998E-3</v>
      </c>
      <c r="EA69" s="230">
        <v>35500</v>
      </c>
      <c r="EB69" s="229">
        <v>6.4999999999999997E-3</v>
      </c>
      <c r="EC69" s="229">
        <v>5.1999999999999998E-3</v>
      </c>
      <c r="ED69" s="228">
        <v>5.34</v>
      </c>
      <c r="EE69" s="229">
        <v>4.7000000000000002E-3</v>
      </c>
      <c r="EF69" s="230">
        <v>1597958</v>
      </c>
      <c r="EG69" s="230">
        <v>1129160</v>
      </c>
      <c r="EH69" s="229">
        <v>0.41520000000000001</v>
      </c>
      <c r="EI69" s="229">
        <v>0.8266</v>
      </c>
      <c r="EJ69" s="231">
        <v>10884.77</v>
      </c>
      <c r="EK69" s="231">
        <v>7593.25</v>
      </c>
      <c r="EL69" s="231">
        <v>14985.04</v>
      </c>
      <c r="EM69" s="231">
        <v>2737</v>
      </c>
      <c r="EN69" s="231">
        <v>33463.06</v>
      </c>
      <c r="EO69" s="231">
        <v>71935.539999999994</v>
      </c>
      <c r="EP69" s="231">
        <v>-38472.480000000003</v>
      </c>
      <c r="EQ69" s="229">
        <v>-0.53480000000000005</v>
      </c>
      <c r="ER69" s="231">
        <v>15428</v>
      </c>
      <c r="ES69" s="231">
        <v>12396</v>
      </c>
      <c r="ET69" s="231">
        <v>96005</v>
      </c>
      <c r="EU69" s="231">
        <v>72031016</v>
      </c>
      <c r="EV69" s="231">
        <v>123829</v>
      </c>
      <c r="EW69" s="231">
        <v>119732</v>
      </c>
      <c r="EX69" s="231">
        <v>4097</v>
      </c>
      <c r="EY69" s="229">
        <v>3.4200000000000001E-2</v>
      </c>
      <c r="EZ69" s="229">
        <v>0.14949999999999999</v>
      </c>
      <c r="FA69" s="227" t="s">
        <v>567</v>
      </c>
      <c r="FB69" s="161">
        <f t="shared" si="1"/>
        <v>43500</v>
      </c>
    </row>
    <row r="70" spans="1:158" ht="17.25" thickBot="1" x14ac:dyDescent="0.3">
      <c r="A70" s="226">
        <v>46086</v>
      </c>
      <c r="B70" s="227" t="s">
        <v>206</v>
      </c>
      <c r="C70" s="227" t="s">
        <v>218</v>
      </c>
      <c r="D70" s="228">
        <v>275</v>
      </c>
      <c r="E70" s="231">
        <v>1745.5</v>
      </c>
      <c r="F70" s="231">
        <v>1695.9</v>
      </c>
      <c r="G70" s="228">
        <v>49.6</v>
      </c>
      <c r="H70" s="229">
        <v>2.92E-2</v>
      </c>
      <c r="I70" s="231">
        <v>1743.8</v>
      </c>
      <c r="J70" s="231">
        <v>1693.7</v>
      </c>
      <c r="K70" s="228">
        <v>50.1</v>
      </c>
      <c r="L70" s="229">
        <v>2.9600000000000001E-2</v>
      </c>
      <c r="M70" s="231">
        <v>1745.5</v>
      </c>
      <c r="N70" s="231">
        <v>1695.9</v>
      </c>
      <c r="O70" s="228">
        <v>49.6</v>
      </c>
      <c r="P70" s="229">
        <v>2.92E-2</v>
      </c>
      <c r="Q70" s="231">
        <v>1755.2</v>
      </c>
      <c r="R70" s="231">
        <v>1706.6</v>
      </c>
      <c r="S70" s="228">
        <v>48.6</v>
      </c>
      <c r="T70" s="229">
        <v>2.8500000000000001E-2</v>
      </c>
      <c r="U70" s="231">
        <v>1758.1</v>
      </c>
      <c r="V70" s="231">
        <v>1713.8</v>
      </c>
      <c r="W70" s="228">
        <v>44.3</v>
      </c>
      <c r="X70" s="229">
        <v>2.58E-2</v>
      </c>
      <c r="Y70" s="228">
        <v>1.7</v>
      </c>
      <c r="Z70" s="228">
        <v>2.2000000000000002</v>
      </c>
      <c r="AA70" s="228">
        <v>-0.5</v>
      </c>
      <c r="AB70" s="229">
        <v>1E-3</v>
      </c>
      <c r="AC70" s="228">
        <v>1.7</v>
      </c>
      <c r="AD70" s="228">
        <v>2.2000000000000002</v>
      </c>
      <c r="AE70" s="228">
        <v>-0.5</v>
      </c>
      <c r="AF70" s="229">
        <v>1E-3</v>
      </c>
      <c r="AG70" s="228">
        <v>11.4</v>
      </c>
      <c r="AH70" s="228">
        <v>12.9</v>
      </c>
      <c r="AI70" s="228">
        <v>-1.5</v>
      </c>
      <c r="AJ70" s="229">
        <v>6.4999999999999997E-3</v>
      </c>
      <c r="AK70" s="228">
        <v>14.3</v>
      </c>
      <c r="AL70" s="228">
        <v>20.100000000000001</v>
      </c>
      <c r="AM70" s="228">
        <v>-5.8</v>
      </c>
      <c r="AN70" s="229">
        <v>8.2000000000000007E-3</v>
      </c>
      <c r="AO70" s="231">
        <v>1726.67</v>
      </c>
      <c r="AP70" s="231">
        <v>1738.83</v>
      </c>
      <c r="AQ70" s="228">
        <v>0</v>
      </c>
      <c r="AR70" s="230">
        <v>1967075</v>
      </c>
      <c r="AS70" s="230">
        <v>1997050</v>
      </c>
      <c r="AT70" s="230">
        <v>-29975</v>
      </c>
      <c r="AU70" s="229">
        <v>-1.4999999999999999E-2</v>
      </c>
      <c r="AV70" s="230">
        <v>1890625</v>
      </c>
      <c r="AW70" s="230">
        <v>1860100</v>
      </c>
      <c r="AX70" s="230">
        <v>30525</v>
      </c>
      <c r="AY70" s="229">
        <v>1.6400000000000001E-2</v>
      </c>
      <c r="AZ70" s="230">
        <v>71225</v>
      </c>
      <c r="BA70" s="230">
        <v>117700</v>
      </c>
      <c r="BB70" s="230">
        <v>-46475</v>
      </c>
      <c r="BC70" s="229">
        <v>-0.39489999999999997</v>
      </c>
      <c r="BD70" s="230">
        <v>5225</v>
      </c>
      <c r="BE70" s="230">
        <v>19250</v>
      </c>
      <c r="BF70" s="230">
        <v>-14025</v>
      </c>
      <c r="BG70" s="229">
        <v>-0.72860000000000003</v>
      </c>
      <c r="BH70" s="230">
        <v>2699125</v>
      </c>
      <c r="BI70" s="230">
        <v>3331900</v>
      </c>
      <c r="BJ70" s="230">
        <v>-632775</v>
      </c>
      <c r="BK70" s="229">
        <v>-0.18990000000000001</v>
      </c>
      <c r="BL70" s="230">
        <v>1623050</v>
      </c>
      <c r="BM70" s="230">
        <v>2750000</v>
      </c>
      <c r="BN70" s="230">
        <v>-1126950</v>
      </c>
      <c r="BO70" s="229">
        <v>-0.4098</v>
      </c>
      <c r="BP70" s="230">
        <v>6289250</v>
      </c>
      <c r="BQ70" s="230">
        <v>8078950</v>
      </c>
      <c r="BR70" s="230">
        <v>-1789700</v>
      </c>
      <c r="BS70" s="229">
        <v>-0.2215</v>
      </c>
      <c r="BT70" s="230">
        <v>1695213</v>
      </c>
      <c r="BU70" s="230">
        <v>2066653</v>
      </c>
      <c r="BV70" s="230">
        <v>-371440</v>
      </c>
      <c r="BW70" s="229">
        <v>-0.1797</v>
      </c>
      <c r="BX70" s="230">
        <v>7829525</v>
      </c>
      <c r="BY70" s="230">
        <v>7751150</v>
      </c>
      <c r="BZ70" s="230">
        <v>78375</v>
      </c>
      <c r="CA70" s="229">
        <v>1.01E-2</v>
      </c>
      <c r="CB70" s="230">
        <v>7684325</v>
      </c>
      <c r="CC70" s="230">
        <v>7607325</v>
      </c>
      <c r="CD70" s="230">
        <v>77000</v>
      </c>
      <c r="CE70" s="229">
        <v>1.01E-2</v>
      </c>
      <c r="CF70" s="230">
        <v>126225</v>
      </c>
      <c r="CG70" s="230">
        <v>125950</v>
      </c>
      <c r="CH70" s="228">
        <v>275</v>
      </c>
      <c r="CI70" s="229">
        <v>2.2000000000000001E-3</v>
      </c>
      <c r="CJ70" s="230">
        <v>18975</v>
      </c>
      <c r="CK70" s="230">
        <v>17875</v>
      </c>
      <c r="CL70" s="230">
        <v>1100</v>
      </c>
      <c r="CM70" s="229">
        <v>6.1499999999999999E-2</v>
      </c>
      <c r="CN70" s="230">
        <v>2280575</v>
      </c>
      <c r="CO70" s="230">
        <v>2312200</v>
      </c>
      <c r="CP70" s="230">
        <v>-31625</v>
      </c>
      <c r="CQ70" s="229">
        <v>-1.37E-2</v>
      </c>
      <c r="CR70" s="230">
        <v>1966250</v>
      </c>
      <c r="CS70" s="230">
        <v>1851300</v>
      </c>
      <c r="CT70" s="230">
        <v>114950</v>
      </c>
      <c r="CU70" s="229">
        <v>6.2100000000000002E-2</v>
      </c>
      <c r="CV70" s="230">
        <v>12076350</v>
      </c>
      <c r="CW70" s="230">
        <v>11914650</v>
      </c>
      <c r="CX70" s="230">
        <v>161700</v>
      </c>
      <c r="CY70" s="229">
        <v>1.3599999999999999E-2</v>
      </c>
      <c r="CZ70" s="228">
        <v>38.270000000000003</v>
      </c>
      <c r="DA70" s="228">
        <v>42.84</v>
      </c>
      <c r="DB70" s="228">
        <v>-4.57</v>
      </c>
      <c r="DC70" s="228">
        <v>-4.57</v>
      </c>
      <c r="DD70" s="228">
        <v>44.5</v>
      </c>
      <c r="DE70" s="228">
        <v>44.44</v>
      </c>
      <c r="DF70" s="228">
        <v>-6.23</v>
      </c>
      <c r="DG70" s="228">
        <v>0.06</v>
      </c>
      <c r="DH70" s="228">
        <v>36.97</v>
      </c>
      <c r="DI70" s="228">
        <v>41.06</v>
      </c>
      <c r="DJ70" s="228">
        <v>-4.09</v>
      </c>
      <c r="DK70" s="228">
        <v>-4.09</v>
      </c>
      <c r="DL70" s="228">
        <v>40.44</v>
      </c>
      <c r="DM70" s="228">
        <v>45</v>
      </c>
      <c r="DN70" s="228">
        <v>-4.5599999999999996</v>
      </c>
      <c r="DO70" s="228">
        <v>-4.5599999999999996</v>
      </c>
      <c r="DP70" s="228">
        <v>0.86</v>
      </c>
      <c r="DQ70" s="228">
        <v>0.8</v>
      </c>
      <c r="DR70" s="228">
        <v>0.06</v>
      </c>
      <c r="DS70" s="229">
        <v>7.4999999999999997E-2</v>
      </c>
      <c r="DT70" s="231">
        <v>1700</v>
      </c>
      <c r="DU70" s="231">
        <v>1700</v>
      </c>
      <c r="DV70" s="228">
        <v>0.6</v>
      </c>
      <c r="DW70" s="228">
        <v>0.83</v>
      </c>
      <c r="DX70" s="228">
        <v>-0.23</v>
      </c>
      <c r="DY70" s="229">
        <v>-0.27710000000000001</v>
      </c>
      <c r="DZ70" s="229">
        <v>1.8499999999999999E-2</v>
      </c>
      <c r="EA70" s="230">
        <v>143825</v>
      </c>
      <c r="EB70" s="229">
        <v>5.5999999999999999E-3</v>
      </c>
      <c r="EC70" s="229">
        <v>1.8499999999999999E-2</v>
      </c>
      <c r="ED70" s="228">
        <v>12.16</v>
      </c>
      <c r="EE70" s="229">
        <v>7.0000000000000001E-3</v>
      </c>
      <c r="EF70" s="230">
        <v>1029358</v>
      </c>
      <c r="EG70" s="230">
        <v>1162638</v>
      </c>
      <c r="EH70" s="229">
        <v>-0.11459999999999999</v>
      </c>
      <c r="EI70" s="229">
        <v>0.60719999999999996</v>
      </c>
      <c r="EJ70" s="231">
        <v>49659.839999999997</v>
      </c>
      <c r="EK70" s="231">
        <v>27695.32</v>
      </c>
      <c r="EL70" s="231">
        <v>33974.26</v>
      </c>
      <c r="EM70" s="231">
        <v>6674</v>
      </c>
      <c r="EN70" s="231">
        <v>111329.42</v>
      </c>
      <c r="EO70" s="231">
        <v>141011.48000000001</v>
      </c>
      <c r="EP70" s="231">
        <v>-29682.06</v>
      </c>
      <c r="EQ70" s="229">
        <v>-0.21049999999999999</v>
      </c>
      <c r="ER70" s="231">
        <v>42379</v>
      </c>
      <c r="ES70" s="231">
        <v>33627</v>
      </c>
      <c r="ET70" s="231">
        <v>136679</v>
      </c>
      <c r="EU70" s="231">
        <v>17263909</v>
      </c>
      <c r="EV70" s="231">
        <v>212684</v>
      </c>
      <c r="EW70" s="231">
        <v>206066</v>
      </c>
      <c r="EX70" s="231">
        <v>6618</v>
      </c>
      <c r="EY70" s="229">
        <v>3.2099999999999997E-2</v>
      </c>
      <c r="EZ70" s="229">
        <v>0.69950000000000001</v>
      </c>
      <c r="FA70" s="227" t="s">
        <v>555</v>
      </c>
      <c r="FB70" s="161">
        <f t="shared" si="1"/>
        <v>145200</v>
      </c>
    </row>
    <row r="71" spans="1:158" ht="17.25" thickBot="1" x14ac:dyDescent="0.3">
      <c r="A71" s="226">
        <v>46086</v>
      </c>
      <c r="B71" s="227" t="s">
        <v>157</v>
      </c>
      <c r="C71" s="227" t="s">
        <v>219</v>
      </c>
      <c r="D71" s="228">
        <v>250</v>
      </c>
      <c r="E71" s="231">
        <v>2730</v>
      </c>
      <c r="F71" s="231">
        <v>2688.3</v>
      </c>
      <c r="G71" s="228">
        <v>41.7</v>
      </c>
      <c r="H71" s="229">
        <v>1.55E-2</v>
      </c>
      <c r="I71" s="231">
        <v>2724.1</v>
      </c>
      <c r="J71" s="231">
        <v>2683.2</v>
      </c>
      <c r="K71" s="228">
        <v>40.9</v>
      </c>
      <c r="L71" s="229">
        <v>1.52E-2</v>
      </c>
      <c r="M71" s="231">
        <v>2730</v>
      </c>
      <c r="N71" s="231">
        <v>2688.3</v>
      </c>
      <c r="O71" s="228">
        <v>41.7</v>
      </c>
      <c r="P71" s="229">
        <v>1.55E-2</v>
      </c>
      <c r="Q71" s="231">
        <v>2742.9</v>
      </c>
      <c r="R71" s="231">
        <v>2707.3</v>
      </c>
      <c r="S71" s="228">
        <v>35.6</v>
      </c>
      <c r="T71" s="229">
        <v>1.3100000000000001E-2</v>
      </c>
      <c r="U71" s="231">
        <v>2720.4</v>
      </c>
      <c r="V71" s="231">
        <v>2729</v>
      </c>
      <c r="W71" s="228">
        <v>-8.6</v>
      </c>
      <c r="X71" s="229">
        <v>-3.2000000000000002E-3</v>
      </c>
      <c r="Y71" s="228">
        <v>5.9</v>
      </c>
      <c r="Z71" s="228">
        <v>5.0999999999999996</v>
      </c>
      <c r="AA71" s="228">
        <v>0.8</v>
      </c>
      <c r="AB71" s="229">
        <v>2.2000000000000001E-3</v>
      </c>
      <c r="AC71" s="228">
        <v>5.9</v>
      </c>
      <c r="AD71" s="228">
        <v>5.0999999999999996</v>
      </c>
      <c r="AE71" s="228">
        <v>0.8</v>
      </c>
      <c r="AF71" s="229">
        <v>2.2000000000000001E-3</v>
      </c>
      <c r="AG71" s="228">
        <v>18.8</v>
      </c>
      <c r="AH71" s="228">
        <v>24.1</v>
      </c>
      <c r="AI71" s="228">
        <v>-5.3</v>
      </c>
      <c r="AJ71" s="229">
        <v>6.8999999999999999E-3</v>
      </c>
      <c r="AK71" s="228">
        <v>-3.7</v>
      </c>
      <c r="AL71" s="228">
        <v>45.8</v>
      </c>
      <c r="AM71" s="228">
        <v>-49.5</v>
      </c>
      <c r="AN71" s="229">
        <v>-1.4E-3</v>
      </c>
      <c r="AO71" s="231">
        <v>2700.34</v>
      </c>
      <c r="AP71" s="231">
        <v>2714.06</v>
      </c>
      <c r="AQ71" s="228">
        <v>0</v>
      </c>
      <c r="AR71" s="230">
        <v>1836250</v>
      </c>
      <c r="AS71" s="230">
        <v>1511000</v>
      </c>
      <c r="AT71" s="230">
        <v>325250</v>
      </c>
      <c r="AU71" s="229">
        <v>0.21529999999999999</v>
      </c>
      <c r="AV71" s="230">
        <v>1810750</v>
      </c>
      <c r="AW71" s="230">
        <v>1475750</v>
      </c>
      <c r="AX71" s="230">
        <v>335000</v>
      </c>
      <c r="AY71" s="229">
        <v>0.22700000000000001</v>
      </c>
      <c r="AZ71" s="230">
        <v>24250</v>
      </c>
      <c r="BA71" s="230">
        <v>31500</v>
      </c>
      <c r="BB71" s="230">
        <v>-7250</v>
      </c>
      <c r="BC71" s="229">
        <v>-0.23019999999999999</v>
      </c>
      <c r="BD71" s="230">
        <v>1250</v>
      </c>
      <c r="BE71" s="230">
        <v>3750</v>
      </c>
      <c r="BF71" s="230">
        <v>-2500</v>
      </c>
      <c r="BG71" s="229">
        <v>-0.66669999999999996</v>
      </c>
      <c r="BH71" s="230">
        <v>2534000</v>
      </c>
      <c r="BI71" s="230">
        <v>3141250</v>
      </c>
      <c r="BJ71" s="230">
        <v>-607250</v>
      </c>
      <c r="BK71" s="229">
        <v>-0.1933</v>
      </c>
      <c r="BL71" s="230">
        <v>1056250</v>
      </c>
      <c r="BM71" s="230">
        <v>2291250</v>
      </c>
      <c r="BN71" s="230">
        <v>-1235000</v>
      </c>
      <c r="BO71" s="229">
        <v>-0.53900000000000003</v>
      </c>
      <c r="BP71" s="230">
        <v>5426500</v>
      </c>
      <c r="BQ71" s="230">
        <v>6943500</v>
      </c>
      <c r="BR71" s="230">
        <v>-1517000</v>
      </c>
      <c r="BS71" s="229">
        <v>-0.2185</v>
      </c>
      <c r="BT71" s="230">
        <v>1110899</v>
      </c>
      <c r="BU71" s="230">
        <v>937352</v>
      </c>
      <c r="BV71" s="230">
        <v>173547</v>
      </c>
      <c r="BW71" s="229">
        <v>0.18509999999999999</v>
      </c>
      <c r="BX71" s="230">
        <v>16308750</v>
      </c>
      <c r="BY71" s="230">
        <v>16402750</v>
      </c>
      <c r="BZ71" s="230">
        <v>-94000</v>
      </c>
      <c r="CA71" s="229">
        <v>-5.7000000000000002E-3</v>
      </c>
      <c r="CB71" s="230">
        <v>16255250</v>
      </c>
      <c r="CC71" s="230">
        <v>16355250</v>
      </c>
      <c r="CD71" s="230">
        <v>-100000</v>
      </c>
      <c r="CE71" s="229">
        <v>-6.1000000000000004E-3</v>
      </c>
      <c r="CF71" s="230">
        <v>46750</v>
      </c>
      <c r="CG71" s="230">
        <v>41500</v>
      </c>
      <c r="CH71" s="230">
        <v>5250</v>
      </c>
      <c r="CI71" s="229">
        <v>0.1265</v>
      </c>
      <c r="CJ71" s="230">
        <v>6750</v>
      </c>
      <c r="CK71" s="230">
        <v>6000</v>
      </c>
      <c r="CL71" s="228">
        <v>750</v>
      </c>
      <c r="CM71" s="229">
        <v>0.125</v>
      </c>
      <c r="CN71" s="230">
        <v>1887750</v>
      </c>
      <c r="CO71" s="230">
        <v>1793000</v>
      </c>
      <c r="CP71" s="230">
        <v>94750</v>
      </c>
      <c r="CQ71" s="229">
        <v>5.28E-2</v>
      </c>
      <c r="CR71" s="230">
        <v>1016000</v>
      </c>
      <c r="CS71" s="230">
        <v>929500</v>
      </c>
      <c r="CT71" s="230">
        <v>86500</v>
      </c>
      <c r="CU71" s="229">
        <v>9.3100000000000002E-2</v>
      </c>
      <c r="CV71" s="230">
        <v>19212500</v>
      </c>
      <c r="CW71" s="230">
        <v>19125250</v>
      </c>
      <c r="CX71" s="230">
        <v>87250</v>
      </c>
      <c r="CY71" s="229">
        <v>4.5999999999999999E-3</v>
      </c>
      <c r="CZ71" s="228">
        <v>21.99</v>
      </c>
      <c r="DA71" s="228">
        <v>24.84</v>
      </c>
      <c r="DB71" s="228">
        <v>-2.85</v>
      </c>
      <c r="DC71" s="228">
        <v>-2.85</v>
      </c>
      <c r="DD71" s="228">
        <v>25.85</v>
      </c>
      <c r="DE71" s="228">
        <v>25.83</v>
      </c>
      <c r="DF71" s="228">
        <v>-3.86</v>
      </c>
      <c r="DG71" s="228">
        <v>0.02</v>
      </c>
      <c r="DH71" s="228">
        <v>21.53</v>
      </c>
      <c r="DI71" s="228">
        <v>24.15</v>
      </c>
      <c r="DJ71" s="228">
        <v>-2.62</v>
      </c>
      <c r="DK71" s="228">
        <v>-2.62</v>
      </c>
      <c r="DL71" s="228">
        <v>23.11</v>
      </c>
      <c r="DM71" s="228">
        <v>25.78</v>
      </c>
      <c r="DN71" s="228">
        <v>-2.67</v>
      </c>
      <c r="DO71" s="228">
        <v>-2.67</v>
      </c>
      <c r="DP71" s="228">
        <v>0.54</v>
      </c>
      <c r="DQ71" s="228">
        <v>0.52</v>
      </c>
      <c r="DR71" s="228">
        <v>0.02</v>
      </c>
      <c r="DS71" s="229">
        <v>3.85E-2</v>
      </c>
      <c r="DT71" s="231">
        <v>2860</v>
      </c>
      <c r="DU71" s="231">
        <v>2660</v>
      </c>
      <c r="DV71" s="228">
        <v>0.42</v>
      </c>
      <c r="DW71" s="228">
        <v>0.73</v>
      </c>
      <c r="DX71" s="228">
        <v>-0.31</v>
      </c>
      <c r="DY71" s="229">
        <v>-0.42470000000000002</v>
      </c>
      <c r="DZ71" s="229">
        <v>3.3E-3</v>
      </c>
      <c r="EA71" s="230">
        <v>47500</v>
      </c>
      <c r="EB71" s="229">
        <v>4.7000000000000002E-3</v>
      </c>
      <c r="EC71" s="229">
        <v>3.3E-3</v>
      </c>
      <c r="ED71" s="228">
        <v>13.72</v>
      </c>
      <c r="EE71" s="229">
        <v>5.1000000000000004E-3</v>
      </c>
      <c r="EF71" s="230">
        <v>690802</v>
      </c>
      <c r="EG71" s="230">
        <v>534977</v>
      </c>
      <c r="EH71" s="229">
        <v>0.2913</v>
      </c>
      <c r="EI71" s="229">
        <v>0.62180000000000002</v>
      </c>
      <c r="EJ71" s="231">
        <v>72906.53</v>
      </c>
      <c r="EK71" s="231">
        <v>28267.53</v>
      </c>
      <c r="EL71" s="231">
        <v>49588.59</v>
      </c>
      <c r="EM71" s="231">
        <v>4518</v>
      </c>
      <c r="EN71" s="231">
        <v>150762.65</v>
      </c>
      <c r="EO71" s="231">
        <v>192641.33</v>
      </c>
      <c r="EP71" s="231">
        <v>-41878.68</v>
      </c>
      <c r="EQ71" s="229">
        <v>-0.21740000000000001</v>
      </c>
      <c r="ER71" s="231">
        <v>55115</v>
      </c>
      <c r="ES71" s="231">
        <v>27486</v>
      </c>
      <c r="ET71" s="231">
        <v>445234</v>
      </c>
      <c r="EU71" s="231">
        <v>38505832</v>
      </c>
      <c r="EV71" s="231">
        <v>527835</v>
      </c>
      <c r="EW71" s="231">
        <v>518764</v>
      </c>
      <c r="EX71" s="231">
        <v>9071</v>
      </c>
      <c r="EY71" s="229">
        <v>1.7500000000000002E-2</v>
      </c>
      <c r="EZ71" s="229">
        <v>0.499</v>
      </c>
      <c r="FA71" s="227" t="s">
        <v>556</v>
      </c>
      <c r="FB71" s="161">
        <f t="shared" si="1"/>
        <v>53500</v>
      </c>
    </row>
    <row r="72" spans="1:158" ht="17.25" thickBot="1" x14ac:dyDescent="0.3">
      <c r="A72" s="226">
        <v>46086</v>
      </c>
      <c r="B72" s="227" t="s">
        <v>184</v>
      </c>
      <c r="C72" s="227" t="s">
        <v>513</v>
      </c>
      <c r="D72" s="228">
        <v>150</v>
      </c>
      <c r="E72" s="231">
        <v>3910.3</v>
      </c>
      <c r="F72" s="231">
        <v>3889.9</v>
      </c>
      <c r="G72" s="228">
        <v>20.399999999999999</v>
      </c>
      <c r="H72" s="229">
        <v>5.1999999999999998E-3</v>
      </c>
      <c r="I72" s="231">
        <v>3891.8</v>
      </c>
      <c r="J72" s="231">
        <v>3876.8</v>
      </c>
      <c r="K72" s="228">
        <v>15</v>
      </c>
      <c r="L72" s="229">
        <v>3.8999999999999998E-3</v>
      </c>
      <c r="M72" s="231">
        <v>3910.3</v>
      </c>
      <c r="N72" s="231">
        <v>3889.9</v>
      </c>
      <c r="O72" s="228">
        <v>20.399999999999999</v>
      </c>
      <c r="P72" s="229">
        <v>5.1999999999999998E-3</v>
      </c>
      <c r="Q72" s="231">
        <v>3935.5</v>
      </c>
      <c r="R72" s="231">
        <v>3915.6</v>
      </c>
      <c r="S72" s="228">
        <v>19.899999999999999</v>
      </c>
      <c r="T72" s="229">
        <v>5.1000000000000004E-3</v>
      </c>
      <c r="U72" s="231">
        <v>3956.2</v>
      </c>
      <c r="V72" s="231">
        <v>3935</v>
      </c>
      <c r="W72" s="228">
        <v>21.2</v>
      </c>
      <c r="X72" s="229">
        <v>5.4000000000000003E-3</v>
      </c>
      <c r="Y72" s="228">
        <v>18.5</v>
      </c>
      <c r="Z72" s="228">
        <v>13.1</v>
      </c>
      <c r="AA72" s="228">
        <v>5.4</v>
      </c>
      <c r="AB72" s="229">
        <v>4.7999999999999996E-3</v>
      </c>
      <c r="AC72" s="228">
        <v>18.5</v>
      </c>
      <c r="AD72" s="228">
        <v>13.1</v>
      </c>
      <c r="AE72" s="228">
        <v>5.4</v>
      </c>
      <c r="AF72" s="229">
        <v>4.7999999999999996E-3</v>
      </c>
      <c r="AG72" s="228">
        <v>43.7</v>
      </c>
      <c r="AH72" s="228">
        <v>38.799999999999997</v>
      </c>
      <c r="AI72" s="228">
        <v>4.9000000000000004</v>
      </c>
      <c r="AJ72" s="229">
        <v>1.12E-2</v>
      </c>
      <c r="AK72" s="228">
        <v>64.400000000000006</v>
      </c>
      <c r="AL72" s="228">
        <v>58.2</v>
      </c>
      <c r="AM72" s="228">
        <v>6.2</v>
      </c>
      <c r="AN72" s="229">
        <v>1.6500000000000001E-2</v>
      </c>
      <c r="AO72" s="231">
        <v>3912.15</v>
      </c>
      <c r="AP72" s="231">
        <v>3932.24</v>
      </c>
      <c r="AQ72" s="228">
        <v>0</v>
      </c>
      <c r="AR72" s="230">
        <v>2629050</v>
      </c>
      <c r="AS72" s="230">
        <v>1774050</v>
      </c>
      <c r="AT72" s="230">
        <v>855000</v>
      </c>
      <c r="AU72" s="229">
        <v>0.4819</v>
      </c>
      <c r="AV72" s="230">
        <v>2342700</v>
      </c>
      <c r="AW72" s="230">
        <v>1577400</v>
      </c>
      <c r="AX72" s="230">
        <v>765300</v>
      </c>
      <c r="AY72" s="229">
        <v>0.48520000000000002</v>
      </c>
      <c r="AZ72" s="230">
        <v>257850</v>
      </c>
      <c r="BA72" s="230">
        <v>151800</v>
      </c>
      <c r="BB72" s="230">
        <v>106050</v>
      </c>
      <c r="BC72" s="229">
        <v>0.6986</v>
      </c>
      <c r="BD72" s="230">
        <v>28500</v>
      </c>
      <c r="BE72" s="230">
        <v>44850</v>
      </c>
      <c r="BF72" s="230">
        <v>-16350</v>
      </c>
      <c r="BG72" s="229">
        <v>-0.36449999999999999</v>
      </c>
      <c r="BH72" s="230">
        <v>9880650</v>
      </c>
      <c r="BI72" s="230">
        <v>7291500</v>
      </c>
      <c r="BJ72" s="230">
        <v>2589150</v>
      </c>
      <c r="BK72" s="229">
        <v>0.35510000000000003</v>
      </c>
      <c r="BL72" s="230">
        <v>3454950</v>
      </c>
      <c r="BM72" s="230">
        <v>2912400</v>
      </c>
      <c r="BN72" s="230">
        <v>542550</v>
      </c>
      <c r="BO72" s="229">
        <v>0.18629999999999999</v>
      </c>
      <c r="BP72" s="230">
        <v>15964650</v>
      </c>
      <c r="BQ72" s="230">
        <v>11977950</v>
      </c>
      <c r="BR72" s="230">
        <v>3986700</v>
      </c>
      <c r="BS72" s="229">
        <v>0.33279999999999998</v>
      </c>
      <c r="BT72" s="230">
        <v>2810543</v>
      </c>
      <c r="BU72" s="230">
        <v>2744820</v>
      </c>
      <c r="BV72" s="230">
        <v>65723</v>
      </c>
      <c r="BW72" s="229">
        <v>2.3900000000000001E-2</v>
      </c>
      <c r="BX72" s="230">
        <v>10538550</v>
      </c>
      <c r="BY72" s="230">
        <v>10155750</v>
      </c>
      <c r="BZ72" s="230">
        <v>382800</v>
      </c>
      <c r="CA72" s="229">
        <v>3.7699999999999997E-2</v>
      </c>
      <c r="CB72" s="230">
        <v>9911250</v>
      </c>
      <c r="CC72" s="230">
        <v>9542700</v>
      </c>
      <c r="CD72" s="230">
        <v>368550</v>
      </c>
      <c r="CE72" s="229">
        <v>3.8600000000000002E-2</v>
      </c>
      <c r="CF72" s="230">
        <v>568950</v>
      </c>
      <c r="CG72" s="230">
        <v>556350</v>
      </c>
      <c r="CH72" s="230">
        <v>12600</v>
      </c>
      <c r="CI72" s="229">
        <v>2.2599999999999999E-2</v>
      </c>
      <c r="CJ72" s="230">
        <v>58350</v>
      </c>
      <c r="CK72" s="230">
        <v>56700</v>
      </c>
      <c r="CL72" s="230">
        <v>1650</v>
      </c>
      <c r="CM72" s="229">
        <v>2.9100000000000001E-2</v>
      </c>
      <c r="CN72" s="230">
        <v>5796300</v>
      </c>
      <c r="CO72" s="230">
        <v>5651100</v>
      </c>
      <c r="CP72" s="230">
        <v>145200</v>
      </c>
      <c r="CQ72" s="229">
        <v>2.5700000000000001E-2</v>
      </c>
      <c r="CR72" s="230">
        <v>3708750</v>
      </c>
      <c r="CS72" s="230">
        <v>3716250</v>
      </c>
      <c r="CT72" s="230">
        <v>-7500</v>
      </c>
      <c r="CU72" s="229">
        <v>-2E-3</v>
      </c>
      <c r="CV72" s="230">
        <v>20043600</v>
      </c>
      <c r="CW72" s="230">
        <v>19523100</v>
      </c>
      <c r="CX72" s="230">
        <v>520500</v>
      </c>
      <c r="CY72" s="229">
        <v>2.6700000000000002E-2</v>
      </c>
      <c r="CZ72" s="228">
        <v>34.85</v>
      </c>
      <c r="DA72" s="228">
        <v>39.19</v>
      </c>
      <c r="DB72" s="228">
        <v>-4.34</v>
      </c>
      <c r="DC72" s="228">
        <v>-4.34</v>
      </c>
      <c r="DD72" s="228">
        <v>38.32</v>
      </c>
      <c r="DE72" s="228">
        <v>38.409999999999997</v>
      </c>
      <c r="DF72" s="228">
        <v>-3.47</v>
      </c>
      <c r="DG72" s="228">
        <v>-0.09</v>
      </c>
      <c r="DH72" s="228">
        <v>34.880000000000003</v>
      </c>
      <c r="DI72" s="228">
        <v>38.840000000000003</v>
      </c>
      <c r="DJ72" s="228">
        <v>-3.96</v>
      </c>
      <c r="DK72" s="228">
        <v>-3.96</v>
      </c>
      <c r="DL72" s="228">
        <v>34.78</v>
      </c>
      <c r="DM72" s="228">
        <v>40.08</v>
      </c>
      <c r="DN72" s="228">
        <v>-5.3</v>
      </c>
      <c r="DO72" s="228">
        <v>-5.3</v>
      </c>
      <c r="DP72" s="228">
        <v>0.64</v>
      </c>
      <c r="DQ72" s="228">
        <v>0.66</v>
      </c>
      <c r="DR72" s="228">
        <v>-0.02</v>
      </c>
      <c r="DS72" s="229">
        <v>-3.0300000000000001E-2</v>
      </c>
      <c r="DT72" s="231">
        <v>4000</v>
      </c>
      <c r="DU72" s="231">
        <v>4000</v>
      </c>
      <c r="DV72" s="228">
        <v>0.35</v>
      </c>
      <c r="DW72" s="228">
        <v>0.4</v>
      </c>
      <c r="DX72" s="228">
        <v>-0.05</v>
      </c>
      <c r="DY72" s="229">
        <v>-0.125</v>
      </c>
      <c r="DZ72" s="229">
        <v>5.9499999999999997E-2</v>
      </c>
      <c r="EA72" s="230">
        <v>613050</v>
      </c>
      <c r="EB72" s="229">
        <v>6.4000000000000003E-3</v>
      </c>
      <c r="EC72" s="229">
        <v>5.9499999999999997E-2</v>
      </c>
      <c r="ED72" s="228">
        <v>20.09</v>
      </c>
      <c r="EE72" s="229">
        <v>5.1000000000000004E-3</v>
      </c>
      <c r="EF72" s="230">
        <v>1417509</v>
      </c>
      <c r="EG72" s="230">
        <v>1399008</v>
      </c>
      <c r="EH72" s="229">
        <v>1.32E-2</v>
      </c>
      <c r="EI72" s="229">
        <v>0.50439999999999996</v>
      </c>
      <c r="EJ72" s="231">
        <v>416905.15</v>
      </c>
      <c r="EK72" s="231">
        <v>135597.23000000001</v>
      </c>
      <c r="EL72" s="231">
        <v>102916.14</v>
      </c>
      <c r="EM72" s="231">
        <v>10867</v>
      </c>
      <c r="EN72" s="231">
        <v>655418.52</v>
      </c>
      <c r="EO72" s="231">
        <v>492321.31</v>
      </c>
      <c r="EP72" s="231">
        <v>163097.21</v>
      </c>
      <c r="EQ72" s="229">
        <v>0.33129999999999998</v>
      </c>
      <c r="ER72" s="231">
        <v>249718</v>
      </c>
      <c r="ES72" s="231">
        <v>149691</v>
      </c>
      <c r="ET72" s="231">
        <v>412259</v>
      </c>
      <c r="EU72" s="231">
        <v>28450886</v>
      </c>
      <c r="EV72" s="231">
        <v>811668</v>
      </c>
      <c r="EW72" s="231">
        <v>788822</v>
      </c>
      <c r="EX72" s="231">
        <v>22846</v>
      </c>
      <c r="EY72" s="229">
        <v>2.9000000000000001E-2</v>
      </c>
      <c r="EZ72" s="229">
        <v>0.70450000000000002</v>
      </c>
      <c r="FA72" s="227" t="s">
        <v>555</v>
      </c>
      <c r="FB72" s="161">
        <f t="shared" si="1"/>
        <v>627300</v>
      </c>
    </row>
    <row r="73" spans="1:158" ht="17.25" thickBot="1" x14ac:dyDescent="0.3">
      <c r="A73" s="226">
        <v>46086</v>
      </c>
      <c r="B73" s="227" t="s">
        <v>184</v>
      </c>
      <c r="C73" s="227" t="s">
        <v>220</v>
      </c>
      <c r="D73" s="228">
        <v>500</v>
      </c>
      <c r="E73" s="231">
        <v>1355.4</v>
      </c>
      <c r="F73" s="231">
        <v>1324.2</v>
      </c>
      <c r="G73" s="228">
        <v>31.2</v>
      </c>
      <c r="H73" s="229">
        <v>2.3599999999999999E-2</v>
      </c>
      <c r="I73" s="231">
        <v>1352.5</v>
      </c>
      <c r="J73" s="231">
        <v>1318.7</v>
      </c>
      <c r="K73" s="228">
        <v>33.799999999999997</v>
      </c>
      <c r="L73" s="229">
        <v>2.5600000000000001E-2</v>
      </c>
      <c r="M73" s="231">
        <v>1355.4</v>
      </c>
      <c r="N73" s="231">
        <v>1324.2</v>
      </c>
      <c r="O73" s="228">
        <v>31.2</v>
      </c>
      <c r="P73" s="229">
        <v>2.3599999999999999E-2</v>
      </c>
      <c r="Q73" s="231">
        <v>1361.2</v>
      </c>
      <c r="R73" s="231">
        <v>1332.8</v>
      </c>
      <c r="S73" s="228">
        <v>28.4</v>
      </c>
      <c r="T73" s="229">
        <v>2.1299999999999999E-2</v>
      </c>
      <c r="U73" s="231">
        <v>1368</v>
      </c>
      <c r="V73" s="231">
        <v>1338</v>
      </c>
      <c r="W73" s="228">
        <v>30</v>
      </c>
      <c r="X73" s="229">
        <v>2.24E-2</v>
      </c>
      <c r="Y73" s="228">
        <v>2.9</v>
      </c>
      <c r="Z73" s="228">
        <v>5.5</v>
      </c>
      <c r="AA73" s="228">
        <v>-2.6</v>
      </c>
      <c r="AB73" s="229">
        <v>2.0999999999999999E-3</v>
      </c>
      <c r="AC73" s="228">
        <v>2.9</v>
      </c>
      <c r="AD73" s="228">
        <v>5.5</v>
      </c>
      <c r="AE73" s="228">
        <v>-2.6</v>
      </c>
      <c r="AF73" s="229">
        <v>2.0999999999999999E-3</v>
      </c>
      <c r="AG73" s="228">
        <v>8.6999999999999993</v>
      </c>
      <c r="AH73" s="228">
        <v>14.1</v>
      </c>
      <c r="AI73" s="228">
        <v>-5.4</v>
      </c>
      <c r="AJ73" s="229">
        <v>6.4000000000000003E-3</v>
      </c>
      <c r="AK73" s="228">
        <v>15.5</v>
      </c>
      <c r="AL73" s="228">
        <v>19.3</v>
      </c>
      <c r="AM73" s="228">
        <v>-3.8</v>
      </c>
      <c r="AN73" s="229">
        <v>1.15E-2</v>
      </c>
      <c r="AO73" s="231">
        <v>1345.76</v>
      </c>
      <c r="AP73" s="231">
        <v>1351.35</v>
      </c>
      <c r="AQ73" s="228">
        <v>0</v>
      </c>
      <c r="AR73" s="230">
        <v>942000</v>
      </c>
      <c r="AS73" s="230">
        <v>1324500</v>
      </c>
      <c r="AT73" s="230">
        <v>-382500</v>
      </c>
      <c r="AU73" s="229">
        <v>-0.2888</v>
      </c>
      <c r="AV73" s="230">
        <v>902500</v>
      </c>
      <c r="AW73" s="230">
        <v>1267500</v>
      </c>
      <c r="AX73" s="230">
        <v>-365000</v>
      </c>
      <c r="AY73" s="229">
        <v>-0.28799999999999998</v>
      </c>
      <c r="AZ73" s="230">
        <v>37000</v>
      </c>
      <c r="BA73" s="230">
        <v>53500</v>
      </c>
      <c r="BB73" s="230">
        <v>-16500</v>
      </c>
      <c r="BC73" s="229">
        <v>-0.30840000000000001</v>
      </c>
      <c r="BD73" s="230">
        <v>2500</v>
      </c>
      <c r="BE73" s="230">
        <v>3500</v>
      </c>
      <c r="BF73" s="230">
        <v>-1000</v>
      </c>
      <c r="BG73" s="229">
        <v>-0.28570000000000001</v>
      </c>
      <c r="BH73" s="230">
        <v>2256000</v>
      </c>
      <c r="BI73" s="230">
        <v>2304000</v>
      </c>
      <c r="BJ73" s="230">
        <v>-48000</v>
      </c>
      <c r="BK73" s="229">
        <v>-2.0799999999999999E-2</v>
      </c>
      <c r="BL73" s="230">
        <v>719000</v>
      </c>
      <c r="BM73" s="230">
        <v>2093500</v>
      </c>
      <c r="BN73" s="230">
        <v>-1374500</v>
      </c>
      <c r="BO73" s="229">
        <v>-0.65659999999999996</v>
      </c>
      <c r="BP73" s="230">
        <v>3917000</v>
      </c>
      <c r="BQ73" s="230">
        <v>5722000</v>
      </c>
      <c r="BR73" s="230">
        <v>-1805000</v>
      </c>
      <c r="BS73" s="229">
        <v>-0.31540000000000001</v>
      </c>
      <c r="BT73" s="230">
        <v>329125</v>
      </c>
      <c r="BU73" s="230">
        <v>959968</v>
      </c>
      <c r="BV73" s="230">
        <v>-630843</v>
      </c>
      <c r="BW73" s="229">
        <v>-0.65720000000000001</v>
      </c>
      <c r="BX73" s="230">
        <v>10242000</v>
      </c>
      <c r="BY73" s="230">
        <v>10338000</v>
      </c>
      <c r="BZ73" s="230">
        <v>-96000</v>
      </c>
      <c r="CA73" s="229">
        <v>-9.2999999999999992E-3</v>
      </c>
      <c r="CB73" s="230">
        <v>10095500</v>
      </c>
      <c r="CC73" s="230">
        <v>10195000</v>
      </c>
      <c r="CD73" s="230">
        <v>-99500</v>
      </c>
      <c r="CE73" s="229">
        <v>-9.7999999999999997E-3</v>
      </c>
      <c r="CF73" s="230">
        <v>136000</v>
      </c>
      <c r="CG73" s="230">
        <v>132500</v>
      </c>
      <c r="CH73" s="230">
        <v>3500</v>
      </c>
      <c r="CI73" s="229">
        <v>2.64E-2</v>
      </c>
      <c r="CJ73" s="230">
        <v>10500</v>
      </c>
      <c r="CK73" s="230">
        <v>10500</v>
      </c>
      <c r="CL73" s="228">
        <v>0</v>
      </c>
      <c r="CM73" s="229">
        <v>0</v>
      </c>
      <c r="CN73" s="230">
        <v>2478500</v>
      </c>
      <c r="CO73" s="230">
        <v>2302500</v>
      </c>
      <c r="CP73" s="230">
        <v>176000</v>
      </c>
      <c r="CQ73" s="229">
        <v>7.6399999999999996E-2</v>
      </c>
      <c r="CR73" s="230">
        <v>1966000</v>
      </c>
      <c r="CS73" s="230">
        <v>1964000</v>
      </c>
      <c r="CT73" s="230">
        <v>2000</v>
      </c>
      <c r="CU73" s="229">
        <v>1E-3</v>
      </c>
      <c r="CV73" s="230">
        <v>14686500</v>
      </c>
      <c r="CW73" s="230">
        <v>14604500</v>
      </c>
      <c r="CX73" s="230">
        <v>82000</v>
      </c>
      <c r="CY73" s="229">
        <v>5.5999999999999999E-3</v>
      </c>
      <c r="CZ73" s="228">
        <v>24.62</v>
      </c>
      <c r="DA73" s="228">
        <v>27.92</v>
      </c>
      <c r="DB73" s="228">
        <v>-3.3</v>
      </c>
      <c r="DC73" s="228">
        <v>-3.3</v>
      </c>
      <c r="DD73" s="228">
        <v>28.26</v>
      </c>
      <c r="DE73" s="228">
        <v>28.16</v>
      </c>
      <c r="DF73" s="228">
        <v>-3.64</v>
      </c>
      <c r="DG73" s="228">
        <v>0.1</v>
      </c>
      <c r="DH73" s="228">
        <v>24.46</v>
      </c>
      <c r="DI73" s="228">
        <v>27.27</v>
      </c>
      <c r="DJ73" s="228">
        <v>-2.81</v>
      </c>
      <c r="DK73" s="228">
        <v>-2.81</v>
      </c>
      <c r="DL73" s="228">
        <v>25.12</v>
      </c>
      <c r="DM73" s="228">
        <v>28.64</v>
      </c>
      <c r="DN73" s="228">
        <v>-3.52</v>
      </c>
      <c r="DO73" s="228">
        <v>-3.52</v>
      </c>
      <c r="DP73" s="228">
        <v>0.79</v>
      </c>
      <c r="DQ73" s="228">
        <v>0.85</v>
      </c>
      <c r="DR73" s="228">
        <v>-0.06</v>
      </c>
      <c r="DS73" s="229">
        <v>-7.0599999999999996E-2</v>
      </c>
      <c r="DT73" s="231">
        <v>1500</v>
      </c>
      <c r="DU73" s="231">
        <v>1400</v>
      </c>
      <c r="DV73" s="228">
        <v>0.32</v>
      </c>
      <c r="DW73" s="228">
        <v>0.91</v>
      </c>
      <c r="DX73" s="228">
        <v>-0.59</v>
      </c>
      <c r="DY73" s="229">
        <v>-0.64839999999999998</v>
      </c>
      <c r="DZ73" s="229">
        <v>1.43E-2</v>
      </c>
      <c r="EA73" s="230">
        <v>143000</v>
      </c>
      <c r="EB73" s="229">
        <v>4.3E-3</v>
      </c>
      <c r="EC73" s="229">
        <v>1.43E-2</v>
      </c>
      <c r="ED73" s="228">
        <v>5.59</v>
      </c>
      <c r="EE73" s="229">
        <v>4.1999999999999997E-3</v>
      </c>
      <c r="EF73" s="230">
        <v>181898</v>
      </c>
      <c r="EG73" s="230">
        <v>523758</v>
      </c>
      <c r="EH73" s="229">
        <v>-0.65269999999999995</v>
      </c>
      <c r="EI73" s="229">
        <v>0.55269999999999997</v>
      </c>
      <c r="EJ73" s="231">
        <v>32584.52</v>
      </c>
      <c r="EK73" s="231">
        <v>9654.66</v>
      </c>
      <c r="EL73" s="231">
        <v>12679.37</v>
      </c>
      <c r="EM73" s="231">
        <v>2702</v>
      </c>
      <c r="EN73" s="231">
        <v>54918.55</v>
      </c>
      <c r="EO73" s="231">
        <v>77976.61</v>
      </c>
      <c r="EP73" s="231">
        <v>-23058.06</v>
      </c>
      <c r="EQ73" s="229">
        <v>-0.29570000000000002</v>
      </c>
      <c r="ER73" s="231">
        <v>35915</v>
      </c>
      <c r="ES73" s="231">
        <v>26450</v>
      </c>
      <c r="ET73" s="231">
        <v>138829</v>
      </c>
      <c r="EU73" s="231">
        <v>35667502</v>
      </c>
      <c r="EV73" s="231">
        <v>201194</v>
      </c>
      <c r="EW73" s="231">
        <v>196579</v>
      </c>
      <c r="EX73" s="231">
        <v>4615</v>
      </c>
      <c r="EY73" s="229">
        <v>2.35E-2</v>
      </c>
      <c r="EZ73" s="229">
        <v>0.4118</v>
      </c>
      <c r="FA73" s="227" t="s">
        <v>556</v>
      </c>
      <c r="FB73" s="161">
        <f t="shared" si="1"/>
        <v>146500</v>
      </c>
    </row>
    <row r="74" spans="1:158" ht="17.25" thickBot="1" x14ac:dyDescent="0.3">
      <c r="A74" s="226">
        <v>46086</v>
      </c>
      <c r="B74" s="227" t="s">
        <v>221</v>
      </c>
      <c r="C74" s="227" t="s">
        <v>222</v>
      </c>
      <c r="D74" s="228">
        <v>350</v>
      </c>
      <c r="E74" s="231">
        <v>1355.9</v>
      </c>
      <c r="F74" s="231">
        <v>1366.8</v>
      </c>
      <c r="G74" s="228">
        <v>-10.9</v>
      </c>
      <c r="H74" s="229">
        <v>-8.0000000000000002E-3</v>
      </c>
      <c r="I74" s="231">
        <v>1354.1</v>
      </c>
      <c r="J74" s="231">
        <v>1364</v>
      </c>
      <c r="K74" s="228">
        <v>-9.9</v>
      </c>
      <c r="L74" s="229">
        <v>-7.3000000000000001E-3</v>
      </c>
      <c r="M74" s="231">
        <v>1355.9</v>
      </c>
      <c r="N74" s="231">
        <v>1366.8</v>
      </c>
      <c r="O74" s="228">
        <v>-10.9</v>
      </c>
      <c r="P74" s="229">
        <v>-8.0000000000000002E-3</v>
      </c>
      <c r="Q74" s="231">
        <v>1353.6</v>
      </c>
      <c r="R74" s="231">
        <v>1363.5</v>
      </c>
      <c r="S74" s="228">
        <v>-9.9</v>
      </c>
      <c r="T74" s="229">
        <v>-7.3000000000000001E-3</v>
      </c>
      <c r="U74" s="231">
        <v>1352.1</v>
      </c>
      <c r="V74" s="231">
        <v>1362.9</v>
      </c>
      <c r="W74" s="228">
        <v>-10.8</v>
      </c>
      <c r="X74" s="229">
        <v>-7.9000000000000008E-3</v>
      </c>
      <c r="Y74" s="228">
        <v>1.8</v>
      </c>
      <c r="Z74" s="228">
        <v>2.8</v>
      </c>
      <c r="AA74" s="228">
        <v>-1</v>
      </c>
      <c r="AB74" s="229">
        <v>1.2999999999999999E-3</v>
      </c>
      <c r="AC74" s="228">
        <v>1.8</v>
      </c>
      <c r="AD74" s="228">
        <v>2.8</v>
      </c>
      <c r="AE74" s="228">
        <v>-1</v>
      </c>
      <c r="AF74" s="229">
        <v>1.2999999999999999E-3</v>
      </c>
      <c r="AG74" s="228">
        <v>-0.5</v>
      </c>
      <c r="AH74" s="228">
        <v>-0.5</v>
      </c>
      <c r="AI74" s="228">
        <v>0</v>
      </c>
      <c r="AJ74" s="229">
        <v>-4.0000000000000002E-4</v>
      </c>
      <c r="AK74" s="228">
        <v>-2</v>
      </c>
      <c r="AL74" s="228">
        <v>-1.1000000000000001</v>
      </c>
      <c r="AM74" s="228">
        <v>-0.9</v>
      </c>
      <c r="AN74" s="229">
        <v>-1.5E-3</v>
      </c>
      <c r="AO74" s="231">
        <v>1349.94</v>
      </c>
      <c r="AP74" s="231">
        <v>1347.3</v>
      </c>
      <c r="AQ74" s="228">
        <v>0</v>
      </c>
      <c r="AR74" s="230">
        <v>2774100</v>
      </c>
      <c r="AS74" s="230">
        <v>2595250</v>
      </c>
      <c r="AT74" s="230">
        <v>178850</v>
      </c>
      <c r="AU74" s="229">
        <v>6.8900000000000003E-2</v>
      </c>
      <c r="AV74" s="230">
        <v>2666300</v>
      </c>
      <c r="AW74" s="230">
        <v>2516850</v>
      </c>
      <c r="AX74" s="230">
        <v>149450</v>
      </c>
      <c r="AY74" s="229">
        <v>5.9400000000000001E-2</v>
      </c>
      <c r="AZ74" s="230">
        <v>90650</v>
      </c>
      <c r="BA74" s="230">
        <v>64050</v>
      </c>
      <c r="BB74" s="230">
        <v>26600</v>
      </c>
      <c r="BC74" s="229">
        <v>0.4153</v>
      </c>
      <c r="BD74" s="230">
        <v>17150</v>
      </c>
      <c r="BE74" s="230">
        <v>14350</v>
      </c>
      <c r="BF74" s="230">
        <v>2800</v>
      </c>
      <c r="BG74" s="229">
        <v>0.1951</v>
      </c>
      <c r="BH74" s="230">
        <v>6226500</v>
      </c>
      <c r="BI74" s="230">
        <v>4823350</v>
      </c>
      <c r="BJ74" s="230">
        <v>1403150</v>
      </c>
      <c r="BK74" s="229">
        <v>0.29089999999999999</v>
      </c>
      <c r="BL74" s="230">
        <v>4797450</v>
      </c>
      <c r="BM74" s="230">
        <v>2774100</v>
      </c>
      <c r="BN74" s="230">
        <v>2023350</v>
      </c>
      <c r="BO74" s="229">
        <v>0.72940000000000005</v>
      </c>
      <c r="BP74" s="230">
        <v>13798050</v>
      </c>
      <c r="BQ74" s="230">
        <v>10192700</v>
      </c>
      <c r="BR74" s="230">
        <v>3605350</v>
      </c>
      <c r="BS74" s="229">
        <v>0.35370000000000001</v>
      </c>
      <c r="BT74" s="230">
        <v>2315964</v>
      </c>
      <c r="BU74" s="230">
        <v>3220097</v>
      </c>
      <c r="BV74" s="230">
        <v>-904133</v>
      </c>
      <c r="BW74" s="229">
        <v>-0.28079999999999999</v>
      </c>
      <c r="BX74" s="230">
        <v>27292300</v>
      </c>
      <c r="BY74" s="230">
        <v>27308050</v>
      </c>
      <c r="BZ74" s="230">
        <v>-15750</v>
      </c>
      <c r="CA74" s="229">
        <v>-5.9999999999999995E-4</v>
      </c>
      <c r="CB74" s="230">
        <v>26801950</v>
      </c>
      <c r="CC74" s="230">
        <v>26844300</v>
      </c>
      <c r="CD74" s="230">
        <v>-42350</v>
      </c>
      <c r="CE74" s="229">
        <v>-1.6000000000000001E-3</v>
      </c>
      <c r="CF74" s="230">
        <v>447300</v>
      </c>
      <c r="CG74" s="230">
        <v>426300</v>
      </c>
      <c r="CH74" s="230">
        <v>21000</v>
      </c>
      <c r="CI74" s="229">
        <v>4.9299999999999997E-2</v>
      </c>
      <c r="CJ74" s="230">
        <v>43050</v>
      </c>
      <c r="CK74" s="230">
        <v>37450</v>
      </c>
      <c r="CL74" s="230">
        <v>5600</v>
      </c>
      <c r="CM74" s="229">
        <v>0.14949999999999999</v>
      </c>
      <c r="CN74" s="230">
        <v>5676650</v>
      </c>
      <c r="CO74" s="230">
        <v>5216400</v>
      </c>
      <c r="CP74" s="230">
        <v>460250</v>
      </c>
      <c r="CQ74" s="229">
        <v>8.8200000000000001E-2</v>
      </c>
      <c r="CR74" s="230">
        <v>3415650</v>
      </c>
      <c r="CS74" s="230">
        <v>3145450</v>
      </c>
      <c r="CT74" s="230">
        <v>270200</v>
      </c>
      <c r="CU74" s="229">
        <v>8.5900000000000004E-2</v>
      </c>
      <c r="CV74" s="230">
        <v>36384600</v>
      </c>
      <c r="CW74" s="230">
        <v>35669900</v>
      </c>
      <c r="CX74" s="230">
        <v>714700</v>
      </c>
      <c r="CY74" s="229">
        <v>0.02</v>
      </c>
      <c r="CZ74" s="228">
        <v>31.48</v>
      </c>
      <c r="DA74" s="228">
        <v>33.01</v>
      </c>
      <c r="DB74" s="228">
        <v>-1.53</v>
      </c>
      <c r="DC74" s="228">
        <v>-1.53</v>
      </c>
      <c r="DD74" s="228">
        <v>29.25</v>
      </c>
      <c r="DE74" s="228">
        <v>29.31</v>
      </c>
      <c r="DF74" s="228">
        <v>2.23</v>
      </c>
      <c r="DG74" s="228">
        <v>-0.06</v>
      </c>
      <c r="DH74" s="228">
        <v>30.64</v>
      </c>
      <c r="DI74" s="228">
        <v>32.159999999999997</v>
      </c>
      <c r="DJ74" s="228">
        <v>-1.52</v>
      </c>
      <c r="DK74" s="228">
        <v>-1.52</v>
      </c>
      <c r="DL74" s="228">
        <v>32.57</v>
      </c>
      <c r="DM74" s="228">
        <v>34.479999999999997</v>
      </c>
      <c r="DN74" s="228">
        <v>-1.91</v>
      </c>
      <c r="DO74" s="228">
        <v>-1.91</v>
      </c>
      <c r="DP74" s="228">
        <v>0.6</v>
      </c>
      <c r="DQ74" s="228">
        <v>0.6</v>
      </c>
      <c r="DR74" s="228">
        <v>0</v>
      </c>
      <c r="DS74" s="229">
        <v>0</v>
      </c>
      <c r="DT74" s="231">
        <v>1500</v>
      </c>
      <c r="DU74" s="231">
        <v>1360</v>
      </c>
      <c r="DV74" s="228">
        <v>0.77</v>
      </c>
      <c r="DW74" s="228">
        <v>0.57999999999999996</v>
      </c>
      <c r="DX74" s="228">
        <v>0.19</v>
      </c>
      <c r="DY74" s="229">
        <v>0.3276</v>
      </c>
      <c r="DZ74" s="229">
        <v>1.7999999999999999E-2</v>
      </c>
      <c r="EA74" s="230">
        <v>463750</v>
      </c>
      <c r="EB74" s="229">
        <v>-1.6999999999999999E-3</v>
      </c>
      <c r="EC74" s="229">
        <v>1.7999999999999999E-2</v>
      </c>
      <c r="ED74" s="228">
        <v>-2.64</v>
      </c>
      <c r="EE74" s="229">
        <v>-2E-3</v>
      </c>
      <c r="EF74" s="230">
        <v>1115816</v>
      </c>
      <c r="EG74" s="230">
        <v>1899168</v>
      </c>
      <c r="EH74" s="229">
        <v>-0.41249999999999998</v>
      </c>
      <c r="EI74" s="229">
        <v>0.48180000000000001</v>
      </c>
      <c r="EJ74" s="231">
        <v>91504.97</v>
      </c>
      <c r="EK74" s="231">
        <v>63714.82</v>
      </c>
      <c r="EL74" s="231">
        <v>37445.599999999999</v>
      </c>
      <c r="EM74" s="231">
        <v>10102</v>
      </c>
      <c r="EN74" s="231">
        <v>192665.39</v>
      </c>
      <c r="EO74" s="231">
        <v>144081.29</v>
      </c>
      <c r="EP74" s="231">
        <v>48584.1</v>
      </c>
      <c r="EQ74" s="229">
        <v>0.3372</v>
      </c>
      <c r="ER74" s="231">
        <v>84711</v>
      </c>
      <c r="ES74" s="231">
        <v>46007</v>
      </c>
      <c r="ET74" s="231">
        <v>370044</v>
      </c>
      <c r="EU74" s="231">
        <v>106857976</v>
      </c>
      <c r="EV74" s="231">
        <v>500762</v>
      </c>
      <c r="EW74" s="231">
        <v>493812</v>
      </c>
      <c r="EX74" s="231">
        <v>6950</v>
      </c>
      <c r="EY74" s="229">
        <v>1.41E-2</v>
      </c>
      <c r="EZ74" s="229">
        <v>0.34050000000000002</v>
      </c>
      <c r="FA74" s="227" t="s">
        <v>568</v>
      </c>
      <c r="FB74" s="161">
        <f t="shared" si="1"/>
        <v>490350</v>
      </c>
    </row>
    <row r="75" spans="1:158" ht="17.25" thickBot="1" x14ac:dyDescent="0.3">
      <c r="A75" s="226">
        <v>46086</v>
      </c>
      <c r="B75" s="227" t="s">
        <v>175</v>
      </c>
      <c r="C75" s="227" t="s">
        <v>475</v>
      </c>
      <c r="D75" s="228">
        <v>300</v>
      </c>
      <c r="E75" s="231">
        <v>2570.1</v>
      </c>
      <c r="F75" s="231">
        <v>2560.1</v>
      </c>
      <c r="G75" s="228">
        <v>10</v>
      </c>
      <c r="H75" s="229">
        <v>3.8999999999999998E-3</v>
      </c>
      <c r="I75" s="231">
        <v>2559</v>
      </c>
      <c r="J75" s="231">
        <v>2547.1999999999998</v>
      </c>
      <c r="K75" s="228">
        <v>11.8</v>
      </c>
      <c r="L75" s="229">
        <v>4.5999999999999999E-3</v>
      </c>
      <c r="M75" s="231">
        <v>2570.1</v>
      </c>
      <c r="N75" s="231">
        <v>2560.1</v>
      </c>
      <c r="O75" s="228">
        <v>10</v>
      </c>
      <c r="P75" s="229">
        <v>3.8999999999999998E-3</v>
      </c>
      <c r="Q75" s="231">
        <v>2585.1999999999998</v>
      </c>
      <c r="R75" s="231">
        <v>2574.1999999999998</v>
      </c>
      <c r="S75" s="228">
        <v>11</v>
      </c>
      <c r="T75" s="229">
        <v>4.3E-3</v>
      </c>
      <c r="U75" s="231">
        <v>2600</v>
      </c>
      <c r="V75" s="231">
        <v>2600</v>
      </c>
      <c r="W75" s="228">
        <v>0</v>
      </c>
      <c r="X75" s="229">
        <v>0</v>
      </c>
      <c r="Y75" s="228">
        <v>11.1</v>
      </c>
      <c r="Z75" s="228">
        <v>12.9</v>
      </c>
      <c r="AA75" s="228">
        <v>-1.8</v>
      </c>
      <c r="AB75" s="229">
        <v>4.3E-3</v>
      </c>
      <c r="AC75" s="228">
        <v>11.1</v>
      </c>
      <c r="AD75" s="228">
        <v>12.9</v>
      </c>
      <c r="AE75" s="228">
        <v>-1.8</v>
      </c>
      <c r="AF75" s="229">
        <v>4.3E-3</v>
      </c>
      <c r="AG75" s="228">
        <v>26.2</v>
      </c>
      <c r="AH75" s="228">
        <v>27</v>
      </c>
      <c r="AI75" s="228">
        <v>-0.8</v>
      </c>
      <c r="AJ75" s="229">
        <v>1.0200000000000001E-2</v>
      </c>
      <c r="AK75" s="228">
        <v>41</v>
      </c>
      <c r="AL75" s="228">
        <v>52.8</v>
      </c>
      <c r="AM75" s="228">
        <v>-11.8</v>
      </c>
      <c r="AN75" s="229">
        <v>1.6E-2</v>
      </c>
      <c r="AO75" s="231">
        <v>2567.11</v>
      </c>
      <c r="AP75" s="231">
        <v>2581.7199999999998</v>
      </c>
      <c r="AQ75" s="228">
        <v>0</v>
      </c>
      <c r="AR75" s="230">
        <v>858300</v>
      </c>
      <c r="AS75" s="230">
        <v>1007700</v>
      </c>
      <c r="AT75" s="230">
        <v>-149400</v>
      </c>
      <c r="AU75" s="229">
        <v>-0.14829999999999999</v>
      </c>
      <c r="AV75" s="230">
        <v>813000</v>
      </c>
      <c r="AW75" s="230">
        <v>973800</v>
      </c>
      <c r="AX75" s="230">
        <v>-160800</v>
      </c>
      <c r="AY75" s="229">
        <v>-0.1651</v>
      </c>
      <c r="AZ75" s="230">
        <v>42900</v>
      </c>
      <c r="BA75" s="230">
        <v>32700</v>
      </c>
      <c r="BB75" s="230">
        <v>10200</v>
      </c>
      <c r="BC75" s="229">
        <v>0.31190000000000001</v>
      </c>
      <c r="BD75" s="230">
        <v>2400</v>
      </c>
      <c r="BE75" s="230">
        <v>1200</v>
      </c>
      <c r="BF75" s="230">
        <v>1200</v>
      </c>
      <c r="BG75" s="229">
        <v>1</v>
      </c>
      <c r="BH75" s="230">
        <v>899700</v>
      </c>
      <c r="BI75" s="230">
        <v>1194300</v>
      </c>
      <c r="BJ75" s="230">
        <v>-294600</v>
      </c>
      <c r="BK75" s="229">
        <v>-0.2467</v>
      </c>
      <c r="BL75" s="230">
        <v>504300</v>
      </c>
      <c r="BM75" s="230">
        <v>799200</v>
      </c>
      <c r="BN75" s="230">
        <v>-294900</v>
      </c>
      <c r="BO75" s="229">
        <v>-0.36899999999999999</v>
      </c>
      <c r="BP75" s="230">
        <v>2262300</v>
      </c>
      <c r="BQ75" s="230">
        <v>3001200</v>
      </c>
      <c r="BR75" s="230">
        <v>-738900</v>
      </c>
      <c r="BS75" s="229">
        <v>-0.2462</v>
      </c>
      <c r="BT75" s="230">
        <v>697936</v>
      </c>
      <c r="BU75" s="230">
        <v>1029518</v>
      </c>
      <c r="BV75" s="230">
        <v>-331582</v>
      </c>
      <c r="BW75" s="229">
        <v>-0.3221</v>
      </c>
      <c r="BX75" s="230">
        <v>5116200</v>
      </c>
      <c r="BY75" s="230">
        <v>5005200</v>
      </c>
      <c r="BZ75" s="230">
        <v>111000</v>
      </c>
      <c r="CA75" s="229">
        <v>2.2200000000000001E-2</v>
      </c>
      <c r="CB75" s="230">
        <v>5069700</v>
      </c>
      <c r="CC75" s="230">
        <v>4967100</v>
      </c>
      <c r="CD75" s="230">
        <v>102600</v>
      </c>
      <c r="CE75" s="229">
        <v>2.07E-2</v>
      </c>
      <c r="CF75" s="230">
        <v>41400</v>
      </c>
      <c r="CG75" s="230">
        <v>34800</v>
      </c>
      <c r="CH75" s="230">
        <v>6600</v>
      </c>
      <c r="CI75" s="229">
        <v>0.18970000000000001</v>
      </c>
      <c r="CJ75" s="230">
        <v>5100</v>
      </c>
      <c r="CK75" s="230">
        <v>3300</v>
      </c>
      <c r="CL75" s="230">
        <v>1800</v>
      </c>
      <c r="CM75" s="229">
        <v>0.54549999999999998</v>
      </c>
      <c r="CN75" s="230">
        <v>1093800</v>
      </c>
      <c r="CO75" s="230">
        <v>1059600</v>
      </c>
      <c r="CP75" s="230">
        <v>34200</v>
      </c>
      <c r="CQ75" s="229">
        <v>3.2300000000000002E-2</v>
      </c>
      <c r="CR75" s="230">
        <v>781200</v>
      </c>
      <c r="CS75" s="230">
        <v>659400</v>
      </c>
      <c r="CT75" s="230">
        <v>121800</v>
      </c>
      <c r="CU75" s="229">
        <v>0.1847</v>
      </c>
      <c r="CV75" s="230">
        <v>6991200</v>
      </c>
      <c r="CW75" s="230">
        <v>6724200</v>
      </c>
      <c r="CX75" s="230">
        <v>267000</v>
      </c>
      <c r="CY75" s="229">
        <v>3.9699999999999999E-2</v>
      </c>
      <c r="CZ75" s="228">
        <v>28.09</v>
      </c>
      <c r="DA75" s="228">
        <v>31.04</v>
      </c>
      <c r="DB75" s="228">
        <v>-2.95</v>
      </c>
      <c r="DC75" s="228">
        <v>-2.95</v>
      </c>
      <c r="DD75" s="228">
        <v>34.340000000000003</v>
      </c>
      <c r="DE75" s="228">
        <v>34.42</v>
      </c>
      <c r="DF75" s="228">
        <v>-6.25</v>
      </c>
      <c r="DG75" s="228">
        <v>-0.08</v>
      </c>
      <c r="DH75" s="228">
        <v>27.47</v>
      </c>
      <c r="DI75" s="228">
        <v>30.14</v>
      </c>
      <c r="DJ75" s="228">
        <v>-2.67</v>
      </c>
      <c r="DK75" s="228">
        <v>-2.67</v>
      </c>
      <c r="DL75" s="228">
        <v>29.19</v>
      </c>
      <c r="DM75" s="228">
        <v>32.380000000000003</v>
      </c>
      <c r="DN75" s="228">
        <v>-3.19</v>
      </c>
      <c r="DO75" s="228">
        <v>-3.19</v>
      </c>
      <c r="DP75" s="228">
        <v>0.71</v>
      </c>
      <c r="DQ75" s="228">
        <v>0.62</v>
      </c>
      <c r="DR75" s="228">
        <v>0.09</v>
      </c>
      <c r="DS75" s="229">
        <v>0.1452</v>
      </c>
      <c r="DT75" s="231">
        <v>2800</v>
      </c>
      <c r="DU75" s="231">
        <v>2360</v>
      </c>
      <c r="DV75" s="228">
        <v>0.56000000000000005</v>
      </c>
      <c r="DW75" s="228">
        <v>0.67</v>
      </c>
      <c r="DX75" s="228">
        <v>-0.11</v>
      </c>
      <c r="DY75" s="229">
        <v>-0.16420000000000001</v>
      </c>
      <c r="DZ75" s="229">
        <v>9.1000000000000004E-3</v>
      </c>
      <c r="EA75" s="230">
        <v>38100</v>
      </c>
      <c r="EB75" s="229">
        <v>5.8999999999999999E-3</v>
      </c>
      <c r="EC75" s="229">
        <v>9.1000000000000004E-3</v>
      </c>
      <c r="ED75" s="228">
        <v>14.61</v>
      </c>
      <c r="EE75" s="229">
        <v>5.7000000000000002E-3</v>
      </c>
      <c r="EF75" s="230">
        <v>454415</v>
      </c>
      <c r="EG75" s="230">
        <v>643138</v>
      </c>
      <c r="EH75" s="229">
        <v>-0.29339999999999999</v>
      </c>
      <c r="EI75" s="229">
        <v>0.65110000000000001</v>
      </c>
      <c r="EJ75" s="231">
        <v>24922.3</v>
      </c>
      <c r="EK75" s="231">
        <v>12752.33</v>
      </c>
      <c r="EL75" s="231">
        <v>22040.37</v>
      </c>
      <c r="EM75" s="231">
        <v>3802</v>
      </c>
      <c r="EN75" s="231">
        <v>59715</v>
      </c>
      <c r="EO75" s="231">
        <v>79542.16</v>
      </c>
      <c r="EP75" s="231">
        <v>-19827.16</v>
      </c>
      <c r="EQ75" s="229">
        <v>-0.24929999999999999</v>
      </c>
      <c r="ER75" s="231">
        <v>30565</v>
      </c>
      <c r="ES75" s="231">
        <v>20059</v>
      </c>
      <c r="ET75" s="231">
        <v>131499</v>
      </c>
      <c r="EU75" s="231">
        <v>30592324</v>
      </c>
      <c r="EV75" s="231">
        <v>182123</v>
      </c>
      <c r="EW75" s="231">
        <v>175005</v>
      </c>
      <c r="EX75" s="231">
        <v>7118</v>
      </c>
      <c r="EY75" s="229">
        <v>4.07E-2</v>
      </c>
      <c r="EZ75" s="229">
        <v>0.22850000000000001</v>
      </c>
      <c r="FA75" s="227" t="s">
        <v>555</v>
      </c>
      <c r="FB75" s="161">
        <f t="shared" si="1"/>
        <v>46500</v>
      </c>
    </row>
    <row r="76" spans="1:158" ht="17.25" thickBot="1" x14ac:dyDescent="0.3">
      <c r="A76" s="226">
        <v>46086</v>
      </c>
      <c r="B76" s="227" t="s">
        <v>172</v>
      </c>
      <c r="C76" s="227" t="s">
        <v>224</v>
      </c>
      <c r="D76" s="228">
        <v>550</v>
      </c>
      <c r="E76" s="228">
        <v>882.2</v>
      </c>
      <c r="F76" s="228">
        <v>874.05</v>
      </c>
      <c r="G76" s="228">
        <v>8.15</v>
      </c>
      <c r="H76" s="229">
        <v>9.2999999999999992E-3</v>
      </c>
      <c r="I76" s="228">
        <v>877.75</v>
      </c>
      <c r="J76" s="228">
        <v>868.65</v>
      </c>
      <c r="K76" s="228">
        <v>9.1</v>
      </c>
      <c r="L76" s="229">
        <v>1.0500000000000001E-2</v>
      </c>
      <c r="M76" s="228">
        <v>882.2</v>
      </c>
      <c r="N76" s="228">
        <v>874.05</v>
      </c>
      <c r="O76" s="228">
        <v>8.15</v>
      </c>
      <c r="P76" s="229">
        <v>9.2999999999999992E-3</v>
      </c>
      <c r="Q76" s="228">
        <v>888.5</v>
      </c>
      <c r="R76" s="228">
        <v>879.85</v>
      </c>
      <c r="S76" s="228">
        <v>8.65</v>
      </c>
      <c r="T76" s="229">
        <v>9.7999999999999997E-3</v>
      </c>
      <c r="U76" s="228">
        <v>886.8</v>
      </c>
      <c r="V76" s="228">
        <v>881</v>
      </c>
      <c r="W76" s="228">
        <v>5.8</v>
      </c>
      <c r="X76" s="229">
        <v>6.6E-3</v>
      </c>
      <c r="Y76" s="228">
        <v>4.45</v>
      </c>
      <c r="Z76" s="228">
        <v>5.4</v>
      </c>
      <c r="AA76" s="228">
        <v>-0.95</v>
      </c>
      <c r="AB76" s="229">
        <v>5.1000000000000004E-3</v>
      </c>
      <c r="AC76" s="228">
        <v>4.45</v>
      </c>
      <c r="AD76" s="228">
        <v>5.4</v>
      </c>
      <c r="AE76" s="228">
        <v>-0.95</v>
      </c>
      <c r="AF76" s="229">
        <v>5.1000000000000004E-3</v>
      </c>
      <c r="AG76" s="228">
        <v>10.75</v>
      </c>
      <c r="AH76" s="228">
        <v>11.2</v>
      </c>
      <c r="AI76" s="228">
        <v>-0.45</v>
      </c>
      <c r="AJ76" s="229">
        <v>1.2200000000000001E-2</v>
      </c>
      <c r="AK76" s="228">
        <v>9.0500000000000007</v>
      </c>
      <c r="AL76" s="228">
        <v>12.35</v>
      </c>
      <c r="AM76" s="228">
        <v>-3.3</v>
      </c>
      <c r="AN76" s="229">
        <v>1.03E-2</v>
      </c>
      <c r="AO76" s="228">
        <v>877.46</v>
      </c>
      <c r="AP76" s="228">
        <v>883.18</v>
      </c>
      <c r="AQ76" s="228">
        <v>0</v>
      </c>
      <c r="AR76" s="230">
        <v>47327500</v>
      </c>
      <c r="AS76" s="230">
        <v>41385300</v>
      </c>
      <c r="AT76" s="230">
        <v>5942200</v>
      </c>
      <c r="AU76" s="229">
        <v>0.14360000000000001</v>
      </c>
      <c r="AV76" s="230">
        <v>34960750</v>
      </c>
      <c r="AW76" s="230">
        <v>38438400</v>
      </c>
      <c r="AX76" s="230">
        <v>-3477650</v>
      </c>
      <c r="AY76" s="229">
        <v>-9.0499999999999997E-2</v>
      </c>
      <c r="AZ76" s="230">
        <v>12158850</v>
      </c>
      <c r="BA76" s="230">
        <v>2657600</v>
      </c>
      <c r="BB76" s="230">
        <v>9501250</v>
      </c>
      <c r="BC76" s="229">
        <v>3.5750999999999999</v>
      </c>
      <c r="BD76" s="230">
        <v>207900</v>
      </c>
      <c r="BE76" s="230">
        <v>289300</v>
      </c>
      <c r="BF76" s="230">
        <v>-81400</v>
      </c>
      <c r="BG76" s="229">
        <v>-0.28139999999999998</v>
      </c>
      <c r="BH76" s="230">
        <v>61426200</v>
      </c>
      <c r="BI76" s="230">
        <v>83592850</v>
      </c>
      <c r="BJ76" s="230">
        <v>-22166650</v>
      </c>
      <c r="BK76" s="229">
        <v>-0.26519999999999999</v>
      </c>
      <c r="BL76" s="230">
        <v>39685800</v>
      </c>
      <c r="BM76" s="230">
        <v>74800550</v>
      </c>
      <c r="BN76" s="230">
        <v>-35114750</v>
      </c>
      <c r="BO76" s="229">
        <v>-0.46939999999999998</v>
      </c>
      <c r="BP76" s="230">
        <v>148439500</v>
      </c>
      <c r="BQ76" s="230">
        <v>199778700</v>
      </c>
      <c r="BR76" s="230">
        <v>-51339200</v>
      </c>
      <c r="BS76" s="229">
        <v>-0.25700000000000001</v>
      </c>
      <c r="BT76" s="230">
        <v>33108139</v>
      </c>
      <c r="BU76" s="230">
        <v>41546658</v>
      </c>
      <c r="BV76" s="230">
        <v>-8438519</v>
      </c>
      <c r="BW76" s="229">
        <v>-0.2031</v>
      </c>
      <c r="BX76" s="230">
        <v>317230650</v>
      </c>
      <c r="BY76" s="230">
        <v>315580100</v>
      </c>
      <c r="BZ76" s="230">
        <v>1650550</v>
      </c>
      <c r="CA76" s="229">
        <v>5.1999999999999998E-3</v>
      </c>
      <c r="CB76" s="230">
        <v>295326900</v>
      </c>
      <c r="CC76" s="230">
        <v>304558100</v>
      </c>
      <c r="CD76" s="230">
        <v>-9231200</v>
      </c>
      <c r="CE76" s="229">
        <v>-3.0300000000000001E-2</v>
      </c>
      <c r="CF76" s="230">
        <v>21138150</v>
      </c>
      <c r="CG76" s="230">
        <v>10335600</v>
      </c>
      <c r="CH76" s="230">
        <v>10802550</v>
      </c>
      <c r="CI76" s="229">
        <v>1.0451999999999999</v>
      </c>
      <c r="CJ76" s="230">
        <v>765600</v>
      </c>
      <c r="CK76" s="230">
        <v>686400</v>
      </c>
      <c r="CL76" s="230">
        <v>79200</v>
      </c>
      <c r="CM76" s="229">
        <v>0.1154</v>
      </c>
      <c r="CN76" s="230">
        <v>61264500</v>
      </c>
      <c r="CO76" s="230">
        <v>58859350</v>
      </c>
      <c r="CP76" s="230">
        <v>2405150</v>
      </c>
      <c r="CQ76" s="229">
        <v>4.0899999999999999E-2</v>
      </c>
      <c r="CR76" s="230">
        <v>36359400</v>
      </c>
      <c r="CS76" s="230">
        <v>35135100</v>
      </c>
      <c r="CT76" s="230">
        <v>1224300</v>
      </c>
      <c r="CU76" s="229">
        <v>3.4799999999999998E-2</v>
      </c>
      <c r="CV76" s="230">
        <v>414854550</v>
      </c>
      <c r="CW76" s="230">
        <v>409574550</v>
      </c>
      <c r="CX76" s="230">
        <v>5280000</v>
      </c>
      <c r="CY76" s="229">
        <v>1.29E-2</v>
      </c>
      <c r="CZ76" s="228">
        <v>20.329999999999998</v>
      </c>
      <c r="DA76" s="228">
        <v>23.88</v>
      </c>
      <c r="DB76" s="228">
        <v>-3.55</v>
      </c>
      <c r="DC76" s="228">
        <v>-3.55</v>
      </c>
      <c r="DD76" s="228">
        <v>19.63</v>
      </c>
      <c r="DE76" s="228">
        <v>19.63</v>
      </c>
      <c r="DF76" s="228">
        <v>0.7</v>
      </c>
      <c r="DG76" s="228">
        <v>0</v>
      </c>
      <c r="DH76" s="228">
        <v>19.86</v>
      </c>
      <c r="DI76" s="228">
        <v>22.83</v>
      </c>
      <c r="DJ76" s="228">
        <v>-2.97</v>
      </c>
      <c r="DK76" s="228">
        <v>-2.97</v>
      </c>
      <c r="DL76" s="228">
        <v>21.07</v>
      </c>
      <c r="DM76" s="228">
        <v>25.05</v>
      </c>
      <c r="DN76" s="228">
        <v>-3.98</v>
      </c>
      <c r="DO76" s="228">
        <v>-3.98</v>
      </c>
      <c r="DP76" s="228">
        <v>0.59</v>
      </c>
      <c r="DQ76" s="228">
        <v>0.6</v>
      </c>
      <c r="DR76" s="228">
        <v>-0.01</v>
      </c>
      <c r="DS76" s="229">
        <v>-1.67E-2</v>
      </c>
      <c r="DT76" s="228">
        <v>900</v>
      </c>
      <c r="DU76" s="228">
        <v>870</v>
      </c>
      <c r="DV76" s="228">
        <v>0.65</v>
      </c>
      <c r="DW76" s="228">
        <v>0.89</v>
      </c>
      <c r="DX76" s="228">
        <v>-0.24</v>
      </c>
      <c r="DY76" s="229">
        <v>-0.2697</v>
      </c>
      <c r="DZ76" s="229">
        <v>6.9000000000000006E-2</v>
      </c>
      <c r="EA76" s="230">
        <v>11022000</v>
      </c>
      <c r="EB76" s="229">
        <v>7.1000000000000004E-3</v>
      </c>
      <c r="EC76" s="229">
        <v>6.9000000000000006E-2</v>
      </c>
      <c r="ED76" s="228">
        <v>5.72</v>
      </c>
      <c r="EE76" s="229">
        <v>6.4999999999999997E-3</v>
      </c>
      <c r="EF76" s="230">
        <v>13964015</v>
      </c>
      <c r="EG76" s="230">
        <v>23564811</v>
      </c>
      <c r="EH76" s="229">
        <v>-0.40739999999999998</v>
      </c>
      <c r="EI76" s="229">
        <v>0.42180000000000001</v>
      </c>
      <c r="EJ76" s="231">
        <v>560965.52</v>
      </c>
      <c r="EK76" s="231">
        <v>343771.53</v>
      </c>
      <c r="EL76" s="231">
        <v>415988.57</v>
      </c>
      <c r="EM76" s="231">
        <v>55101</v>
      </c>
      <c r="EN76" s="231">
        <v>1320725.6200000001</v>
      </c>
      <c r="EO76" s="231">
        <v>1779651.25</v>
      </c>
      <c r="EP76" s="231">
        <v>-458925.63</v>
      </c>
      <c r="EQ76" s="229">
        <v>-0.25790000000000002</v>
      </c>
      <c r="ER76" s="231">
        <v>569586</v>
      </c>
      <c r="ES76" s="231">
        <v>324168</v>
      </c>
      <c r="ET76" s="231">
        <v>2799976</v>
      </c>
      <c r="EU76" s="231">
        <v>1330694977</v>
      </c>
      <c r="EV76" s="231">
        <v>3693730</v>
      </c>
      <c r="EW76" s="231">
        <v>3620806</v>
      </c>
      <c r="EX76" s="231">
        <v>72924</v>
      </c>
      <c r="EY76" s="229">
        <v>2.01E-2</v>
      </c>
      <c r="EZ76" s="229">
        <v>0.31180000000000002</v>
      </c>
      <c r="FA76" s="227" t="s">
        <v>555</v>
      </c>
      <c r="FB76" s="161">
        <f t="shared" si="1"/>
        <v>21903750</v>
      </c>
    </row>
    <row r="77" spans="1:158" ht="17.25" thickBot="1" x14ac:dyDescent="0.3">
      <c r="A77" s="226">
        <v>46086</v>
      </c>
      <c r="B77" s="227" t="s">
        <v>175</v>
      </c>
      <c r="C77" s="227" t="s">
        <v>225</v>
      </c>
      <c r="D77" s="228">
        <v>1100</v>
      </c>
      <c r="E77" s="228">
        <v>686.35</v>
      </c>
      <c r="F77" s="228">
        <v>687.65</v>
      </c>
      <c r="G77" s="228">
        <v>-1.3</v>
      </c>
      <c r="H77" s="229">
        <v>-1.9E-3</v>
      </c>
      <c r="I77" s="228">
        <v>684.3</v>
      </c>
      <c r="J77" s="228">
        <v>684.6</v>
      </c>
      <c r="K77" s="228">
        <v>-0.3</v>
      </c>
      <c r="L77" s="229">
        <v>-4.0000000000000002E-4</v>
      </c>
      <c r="M77" s="228">
        <v>686.35</v>
      </c>
      <c r="N77" s="228">
        <v>687.65</v>
      </c>
      <c r="O77" s="228">
        <v>-1.3</v>
      </c>
      <c r="P77" s="229">
        <v>-1.9E-3</v>
      </c>
      <c r="Q77" s="228">
        <v>690.55</v>
      </c>
      <c r="R77" s="228">
        <v>691.75</v>
      </c>
      <c r="S77" s="228">
        <v>-1.2</v>
      </c>
      <c r="T77" s="229">
        <v>-1.6999999999999999E-3</v>
      </c>
      <c r="U77" s="228">
        <v>686.1</v>
      </c>
      <c r="V77" s="228">
        <v>695.9</v>
      </c>
      <c r="W77" s="228">
        <v>-9.8000000000000007</v>
      </c>
      <c r="X77" s="229">
        <v>-1.41E-2</v>
      </c>
      <c r="Y77" s="228">
        <v>2.0499999999999998</v>
      </c>
      <c r="Z77" s="228">
        <v>3.05</v>
      </c>
      <c r="AA77" s="228">
        <v>-1</v>
      </c>
      <c r="AB77" s="229">
        <v>3.0000000000000001E-3</v>
      </c>
      <c r="AC77" s="228">
        <v>2.0499999999999998</v>
      </c>
      <c r="AD77" s="228">
        <v>3.05</v>
      </c>
      <c r="AE77" s="228">
        <v>-1</v>
      </c>
      <c r="AF77" s="229">
        <v>3.0000000000000001E-3</v>
      </c>
      <c r="AG77" s="228">
        <v>6.25</v>
      </c>
      <c r="AH77" s="228">
        <v>7.15</v>
      </c>
      <c r="AI77" s="228">
        <v>-0.9</v>
      </c>
      <c r="AJ77" s="229">
        <v>9.1000000000000004E-3</v>
      </c>
      <c r="AK77" s="228">
        <v>1.8</v>
      </c>
      <c r="AL77" s="228">
        <v>11.3</v>
      </c>
      <c r="AM77" s="228">
        <v>-9.5</v>
      </c>
      <c r="AN77" s="229">
        <v>2.5999999999999999E-3</v>
      </c>
      <c r="AO77" s="228">
        <v>681.06</v>
      </c>
      <c r="AP77" s="228">
        <v>685.62</v>
      </c>
      <c r="AQ77" s="228">
        <v>0</v>
      </c>
      <c r="AR77" s="230">
        <v>6415200</v>
      </c>
      <c r="AS77" s="230">
        <v>6129200</v>
      </c>
      <c r="AT77" s="230">
        <v>286000</v>
      </c>
      <c r="AU77" s="229">
        <v>4.6699999999999998E-2</v>
      </c>
      <c r="AV77" s="230">
        <v>6044500</v>
      </c>
      <c r="AW77" s="230">
        <v>5684800</v>
      </c>
      <c r="AX77" s="230">
        <v>359700</v>
      </c>
      <c r="AY77" s="229">
        <v>6.3299999999999995E-2</v>
      </c>
      <c r="AZ77" s="230">
        <v>335500</v>
      </c>
      <c r="BA77" s="230">
        <v>405900</v>
      </c>
      <c r="BB77" s="230">
        <v>-70400</v>
      </c>
      <c r="BC77" s="229">
        <v>-0.1734</v>
      </c>
      <c r="BD77" s="230">
        <v>35200</v>
      </c>
      <c r="BE77" s="230">
        <v>38500</v>
      </c>
      <c r="BF77" s="230">
        <v>-3300</v>
      </c>
      <c r="BG77" s="229">
        <v>-8.5699999999999998E-2</v>
      </c>
      <c r="BH77" s="230">
        <v>14724600</v>
      </c>
      <c r="BI77" s="230">
        <v>13698300</v>
      </c>
      <c r="BJ77" s="230">
        <v>1026300</v>
      </c>
      <c r="BK77" s="229">
        <v>7.4899999999999994E-2</v>
      </c>
      <c r="BL77" s="230">
        <v>9971500</v>
      </c>
      <c r="BM77" s="230">
        <v>7595500</v>
      </c>
      <c r="BN77" s="230">
        <v>2376000</v>
      </c>
      <c r="BO77" s="229">
        <v>0.31280000000000002</v>
      </c>
      <c r="BP77" s="230">
        <v>31111300</v>
      </c>
      <c r="BQ77" s="230">
        <v>27423000</v>
      </c>
      <c r="BR77" s="230">
        <v>3688300</v>
      </c>
      <c r="BS77" s="229">
        <v>0.13450000000000001</v>
      </c>
      <c r="BT77" s="230">
        <v>5522440</v>
      </c>
      <c r="BU77" s="230">
        <v>7775897</v>
      </c>
      <c r="BV77" s="230">
        <v>-2253457</v>
      </c>
      <c r="BW77" s="229">
        <v>-0.2898</v>
      </c>
      <c r="BX77" s="230">
        <v>36208700</v>
      </c>
      <c r="BY77" s="230">
        <v>35657600</v>
      </c>
      <c r="BZ77" s="230">
        <v>551100</v>
      </c>
      <c r="CA77" s="229">
        <v>1.55E-2</v>
      </c>
      <c r="CB77" s="230">
        <v>35619100</v>
      </c>
      <c r="CC77" s="230">
        <v>35168100</v>
      </c>
      <c r="CD77" s="230">
        <v>451000</v>
      </c>
      <c r="CE77" s="229">
        <v>1.2800000000000001E-2</v>
      </c>
      <c r="CF77" s="230">
        <v>522500</v>
      </c>
      <c r="CG77" s="230">
        <v>432300</v>
      </c>
      <c r="CH77" s="230">
        <v>90200</v>
      </c>
      <c r="CI77" s="229">
        <v>0.2087</v>
      </c>
      <c r="CJ77" s="230">
        <v>67100</v>
      </c>
      <c r="CK77" s="230">
        <v>57200</v>
      </c>
      <c r="CL77" s="230">
        <v>9900</v>
      </c>
      <c r="CM77" s="229">
        <v>0.1731</v>
      </c>
      <c r="CN77" s="230">
        <v>12276000</v>
      </c>
      <c r="CO77" s="230">
        <v>10553400</v>
      </c>
      <c r="CP77" s="230">
        <v>1722600</v>
      </c>
      <c r="CQ77" s="229">
        <v>0.16320000000000001</v>
      </c>
      <c r="CR77" s="230">
        <v>5189800</v>
      </c>
      <c r="CS77" s="230">
        <v>4446200</v>
      </c>
      <c r="CT77" s="230">
        <v>743600</v>
      </c>
      <c r="CU77" s="229">
        <v>0.16719999999999999</v>
      </c>
      <c r="CV77" s="230">
        <v>53674500</v>
      </c>
      <c r="CW77" s="230">
        <v>50657200</v>
      </c>
      <c r="CX77" s="230">
        <v>3017300</v>
      </c>
      <c r="CY77" s="229">
        <v>5.96E-2</v>
      </c>
      <c r="CZ77" s="228">
        <v>23</v>
      </c>
      <c r="DA77" s="228">
        <v>24.82</v>
      </c>
      <c r="DB77" s="228">
        <v>-1.82</v>
      </c>
      <c r="DC77" s="228">
        <v>-1.82</v>
      </c>
      <c r="DD77" s="228">
        <v>24.91</v>
      </c>
      <c r="DE77" s="228">
        <v>24.98</v>
      </c>
      <c r="DF77" s="228">
        <v>-1.91</v>
      </c>
      <c r="DG77" s="228">
        <v>-7.0000000000000007E-2</v>
      </c>
      <c r="DH77" s="228">
        <v>22.64</v>
      </c>
      <c r="DI77" s="228">
        <v>24.46</v>
      </c>
      <c r="DJ77" s="228">
        <v>-1.82</v>
      </c>
      <c r="DK77" s="228">
        <v>-1.82</v>
      </c>
      <c r="DL77" s="228">
        <v>23.52</v>
      </c>
      <c r="DM77" s="228">
        <v>25.47</v>
      </c>
      <c r="DN77" s="228">
        <v>-1.95</v>
      </c>
      <c r="DO77" s="228">
        <v>-1.95</v>
      </c>
      <c r="DP77" s="228">
        <v>0.42</v>
      </c>
      <c r="DQ77" s="228">
        <v>0.42</v>
      </c>
      <c r="DR77" s="228">
        <v>0</v>
      </c>
      <c r="DS77" s="229">
        <v>0</v>
      </c>
      <c r="DT77" s="228">
        <v>750</v>
      </c>
      <c r="DU77" s="228">
        <v>650</v>
      </c>
      <c r="DV77" s="228">
        <v>0.68</v>
      </c>
      <c r="DW77" s="228">
        <v>0.55000000000000004</v>
      </c>
      <c r="DX77" s="228">
        <v>0.13</v>
      </c>
      <c r="DY77" s="229">
        <v>0.2364</v>
      </c>
      <c r="DZ77" s="229">
        <v>1.6299999999999999E-2</v>
      </c>
      <c r="EA77" s="230">
        <v>489500</v>
      </c>
      <c r="EB77" s="229">
        <v>6.1000000000000004E-3</v>
      </c>
      <c r="EC77" s="229">
        <v>1.6299999999999999E-2</v>
      </c>
      <c r="ED77" s="228">
        <v>4.5599999999999996</v>
      </c>
      <c r="EE77" s="229">
        <v>6.7000000000000002E-3</v>
      </c>
      <c r="EF77" s="230">
        <v>3655111</v>
      </c>
      <c r="EG77" s="230">
        <v>5526251</v>
      </c>
      <c r="EH77" s="229">
        <v>-0.33860000000000001</v>
      </c>
      <c r="EI77" s="229">
        <v>0.66190000000000004</v>
      </c>
      <c r="EJ77" s="231">
        <v>107070.24</v>
      </c>
      <c r="EK77" s="231">
        <v>68005.88</v>
      </c>
      <c r="EL77" s="231">
        <v>43709.14</v>
      </c>
      <c r="EM77" s="231">
        <v>3662</v>
      </c>
      <c r="EN77" s="231">
        <v>218785.26</v>
      </c>
      <c r="EO77" s="231">
        <v>197030.38</v>
      </c>
      <c r="EP77" s="231">
        <v>21754.880000000001</v>
      </c>
      <c r="EQ77" s="229">
        <v>0.1104</v>
      </c>
      <c r="ER77" s="231">
        <v>92622</v>
      </c>
      <c r="ES77" s="231">
        <v>35762</v>
      </c>
      <c r="ET77" s="231">
        <v>248540</v>
      </c>
      <c r="EU77" s="231">
        <v>128849634</v>
      </c>
      <c r="EV77" s="231">
        <v>376924</v>
      </c>
      <c r="EW77" s="231">
        <v>356403</v>
      </c>
      <c r="EX77" s="231">
        <v>20521</v>
      </c>
      <c r="EY77" s="229">
        <v>5.7599999999999998E-2</v>
      </c>
      <c r="EZ77" s="229">
        <v>0.41660000000000003</v>
      </c>
      <c r="FA77" s="227" t="s">
        <v>567</v>
      </c>
      <c r="FB77" s="161">
        <f t="shared" si="1"/>
        <v>589600</v>
      </c>
    </row>
    <row r="78" spans="1:158" ht="17.25" thickBot="1" x14ac:dyDescent="0.3">
      <c r="A78" s="226">
        <v>46086</v>
      </c>
      <c r="B78" s="227" t="s">
        <v>162</v>
      </c>
      <c r="C78" s="227" t="s">
        <v>226</v>
      </c>
      <c r="D78" s="228">
        <v>150</v>
      </c>
      <c r="E78" s="231">
        <v>5600.5</v>
      </c>
      <c r="F78" s="231">
        <v>5511.5</v>
      </c>
      <c r="G78" s="228">
        <v>89</v>
      </c>
      <c r="H78" s="229">
        <v>1.61E-2</v>
      </c>
      <c r="I78" s="231">
        <v>5588.5</v>
      </c>
      <c r="J78" s="231">
        <v>5500</v>
      </c>
      <c r="K78" s="228">
        <v>88.5</v>
      </c>
      <c r="L78" s="229">
        <v>1.61E-2</v>
      </c>
      <c r="M78" s="231">
        <v>5600.5</v>
      </c>
      <c r="N78" s="231">
        <v>5511.5</v>
      </c>
      <c r="O78" s="228">
        <v>89</v>
      </c>
      <c r="P78" s="229">
        <v>1.61E-2</v>
      </c>
      <c r="Q78" s="231">
        <v>5631.5</v>
      </c>
      <c r="R78" s="231">
        <v>5540</v>
      </c>
      <c r="S78" s="228">
        <v>91.5</v>
      </c>
      <c r="T78" s="229">
        <v>1.6500000000000001E-2</v>
      </c>
      <c r="U78" s="231">
        <v>5585.5</v>
      </c>
      <c r="V78" s="231">
        <v>5560</v>
      </c>
      <c r="W78" s="228">
        <v>25.5</v>
      </c>
      <c r="X78" s="229">
        <v>4.5999999999999999E-3</v>
      </c>
      <c r="Y78" s="228">
        <v>12</v>
      </c>
      <c r="Z78" s="228">
        <v>11.5</v>
      </c>
      <c r="AA78" s="228">
        <v>0.5</v>
      </c>
      <c r="AB78" s="229">
        <v>2.0999999999999999E-3</v>
      </c>
      <c r="AC78" s="228">
        <v>12</v>
      </c>
      <c r="AD78" s="228">
        <v>11.5</v>
      </c>
      <c r="AE78" s="228">
        <v>0.5</v>
      </c>
      <c r="AF78" s="229">
        <v>2.0999999999999999E-3</v>
      </c>
      <c r="AG78" s="228">
        <v>43</v>
      </c>
      <c r="AH78" s="228">
        <v>40</v>
      </c>
      <c r="AI78" s="228">
        <v>3</v>
      </c>
      <c r="AJ78" s="229">
        <v>7.7000000000000002E-3</v>
      </c>
      <c r="AK78" s="228">
        <v>-3</v>
      </c>
      <c r="AL78" s="228">
        <v>60</v>
      </c>
      <c r="AM78" s="228">
        <v>-63</v>
      </c>
      <c r="AN78" s="229">
        <v>-5.0000000000000001E-4</v>
      </c>
      <c r="AO78" s="231">
        <v>5567.12</v>
      </c>
      <c r="AP78" s="231">
        <v>5601.94</v>
      </c>
      <c r="AQ78" s="228">
        <v>0</v>
      </c>
      <c r="AR78" s="230">
        <v>641400</v>
      </c>
      <c r="AS78" s="230">
        <v>690900</v>
      </c>
      <c r="AT78" s="230">
        <v>-49500</v>
      </c>
      <c r="AU78" s="229">
        <v>-7.1599999999999997E-2</v>
      </c>
      <c r="AV78" s="230">
        <v>607500</v>
      </c>
      <c r="AW78" s="230">
        <v>667650</v>
      </c>
      <c r="AX78" s="230">
        <v>-60150</v>
      </c>
      <c r="AY78" s="229">
        <v>-9.01E-2</v>
      </c>
      <c r="AZ78" s="230">
        <v>32550</v>
      </c>
      <c r="BA78" s="230">
        <v>22200</v>
      </c>
      <c r="BB78" s="230">
        <v>10350</v>
      </c>
      <c r="BC78" s="229">
        <v>0.4662</v>
      </c>
      <c r="BD78" s="230">
        <v>1350</v>
      </c>
      <c r="BE78" s="230">
        <v>1050</v>
      </c>
      <c r="BF78" s="228">
        <v>300</v>
      </c>
      <c r="BG78" s="229">
        <v>0.28570000000000001</v>
      </c>
      <c r="BH78" s="230">
        <v>2409150</v>
      </c>
      <c r="BI78" s="230">
        <v>1896750</v>
      </c>
      <c r="BJ78" s="230">
        <v>512400</v>
      </c>
      <c r="BK78" s="229">
        <v>0.27010000000000001</v>
      </c>
      <c r="BL78" s="230">
        <v>1196700</v>
      </c>
      <c r="BM78" s="230">
        <v>1548000</v>
      </c>
      <c r="BN78" s="230">
        <v>-351300</v>
      </c>
      <c r="BO78" s="229">
        <v>-0.22689999999999999</v>
      </c>
      <c r="BP78" s="230">
        <v>4247250</v>
      </c>
      <c r="BQ78" s="230">
        <v>4135650</v>
      </c>
      <c r="BR78" s="230">
        <v>111600</v>
      </c>
      <c r="BS78" s="229">
        <v>2.7E-2</v>
      </c>
      <c r="BT78" s="230">
        <v>562627</v>
      </c>
      <c r="BU78" s="230">
        <v>463802</v>
      </c>
      <c r="BV78" s="230">
        <v>98825</v>
      </c>
      <c r="BW78" s="229">
        <v>0.21310000000000001</v>
      </c>
      <c r="BX78" s="230">
        <v>3437250</v>
      </c>
      <c r="BY78" s="230">
        <v>3442350</v>
      </c>
      <c r="BZ78" s="230">
        <v>-5100</v>
      </c>
      <c r="CA78" s="229">
        <v>-1.5E-3</v>
      </c>
      <c r="CB78" s="230">
        <v>3380700</v>
      </c>
      <c r="CC78" s="230">
        <v>3387900</v>
      </c>
      <c r="CD78" s="230">
        <v>-7200</v>
      </c>
      <c r="CE78" s="229">
        <v>-2.0999999999999999E-3</v>
      </c>
      <c r="CF78" s="230">
        <v>51750</v>
      </c>
      <c r="CG78" s="230">
        <v>49950</v>
      </c>
      <c r="CH78" s="230">
        <v>1800</v>
      </c>
      <c r="CI78" s="229">
        <v>3.5999999999999997E-2</v>
      </c>
      <c r="CJ78" s="230">
        <v>4800</v>
      </c>
      <c r="CK78" s="230">
        <v>4500</v>
      </c>
      <c r="CL78" s="228">
        <v>300</v>
      </c>
      <c r="CM78" s="229">
        <v>6.6699999999999995E-2</v>
      </c>
      <c r="CN78" s="230">
        <v>1583100</v>
      </c>
      <c r="CO78" s="230">
        <v>1556850</v>
      </c>
      <c r="CP78" s="230">
        <v>26250</v>
      </c>
      <c r="CQ78" s="229">
        <v>1.6899999999999998E-2</v>
      </c>
      <c r="CR78" s="230">
        <v>1038000</v>
      </c>
      <c r="CS78" s="230">
        <v>1070100</v>
      </c>
      <c r="CT78" s="230">
        <v>-32100</v>
      </c>
      <c r="CU78" s="229">
        <v>-0.03</v>
      </c>
      <c r="CV78" s="230">
        <v>6058350</v>
      </c>
      <c r="CW78" s="230">
        <v>6069300</v>
      </c>
      <c r="CX78" s="230">
        <v>-10950</v>
      </c>
      <c r="CY78" s="229">
        <v>-1.8E-3</v>
      </c>
      <c r="CZ78" s="228">
        <v>27.33</v>
      </c>
      <c r="DA78" s="228">
        <v>30.06</v>
      </c>
      <c r="DB78" s="228">
        <v>-2.73</v>
      </c>
      <c r="DC78" s="228">
        <v>-2.73</v>
      </c>
      <c r="DD78" s="228">
        <v>30.36</v>
      </c>
      <c r="DE78" s="228">
        <v>30.36</v>
      </c>
      <c r="DF78" s="228">
        <v>-3.03</v>
      </c>
      <c r="DG78" s="228">
        <v>0</v>
      </c>
      <c r="DH78" s="228">
        <v>26.43</v>
      </c>
      <c r="DI78" s="228">
        <v>28.86</v>
      </c>
      <c r="DJ78" s="228">
        <v>-2.4300000000000002</v>
      </c>
      <c r="DK78" s="228">
        <v>-2.4300000000000002</v>
      </c>
      <c r="DL78" s="228">
        <v>29.13</v>
      </c>
      <c r="DM78" s="228">
        <v>31.54</v>
      </c>
      <c r="DN78" s="228">
        <v>-2.41</v>
      </c>
      <c r="DO78" s="228">
        <v>-2.41</v>
      </c>
      <c r="DP78" s="228">
        <v>0.66</v>
      </c>
      <c r="DQ78" s="228">
        <v>0.69</v>
      </c>
      <c r="DR78" s="228">
        <v>-0.03</v>
      </c>
      <c r="DS78" s="229">
        <v>-4.3499999999999997E-2</v>
      </c>
      <c r="DT78" s="231">
        <v>6000</v>
      </c>
      <c r="DU78" s="231">
        <v>5400</v>
      </c>
      <c r="DV78" s="228">
        <v>0.5</v>
      </c>
      <c r="DW78" s="228">
        <v>0.82</v>
      </c>
      <c r="DX78" s="228">
        <v>-0.32</v>
      </c>
      <c r="DY78" s="229">
        <v>-0.39019999999999999</v>
      </c>
      <c r="DZ78" s="229">
        <v>1.6500000000000001E-2</v>
      </c>
      <c r="EA78" s="230">
        <v>54450</v>
      </c>
      <c r="EB78" s="229">
        <v>5.4999999999999997E-3</v>
      </c>
      <c r="EC78" s="229">
        <v>1.6500000000000001E-2</v>
      </c>
      <c r="ED78" s="228">
        <v>34.82</v>
      </c>
      <c r="EE78" s="229">
        <v>6.3E-3</v>
      </c>
      <c r="EF78" s="230">
        <v>271029</v>
      </c>
      <c r="EG78" s="230">
        <v>245948</v>
      </c>
      <c r="EH78" s="229">
        <v>0.10199999999999999</v>
      </c>
      <c r="EI78" s="229">
        <v>0.48170000000000002</v>
      </c>
      <c r="EJ78" s="231">
        <v>142813.26</v>
      </c>
      <c r="EK78" s="231">
        <v>63502.36</v>
      </c>
      <c r="EL78" s="231">
        <v>35719.370000000003</v>
      </c>
      <c r="EM78" s="231">
        <v>5460</v>
      </c>
      <c r="EN78" s="231">
        <v>242034.99</v>
      </c>
      <c r="EO78" s="231">
        <v>232656.12</v>
      </c>
      <c r="EP78" s="231">
        <v>9378.8700000000008</v>
      </c>
      <c r="EQ78" s="229">
        <v>4.0300000000000002E-2</v>
      </c>
      <c r="ER78" s="231">
        <v>94771</v>
      </c>
      <c r="ES78" s="231">
        <v>55612</v>
      </c>
      <c r="ET78" s="231">
        <v>192519</v>
      </c>
      <c r="EU78" s="231">
        <v>19586951</v>
      </c>
      <c r="EV78" s="231">
        <v>342902</v>
      </c>
      <c r="EW78" s="231">
        <v>339936</v>
      </c>
      <c r="EX78" s="231">
        <v>2966</v>
      </c>
      <c r="EY78" s="229">
        <v>8.6999999999999994E-3</v>
      </c>
      <c r="EZ78" s="229">
        <v>0.30930000000000002</v>
      </c>
      <c r="FA78" s="227" t="s">
        <v>556</v>
      </c>
      <c r="FB78" s="161">
        <f t="shared" si="1"/>
        <v>56550</v>
      </c>
    </row>
    <row r="79" spans="1:158" ht="17.25" thickBot="1" x14ac:dyDescent="0.3">
      <c r="A79" s="226">
        <v>46086</v>
      </c>
      <c r="B79" s="227" t="s">
        <v>227</v>
      </c>
      <c r="C79" s="227" t="s">
        <v>228</v>
      </c>
      <c r="D79" s="228">
        <v>700</v>
      </c>
      <c r="E79" s="228">
        <v>956.75</v>
      </c>
      <c r="F79" s="228">
        <v>925.95</v>
      </c>
      <c r="G79" s="228">
        <v>30.8</v>
      </c>
      <c r="H79" s="229">
        <v>3.3300000000000003E-2</v>
      </c>
      <c r="I79" s="228">
        <v>954.95</v>
      </c>
      <c r="J79" s="228">
        <v>921.8</v>
      </c>
      <c r="K79" s="228">
        <v>33.15</v>
      </c>
      <c r="L79" s="229">
        <v>3.5999999999999997E-2</v>
      </c>
      <c r="M79" s="228">
        <v>956.75</v>
      </c>
      <c r="N79" s="228">
        <v>925.95</v>
      </c>
      <c r="O79" s="228">
        <v>30.8</v>
      </c>
      <c r="P79" s="229">
        <v>3.3300000000000003E-2</v>
      </c>
      <c r="Q79" s="228">
        <v>963.3</v>
      </c>
      <c r="R79" s="228">
        <v>931.4</v>
      </c>
      <c r="S79" s="228">
        <v>31.9</v>
      </c>
      <c r="T79" s="229">
        <v>3.4200000000000001E-2</v>
      </c>
      <c r="U79" s="228">
        <v>972.45</v>
      </c>
      <c r="V79" s="228">
        <v>936.15</v>
      </c>
      <c r="W79" s="228">
        <v>36.299999999999997</v>
      </c>
      <c r="X79" s="229">
        <v>3.8800000000000001E-2</v>
      </c>
      <c r="Y79" s="228">
        <v>1.8</v>
      </c>
      <c r="Z79" s="228">
        <v>4.1500000000000004</v>
      </c>
      <c r="AA79" s="228">
        <v>-2.35</v>
      </c>
      <c r="AB79" s="229">
        <v>1.9E-3</v>
      </c>
      <c r="AC79" s="228">
        <v>1.8</v>
      </c>
      <c r="AD79" s="228">
        <v>4.1500000000000004</v>
      </c>
      <c r="AE79" s="228">
        <v>-2.35</v>
      </c>
      <c r="AF79" s="229">
        <v>1.9E-3</v>
      </c>
      <c r="AG79" s="228">
        <v>8.35</v>
      </c>
      <c r="AH79" s="228">
        <v>9.6</v>
      </c>
      <c r="AI79" s="228">
        <v>-1.25</v>
      </c>
      <c r="AJ79" s="229">
        <v>8.6999999999999994E-3</v>
      </c>
      <c r="AK79" s="228">
        <v>17.5</v>
      </c>
      <c r="AL79" s="228">
        <v>14.35</v>
      </c>
      <c r="AM79" s="228">
        <v>3.15</v>
      </c>
      <c r="AN79" s="229">
        <v>1.83E-2</v>
      </c>
      <c r="AO79" s="228">
        <v>966.85</v>
      </c>
      <c r="AP79" s="228">
        <v>974.81</v>
      </c>
      <c r="AQ79" s="228">
        <v>0</v>
      </c>
      <c r="AR79" s="230">
        <v>26233200</v>
      </c>
      <c r="AS79" s="230">
        <v>11405800</v>
      </c>
      <c r="AT79" s="230">
        <v>14827400</v>
      </c>
      <c r="AU79" s="229">
        <v>1.3</v>
      </c>
      <c r="AV79" s="230">
        <v>23739100</v>
      </c>
      <c r="AW79" s="230">
        <v>11102700</v>
      </c>
      <c r="AX79" s="230">
        <v>12636400</v>
      </c>
      <c r="AY79" s="229">
        <v>1.1380999999999999</v>
      </c>
      <c r="AZ79" s="230">
        <v>1486100</v>
      </c>
      <c r="BA79" s="230">
        <v>247100</v>
      </c>
      <c r="BB79" s="230">
        <v>1239000</v>
      </c>
      <c r="BC79" s="229">
        <v>5.0141999999999998</v>
      </c>
      <c r="BD79" s="230">
        <v>1008000</v>
      </c>
      <c r="BE79" s="230">
        <v>56000</v>
      </c>
      <c r="BF79" s="230">
        <v>952000</v>
      </c>
      <c r="BG79" s="229">
        <v>17</v>
      </c>
      <c r="BH79" s="230">
        <v>84993300</v>
      </c>
      <c r="BI79" s="230">
        <v>18867800</v>
      </c>
      <c r="BJ79" s="230">
        <v>66125500</v>
      </c>
      <c r="BK79" s="229">
        <v>3.5047000000000001</v>
      </c>
      <c r="BL79" s="230">
        <v>39838400</v>
      </c>
      <c r="BM79" s="230">
        <v>18576600</v>
      </c>
      <c r="BN79" s="230">
        <v>21261800</v>
      </c>
      <c r="BO79" s="229">
        <v>1.1445000000000001</v>
      </c>
      <c r="BP79" s="230">
        <v>151064900</v>
      </c>
      <c r="BQ79" s="230">
        <v>48850200</v>
      </c>
      <c r="BR79" s="230">
        <v>102214700</v>
      </c>
      <c r="BS79" s="229">
        <v>2.0924</v>
      </c>
      <c r="BT79" s="230">
        <v>17581239</v>
      </c>
      <c r="BU79" s="230">
        <v>7806842</v>
      </c>
      <c r="BV79" s="230">
        <v>9774397</v>
      </c>
      <c r="BW79" s="229">
        <v>1.252</v>
      </c>
      <c r="BX79" s="230">
        <v>43016400</v>
      </c>
      <c r="BY79" s="230">
        <v>43995000</v>
      </c>
      <c r="BZ79" s="230">
        <v>-978600</v>
      </c>
      <c r="CA79" s="229">
        <v>-2.2200000000000001E-2</v>
      </c>
      <c r="CB79" s="230">
        <v>38226300</v>
      </c>
      <c r="CC79" s="230">
        <v>40742800</v>
      </c>
      <c r="CD79" s="230">
        <v>-2516500</v>
      </c>
      <c r="CE79" s="229">
        <v>-6.1800000000000001E-2</v>
      </c>
      <c r="CF79" s="230">
        <v>2549400</v>
      </c>
      <c r="CG79" s="230">
        <v>1799700</v>
      </c>
      <c r="CH79" s="230">
        <v>749700</v>
      </c>
      <c r="CI79" s="229">
        <v>0.41660000000000003</v>
      </c>
      <c r="CJ79" s="230">
        <v>2240700</v>
      </c>
      <c r="CK79" s="230">
        <v>1452500</v>
      </c>
      <c r="CL79" s="230">
        <v>788200</v>
      </c>
      <c r="CM79" s="229">
        <v>0.54269999999999996</v>
      </c>
      <c r="CN79" s="230">
        <v>10821300</v>
      </c>
      <c r="CO79" s="230">
        <v>8633100</v>
      </c>
      <c r="CP79" s="230">
        <v>2188200</v>
      </c>
      <c r="CQ79" s="229">
        <v>0.2535</v>
      </c>
      <c r="CR79" s="230">
        <v>9162300</v>
      </c>
      <c r="CS79" s="230">
        <v>7253400</v>
      </c>
      <c r="CT79" s="230">
        <v>1908900</v>
      </c>
      <c r="CU79" s="229">
        <v>0.26319999999999999</v>
      </c>
      <c r="CV79" s="230">
        <v>63000000</v>
      </c>
      <c r="CW79" s="230">
        <v>59881500</v>
      </c>
      <c r="CX79" s="230">
        <v>3118500</v>
      </c>
      <c r="CY79" s="229">
        <v>5.21E-2</v>
      </c>
      <c r="CZ79" s="228">
        <v>34.15</v>
      </c>
      <c r="DA79" s="228">
        <v>34.159999999999997</v>
      </c>
      <c r="DB79" s="228">
        <v>-0.01</v>
      </c>
      <c r="DC79" s="228">
        <v>-0.01</v>
      </c>
      <c r="DD79" s="228">
        <v>35.28</v>
      </c>
      <c r="DE79" s="228">
        <v>35.04</v>
      </c>
      <c r="DF79" s="228">
        <v>-1.1299999999999999</v>
      </c>
      <c r="DG79" s="228">
        <v>0.24</v>
      </c>
      <c r="DH79" s="228">
        <v>34.14</v>
      </c>
      <c r="DI79" s="228">
        <v>33.46</v>
      </c>
      <c r="DJ79" s="228">
        <v>0.68</v>
      </c>
      <c r="DK79" s="228">
        <v>0.68</v>
      </c>
      <c r="DL79" s="228">
        <v>34.159999999999997</v>
      </c>
      <c r="DM79" s="228">
        <v>34.869999999999997</v>
      </c>
      <c r="DN79" s="228">
        <v>-0.71</v>
      </c>
      <c r="DO79" s="228">
        <v>-0.71</v>
      </c>
      <c r="DP79" s="228">
        <v>0.85</v>
      </c>
      <c r="DQ79" s="228">
        <v>0.84</v>
      </c>
      <c r="DR79" s="228">
        <v>0.01</v>
      </c>
      <c r="DS79" s="229">
        <v>1.1900000000000001E-2</v>
      </c>
      <c r="DT79" s="231">
        <v>1000</v>
      </c>
      <c r="DU79" s="228">
        <v>900</v>
      </c>
      <c r="DV79" s="228">
        <v>0.47</v>
      </c>
      <c r="DW79" s="228">
        <v>0.98</v>
      </c>
      <c r="DX79" s="228">
        <v>-0.51</v>
      </c>
      <c r="DY79" s="229">
        <v>-0.52039999999999997</v>
      </c>
      <c r="DZ79" s="229">
        <v>0.1114</v>
      </c>
      <c r="EA79" s="230">
        <v>3252200</v>
      </c>
      <c r="EB79" s="229">
        <v>6.7999999999999996E-3</v>
      </c>
      <c r="EC79" s="229">
        <v>0.1114</v>
      </c>
      <c r="ED79" s="228">
        <v>7.96</v>
      </c>
      <c r="EE79" s="229">
        <v>8.2000000000000007E-3</v>
      </c>
      <c r="EF79" s="230">
        <v>6495548</v>
      </c>
      <c r="EG79" s="230">
        <v>4117484</v>
      </c>
      <c r="EH79" s="229">
        <v>0.5776</v>
      </c>
      <c r="EI79" s="229">
        <v>0.3695</v>
      </c>
      <c r="EJ79" s="231">
        <v>878601.15</v>
      </c>
      <c r="EK79" s="231">
        <v>376307.41</v>
      </c>
      <c r="EL79" s="231">
        <v>253894.22</v>
      </c>
      <c r="EM79" s="231">
        <v>12531</v>
      </c>
      <c r="EN79" s="231">
        <v>1508802.78</v>
      </c>
      <c r="EO79" s="231">
        <v>459914.06</v>
      </c>
      <c r="EP79" s="231">
        <v>1048888.72</v>
      </c>
      <c r="EQ79" s="229">
        <v>2.2806000000000002</v>
      </c>
      <c r="ER79" s="231">
        <v>108179</v>
      </c>
      <c r="ES79" s="231">
        <v>82354</v>
      </c>
      <c r="ET79" s="231">
        <v>412078</v>
      </c>
      <c r="EU79" s="231">
        <v>212176873</v>
      </c>
      <c r="EV79" s="231">
        <v>602611</v>
      </c>
      <c r="EW79" s="231">
        <v>555743</v>
      </c>
      <c r="EX79" s="231">
        <v>46868</v>
      </c>
      <c r="EY79" s="229">
        <v>8.43E-2</v>
      </c>
      <c r="EZ79" s="229">
        <v>0.2969</v>
      </c>
      <c r="FA79" s="227" t="s">
        <v>556</v>
      </c>
      <c r="FB79" s="161">
        <f t="shared" si="1"/>
        <v>4790100</v>
      </c>
    </row>
    <row r="80" spans="1:158" ht="17.25" thickBot="1" x14ac:dyDescent="0.3">
      <c r="A80" s="226">
        <v>46086</v>
      </c>
      <c r="B80" s="227" t="s">
        <v>193</v>
      </c>
      <c r="C80" s="227" t="s">
        <v>229</v>
      </c>
      <c r="D80" s="228">
        <v>2025</v>
      </c>
      <c r="E80" s="228">
        <v>417.9</v>
      </c>
      <c r="F80" s="228">
        <v>402.9</v>
      </c>
      <c r="G80" s="228">
        <v>15</v>
      </c>
      <c r="H80" s="229">
        <v>3.7199999999999997E-2</v>
      </c>
      <c r="I80" s="228">
        <v>418.4</v>
      </c>
      <c r="J80" s="228">
        <v>401.45</v>
      </c>
      <c r="K80" s="228">
        <v>16.95</v>
      </c>
      <c r="L80" s="229">
        <v>4.2200000000000001E-2</v>
      </c>
      <c r="M80" s="228">
        <v>417.9</v>
      </c>
      <c r="N80" s="228">
        <v>402.9</v>
      </c>
      <c r="O80" s="228">
        <v>15</v>
      </c>
      <c r="P80" s="229">
        <v>3.7199999999999997E-2</v>
      </c>
      <c r="Q80" s="228">
        <v>419.45</v>
      </c>
      <c r="R80" s="228">
        <v>405.2</v>
      </c>
      <c r="S80" s="228">
        <v>14.25</v>
      </c>
      <c r="T80" s="229">
        <v>3.5200000000000002E-2</v>
      </c>
      <c r="U80" s="228">
        <v>424.15</v>
      </c>
      <c r="V80" s="228">
        <v>408.35</v>
      </c>
      <c r="W80" s="228">
        <v>15.8</v>
      </c>
      <c r="X80" s="229">
        <v>3.8699999999999998E-2</v>
      </c>
      <c r="Y80" s="228">
        <v>-0.5</v>
      </c>
      <c r="Z80" s="228">
        <v>1.45</v>
      </c>
      <c r="AA80" s="228">
        <v>-1.95</v>
      </c>
      <c r="AB80" s="229">
        <v>-1.1999999999999999E-3</v>
      </c>
      <c r="AC80" s="228">
        <v>-0.5</v>
      </c>
      <c r="AD80" s="228">
        <v>1.45</v>
      </c>
      <c r="AE80" s="228">
        <v>-1.95</v>
      </c>
      <c r="AF80" s="229">
        <v>-1.1999999999999999E-3</v>
      </c>
      <c r="AG80" s="228">
        <v>1.05</v>
      </c>
      <c r="AH80" s="228">
        <v>3.75</v>
      </c>
      <c r="AI80" s="228">
        <v>-2.7</v>
      </c>
      <c r="AJ80" s="229">
        <v>2.5000000000000001E-3</v>
      </c>
      <c r="AK80" s="228">
        <v>5.75</v>
      </c>
      <c r="AL80" s="228">
        <v>6.9</v>
      </c>
      <c r="AM80" s="228">
        <v>-1.1499999999999999</v>
      </c>
      <c r="AN80" s="229">
        <v>1.37E-2</v>
      </c>
      <c r="AO80" s="228">
        <v>412.27</v>
      </c>
      <c r="AP80" s="228">
        <v>416.02</v>
      </c>
      <c r="AQ80" s="228">
        <v>0</v>
      </c>
      <c r="AR80" s="230">
        <v>27459000</v>
      </c>
      <c r="AS80" s="230">
        <v>13672800</v>
      </c>
      <c r="AT80" s="230">
        <v>13786200</v>
      </c>
      <c r="AU80" s="229">
        <v>1.0083</v>
      </c>
      <c r="AV80" s="230">
        <v>25887600</v>
      </c>
      <c r="AW80" s="230">
        <v>12785850</v>
      </c>
      <c r="AX80" s="230">
        <v>13101750</v>
      </c>
      <c r="AY80" s="229">
        <v>1.0246999999999999</v>
      </c>
      <c r="AZ80" s="230">
        <v>1441800</v>
      </c>
      <c r="BA80" s="230">
        <v>773550</v>
      </c>
      <c r="BB80" s="230">
        <v>668250</v>
      </c>
      <c r="BC80" s="229">
        <v>0.8639</v>
      </c>
      <c r="BD80" s="230">
        <v>129600</v>
      </c>
      <c r="BE80" s="230">
        <v>113400</v>
      </c>
      <c r="BF80" s="230">
        <v>16200</v>
      </c>
      <c r="BG80" s="229">
        <v>0.1429</v>
      </c>
      <c r="BH80" s="230">
        <v>35297775</v>
      </c>
      <c r="BI80" s="230">
        <v>22305375</v>
      </c>
      <c r="BJ80" s="230">
        <v>12992400</v>
      </c>
      <c r="BK80" s="229">
        <v>0.58250000000000002</v>
      </c>
      <c r="BL80" s="230">
        <v>35937675</v>
      </c>
      <c r="BM80" s="230">
        <v>29951775</v>
      </c>
      <c r="BN80" s="230">
        <v>5985900</v>
      </c>
      <c r="BO80" s="229">
        <v>0.19989999999999999</v>
      </c>
      <c r="BP80" s="230">
        <v>98694450</v>
      </c>
      <c r="BQ80" s="230">
        <v>65929950</v>
      </c>
      <c r="BR80" s="230">
        <v>32764500</v>
      </c>
      <c r="BS80" s="229">
        <v>0.497</v>
      </c>
      <c r="BT80" s="230">
        <v>10778075</v>
      </c>
      <c r="BU80" s="230">
        <v>6800429</v>
      </c>
      <c r="BV80" s="230">
        <v>3977646</v>
      </c>
      <c r="BW80" s="229">
        <v>0.58489999999999998</v>
      </c>
      <c r="BX80" s="230">
        <v>43474725</v>
      </c>
      <c r="BY80" s="230">
        <v>45679950</v>
      </c>
      <c r="BZ80" s="230">
        <v>-2205225</v>
      </c>
      <c r="CA80" s="229">
        <v>-4.8300000000000003E-2</v>
      </c>
      <c r="CB80" s="230">
        <v>42423750</v>
      </c>
      <c r="CC80" s="230">
        <v>44752500</v>
      </c>
      <c r="CD80" s="230">
        <v>-2328750</v>
      </c>
      <c r="CE80" s="229">
        <v>-5.1999999999999998E-2</v>
      </c>
      <c r="CF80" s="230">
        <v>939600</v>
      </c>
      <c r="CG80" s="230">
        <v>852525</v>
      </c>
      <c r="CH80" s="230">
        <v>87075</v>
      </c>
      <c r="CI80" s="229">
        <v>0.1021</v>
      </c>
      <c r="CJ80" s="230">
        <v>111375</v>
      </c>
      <c r="CK80" s="230">
        <v>74925</v>
      </c>
      <c r="CL80" s="230">
        <v>36450</v>
      </c>
      <c r="CM80" s="229">
        <v>0.48649999999999999</v>
      </c>
      <c r="CN80" s="230">
        <v>13846950</v>
      </c>
      <c r="CO80" s="230">
        <v>11421000</v>
      </c>
      <c r="CP80" s="230">
        <v>2425950</v>
      </c>
      <c r="CQ80" s="229">
        <v>0.21240000000000001</v>
      </c>
      <c r="CR80" s="230">
        <v>13579650</v>
      </c>
      <c r="CS80" s="230">
        <v>12757500</v>
      </c>
      <c r="CT80" s="230">
        <v>822150</v>
      </c>
      <c r="CU80" s="229">
        <v>6.4399999999999999E-2</v>
      </c>
      <c r="CV80" s="230">
        <v>70901325</v>
      </c>
      <c r="CW80" s="230">
        <v>69858450</v>
      </c>
      <c r="CX80" s="230">
        <v>1042875</v>
      </c>
      <c r="CY80" s="229">
        <v>1.49E-2</v>
      </c>
      <c r="CZ80" s="228">
        <v>37.43</v>
      </c>
      <c r="DA80" s="228">
        <v>42.47</v>
      </c>
      <c r="DB80" s="228">
        <v>-5.04</v>
      </c>
      <c r="DC80" s="228">
        <v>-5.04</v>
      </c>
      <c r="DD80" s="228">
        <v>39.630000000000003</v>
      </c>
      <c r="DE80" s="228">
        <v>39.380000000000003</v>
      </c>
      <c r="DF80" s="228">
        <v>-2.2000000000000002</v>
      </c>
      <c r="DG80" s="228">
        <v>0.25</v>
      </c>
      <c r="DH80" s="228">
        <v>35.75</v>
      </c>
      <c r="DI80" s="228">
        <v>40.46</v>
      </c>
      <c r="DJ80" s="228">
        <v>-4.71</v>
      </c>
      <c r="DK80" s="228">
        <v>-4.71</v>
      </c>
      <c r="DL80" s="228">
        <v>39.08</v>
      </c>
      <c r="DM80" s="228">
        <v>43.96</v>
      </c>
      <c r="DN80" s="228">
        <v>-4.88</v>
      </c>
      <c r="DO80" s="228">
        <v>-4.88</v>
      </c>
      <c r="DP80" s="228">
        <v>0.98</v>
      </c>
      <c r="DQ80" s="228">
        <v>1.1200000000000001</v>
      </c>
      <c r="DR80" s="228">
        <v>-0.14000000000000001</v>
      </c>
      <c r="DS80" s="229">
        <v>-0.125</v>
      </c>
      <c r="DT80" s="228">
        <v>430</v>
      </c>
      <c r="DU80" s="228">
        <v>400</v>
      </c>
      <c r="DV80" s="228">
        <v>1.02</v>
      </c>
      <c r="DW80" s="228">
        <v>1.34</v>
      </c>
      <c r="DX80" s="228">
        <v>-0.32</v>
      </c>
      <c r="DY80" s="229">
        <v>-0.23880000000000001</v>
      </c>
      <c r="DZ80" s="229">
        <v>2.4199999999999999E-2</v>
      </c>
      <c r="EA80" s="230">
        <v>927450</v>
      </c>
      <c r="EB80" s="229">
        <v>3.7000000000000002E-3</v>
      </c>
      <c r="EC80" s="229">
        <v>2.4199999999999999E-2</v>
      </c>
      <c r="ED80" s="228">
        <v>3.75</v>
      </c>
      <c r="EE80" s="229">
        <v>9.1000000000000004E-3</v>
      </c>
      <c r="EF80" s="230">
        <v>3970078</v>
      </c>
      <c r="EG80" s="230">
        <v>2775714</v>
      </c>
      <c r="EH80" s="229">
        <v>0.43030000000000002</v>
      </c>
      <c r="EI80" s="229">
        <v>0.36830000000000002</v>
      </c>
      <c r="EJ80" s="231">
        <v>155359.87</v>
      </c>
      <c r="EK80" s="231">
        <v>145236.69</v>
      </c>
      <c r="EL80" s="231">
        <v>113264.36</v>
      </c>
      <c r="EM80" s="231">
        <v>5829</v>
      </c>
      <c r="EN80" s="231">
        <v>413860.92</v>
      </c>
      <c r="EO80" s="231">
        <v>277976.81</v>
      </c>
      <c r="EP80" s="231">
        <v>135884.10999999999</v>
      </c>
      <c r="EQ80" s="229">
        <v>0.48880000000000001</v>
      </c>
      <c r="ER80" s="231">
        <v>61755</v>
      </c>
      <c r="ES80" s="231">
        <v>55953</v>
      </c>
      <c r="ET80" s="231">
        <v>181702</v>
      </c>
      <c r="EU80" s="231">
        <v>143933168</v>
      </c>
      <c r="EV80" s="231">
        <v>299411</v>
      </c>
      <c r="EW80" s="231">
        <v>288158</v>
      </c>
      <c r="EX80" s="231">
        <v>11253</v>
      </c>
      <c r="EY80" s="229">
        <v>3.9100000000000003E-2</v>
      </c>
      <c r="EZ80" s="229">
        <v>0.49259999999999998</v>
      </c>
      <c r="FA80" s="227" t="s">
        <v>556</v>
      </c>
      <c r="FB80" s="161">
        <f t="shared" si="1"/>
        <v>1050975</v>
      </c>
    </row>
    <row r="81" spans="1:158" ht="17.25" thickBot="1" x14ac:dyDescent="0.3">
      <c r="A81" s="226">
        <v>46086</v>
      </c>
      <c r="B81" s="227" t="s">
        <v>168</v>
      </c>
      <c r="C81" s="227" t="s">
        <v>230</v>
      </c>
      <c r="D81" s="228">
        <v>300</v>
      </c>
      <c r="E81" s="231">
        <v>2266.6</v>
      </c>
      <c r="F81" s="231">
        <v>2269.6999999999998</v>
      </c>
      <c r="G81" s="228">
        <v>-3.1</v>
      </c>
      <c r="H81" s="229">
        <v>-1.4E-3</v>
      </c>
      <c r="I81" s="231">
        <v>2255</v>
      </c>
      <c r="J81" s="231">
        <v>2261.3000000000002</v>
      </c>
      <c r="K81" s="228">
        <v>-6.3</v>
      </c>
      <c r="L81" s="229">
        <v>-2.8E-3</v>
      </c>
      <c r="M81" s="231">
        <v>2266.6</v>
      </c>
      <c r="N81" s="231">
        <v>2269.6999999999998</v>
      </c>
      <c r="O81" s="228">
        <v>-3.1</v>
      </c>
      <c r="P81" s="229">
        <v>-1.4E-3</v>
      </c>
      <c r="Q81" s="231">
        <v>2278.9</v>
      </c>
      <c r="R81" s="231">
        <v>2284.1999999999998</v>
      </c>
      <c r="S81" s="228">
        <v>-5.3</v>
      </c>
      <c r="T81" s="229">
        <v>-2.3E-3</v>
      </c>
      <c r="U81" s="231">
        <v>2294.5</v>
      </c>
      <c r="V81" s="231">
        <v>2295.6</v>
      </c>
      <c r="W81" s="228">
        <v>-1.1000000000000001</v>
      </c>
      <c r="X81" s="229">
        <v>-5.0000000000000001E-4</v>
      </c>
      <c r="Y81" s="228">
        <v>11.6</v>
      </c>
      <c r="Z81" s="228">
        <v>8.4</v>
      </c>
      <c r="AA81" s="228">
        <v>3.2</v>
      </c>
      <c r="AB81" s="229">
        <v>5.1000000000000004E-3</v>
      </c>
      <c r="AC81" s="228">
        <v>11.6</v>
      </c>
      <c r="AD81" s="228">
        <v>8.4</v>
      </c>
      <c r="AE81" s="228">
        <v>3.2</v>
      </c>
      <c r="AF81" s="229">
        <v>5.1000000000000004E-3</v>
      </c>
      <c r="AG81" s="228">
        <v>23.9</v>
      </c>
      <c r="AH81" s="228">
        <v>22.9</v>
      </c>
      <c r="AI81" s="228">
        <v>1</v>
      </c>
      <c r="AJ81" s="229">
        <v>1.06E-2</v>
      </c>
      <c r="AK81" s="228">
        <v>39.5</v>
      </c>
      <c r="AL81" s="228">
        <v>34.299999999999997</v>
      </c>
      <c r="AM81" s="228">
        <v>5.2</v>
      </c>
      <c r="AN81" s="229">
        <v>1.7500000000000002E-2</v>
      </c>
      <c r="AO81" s="231">
        <v>2257.48</v>
      </c>
      <c r="AP81" s="231">
        <v>2267.33</v>
      </c>
      <c r="AQ81" s="228">
        <v>0</v>
      </c>
      <c r="AR81" s="230">
        <v>2067600</v>
      </c>
      <c r="AS81" s="230">
        <v>1959000</v>
      </c>
      <c r="AT81" s="230">
        <v>108600</v>
      </c>
      <c r="AU81" s="229">
        <v>5.5399999999999998E-2</v>
      </c>
      <c r="AV81" s="230">
        <v>1922700</v>
      </c>
      <c r="AW81" s="230">
        <v>1816800</v>
      </c>
      <c r="AX81" s="230">
        <v>105900</v>
      </c>
      <c r="AY81" s="229">
        <v>5.8299999999999998E-2</v>
      </c>
      <c r="AZ81" s="230">
        <v>125700</v>
      </c>
      <c r="BA81" s="230">
        <v>113700</v>
      </c>
      <c r="BB81" s="230">
        <v>12000</v>
      </c>
      <c r="BC81" s="229">
        <v>0.1055</v>
      </c>
      <c r="BD81" s="230">
        <v>19200</v>
      </c>
      <c r="BE81" s="230">
        <v>28500</v>
      </c>
      <c r="BF81" s="230">
        <v>-9300</v>
      </c>
      <c r="BG81" s="229">
        <v>-0.32629999999999998</v>
      </c>
      <c r="BH81" s="230">
        <v>7931700</v>
      </c>
      <c r="BI81" s="230">
        <v>7102500</v>
      </c>
      <c r="BJ81" s="230">
        <v>829200</v>
      </c>
      <c r="BK81" s="229">
        <v>0.1167</v>
      </c>
      <c r="BL81" s="230">
        <v>4290000</v>
      </c>
      <c r="BM81" s="230">
        <v>5177100</v>
      </c>
      <c r="BN81" s="230">
        <v>-887100</v>
      </c>
      <c r="BO81" s="229">
        <v>-0.1714</v>
      </c>
      <c r="BP81" s="230">
        <v>14289300</v>
      </c>
      <c r="BQ81" s="230">
        <v>14238600</v>
      </c>
      <c r="BR81" s="230">
        <v>50700</v>
      </c>
      <c r="BS81" s="229">
        <v>3.5999999999999999E-3</v>
      </c>
      <c r="BT81" s="230">
        <v>1836853</v>
      </c>
      <c r="BU81" s="230">
        <v>2715262</v>
      </c>
      <c r="BV81" s="230">
        <v>-878409</v>
      </c>
      <c r="BW81" s="229">
        <v>-0.32350000000000001</v>
      </c>
      <c r="BX81" s="230">
        <v>16083300</v>
      </c>
      <c r="BY81" s="230">
        <v>15925500</v>
      </c>
      <c r="BZ81" s="230">
        <v>157800</v>
      </c>
      <c r="CA81" s="229">
        <v>9.9000000000000008E-3</v>
      </c>
      <c r="CB81" s="230">
        <v>15795000</v>
      </c>
      <c r="CC81" s="230">
        <v>15670500</v>
      </c>
      <c r="CD81" s="230">
        <v>124500</v>
      </c>
      <c r="CE81" s="229">
        <v>7.9000000000000008E-3</v>
      </c>
      <c r="CF81" s="230">
        <v>256500</v>
      </c>
      <c r="CG81" s="230">
        <v>232500</v>
      </c>
      <c r="CH81" s="230">
        <v>24000</v>
      </c>
      <c r="CI81" s="229">
        <v>0.1032</v>
      </c>
      <c r="CJ81" s="230">
        <v>31800</v>
      </c>
      <c r="CK81" s="230">
        <v>22500</v>
      </c>
      <c r="CL81" s="230">
        <v>9300</v>
      </c>
      <c r="CM81" s="229">
        <v>0.4133</v>
      </c>
      <c r="CN81" s="230">
        <v>4847700</v>
      </c>
      <c r="CO81" s="230">
        <v>4739100</v>
      </c>
      <c r="CP81" s="230">
        <v>108600</v>
      </c>
      <c r="CQ81" s="229">
        <v>2.29E-2</v>
      </c>
      <c r="CR81" s="230">
        <v>2643300</v>
      </c>
      <c r="CS81" s="230">
        <v>2444700</v>
      </c>
      <c r="CT81" s="230">
        <v>198600</v>
      </c>
      <c r="CU81" s="229">
        <v>8.1199999999999994E-2</v>
      </c>
      <c r="CV81" s="230">
        <v>23574300</v>
      </c>
      <c r="CW81" s="230">
        <v>23109300</v>
      </c>
      <c r="CX81" s="230">
        <v>465000</v>
      </c>
      <c r="CY81" s="229">
        <v>2.01E-2</v>
      </c>
      <c r="CZ81" s="228">
        <v>19.920000000000002</v>
      </c>
      <c r="DA81" s="228">
        <v>21.48</v>
      </c>
      <c r="DB81" s="228">
        <v>-1.56</v>
      </c>
      <c r="DC81" s="228">
        <v>-1.56</v>
      </c>
      <c r="DD81" s="228">
        <v>22.71</v>
      </c>
      <c r="DE81" s="228">
        <v>22.77</v>
      </c>
      <c r="DF81" s="228">
        <v>-2.79</v>
      </c>
      <c r="DG81" s="228">
        <v>-0.06</v>
      </c>
      <c r="DH81" s="228">
        <v>19.63</v>
      </c>
      <c r="DI81" s="228">
        <v>21.19</v>
      </c>
      <c r="DJ81" s="228">
        <v>-1.56</v>
      </c>
      <c r="DK81" s="228">
        <v>-1.56</v>
      </c>
      <c r="DL81" s="228">
        <v>20.45</v>
      </c>
      <c r="DM81" s="228">
        <v>21.88</v>
      </c>
      <c r="DN81" s="228">
        <v>-1.43</v>
      </c>
      <c r="DO81" s="228">
        <v>-1.43</v>
      </c>
      <c r="DP81" s="228">
        <v>0.55000000000000004</v>
      </c>
      <c r="DQ81" s="228">
        <v>0.52</v>
      </c>
      <c r="DR81" s="228">
        <v>0.03</v>
      </c>
      <c r="DS81" s="229">
        <v>5.7700000000000001E-2</v>
      </c>
      <c r="DT81" s="231">
        <v>2500</v>
      </c>
      <c r="DU81" s="231">
        <v>2200</v>
      </c>
      <c r="DV81" s="228">
        <v>0.54</v>
      </c>
      <c r="DW81" s="228">
        <v>0.73</v>
      </c>
      <c r="DX81" s="228">
        <v>-0.19</v>
      </c>
      <c r="DY81" s="229">
        <v>-0.26029999999999998</v>
      </c>
      <c r="DZ81" s="229">
        <v>1.7899999999999999E-2</v>
      </c>
      <c r="EA81" s="230">
        <v>255000</v>
      </c>
      <c r="EB81" s="229">
        <v>5.4000000000000003E-3</v>
      </c>
      <c r="EC81" s="229">
        <v>1.7899999999999999E-2</v>
      </c>
      <c r="ED81" s="228">
        <v>9.85</v>
      </c>
      <c r="EE81" s="229">
        <v>4.4000000000000003E-3</v>
      </c>
      <c r="EF81" s="230">
        <v>990245</v>
      </c>
      <c r="EG81" s="230">
        <v>1760466</v>
      </c>
      <c r="EH81" s="229">
        <v>-0.4375</v>
      </c>
      <c r="EI81" s="229">
        <v>0.53910000000000002</v>
      </c>
      <c r="EJ81" s="231">
        <v>189004.05</v>
      </c>
      <c r="EK81" s="231">
        <v>96223.4</v>
      </c>
      <c r="EL81" s="231">
        <v>46692.71</v>
      </c>
      <c r="EM81" s="231">
        <v>5753</v>
      </c>
      <c r="EN81" s="231">
        <v>331920.15999999997</v>
      </c>
      <c r="EO81" s="231">
        <v>333193.15999999997</v>
      </c>
      <c r="EP81" s="231">
        <v>-1273</v>
      </c>
      <c r="EQ81" s="229">
        <v>-3.8E-3</v>
      </c>
      <c r="ER81" s="231">
        <v>117595</v>
      </c>
      <c r="ES81" s="231">
        <v>59376</v>
      </c>
      <c r="ET81" s="231">
        <v>364584</v>
      </c>
      <c r="EU81" s="231">
        <v>91001773</v>
      </c>
      <c r="EV81" s="231">
        <v>541556</v>
      </c>
      <c r="EW81" s="231">
        <v>532209</v>
      </c>
      <c r="EX81" s="231">
        <v>9347</v>
      </c>
      <c r="EY81" s="229">
        <v>1.7600000000000001E-2</v>
      </c>
      <c r="EZ81" s="229">
        <v>0.2591</v>
      </c>
      <c r="FA81" s="227" t="s">
        <v>567</v>
      </c>
      <c r="FB81" s="161">
        <f t="shared" si="1"/>
        <v>288300</v>
      </c>
    </row>
    <row r="82" spans="1:158" ht="17.25" thickBot="1" x14ac:dyDescent="0.3">
      <c r="A82" s="226">
        <v>46086</v>
      </c>
      <c r="B82" s="227" t="s">
        <v>227</v>
      </c>
      <c r="C82" s="227" t="s">
        <v>667</v>
      </c>
      <c r="D82" s="228">
        <v>1225</v>
      </c>
      <c r="E82" s="228">
        <v>596.6</v>
      </c>
      <c r="F82" s="228">
        <v>592.95000000000005</v>
      </c>
      <c r="G82" s="228">
        <v>3.65</v>
      </c>
      <c r="H82" s="229">
        <v>6.1999999999999998E-3</v>
      </c>
      <c r="I82" s="228">
        <v>595.65</v>
      </c>
      <c r="J82" s="228">
        <v>591.25</v>
      </c>
      <c r="K82" s="228">
        <v>4.4000000000000004</v>
      </c>
      <c r="L82" s="229">
        <v>7.4000000000000003E-3</v>
      </c>
      <c r="M82" s="228">
        <v>596.6</v>
      </c>
      <c r="N82" s="228">
        <v>592.95000000000005</v>
      </c>
      <c r="O82" s="228">
        <v>3.65</v>
      </c>
      <c r="P82" s="229">
        <v>6.1999999999999998E-3</v>
      </c>
      <c r="Q82" s="228">
        <v>600.65</v>
      </c>
      <c r="R82" s="228">
        <v>596.75</v>
      </c>
      <c r="S82" s="228">
        <v>3.9</v>
      </c>
      <c r="T82" s="229">
        <v>6.4999999999999997E-3</v>
      </c>
      <c r="U82" s="228">
        <v>597.1</v>
      </c>
      <c r="V82" s="228">
        <v>597</v>
      </c>
      <c r="W82" s="228">
        <v>0.1</v>
      </c>
      <c r="X82" s="229">
        <v>2.0000000000000001E-4</v>
      </c>
      <c r="Y82" s="228">
        <v>0.95</v>
      </c>
      <c r="Z82" s="228">
        <v>1.7</v>
      </c>
      <c r="AA82" s="228">
        <v>-0.75</v>
      </c>
      <c r="AB82" s="229">
        <v>1.6000000000000001E-3</v>
      </c>
      <c r="AC82" s="228">
        <v>0.95</v>
      </c>
      <c r="AD82" s="228">
        <v>1.7</v>
      </c>
      <c r="AE82" s="228">
        <v>-0.75</v>
      </c>
      <c r="AF82" s="229">
        <v>1.6000000000000001E-3</v>
      </c>
      <c r="AG82" s="228">
        <v>5</v>
      </c>
      <c r="AH82" s="228">
        <v>5.5</v>
      </c>
      <c r="AI82" s="228">
        <v>-0.5</v>
      </c>
      <c r="AJ82" s="229">
        <v>8.3999999999999995E-3</v>
      </c>
      <c r="AK82" s="228">
        <v>1.45</v>
      </c>
      <c r="AL82" s="228">
        <v>5.75</v>
      </c>
      <c r="AM82" s="228">
        <v>-4.3</v>
      </c>
      <c r="AN82" s="229">
        <v>2.3999999999999998E-3</v>
      </c>
      <c r="AO82" s="228">
        <v>599.67999999999995</v>
      </c>
      <c r="AP82" s="228">
        <v>603.15</v>
      </c>
      <c r="AQ82" s="228">
        <v>0</v>
      </c>
      <c r="AR82" s="230">
        <v>7978425</v>
      </c>
      <c r="AS82" s="230">
        <v>9836750</v>
      </c>
      <c r="AT82" s="230">
        <v>-1858325</v>
      </c>
      <c r="AU82" s="229">
        <v>-0.18890000000000001</v>
      </c>
      <c r="AV82" s="230">
        <v>7543550</v>
      </c>
      <c r="AW82" s="230">
        <v>9218125</v>
      </c>
      <c r="AX82" s="230">
        <v>-1674575</v>
      </c>
      <c r="AY82" s="229">
        <v>-0.1817</v>
      </c>
      <c r="AZ82" s="230">
        <v>393225</v>
      </c>
      <c r="BA82" s="230">
        <v>551250</v>
      </c>
      <c r="BB82" s="230">
        <v>-158025</v>
      </c>
      <c r="BC82" s="229">
        <v>-0.28670000000000001</v>
      </c>
      <c r="BD82" s="230">
        <v>41650</v>
      </c>
      <c r="BE82" s="230">
        <v>67375</v>
      </c>
      <c r="BF82" s="230">
        <v>-25725</v>
      </c>
      <c r="BG82" s="229">
        <v>-0.38179999999999997</v>
      </c>
      <c r="BH82" s="230">
        <v>32297125</v>
      </c>
      <c r="BI82" s="230">
        <v>31830400</v>
      </c>
      <c r="BJ82" s="230">
        <v>466725</v>
      </c>
      <c r="BK82" s="229">
        <v>1.47E-2</v>
      </c>
      <c r="BL82" s="230">
        <v>13432125</v>
      </c>
      <c r="BM82" s="230">
        <v>23746625</v>
      </c>
      <c r="BN82" s="230">
        <v>-10314500</v>
      </c>
      <c r="BO82" s="229">
        <v>-0.43440000000000001</v>
      </c>
      <c r="BP82" s="230">
        <v>53707675</v>
      </c>
      <c r="BQ82" s="230">
        <v>65413775</v>
      </c>
      <c r="BR82" s="230">
        <v>-11706100</v>
      </c>
      <c r="BS82" s="229">
        <v>-0.17899999999999999</v>
      </c>
      <c r="BT82" s="230">
        <v>5580434</v>
      </c>
      <c r="BU82" s="230">
        <v>8006380</v>
      </c>
      <c r="BV82" s="230">
        <v>-2425946</v>
      </c>
      <c r="BW82" s="229">
        <v>-0.30299999999999999</v>
      </c>
      <c r="BX82" s="230">
        <v>35864325</v>
      </c>
      <c r="BY82" s="230">
        <v>35418425</v>
      </c>
      <c r="BZ82" s="230">
        <v>445900</v>
      </c>
      <c r="CA82" s="229">
        <v>1.26E-2</v>
      </c>
      <c r="CB82" s="230">
        <v>33082350</v>
      </c>
      <c r="CC82" s="230">
        <v>32691575</v>
      </c>
      <c r="CD82" s="230">
        <v>390775</v>
      </c>
      <c r="CE82" s="229">
        <v>1.2E-2</v>
      </c>
      <c r="CF82" s="230">
        <v>2230725</v>
      </c>
      <c r="CG82" s="230">
        <v>2174375</v>
      </c>
      <c r="CH82" s="230">
        <v>56350</v>
      </c>
      <c r="CI82" s="229">
        <v>2.5899999999999999E-2</v>
      </c>
      <c r="CJ82" s="230">
        <v>551250</v>
      </c>
      <c r="CK82" s="230">
        <v>552475</v>
      </c>
      <c r="CL82" s="230">
        <v>-1225</v>
      </c>
      <c r="CM82" s="229">
        <v>-2.2000000000000001E-3</v>
      </c>
      <c r="CN82" s="230">
        <v>27084750</v>
      </c>
      <c r="CO82" s="230">
        <v>25333000</v>
      </c>
      <c r="CP82" s="230">
        <v>1751750</v>
      </c>
      <c r="CQ82" s="229">
        <v>6.9099999999999995E-2</v>
      </c>
      <c r="CR82" s="230">
        <v>15294125</v>
      </c>
      <c r="CS82" s="230">
        <v>15607725</v>
      </c>
      <c r="CT82" s="230">
        <v>-313600</v>
      </c>
      <c r="CU82" s="229">
        <v>-2.01E-2</v>
      </c>
      <c r="CV82" s="230">
        <v>78243200</v>
      </c>
      <c r="CW82" s="230">
        <v>76359150</v>
      </c>
      <c r="CX82" s="230">
        <v>1884050</v>
      </c>
      <c r="CY82" s="229">
        <v>2.47E-2</v>
      </c>
      <c r="CZ82" s="228">
        <v>38.6</v>
      </c>
      <c r="DA82" s="228">
        <v>41.81</v>
      </c>
      <c r="DB82" s="228">
        <v>-3.21</v>
      </c>
      <c r="DC82" s="228">
        <v>-3.21</v>
      </c>
      <c r="DD82" s="228">
        <v>50.02</v>
      </c>
      <c r="DE82" s="228">
        <v>50.14</v>
      </c>
      <c r="DF82" s="228">
        <v>-11.42</v>
      </c>
      <c r="DG82" s="228">
        <v>-0.12</v>
      </c>
      <c r="DH82" s="228">
        <v>38.380000000000003</v>
      </c>
      <c r="DI82" s="228">
        <v>41.02</v>
      </c>
      <c r="DJ82" s="228">
        <v>-2.64</v>
      </c>
      <c r="DK82" s="228">
        <v>-2.64</v>
      </c>
      <c r="DL82" s="228">
        <v>39.11</v>
      </c>
      <c r="DM82" s="228">
        <v>42.86</v>
      </c>
      <c r="DN82" s="228">
        <v>-3.75</v>
      </c>
      <c r="DO82" s="228">
        <v>-3.75</v>
      </c>
      <c r="DP82" s="228">
        <v>0.56000000000000005</v>
      </c>
      <c r="DQ82" s="228">
        <v>0.62</v>
      </c>
      <c r="DR82" s="228">
        <v>-0.06</v>
      </c>
      <c r="DS82" s="229">
        <v>-9.6799999999999997E-2</v>
      </c>
      <c r="DT82" s="228">
        <v>700</v>
      </c>
      <c r="DU82" s="228">
        <v>600</v>
      </c>
      <c r="DV82" s="228">
        <v>0.42</v>
      </c>
      <c r="DW82" s="228">
        <v>0.75</v>
      </c>
      <c r="DX82" s="228">
        <v>-0.33</v>
      </c>
      <c r="DY82" s="229">
        <v>-0.44</v>
      </c>
      <c r="DZ82" s="229">
        <v>7.7600000000000002E-2</v>
      </c>
      <c r="EA82" s="230">
        <v>2726850</v>
      </c>
      <c r="EB82" s="229">
        <v>6.7999999999999996E-3</v>
      </c>
      <c r="EC82" s="229">
        <v>7.7600000000000002E-2</v>
      </c>
      <c r="ED82" s="228">
        <v>3.47</v>
      </c>
      <c r="EE82" s="229">
        <v>5.7999999999999996E-3</v>
      </c>
      <c r="EF82" s="230">
        <v>1915325</v>
      </c>
      <c r="EG82" s="230">
        <v>3553885</v>
      </c>
      <c r="EH82" s="229">
        <v>-0.46110000000000001</v>
      </c>
      <c r="EI82" s="229">
        <v>0.34320000000000001</v>
      </c>
      <c r="EJ82" s="231">
        <v>209468.62</v>
      </c>
      <c r="EK82" s="231">
        <v>79094.78</v>
      </c>
      <c r="EL82" s="231">
        <v>47860.21</v>
      </c>
      <c r="EM82" s="231">
        <v>7064</v>
      </c>
      <c r="EN82" s="231">
        <v>336423.61</v>
      </c>
      <c r="EO82" s="231">
        <v>405898.18</v>
      </c>
      <c r="EP82" s="231">
        <v>-69474.570000000007</v>
      </c>
      <c r="EQ82" s="229">
        <v>-0.17119999999999999</v>
      </c>
      <c r="ER82" s="231">
        <v>177639</v>
      </c>
      <c r="ES82" s="231">
        <v>90493</v>
      </c>
      <c r="ET82" s="231">
        <v>214060</v>
      </c>
      <c r="EU82" s="231">
        <v>161247058</v>
      </c>
      <c r="EV82" s="231">
        <v>482192</v>
      </c>
      <c r="EW82" s="231">
        <v>468494</v>
      </c>
      <c r="EX82" s="231">
        <v>13698</v>
      </c>
      <c r="EY82" s="229">
        <v>2.92E-2</v>
      </c>
      <c r="EZ82" s="229">
        <v>0.48520000000000002</v>
      </c>
      <c r="FA82" s="227" t="s">
        <v>555</v>
      </c>
      <c r="FB82" s="161">
        <f t="shared" si="1"/>
        <v>2781975</v>
      </c>
    </row>
    <row r="83" spans="1:158" ht="17.25" thickBot="1" x14ac:dyDescent="0.3">
      <c r="A83" s="226">
        <v>46086</v>
      </c>
      <c r="B83" s="227" t="s">
        <v>206</v>
      </c>
      <c r="C83" s="227" t="s">
        <v>608</v>
      </c>
      <c r="D83" s="228">
        <v>2775</v>
      </c>
      <c r="E83" s="228">
        <v>179.01</v>
      </c>
      <c r="F83" s="228">
        <v>176.54</v>
      </c>
      <c r="G83" s="228">
        <v>2.4700000000000002</v>
      </c>
      <c r="H83" s="229">
        <v>1.4E-2</v>
      </c>
      <c r="I83" s="228">
        <v>178.27</v>
      </c>
      <c r="J83" s="228">
        <v>176.15</v>
      </c>
      <c r="K83" s="228">
        <v>2.12</v>
      </c>
      <c r="L83" s="229">
        <v>1.2E-2</v>
      </c>
      <c r="M83" s="228">
        <v>179.01</v>
      </c>
      <c r="N83" s="228">
        <v>176.54</v>
      </c>
      <c r="O83" s="228">
        <v>2.4700000000000002</v>
      </c>
      <c r="P83" s="229">
        <v>1.4E-2</v>
      </c>
      <c r="Q83" s="228">
        <v>179.92</v>
      </c>
      <c r="R83" s="228">
        <v>177.53</v>
      </c>
      <c r="S83" s="228">
        <v>2.39</v>
      </c>
      <c r="T83" s="229">
        <v>1.35E-2</v>
      </c>
      <c r="U83" s="228">
        <v>0</v>
      </c>
      <c r="V83" s="228">
        <v>0</v>
      </c>
      <c r="W83" s="228">
        <v>0</v>
      </c>
      <c r="X83" s="229">
        <v>0</v>
      </c>
      <c r="Y83" s="228">
        <v>0.74</v>
      </c>
      <c r="Z83" s="228">
        <v>0.39</v>
      </c>
      <c r="AA83" s="228">
        <v>0.35</v>
      </c>
      <c r="AB83" s="229">
        <v>4.1999999999999997E-3</v>
      </c>
      <c r="AC83" s="228">
        <v>0.74</v>
      </c>
      <c r="AD83" s="228">
        <v>0.39</v>
      </c>
      <c r="AE83" s="228">
        <v>0.35</v>
      </c>
      <c r="AF83" s="229">
        <v>4.1999999999999997E-3</v>
      </c>
      <c r="AG83" s="228">
        <v>1.65</v>
      </c>
      <c r="AH83" s="228">
        <v>1.38</v>
      </c>
      <c r="AI83" s="228">
        <v>0.27</v>
      </c>
      <c r="AJ83" s="229">
        <v>9.2999999999999992E-3</v>
      </c>
      <c r="AK83" s="228">
        <v>0</v>
      </c>
      <c r="AL83" s="228">
        <v>0</v>
      </c>
      <c r="AM83" s="228">
        <v>0</v>
      </c>
      <c r="AN83" s="229">
        <v>0</v>
      </c>
      <c r="AO83" s="228">
        <v>177.07</v>
      </c>
      <c r="AP83" s="228">
        <v>178.13</v>
      </c>
      <c r="AQ83" s="228">
        <v>0</v>
      </c>
      <c r="AR83" s="230">
        <v>4095900</v>
      </c>
      <c r="AS83" s="230">
        <v>6471300</v>
      </c>
      <c r="AT83" s="230">
        <v>-2375400</v>
      </c>
      <c r="AU83" s="229">
        <v>-0.36709999999999998</v>
      </c>
      <c r="AV83" s="230">
        <v>3821175</v>
      </c>
      <c r="AW83" s="230">
        <v>6154950</v>
      </c>
      <c r="AX83" s="230">
        <v>-2333775</v>
      </c>
      <c r="AY83" s="229">
        <v>-0.37919999999999998</v>
      </c>
      <c r="AZ83" s="230">
        <v>274725</v>
      </c>
      <c r="BA83" s="230">
        <v>316350</v>
      </c>
      <c r="BB83" s="230">
        <v>-41625</v>
      </c>
      <c r="BC83" s="229">
        <v>-0.13159999999999999</v>
      </c>
      <c r="BD83" s="228">
        <v>0</v>
      </c>
      <c r="BE83" s="228">
        <v>0</v>
      </c>
      <c r="BF83" s="228">
        <v>0</v>
      </c>
      <c r="BG83" s="229">
        <v>0</v>
      </c>
      <c r="BH83" s="230">
        <v>11976900</v>
      </c>
      <c r="BI83" s="230">
        <v>10522800</v>
      </c>
      <c r="BJ83" s="230">
        <v>1454100</v>
      </c>
      <c r="BK83" s="229">
        <v>0.13819999999999999</v>
      </c>
      <c r="BL83" s="230">
        <v>5006100</v>
      </c>
      <c r="BM83" s="230">
        <v>6093900</v>
      </c>
      <c r="BN83" s="230">
        <v>-1087800</v>
      </c>
      <c r="BO83" s="229">
        <v>-0.17849999999999999</v>
      </c>
      <c r="BP83" s="230">
        <v>21078900</v>
      </c>
      <c r="BQ83" s="230">
        <v>23088000</v>
      </c>
      <c r="BR83" s="230">
        <v>-2009100</v>
      </c>
      <c r="BS83" s="229">
        <v>-8.6999999999999994E-2</v>
      </c>
      <c r="BT83" s="230">
        <v>3035462</v>
      </c>
      <c r="BU83" s="230">
        <v>3862536</v>
      </c>
      <c r="BV83" s="230">
        <v>-827074</v>
      </c>
      <c r="BW83" s="229">
        <v>-0.21410000000000001</v>
      </c>
      <c r="BX83" s="230">
        <v>42429750</v>
      </c>
      <c r="BY83" s="230">
        <v>42821025</v>
      </c>
      <c r="BZ83" s="230">
        <v>-391275</v>
      </c>
      <c r="CA83" s="229">
        <v>-9.1000000000000004E-3</v>
      </c>
      <c r="CB83" s="230">
        <v>41083875</v>
      </c>
      <c r="CC83" s="230">
        <v>41519550</v>
      </c>
      <c r="CD83" s="230">
        <v>-435675</v>
      </c>
      <c r="CE83" s="229">
        <v>-1.0500000000000001E-2</v>
      </c>
      <c r="CF83" s="230">
        <v>1345875</v>
      </c>
      <c r="CG83" s="230">
        <v>1301475</v>
      </c>
      <c r="CH83" s="230">
        <v>44400</v>
      </c>
      <c r="CI83" s="229">
        <v>3.4099999999999998E-2</v>
      </c>
      <c r="CJ83" s="228">
        <v>0</v>
      </c>
      <c r="CK83" s="228">
        <v>0</v>
      </c>
      <c r="CL83" s="228">
        <v>0</v>
      </c>
      <c r="CM83" s="229">
        <v>0</v>
      </c>
      <c r="CN83" s="230">
        <v>17657325</v>
      </c>
      <c r="CO83" s="230">
        <v>16863675</v>
      </c>
      <c r="CP83" s="230">
        <v>793650</v>
      </c>
      <c r="CQ83" s="229">
        <v>4.7100000000000003E-2</v>
      </c>
      <c r="CR83" s="230">
        <v>12742800</v>
      </c>
      <c r="CS83" s="230">
        <v>12390375</v>
      </c>
      <c r="CT83" s="230">
        <v>352425</v>
      </c>
      <c r="CU83" s="229">
        <v>2.8400000000000002E-2</v>
      </c>
      <c r="CV83" s="230">
        <v>72829875</v>
      </c>
      <c r="CW83" s="230">
        <v>72075075</v>
      </c>
      <c r="CX83" s="230">
        <v>754800</v>
      </c>
      <c r="CY83" s="229">
        <v>1.0500000000000001E-2</v>
      </c>
      <c r="CZ83" s="228">
        <v>35.06</v>
      </c>
      <c r="DA83" s="228">
        <v>39.270000000000003</v>
      </c>
      <c r="DB83" s="228">
        <v>-4.21</v>
      </c>
      <c r="DC83" s="228">
        <v>-4.21</v>
      </c>
      <c r="DD83" s="228">
        <v>49.18</v>
      </c>
      <c r="DE83" s="228">
        <v>49.26</v>
      </c>
      <c r="DF83" s="228">
        <v>-14.12</v>
      </c>
      <c r="DG83" s="228">
        <v>-0.08</v>
      </c>
      <c r="DH83" s="228">
        <v>34.32</v>
      </c>
      <c r="DI83" s="228">
        <v>38.86</v>
      </c>
      <c r="DJ83" s="228">
        <v>-4.54</v>
      </c>
      <c r="DK83" s="228">
        <v>-4.54</v>
      </c>
      <c r="DL83" s="228">
        <v>36.82</v>
      </c>
      <c r="DM83" s="228">
        <v>39.99</v>
      </c>
      <c r="DN83" s="228">
        <v>-3.17</v>
      </c>
      <c r="DO83" s="228">
        <v>-3.17</v>
      </c>
      <c r="DP83" s="228">
        <v>0.72</v>
      </c>
      <c r="DQ83" s="228">
        <v>0.73</v>
      </c>
      <c r="DR83" s="228">
        <v>-0.01</v>
      </c>
      <c r="DS83" s="229">
        <v>-1.37E-2</v>
      </c>
      <c r="DT83" s="228">
        <v>200</v>
      </c>
      <c r="DU83" s="228">
        <v>175</v>
      </c>
      <c r="DV83" s="228">
        <v>0.42</v>
      </c>
      <c r="DW83" s="228">
        <v>0.57999999999999996</v>
      </c>
      <c r="DX83" s="228">
        <v>-0.16</v>
      </c>
      <c r="DY83" s="229">
        <v>-0.27589999999999998</v>
      </c>
      <c r="DZ83" s="229">
        <v>3.1699999999999999E-2</v>
      </c>
      <c r="EA83" s="230">
        <v>1301475</v>
      </c>
      <c r="EB83" s="229">
        <v>5.1000000000000004E-3</v>
      </c>
      <c r="EC83" s="229">
        <v>3.1699999999999999E-2</v>
      </c>
      <c r="ED83" s="228">
        <v>1.06</v>
      </c>
      <c r="EE83" s="229">
        <v>6.0000000000000001E-3</v>
      </c>
      <c r="EF83" s="230">
        <v>947990</v>
      </c>
      <c r="EG83" s="230">
        <v>1373503</v>
      </c>
      <c r="EH83" s="229">
        <v>-0.30980000000000002</v>
      </c>
      <c r="EI83" s="229">
        <v>0.31230000000000002</v>
      </c>
      <c r="EJ83" s="231">
        <v>23221.74</v>
      </c>
      <c r="EK83" s="231">
        <v>8879.7800000000007</v>
      </c>
      <c r="EL83" s="231">
        <v>7255.71</v>
      </c>
      <c r="EM83" s="231">
        <v>2736</v>
      </c>
      <c r="EN83" s="231">
        <v>39357.230000000003</v>
      </c>
      <c r="EO83" s="231">
        <v>42959.62</v>
      </c>
      <c r="EP83" s="231">
        <v>-3602.39</v>
      </c>
      <c r="EQ83" s="229">
        <v>-8.3900000000000002E-2</v>
      </c>
      <c r="ER83" s="231">
        <v>35189</v>
      </c>
      <c r="ES83" s="231">
        <v>23839</v>
      </c>
      <c r="ET83" s="231">
        <v>75966</v>
      </c>
      <c r="EU83" s="231">
        <v>75071250</v>
      </c>
      <c r="EV83" s="231">
        <v>134993</v>
      </c>
      <c r="EW83" s="231">
        <v>132657</v>
      </c>
      <c r="EX83" s="231">
        <v>2336</v>
      </c>
      <c r="EY83" s="229">
        <v>1.7600000000000001E-2</v>
      </c>
      <c r="EZ83" s="229">
        <v>0.97009999999999996</v>
      </c>
      <c r="FA83" s="227" t="s">
        <v>556</v>
      </c>
      <c r="FB83" s="161">
        <f t="shared" si="1"/>
        <v>1345875</v>
      </c>
    </row>
    <row r="84" spans="1:158" ht="17.25" thickBot="1" x14ac:dyDescent="0.3">
      <c r="A84" s="226">
        <v>46086</v>
      </c>
      <c r="B84" s="227" t="s">
        <v>172</v>
      </c>
      <c r="C84" s="227" t="s">
        <v>232</v>
      </c>
      <c r="D84" s="228">
        <v>700</v>
      </c>
      <c r="E84" s="231">
        <v>1361.3</v>
      </c>
      <c r="F84" s="231">
        <v>1369.5</v>
      </c>
      <c r="G84" s="228">
        <v>-8.1999999999999993</v>
      </c>
      <c r="H84" s="229">
        <v>-6.0000000000000001E-3</v>
      </c>
      <c r="I84" s="231">
        <v>1357.6</v>
      </c>
      <c r="J84" s="231">
        <v>1365.4</v>
      </c>
      <c r="K84" s="228">
        <v>-7.8</v>
      </c>
      <c r="L84" s="229">
        <v>-5.7000000000000002E-3</v>
      </c>
      <c r="M84" s="231">
        <v>1361.3</v>
      </c>
      <c r="N84" s="231">
        <v>1369.5</v>
      </c>
      <c r="O84" s="228">
        <v>-8.1999999999999993</v>
      </c>
      <c r="P84" s="229">
        <v>-6.0000000000000001E-3</v>
      </c>
      <c r="Q84" s="231">
        <v>1369</v>
      </c>
      <c r="R84" s="231">
        <v>1377.4</v>
      </c>
      <c r="S84" s="228">
        <v>-8.4</v>
      </c>
      <c r="T84" s="229">
        <v>-6.1000000000000004E-3</v>
      </c>
      <c r="U84" s="231">
        <v>1375.6</v>
      </c>
      <c r="V84" s="231">
        <v>1382.9</v>
      </c>
      <c r="W84" s="228">
        <v>-7.3</v>
      </c>
      <c r="X84" s="229">
        <v>-5.3E-3</v>
      </c>
      <c r="Y84" s="228">
        <v>3.7</v>
      </c>
      <c r="Z84" s="228">
        <v>4.0999999999999996</v>
      </c>
      <c r="AA84" s="228">
        <v>-0.4</v>
      </c>
      <c r="AB84" s="229">
        <v>2.7000000000000001E-3</v>
      </c>
      <c r="AC84" s="228">
        <v>3.7</v>
      </c>
      <c r="AD84" s="228">
        <v>4.0999999999999996</v>
      </c>
      <c r="AE84" s="228">
        <v>-0.4</v>
      </c>
      <c r="AF84" s="229">
        <v>2.7000000000000001E-3</v>
      </c>
      <c r="AG84" s="228">
        <v>11.4</v>
      </c>
      <c r="AH84" s="228">
        <v>12</v>
      </c>
      <c r="AI84" s="228">
        <v>-0.6</v>
      </c>
      <c r="AJ84" s="229">
        <v>8.3999999999999995E-3</v>
      </c>
      <c r="AK84" s="228">
        <v>18</v>
      </c>
      <c r="AL84" s="228">
        <v>17.5</v>
      </c>
      <c r="AM84" s="228">
        <v>0.5</v>
      </c>
      <c r="AN84" s="229">
        <v>1.3299999999999999E-2</v>
      </c>
      <c r="AO84" s="231">
        <v>1362.34</v>
      </c>
      <c r="AP84" s="231">
        <v>1370.17</v>
      </c>
      <c r="AQ84" s="228">
        <v>0</v>
      </c>
      <c r="AR84" s="230">
        <v>13867700</v>
      </c>
      <c r="AS84" s="230">
        <v>17166100</v>
      </c>
      <c r="AT84" s="230">
        <v>-3298400</v>
      </c>
      <c r="AU84" s="229">
        <v>-0.19209999999999999</v>
      </c>
      <c r="AV84" s="230">
        <v>13250300</v>
      </c>
      <c r="AW84" s="230">
        <v>16671200</v>
      </c>
      <c r="AX84" s="230">
        <v>-3420900</v>
      </c>
      <c r="AY84" s="229">
        <v>-0.20519999999999999</v>
      </c>
      <c r="AZ84" s="230">
        <v>553700</v>
      </c>
      <c r="BA84" s="230">
        <v>375200</v>
      </c>
      <c r="BB84" s="230">
        <v>178500</v>
      </c>
      <c r="BC84" s="229">
        <v>0.47570000000000001</v>
      </c>
      <c r="BD84" s="230">
        <v>63700</v>
      </c>
      <c r="BE84" s="230">
        <v>119700</v>
      </c>
      <c r="BF84" s="230">
        <v>-56000</v>
      </c>
      <c r="BG84" s="229">
        <v>-0.46779999999999999</v>
      </c>
      <c r="BH84" s="230">
        <v>36260700</v>
      </c>
      <c r="BI84" s="230">
        <v>41909000</v>
      </c>
      <c r="BJ84" s="230">
        <v>-5648300</v>
      </c>
      <c r="BK84" s="229">
        <v>-0.1348</v>
      </c>
      <c r="BL84" s="230">
        <v>18932900</v>
      </c>
      <c r="BM84" s="230">
        <v>28875700</v>
      </c>
      <c r="BN84" s="230">
        <v>-9942800</v>
      </c>
      <c r="BO84" s="229">
        <v>-0.34429999999999999</v>
      </c>
      <c r="BP84" s="230">
        <v>69061300</v>
      </c>
      <c r="BQ84" s="230">
        <v>87950800</v>
      </c>
      <c r="BR84" s="230">
        <v>-18889500</v>
      </c>
      <c r="BS84" s="229">
        <v>-0.21479999999999999</v>
      </c>
      <c r="BT84" s="230">
        <v>18249839</v>
      </c>
      <c r="BU84" s="230">
        <v>20682955</v>
      </c>
      <c r="BV84" s="230">
        <v>-2433116</v>
      </c>
      <c r="BW84" s="229">
        <v>-0.1176</v>
      </c>
      <c r="BX84" s="230">
        <v>116623500</v>
      </c>
      <c r="BY84" s="230">
        <v>114411500</v>
      </c>
      <c r="BZ84" s="230">
        <v>2212000</v>
      </c>
      <c r="CA84" s="229">
        <v>1.9300000000000001E-2</v>
      </c>
      <c r="CB84" s="230">
        <v>114966600</v>
      </c>
      <c r="CC84" s="230">
        <v>112977200</v>
      </c>
      <c r="CD84" s="230">
        <v>1989400</v>
      </c>
      <c r="CE84" s="229">
        <v>1.7600000000000001E-2</v>
      </c>
      <c r="CF84" s="230">
        <v>1448300</v>
      </c>
      <c r="CG84" s="230">
        <v>1246700</v>
      </c>
      <c r="CH84" s="230">
        <v>201600</v>
      </c>
      <c r="CI84" s="229">
        <v>0.16170000000000001</v>
      </c>
      <c r="CJ84" s="230">
        <v>208600</v>
      </c>
      <c r="CK84" s="230">
        <v>187600</v>
      </c>
      <c r="CL84" s="230">
        <v>21000</v>
      </c>
      <c r="CM84" s="229">
        <v>0.1119</v>
      </c>
      <c r="CN84" s="230">
        <v>23703400</v>
      </c>
      <c r="CO84" s="230">
        <v>21338100</v>
      </c>
      <c r="CP84" s="230">
        <v>2365300</v>
      </c>
      <c r="CQ84" s="229">
        <v>0.1108</v>
      </c>
      <c r="CR84" s="230">
        <v>14872900</v>
      </c>
      <c r="CS84" s="230">
        <v>15117200</v>
      </c>
      <c r="CT84" s="230">
        <v>-244300</v>
      </c>
      <c r="CU84" s="229">
        <v>-1.6199999999999999E-2</v>
      </c>
      <c r="CV84" s="230">
        <v>155199800</v>
      </c>
      <c r="CW84" s="230">
        <v>150866800</v>
      </c>
      <c r="CX84" s="230">
        <v>4333000</v>
      </c>
      <c r="CY84" s="229">
        <v>2.87E-2</v>
      </c>
      <c r="CZ84" s="228">
        <v>16.920000000000002</v>
      </c>
      <c r="DA84" s="228">
        <v>19.63</v>
      </c>
      <c r="DB84" s="228">
        <v>-2.71</v>
      </c>
      <c r="DC84" s="228">
        <v>-2.71</v>
      </c>
      <c r="DD84" s="228">
        <v>20.85</v>
      </c>
      <c r="DE84" s="228">
        <v>20.89</v>
      </c>
      <c r="DF84" s="228">
        <v>-3.93</v>
      </c>
      <c r="DG84" s="228">
        <v>-0.04</v>
      </c>
      <c r="DH84" s="228">
        <v>16.45</v>
      </c>
      <c r="DI84" s="228">
        <v>18.510000000000002</v>
      </c>
      <c r="DJ84" s="228">
        <v>-2.06</v>
      </c>
      <c r="DK84" s="228">
        <v>-2.06</v>
      </c>
      <c r="DL84" s="228">
        <v>17.829999999999998</v>
      </c>
      <c r="DM84" s="228">
        <v>21.27</v>
      </c>
      <c r="DN84" s="228">
        <v>-3.44</v>
      </c>
      <c r="DO84" s="228">
        <v>-3.44</v>
      </c>
      <c r="DP84" s="228">
        <v>0.63</v>
      </c>
      <c r="DQ84" s="228">
        <v>0.71</v>
      </c>
      <c r="DR84" s="228">
        <v>-0.08</v>
      </c>
      <c r="DS84" s="229">
        <v>-0.11269999999999999</v>
      </c>
      <c r="DT84" s="231">
        <v>1400</v>
      </c>
      <c r="DU84" s="231">
        <v>1400</v>
      </c>
      <c r="DV84" s="228">
        <v>0.52</v>
      </c>
      <c r="DW84" s="228">
        <v>0.69</v>
      </c>
      <c r="DX84" s="228">
        <v>-0.17</v>
      </c>
      <c r="DY84" s="229">
        <v>-0.24640000000000001</v>
      </c>
      <c r="DZ84" s="229">
        <v>1.4200000000000001E-2</v>
      </c>
      <c r="EA84" s="230">
        <v>1434300</v>
      </c>
      <c r="EB84" s="229">
        <v>5.7000000000000002E-3</v>
      </c>
      <c r="EC84" s="229">
        <v>1.4200000000000001E-2</v>
      </c>
      <c r="ED84" s="228">
        <v>7.83</v>
      </c>
      <c r="EE84" s="229">
        <v>5.7000000000000002E-3</v>
      </c>
      <c r="EF84" s="230">
        <v>7787598</v>
      </c>
      <c r="EG84" s="230">
        <v>12969006</v>
      </c>
      <c r="EH84" s="229">
        <v>-0.39950000000000002</v>
      </c>
      <c r="EI84" s="229">
        <v>0.42670000000000002</v>
      </c>
      <c r="EJ84" s="231">
        <v>509593.69</v>
      </c>
      <c r="EK84" s="231">
        <v>256145.81</v>
      </c>
      <c r="EL84" s="231">
        <v>188977.57</v>
      </c>
      <c r="EM84" s="231">
        <v>20673</v>
      </c>
      <c r="EN84" s="231">
        <v>954717.07</v>
      </c>
      <c r="EO84" s="231">
        <v>1214854.6499999999</v>
      </c>
      <c r="EP84" s="231">
        <v>-260137.58</v>
      </c>
      <c r="EQ84" s="229">
        <v>-0.21410000000000001</v>
      </c>
      <c r="ER84" s="231">
        <v>335237</v>
      </c>
      <c r="ES84" s="231">
        <v>201092</v>
      </c>
      <c r="ET84" s="231">
        <v>1587737</v>
      </c>
      <c r="EU84" s="231">
        <v>580601807</v>
      </c>
      <c r="EV84" s="231">
        <v>2124066</v>
      </c>
      <c r="EW84" s="231">
        <v>2073781</v>
      </c>
      <c r="EX84" s="231">
        <v>50285</v>
      </c>
      <c r="EY84" s="229">
        <v>2.4199999999999999E-2</v>
      </c>
      <c r="EZ84" s="229">
        <v>0.26729999999999998</v>
      </c>
      <c r="FA84" s="227" t="s">
        <v>567</v>
      </c>
      <c r="FB84" s="161">
        <f t="shared" si="1"/>
        <v>1656900</v>
      </c>
    </row>
    <row r="85" spans="1:158" ht="17.25" thickBot="1" x14ac:dyDescent="0.3">
      <c r="A85" s="226">
        <v>46086</v>
      </c>
      <c r="B85" s="227" t="s">
        <v>175</v>
      </c>
      <c r="C85" s="227" t="s">
        <v>472</v>
      </c>
      <c r="D85" s="228">
        <v>325</v>
      </c>
      <c r="E85" s="231">
        <v>1879.9</v>
      </c>
      <c r="F85" s="231">
        <v>1860.8</v>
      </c>
      <c r="G85" s="228">
        <v>19.100000000000001</v>
      </c>
      <c r="H85" s="229">
        <v>1.03E-2</v>
      </c>
      <c r="I85" s="231">
        <v>1875.2</v>
      </c>
      <c r="J85" s="231">
        <v>1855.5</v>
      </c>
      <c r="K85" s="228">
        <v>19.7</v>
      </c>
      <c r="L85" s="229">
        <v>1.06E-2</v>
      </c>
      <c r="M85" s="231">
        <v>1879.9</v>
      </c>
      <c r="N85" s="231">
        <v>1860.8</v>
      </c>
      <c r="O85" s="228">
        <v>19.100000000000001</v>
      </c>
      <c r="P85" s="229">
        <v>1.03E-2</v>
      </c>
      <c r="Q85" s="231">
        <v>1885.4</v>
      </c>
      <c r="R85" s="231">
        <v>1865</v>
      </c>
      <c r="S85" s="228">
        <v>20.399999999999999</v>
      </c>
      <c r="T85" s="229">
        <v>1.09E-2</v>
      </c>
      <c r="U85" s="228">
        <v>0</v>
      </c>
      <c r="V85" s="228">
        <v>0</v>
      </c>
      <c r="W85" s="228">
        <v>0</v>
      </c>
      <c r="X85" s="229">
        <v>0</v>
      </c>
      <c r="Y85" s="228">
        <v>4.7</v>
      </c>
      <c r="Z85" s="228">
        <v>5.3</v>
      </c>
      <c r="AA85" s="228">
        <v>-0.6</v>
      </c>
      <c r="AB85" s="229">
        <v>2.5000000000000001E-3</v>
      </c>
      <c r="AC85" s="228">
        <v>4.7</v>
      </c>
      <c r="AD85" s="228">
        <v>5.3</v>
      </c>
      <c r="AE85" s="228">
        <v>-0.6</v>
      </c>
      <c r="AF85" s="229">
        <v>2.5000000000000001E-3</v>
      </c>
      <c r="AG85" s="228">
        <v>10.199999999999999</v>
      </c>
      <c r="AH85" s="228">
        <v>9.5</v>
      </c>
      <c r="AI85" s="228">
        <v>0.7</v>
      </c>
      <c r="AJ85" s="229">
        <v>5.4000000000000003E-3</v>
      </c>
      <c r="AK85" s="228">
        <v>0</v>
      </c>
      <c r="AL85" s="228">
        <v>0</v>
      </c>
      <c r="AM85" s="228">
        <v>0</v>
      </c>
      <c r="AN85" s="229">
        <v>0</v>
      </c>
      <c r="AO85" s="231">
        <v>1865.3</v>
      </c>
      <c r="AP85" s="231">
        <v>1875.26</v>
      </c>
      <c r="AQ85" s="228">
        <v>0</v>
      </c>
      <c r="AR85" s="230">
        <v>519025</v>
      </c>
      <c r="AS85" s="230">
        <v>928850</v>
      </c>
      <c r="AT85" s="230">
        <v>-409825</v>
      </c>
      <c r="AU85" s="229">
        <v>-0.44119999999999998</v>
      </c>
      <c r="AV85" s="230">
        <v>511225</v>
      </c>
      <c r="AW85" s="230">
        <v>919100</v>
      </c>
      <c r="AX85" s="230">
        <v>-407875</v>
      </c>
      <c r="AY85" s="229">
        <v>-0.44379999999999997</v>
      </c>
      <c r="AZ85" s="230">
        <v>7800</v>
      </c>
      <c r="BA85" s="230">
        <v>9750</v>
      </c>
      <c r="BB85" s="230">
        <v>-1950</v>
      </c>
      <c r="BC85" s="229">
        <v>-0.2</v>
      </c>
      <c r="BD85" s="228">
        <v>0</v>
      </c>
      <c r="BE85" s="228">
        <v>0</v>
      </c>
      <c r="BF85" s="228">
        <v>0</v>
      </c>
      <c r="BG85" s="229">
        <v>0</v>
      </c>
      <c r="BH85" s="230">
        <v>520000</v>
      </c>
      <c r="BI85" s="230">
        <v>901875</v>
      </c>
      <c r="BJ85" s="230">
        <v>-381875</v>
      </c>
      <c r="BK85" s="229">
        <v>-0.4234</v>
      </c>
      <c r="BL85" s="230">
        <v>314275</v>
      </c>
      <c r="BM85" s="230">
        <v>761800</v>
      </c>
      <c r="BN85" s="230">
        <v>-447525</v>
      </c>
      <c r="BO85" s="229">
        <v>-0.58750000000000002</v>
      </c>
      <c r="BP85" s="230">
        <v>1353300</v>
      </c>
      <c r="BQ85" s="230">
        <v>2592525</v>
      </c>
      <c r="BR85" s="230">
        <v>-1239225</v>
      </c>
      <c r="BS85" s="229">
        <v>-0.47799999999999998</v>
      </c>
      <c r="BT85" s="230">
        <v>653138</v>
      </c>
      <c r="BU85" s="230">
        <v>724142</v>
      </c>
      <c r="BV85" s="230">
        <v>-71004</v>
      </c>
      <c r="BW85" s="229">
        <v>-9.8100000000000007E-2</v>
      </c>
      <c r="BX85" s="230">
        <v>4699175</v>
      </c>
      <c r="BY85" s="230">
        <v>4723875</v>
      </c>
      <c r="BZ85" s="230">
        <v>-24700</v>
      </c>
      <c r="CA85" s="229">
        <v>-5.1999999999999998E-3</v>
      </c>
      <c r="CB85" s="230">
        <v>4680000</v>
      </c>
      <c r="CC85" s="230">
        <v>4704700</v>
      </c>
      <c r="CD85" s="230">
        <v>-24700</v>
      </c>
      <c r="CE85" s="229">
        <v>-5.3E-3</v>
      </c>
      <c r="CF85" s="230">
        <v>19175</v>
      </c>
      <c r="CG85" s="230">
        <v>19175</v>
      </c>
      <c r="CH85" s="228">
        <v>0</v>
      </c>
      <c r="CI85" s="229">
        <v>0</v>
      </c>
      <c r="CJ85" s="228">
        <v>0</v>
      </c>
      <c r="CK85" s="228">
        <v>0</v>
      </c>
      <c r="CL85" s="228">
        <v>0</v>
      </c>
      <c r="CM85" s="229">
        <v>0</v>
      </c>
      <c r="CN85" s="230">
        <v>815425</v>
      </c>
      <c r="CO85" s="230">
        <v>752050</v>
      </c>
      <c r="CP85" s="230">
        <v>63375</v>
      </c>
      <c r="CQ85" s="229">
        <v>8.43E-2</v>
      </c>
      <c r="CR85" s="230">
        <v>609050</v>
      </c>
      <c r="CS85" s="230">
        <v>643825</v>
      </c>
      <c r="CT85" s="230">
        <v>-34775</v>
      </c>
      <c r="CU85" s="229">
        <v>-5.3999999999999999E-2</v>
      </c>
      <c r="CV85" s="230">
        <v>6123650</v>
      </c>
      <c r="CW85" s="230">
        <v>6119750</v>
      </c>
      <c r="CX85" s="230">
        <v>3900</v>
      </c>
      <c r="CY85" s="229">
        <v>5.9999999999999995E-4</v>
      </c>
      <c r="CZ85" s="228">
        <v>21.72</v>
      </c>
      <c r="DA85" s="228">
        <v>23.14</v>
      </c>
      <c r="DB85" s="228">
        <v>-1.42</v>
      </c>
      <c r="DC85" s="228">
        <v>-1.42</v>
      </c>
      <c r="DD85" s="228">
        <v>27</v>
      </c>
      <c r="DE85" s="228">
        <v>27.03</v>
      </c>
      <c r="DF85" s="228">
        <v>-5.28</v>
      </c>
      <c r="DG85" s="228">
        <v>-0.03</v>
      </c>
      <c r="DH85" s="228">
        <v>21.19</v>
      </c>
      <c r="DI85" s="228">
        <v>22.66</v>
      </c>
      <c r="DJ85" s="228">
        <v>-1.47</v>
      </c>
      <c r="DK85" s="228">
        <v>-1.47</v>
      </c>
      <c r="DL85" s="228">
        <v>22.61</v>
      </c>
      <c r="DM85" s="228">
        <v>23.72</v>
      </c>
      <c r="DN85" s="228">
        <v>-1.1100000000000001</v>
      </c>
      <c r="DO85" s="228">
        <v>-1.1100000000000001</v>
      </c>
      <c r="DP85" s="228">
        <v>0.75</v>
      </c>
      <c r="DQ85" s="228">
        <v>0.86</v>
      </c>
      <c r="DR85" s="228">
        <v>-0.11</v>
      </c>
      <c r="DS85" s="229">
        <v>-0.12790000000000001</v>
      </c>
      <c r="DT85" s="231">
        <v>2000</v>
      </c>
      <c r="DU85" s="231">
        <v>1900</v>
      </c>
      <c r="DV85" s="228">
        <v>0.6</v>
      </c>
      <c r="DW85" s="228">
        <v>0.84</v>
      </c>
      <c r="DX85" s="228">
        <v>-0.24</v>
      </c>
      <c r="DY85" s="229">
        <v>-0.28570000000000001</v>
      </c>
      <c r="DZ85" s="229">
        <v>4.1000000000000003E-3</v>
      </c>
      <c r="EA85" s="230">
        <v>19175</v>
      </c>
      <c r="EB85" s="229">
        <v>2.8999999999999998E-3</v>
      </c>
      <c r="EC85" s="229">
        <v>4.1000000000000003E-3</v>
      </c>
      <c r="ED85" s="228">
        <v>9.9600000000000009</v>
      </c>
      <c r="EE85" s="229">
        <v>5.3E-3</v>
      </c>
      <c r="EF85" s="230">
        <v>422113</v>
      </c>
      <c r="EG85" s="230">
        <v>448111</v>
      </c>
      <c r="EH85" s="229">
        <v>-5.8000000000000003E-2</v>
      </c>
      <c r="EI85" s="229">
        <v>0.64629999999999999</v>
      </c>
      <c r="EJ85" s="231">
        <v>10246.379999999999</v>
      </c>
      <c r="EK85" s="231">
        <v>5806.42</v>
      </c>
      <c r="EL85" s="231">
        <v>9682.16</v>
      </c>
      <c r="EM85" s="231">
        <v>1929</v>
      </c>
      <c r="EN85" s="231">
        <v>25734.959999999999</v>
      </c>
      <c r="EO85" s="231">
        <v>49284.36</v>
      </c>
      <c r="EP85" s="231">
        <v>-23549.4</v>
      </c>
      <c r="EQ85" s="229">
        <v>-0.4778</v>
      </c>
      <c r="ER85" s="231">
        <v>16066</v>
      </c>
      <c r="ES85" s="231">
        <v>11262</v>
      </c>
      <c r="ET85" s="231">
        <v>88341</v>
      </c>
      <c r="EU85" s="231">
        <v>28747897</v>
      </c>
      <c r="EV85" s="231">
        <v>115669</v>
      </c>
      <c r="EW85" s="231">
        <v>114592</v>
      </c>
      <c r="EX85" s="231">
        <v>1077</v>
      </c>
      <c r="EY85" s="229">
        <v>9.4000000000000004E-3</v>
      </c>
      <c r="EZ85" s="229">
        <v>0.21299999999999999</v>
      </c>
      <c r="FA85" s="227" t="s">
        <v>556</v>
      </c>
      <c r="FB85" s="161">
        <f t="shared" si="1"/>
        <v>19175</v>
      </c>
    </row>
    <row r="86" spans="1:158" ht="17.25" thickBot="1" x14ac:dyDescent="0.3">
      <c r="A86" s="226">
        <v>46086</v>
      </c>
      <c r="B86" s="227" t="s">
        <v>175</v>
      </c>
      <c r="C86" s="227" t="s">
        <v>233</v>
      </c>
      <c r="D86" s="228">
        <v>925</v>
      </c>
      <c r="E86" s="228">
        <v>629.85</v>
      </c>
      <c r="F86" s="228">
        <v>628</v>
      </c>
      <c r="G86" s="228">
        <v>1.85</v>
      </c>
      <c r="H86" s="229">
        <v>2.8999999999999998E-3</v>
      </c>
      <c r="I86" s="228">
        <v>627.45000000000005</v>
      </c>
      <c r="J86" s="228">
        <v>625.75</v>
      </c>
      <c r="K86" s="228">
        <v>1.7</v>
      </c>
      <c r="L86" s="229">
        <v>2.7000000000000001E-3</v>
      </c>
      <c r="M86" s="228">
        <v>629.85</v>
      </c>
      <c r="N86" s="228">
        <v>628</v>
      </c>
      <c r="O86" s="228">
        <v>1.85</v>
      </c>
      <c r="P86" s="229">
        <v>2.8999999999999998E-3</v>
      </c>
      <c r="Q86" s="228">
        <v>633.85</v>
      </c>
      <c r="R86" s="228">
        <v>632.35</v>
      </c>
      <c r="S86" s="228">
        <v>1.5</v>
      </c>
      <c r="T86" s="229">
        <v>2.3999999999999998E-3</v>
      </c>
      <c r="U86" s="228">
        <v>629.25</v>
      </c>
      <c r="V86" s="228">
        <v>638.20000000000005</v>
      </c>
      <c r="W86" s="228">
        <v>-8.9499999999999993</v>
      </c>
      <c r="X86" s="229">
        <v>-1.4E-2</v>
      </c>
      <c r="Y86" s="228">
        <v>2.4</v>
      </c>
      <c r="Z86" s="228">
        <v>2.25</v>
      </c>
      <c r="AA86" s="228">
        <v>0.15</v>
      </c>
      <c r="AB86" s="229">
        <v>3.8E-3</v>
      </c>
      <c r="AC86" s="228">
        <v>2.4</v>
      </c>
      <c r="AD86" s="228">
        <v>2.25</v>
      </c>
      <c r="AE86" s="228">
        <v>0.15</v>
      </c>
      <c r="AF86" s="229">
        <v>3.8E-3</v>
      </c>
      <c r="AG86" s="228">
        <v>6.4</v>
      </c>
      <c r="AH86" s="228">
        <v>6.6</v>
      </c>
      <c r="AI86" s="228">
        <v>-0.2</v>
      </c>
      <c r="AJ86" s="229">
        <v>1.0200000000000001E-2</v>
      </c>
      <c r="AK86" s="228">
        <v>1.8</v>
      </c>
      <c r="AL86" s="228">
        <v>12.45</v>
      </c>
      <c r="AM86" s="228">
        <v>-10.65</v>
      </c>
      <c r="AN86" s="229">
        <v>2.8999999999999998E-3</v>
      </c>
      <c r="AO86" s="228">
        <v>626.82000000000005</v>
      </c>
      <c r="AP86" s="228">
        <v>629.65</v>
      </c>
      <c r="AQ86" s="228">
        <v>0</v>
      </c>
      <c r="AR86" s="230">
        <v>1232100</v>
      </c>
      <c r="AS86" s="230">
        <v>1956375</v>
      </c>
      <c r="AT86" s="230">
        <v>-724275</v>
      </c>
      <c r="AU86" s="229">
        <v>-0.37019999999999997</v>
      </c>
      <c r="AV86" s="230">
        <v>1203425</v>
      </c>
      <c r="AW86" s="230">
        <v>1881450</v>
      </c>
      <c r="AX86" s="230">
        <v>-678025</v>
      </c>
      <c r="AY86" s="229">
        <v>-0.3604</v>
      </c>
      <c r="AZ86" s="230">
        <v>25900</v>
      </c>
      <c r="BA86" s="230">
        <v>72150</v>
      </c>
      <c r="BB86" s="230">
        <v>-46250</v>
      </c>
      <c r="BC86" s="229">
        <v>-0.64100000000000001</v>
      </c>
      <c r="BD86" s="230">
        <v>2775</v>
      </c>
      <c r="BE86" s="230">
        <v>2775</v>
      </c>
      <c r="BF86" s="228">
        <v>0</v>
      </c>
      <c r="BG86" s="229">
        <v>0</v>
      </c>
      <c r="BH86" s="230">
        <v>2022050</v>
      </c>
      <c r="BI86" s="230">
        <v>2256075</v>
      </c>
      <c r="BJ86" s="230">
        <v>-234025</v>
      </c>
      <c r="BK86" s="229">
        <v>-0.1037</v>
      </c>
      <c r="BL86" s="230">
        <v>1930475</v>
      </c>
      <c r="BM86" s="230">
        <v>1634475</v>
      </c>
      <c r="BN86" s="230">
        <v>296000</v>
      </c>
      <c r="BO86" s="229">
        <v>0.18110000000000001</v>
      </c>
      <c r="BP86" s="230">
        <v>5184625</v>
      </c>
      <c r="BQ86" s="230">
        <v>5846925</v>
      </c>
      <c r="BR86" s="230">
        <v>-662300</v>
      </c>
      <c r="BS86" s="229">
        <v>-0.1133</v>
      </c>
      <c r="BT86" s="230">
        <v>567291</v>
      </c>
      <c r="BU86" s="230">
        <v>904339</v>
      </c>
      <c r="BV86" s="230">
        <v>-337048</v>
      </c>
      <c r="BW86" s="229">
        <v>-0.37269999999999998</v>
      </c>
      <c r="BX86" s="230">
        <v>19006900</v>
      </c>
      <c r="BY86" s="230">
        <v>19102175</v>
      </c>
      <c r="BZ86" s="230">
        <v>-95275</v>
      </c>
      <c r="CA86" s="229">
        <v>-5.0000000000000001E-3</v>
      </c>
      <c r="CB86" s="230">
        <v>18928275</v>
      </c>
      <c r="CC86" s="230">
        <v>19026325</v>
      </c>
      <c r="CD86" s="230">
        <v>-98050</v>
      </c>
      <c r="CE86" s="229">
        <v>-5.1999999999999998E-3</v>
      </c>
      <c r="CF86" s="230">
        <v>74925</v>
      </c>
      <c r="CG86" s="230">
        <v>73075</v>
      </c>
      <c r="CH86" s="230">
        <v>1850</v>
      </c>
      <c r="CI86" s="229">
        <v>2.53E-2</v>
      </c>
      <c r="CJ86" s="230">
        <v>3700</v>
      </c>
      <c r="CK86" s="230">
        <v>2775</v>
      </c>
      <c r="CL86" s="228">
        <v>925</v>
      </c>
      <c r="CM86" s="229">
        <v>0.33329999999999999</v>
      </c>
      <c r="CN86" s="230">
        <v>2842525</v>
      </c>
      <c r="CO86" s="230">
        <v>2595550</v>
      </c>
      <c r="CP86" s="230">
        <v>246975</v>
      </c>
      <c r="CQ86" s="229">
        <v>9.5200000000000007E-2</v>
      </c>
      <c r="CR86" s="230">
        <v>1928625</v>
      </c>
      <c r="CS86" s="230">
        <v>1745475</v>
      </c>
      <c r="CT86" s="230">
        <v>183150</v>
      </c>
      <c r="CU86" s="229">
        <v>0.10489999999999999</v>
      </c>
      <c r="CV86" s="230">
        <v>23778050</v>
      </c>
      <c r="CW86" s="230">
        <v>23443200</v>
      </c>
      <c r="CX86" s="230">
        <v>334850</v>
      </c>
      <c r="CY86" s="229">
        <v>1.43E-2</v>
      </c>
      <c r="CZ86" s="228">
        <v>25.34</v>
      </c>
      <c r="DA86" s="228">
        <v>27.24</v>
      </c>
      <c r="DB86" s="228">
        <v>-1.9</v>
      </c>
      <c r="DC86" s="228">
        <v>-1.9</v>
      </c>
      <c r="DD86" s="228">
        <v>26.95</v>
      </c>
      <c r="DE86" s="228">
        <v>27.02</v>
      </c>
      <c r="DF86" s="228">
        <v>-1.61</v>
      </c>
      <c r="DG86" s="228">
        <v>-7.0000000000000007E-2</v>
      </c>
      <c r="DH86" s="228">
        <v>24.47</v>
      </c>
      <c r="DI86" s="228">
        <v>26.75</v>
      </c>
      <c r="DJ86" s="228">
        <v>-2.2799999999999998</v>
      </c>
      <c r="DK86" s="228">
        <v>-2.2799999999999998</v>
      </c>
      <c r="DL86" s="228">
        <v>26.24</v>
      </c>
      <c r="DM86" s="228">
        <v>27.92</v>
      </c>
      <c r="DN86" s="228">
        <v>-1.68</v>
      </c>
      <c r="DO86" s="228">
        <v>-1.68</v>
      </c>
      <c r="DP86" s="228">
        <v>0.68</v>
      </c>
      <c r="DQ86" s="228">
        <v>0.67</v>
      </c>
      <c r="DR86" s="228">
        <v>0.01</v>
      </c>
      <c r="DS86" s="229">
        <v>1.49E-2</v>
      </c>
      <c r="DT86" s="228">
        <v>680</v>
      </c>
      <c r="DU86" s="228">
        <v>630</v>
      </c>
      <c r="DV86" s="228">
        <v>0.95</v>
      </c>
      <c r="DW86" s="228">
        <v>0.72</v>
      </c>
      <c r="DX86" s="228">
        <v>0.23</v>
      </c>
      <c r="DY86" s="229">
        <v>0.31940000000000002</v>
      </c>
      <c r="DZ86" s="229">
        <v>4.1000000000000003E-3</v>
      </c>
      <c r="EA86" s="230">
        <v>75850</v>
      </c>
      <c r="EB86" s="229">
        <v>6.4000000000000003E-3</v>
      </c>
      <c r="EC86" s="229">
        <v>4.1000000000000003E-3</v>
      </c>
      <c r="ED86" s="228">
        <v>2.83</v>
      </c>
      <c r="EE86" s="229">
        <v>4.4999999999999997E-3</v>
      </c>
      <c r="EF86" s="230">
        <v>261811</v>
      </c>
      <c r="EG86" s="230">
        <v>501706</v>
      </c>
      <c r="EH86" s="229">
        <v>-0.47820000000000001</v>
      </c>
      <c r="EI86" s="229">
        <v>0.46150000000000002</v>
      </c>
      <c r="EJ86" s="231">
        <v>13505.81</v>
      </c>
      <c r="EK86" s="231">
        <v>12158.34</v>
      </c>
      <c r="EL86" s="231">
        <v>7723.9</v>
      </c>
      <c r="EM86" s="231">
        <v>2028</v>
      </c>
      <c r="EN86" s="231">
        <v>33388.050000000003</v>
      </c>
      <c r="EO86" s="231">
        <v>38050.17</v>
      </c>
      <c r="EP86" s="231">
        <v>-4662.12</v>
      </c>
      <c r="EQ86" s="229">
        <v>-0.1225</v>
      </c>
      <c r="ER86" s="231">
        <v>19274</v>
      </c>
      <c r="ES86" s="231">
        <v>12102</v>
      </c>
      <c r="ET86" s="231">
        <v>119718</v>
      </c>
      <c r="EU86" s="231">
        <v>58746582</v>
      </c>
      <c r="EV86" s="231">
        <v>151093</v>
      </c>
      <c r="EW86" s="231">
        <v>148600</v>
      </c>
      <c r="EX86" s="231">
        <v>2493</v>
      </c>
      <c r="EY86" s="229">
        <v>1.6799999999999999E-2</v>
      </c>
      <c r="EZ86" s="229">
        <v>0.40479999999999999</v>
      </c>
      <c r="FA86" s="227" t="s">
        <v>556</v>
      </c>
      <c r="FB86" s="161">
        <f t="shared" si="1"/>
        <v>78625</v>
      </c>
    </row>
    <row r="87" spans="1:158" ht="17.25" thickBot="1" x14ac:dyDescent="0.3">
      <c r="A87" s="226">
        <v>46086</v>
      </c>
      <c r="B87" s="227" t="s">
        <v>188</v>
      </c>
      <c r="C87" s="227" t="s">
        <v>234</v>
      </c>
      <c r="D87" s="228">
        <v>71475</v>
      </c>
      <c r="E87" s="228">
        <v>10.28</v>
      </c>
      <c r="F87" s="228">
        <v>10.039999999999999</v>
      </c>
      <c r="G87" s="228">
        <v>0.24</v>
      </c>
      <c r="H87" s="229">
        <v>2.3900000000000001E-2</v>
      </c>
      <c r="I87" s="228">
        <v>10.220000000000001</v>
      </c>
      <c r="J87" s="228">
        <v>9.99</v>
      </c>
      <c r="K87" s="228">
        <v>0.23</v>
      </c>
      <c r="L87" s="229">
        <v>2.3E-2</v>
      </c>
      <c r="M87" s="228">
        <v>10.28</v>
      </c>
      <c r="N87" s="228">
        <v>10.039999999999999</v>
      </c>
      <c r="O87" s="228">
        <v>0.24</v>
      </c>
      <c r="P87" s="229">
        <v>2.3900000000000001E-2</v>
      </c>
      <c r="Q87" s="228">
        <v>10.35</v>
      </c>
      <c r="R87" s="228">
        <v>10.11</v>
      </c>
      <c r="S87" s="228">
        <v>0.24</v>
      </c>
      <c r="T87" s="229">
        <v>2.3699999999999999E-2</v>
      </c>
      <c r="U87" s="228">
        <v>10.4</v>
      </c>
      <c r="V87" s="228">
        <v>10.18</v>
      </c>
      <c r="W87" s="228">
        <v>0.22</v>
      </c>
      <c r="X87" s="229">
        <v>2.1600000000000001E-2</v>
      </c>
      <c r="Y87" s="228">
        <v>0.06</v>
      </c>
      <c r="Z87" s="228">
        <v>0.05</v>
      </c>
      <c r="AA87" s="228">
        <v>0.01</v>
      </c>
      <c r="AB87" s="229">
        <v>5.8999999999999999E-3</v>
      </c>
      <c r="AC87" s="228">
        <v>0.06</v>
      </c>
      <c r="AD87" s="228">
        <v>0.05</v>
      </c>
      <c r="AE87" s="228">
        <v>0.01</v>
      </c>
      <c r="AF87" s="229">
        <v>5.8999999999999999E-3</v>
      </c>
      <c r="AG87" s="228">
        <v>0.13</v>
      </c>
      <c r="AH87" s="228">
        <v>0.12</v>
      </c>
      <c r="AI87" s="228">
        <v>0.01</v>
      </c>
      <c r="AJ87" s="229">
        <v>1.2699999999999999E-2</v>
      </c>
      <c r="AK87" s="228">
        <v>0.18</v>
      </c>
      <c r="AL87" s="228">
        <v>0.19</v>
      </c>
      <c r="AM87" s="228">
        <v>-0.01</v>
      </c>
      <c r="AN87" s="229">
        <v>1.7600000000000001E-2</v>
      </c>
      <c r="AO87" s="228">
        <v>10.16</v>
      </c>
      <c r="AP87" s="228">
        <v>10.199999999999999</v>
      </c>
      <c r="AQ87" s="228">
        <v>0</v>
      </c>
      <c r="AR87" s="230">
        <v>970559025</v>
      </c>
      <c r="AS87" s="230">
        <v>576588825</v>
      </c>
      <c r="AT87" s="230">
        <v>393970200</v>
      </c>
      <c r="AU87" s="229">
        <v>0.68330000000000002</v>
      </c>
      <c r="AV87" s="230">
        <v>878499225</v>
      </c>
      <c r="AW87" s="230">
        <v>499467300</v>
      </c>
      <c r="AX87" s="230">
        <v>379031925</v>
      </c>
      <c r="AY87" s="229">
        <v>0.75890000000000002</v>
      </c>
      <c r="AZ87" s="230">
        <v>76692675</v>
      </c>
      <c r="BA87" s="230">
        <v>65113725</v>
      </c>
      <c r="BB87" s="230">
        <v>11578950</v>
      </c>
      <c r="BC87" s="229">
        <v>0.17780000000000001</v>
      </c>
      <c r="BD87" s="230">
        <v>15367125</v>
      </c>
      <c r="BE87" s="230">
        <v>12007800</v>
      </c>
      <c r="BF87" s="230">
        <v>3359325</v>
      </c>
      <c r="BG87" s="229">
        <v>0.27979999999999999</v>
      </c>
      <c r="BH87" s="230">
        <v>2105153175</v>
      </c>
      <c r="BI87" s="230">
        <v>864561600</v>
      </c>
      <c r="BJ87" s="230">
        <v>1240591575</v>
      </c>
      <c r="BK87" s="229">
        <v>1.4349000000000001</v>
      </c>
      <c r="BL87" s="230">
        <v>702313350</v>
      </c>
      <c r="BM87" s="230">
        <v>530558925</v>
      </c>
      <c r="BN87" s="230">
        <v>171754425</v>
      </c>
      <c r="BO87" s="229">
        <v>0.32369999999999999</v>
      </c>
      <c r="BP87" s="230">
        <v>3778025550</v>
      </c>
      <c r="BQ87" s="230">
        <v>1971709350</v>
      </c>
      <c r="BR87" s="230">
        <v>1806316200</v>
      </c>
      <c r="BS87" s="229">
        <v>0.91610000000000003</v>
      </c>
      <c r="BT87" s="230">
        <v>633763001</v>
      </c>
      <c r="BU87" s="230">
        <v>521213967</v>
      </c>
      <c r="BV87" s="230">
        <v>112549034</v>
      </c>
      <c r="BW87" s="229">
        <v>0.21590000000000001</v>
      </c>
      <c r="BX87" s="230">
        <v>7146356400</v>
      </c>
      <c r="BY87" s="230">
        <v>7035141300</v>
      </c>
      <c r="BZ87" s="230">
        <v>111215100</v>
      </c>
      <c r="CA87" s="229">
        <v>1.5800000000000002E-2</v>
      </c>
      <c r="CB87" s="230">
        <v>6870177000</v>
      </c>
      <c r="CC87" s="230">
        <v>6789553200</v>
      </c>
      <c r="CD87" s="230">
        <v>80623800</v>
      </c>
      <c r="CE87" s="229">
        <v>1.1900000000000001E-2</v>
      </c>
      <c r="CF87" s="230">
        <v>247517925</v>
      </c>
      <c r="CG87" s="230">
        <v>223430850</v>
      </c>
      <c r="CH87" s="230">
        <v>24087075</v>
      </c>
      <c r="CI87" s="229">
        <v>0.10780000000000001</v>
      </c>
      <c r="CJ87" s="230">
        <v>28661475</v>
      </c>
      <c r="CK87" s="230">
        <v>22157250</v>
      </c>
      <c r="CL87" s="230">
        <v>6504225</v>
      </c>
      <c r="CM87" s="229">
        <v>0.29349999999999998</v>
      </c>
      <c r="CN87" s="230">
        <v>1749207675</v>
      </c>
      <c r="CO87" s="230">
        <v>1542144600</v>
      </c>
      <c r="CP87" s="230">
        <v>207063075</v>
      </c>
      <c r="CQ87" s="229">
        <v>0.1343</v>
      </c>
      <c r="CR87" s="230">
        <v>906803325</v>
      </c>
      <c r="CS87" s="230">
        <v>888005400</v>
      </c>
      <c r="CT87" s="230">
        <v>18797925</v>
      </c>
      <c r="CU87" s="229">
        <v>2.12E-2</v>
      </c>
      <c r="CV87" s="230">
        <v>9802367400</v>
      </c>
      <c r="CW87" s="230">
        <v>9465291300</v>
      </c>
      <c r="CX87" s="230">
        <v>337076100</v>
      </c>
      <c r="CY87" s="229">
        <v>3.56E-2</v>
      </c>
      <c r="CZ87" s="228">
        <v>57.86</v>
      </c>
      <c r="DA87" s="228">
        <v>56.82</v>
      </c>
      <c r="DB87" s="228">
        <v>1.04</v>
      </c>
      <c r="DC87" s="228">
        <v>1.04</v>
      </c>
      <c r="DD87" s="228">
        <v>65.95</v>
      </c>
      <c r="DE87" s="228">
        <v>66.040000000000006</v>
      </c>
      <c r="DF87" s="228">
        <v>-8.09</v>
      </c>
      <c r="DG87" s="228">
        <v>-0.09</v>
      </c>
      <c r="DH87" s="228">
        <v>59.15</v>
      </c>
      <c r="DI87" s="228">
        <v>58.51</v>
      </c>
      <c r="DJ87" s="228">
        <v>0.64</v>
      </c>
      <c r="DK87" s="228">
        <v>0.64</v>
      </c>
      <c r="DL87" s="228">
        <v>53.97</v>
      </c>
      <c r="DM87" s="228">
        <v>54.08</v>
      </c>
      <c r="DN87" s="228">
        <v>-0.11</v>
      </c>
      <c r="DO87" s="228">
        <v>-0.11</v>
      </c>
      <c r="DP87" s="228">
        <v>0.52</v>
      </c>
      <c r="DQ87" s="228">
        <v>0.57999999999999996</v>
      </c>
      <c r="DR87" s="228">
        <v>-0.06</v>
      </c>
      <c r="DS87" s="229">
        <v>-0.10340000000000001</v>
      </c>
      <c r="DT87" s="228">
        <v>12</v>
      </c>
      <c r="DU87" s="228">
        <v>10</v>
      </c>
      <c r="DV87" s="228">
        <v>0.33</v>
      </c>
      <c r="DW87" s="228">
        <v>0.61</v>
      </c>
      <c r="DX87" s="228">
        <v>-0.28000000000000003</v>
      </c>
      <c r="DY87" s="229">
        <v>-0.45900000000000002</v>
      </c>
      <c r="DZ87" s="229">
        <v>3.8600000000000002E-2</v>
      </c>
      <c r="EA87" s="230">
        <v>245588100</v>
      </c>
      <c r="EB87" s="229">
        <v>6.7999999999999996E-3</v>
      </c>
      <c r="EC87" s="229">
        <v>3.8600000000000002E-2</v>
      </c>
      <c r="ED87" s="228">
        <v>0.04</v>
      </c>
      <c r="EE87" s="229">
        <v>3.8999999999999998E-3</v>
      </c>
      <c r="EF87" s="230">
        <v>125250728</v>
      </c>
      <c r="EG87" s="230">
        <v>147710053</v>
      </c>
      <c r="EH87" s="229">
        <v>-0.15210000000000001</v>
      </c>
      <c r="EI87" s="229">
        <v>0.1976</v>
      </c>
      <c r="EJ87" s="231">
        <v>250476.24</v>
      </c>
      <c r="EK87" s="231">
        <v>69166.98</v>
      </c>
      <c r="EL87" s="231">
        <v>98612.03</v>
      </c>
      <c r="EM87" s="231">
        <v>7508</v>
      </c>
      <c r="EN87" s="231">
        <v>418255.25</v>
      </c>
      <c r="EO87" s="231">
        <v>211156.61</v>
      </c>
      <c r="EP87" s="231">
        <v>207098.64</v>
      </c>
      <c r="EQ87" s="229">
        <v>0.98080000000000001</v>
      </c>
      <c r="ER87" s="231">
        <v>212567</v>
      </c>
      <c r="ES87" s="231">
        <v>97082</v>
      </c>
      <c r="ET87" s="231">
        <v>734853</v>
      </c>
      <c r="EU87" s="231">
        <v>12037179660</v>
      </c>
      <c r="EV87" s="231">
        <v>1044502</v>
      </c>
      <c r="EW87" s="231">
        <v>991229</v>
      </c>
      <c r="EX87" s="231">
        <v>53273</v>
      </c>
      <c r="EY87" s="229">
        <v>5.3699999999999998E-2</v>
      </c>
      <c r="EZ87" s="229">
        <v>0.81430000000000002</v>
      </c>
      <c r="FA87" s="227" t="s">
        <v>555</v>
      </c>
      <c r="FB87" s="161">
        <f t="shared" si="1"/>
        <v>276179400</v>
      </c>
    </row>
    <row r="88" spans="1:158" ht="17.25" thickBot="1" x14ac:dyDescent="0.3">
      <c r="A88" s="226">
        <v>46086</v>
      </c>
      <c r="B88" s="227" t="s">
        <v>172</v>
      </c>
      <c r="C88" s="227" t="s">
        <v>235</v>
      </c>
      <c r="D88" s="228">
        <v>9275</v>
      </c>
      <c r="E88" s="228">
        <v>70.75</v>
      </c>
      <c r="F88" s="228">
        <v>70.260000000000005</v>
      </c>
      <c r="G88" s="228">
        <v>0.49</v>
      </c>
      <c r="H88" s="229">
        <v>7.0000000000000001E-3</v>
      </c>
      <c r="I88" s="228">
        <v>70.400000000000006</v>
      </c>
      <c r="J88" s="228">
        <v>70.06</v>
      </c>
      <c r="K88" s="228">
        <v>0.34</v>
      </c>
      <c r="L88" s="229">
        <v>4.8999999999999998E-3</v>
      </c>
      <c r="M88" s="228">
        <v>70.75</v>
      </c>
      <c r="N88" s="228">
        <v>70.260000000000005</v>
      </c>
      <c r="O88" s="228">
        <v>0.49</v>
      </c>
      <c r="P88" s="229">
        <v>7.0000000000000001E-3</v>
      </c>
      <c r="Q88" s="228">
        <v>71.209999999999994</v>
      </c>
      <c r="R88" s="228">
        <v>70.69</v>
      </c>
      <c r="S88" s="228">
        <v>0.52</v>
      </c>
      <c r="T88" s="229">
        <v>7.4000000000000003E-3</v>
      </c>
      <c r="U88" s="228">
        <v>71.599999999999994</v>
      </c>
      <c r="V88" s="228">
        <v>71.02</v>
      </c>
      <c r="W88" s="228">
        <v>0.57999999999999996</v>
      </c>
      <c r="X88" s="229">
        <v>8.2000000000000007E-3</v>
      </c>
      <c r="Y88" s="228">
        <v>0.35</v>
      </c>
      <c r="Z88" s="228">
        <v>0.2</v>
      </c>
      <c r="AA88" s="228">
        <v>0.15</v>
      </c>
      <c r="AB88" s="229">
        <v>5.0000000000000001E-3</v>
      </c>
      <c r="AC88" s="228">
        <v>0.35</v>
      </c>
      <c r="AD88" s="228">
        <v>0.2</v>
      </c>
      <c r="AE88" s="228">
        <v>0.15</v>
      </c>
      <c r="AF88" s="229">
        <v>5.0000000000000001E-3</v>
      </c>
      <c r="AG88" s="228">
        <v>0.81</v>
      </c>
      <c r="AH88" s="228">
        <v>0.63</v>
      </c>
      <c r="AI88" s="228">
        <v>0.18</v>
      </c>
      <c r="AJ88" s="229">
        <v>1.15E-2</v>
      </c>
      <c r="AK88" s="228">
        <v>1.2</v>
      </c>
      <c r="AL88" s="228">
        <v>0.96</v>
      </c>
      <c r="AM88" s="228">
        <v>0.24</v>
      </c>
      <c r="AN88" s="229">
        <v>1.7000000000000001E-2</v>
      </c>
      <c r="AO88" s="228">
        <v>70.75</v>
      </c>
      <c r="AP88" s="228">
        <v>71.22</v>
      </c>
      <c r="AQ88" s="228">
        <v>0</v>
      </c>
      <c r="AR88" s="230">
        <v>79143575</v>
      </c>
      <c r="AS88" s="230">
        <v>95411925</v>
      </c>
      <c r="AT88" s="230">
        <v>-16268350</v>
      </c>
      <c r="AU88" s="229">
        <v>-0.17050000000000001</v>
      </c>
      <c r="AV88" s="230">
        <v>71871975</v>
      </c>
      <c r="AW88" s="230">
        <v>88752475</v>
      </c>
      <c r="AX88" s="230">
        <v>-16880500</v>
      </c>
      <c r="AY88" s="229">
        <v>-0.19020000000000001</v>
      </c>
      <c r="AZ88" s="230">
        <v>5806150</v>
      </c>
      <c r="BA88" s="230">
        <v>5221825</v>
      </c>
      <c r="BB88" s="230">
        <v>584325</v>
      </c>
      <c r="BC88" s="229">
        <v>0.1119</v>
      </c>
      <c r="BD88" s="230">
        <v>1465450</v>
      </c>
      <c r="BE88" s="230">
        <v>1437625</v>
      </c>
      <c r="BF88" s="230">
        <v>27825</v>
      </c>
      <c r="BG88" s="229">
        <v>1.9400000000000001E-2</v>
      </c>
      <c r="BH88" s="230">
        <v>161663250</v>
      </c>
      <c r="BI88" s="230">
        <v>158036725</v>
      </c>
      <c r="BJ88" s="230">
        <v>3626525</v>
      </c>
      <c r="BK88" s="229">
        <v>2.29E-2</v>
      </c>
      <c r="BL88" s="230">
        <v>89225500</v>
      </c>
      <c r="BM88" s="230">
        <v>123580100</v>
      </c>
      <c r="BN88" s="230">
        <v>-34354600</v>
      </c>
      <c r="BO88" s="229">
        <v>-0.27800000000000002</v>
      </c>
      <c r="BP88" s="230">
        <v>330032325</v>
      </c>
      <c r="BQ88" s="230">
        <v>377028750</v>
      </c>
      <c r="BR88" s="230">
        <v>-46996425</v>
      </c>
      <c r="BS88" s="229">
        <v>-0.1246</v>
      </c>
      <c r="BT88" s="230">
        <v>34888169</v>
      </c>
      <c r="BU88" s="230">
        <v>44398330</v>
      </c>
      <c r="BV88" s="230">
        <v>-9510161</v>
      </c>
      <c r="BW88" s="229">
        <v>-0.2142</v>
      </c>
      <c r="BX88" s="230">
        <v>484999025</v>
      </c>
      <c r="BY88" s="230">
        <v>481344675</v>
      </c>
      <c r="BZ88" s="230">
        <v>3654350</v>
      </c>
      <c r="CA88" s="229">
        <v>7.6E-3</v>
      </c>
      <c r="CB88" s="230">
        <v>447472375</v>
      </c>
      <c r="CC88" s="230">
        <v>445283475</v>
      </c>
      <c r="CD88" s="230">
        <v>2188900</v>
      </c>
      <c r="CE88" s="229">
        <v>4.8999999999999998E-3</v>
      </c>
      <c r="CF88" s="230">
        <v>31349500</v>
      </c>
      <c r="CG88" s="230">
        <v>30180850</v>
      </c>
      <c r="CH88" s="230">
        <v>1168650</v>
      </c>
      <c r="CI88" s="229">
        <v>3.8699999999999998E-2</v>
      </c>
      <c r="CJ88" s="230">
        <v>6177150</v>
      </c>
      <c r="CK88" s="230">
        <v>5880350</v>
      </c>
      <c r="CL88" s="230">
        <v>296800</v>
      </c>
      <c r="CM88" s="229">
        <v>5.0500000000000003E-2</v>
      </c>
      <c r="CN88" s="230">
        <v>307540450</v>
      </c>
      <c r="CO88" s="230">
        <v>299202225</v>
      </c>
      <c r="CP88" s="230">
        <v>8338225</v>
      </c>
      <c r="CQ88" s="229">
        <v>2.7900000000000001E-2</v>
      </c>
      <c r="CR88" s="230">
        <v>207982600</v>
      </c>
      <c r="CS88" s="230">
        <v>199820600</v>
      </c>
      <c r="CT88" s="230">
        <v>8162000</v>
      </c>
      <c r="CU88" s="229">
        <v>4.0800000000000003E-2</v>
      </c>
      <c r="CV88" s="230">
        <v>1000522075</v>
      </c>
      <c r="CW88" s="230">
        <v>980367500</v>
      </c>
      <c r="CX88" s="230">
        <v>20154575</v>
      </c>
      <c r="CY88" s="229">
        <v>2.06E-2</v>
      </c>
      <c r="CZ88" s="228">
        <v>37.909999999999997</v>
      </c>
      <c r="DA88" s="228">
        <v>42.41</v>
      </c>
      <c r="DB88" s="228">
        <v>-4.5</v>
      </c>
      <c r="DC88" s="228">
        <v>-4.5</v>
      </c>
      <c r="DD88" s="228">
        <v>39.4</v>
      </c>
      <c r="DE88" s="228">
        <v>39.49</v>
      </c>
      <c r="DF88" s="228">
        <v>-1.49</v>
      </c>
      <c r="DG88" s="228">
        <v>-0.09</v>
      </c>
      <c r="DH88" s="228">
        <v>37.32</v>
      </c>
      <c r="DI88" s="228">
        <v>41.53</v>
      </c>
      <c r="DJ88" s="228">
        <v>-4.21</v>
      </c>
      <c r="DK88" s="228">
        <v>-4.21</v>
      </c>
      <c r="DL88" s="228">
        <v>38.97</v>
      </c>
      <c r="DM88" s="228">
        <v>43.53</v>
      </c>
      <c r="DN88" s="228">
        <v>-4.5599999999999996</v>
      </c>
      <c r="DO88" s="228">
        <v>-4.5599999999999996</v>
      </c>
      <c r="DP88" s="228">
        <v>0.68</v>
      </c>
      <c r="DQ88" s="228">
        <v>0.67</v>
      </c>
      <c r="DR88" s="228">
        <v>0.01</v>
      </c>
      <c r="DS88" s="229">
        <v>1.49E-2</v>
      </c>
      <c r="DT88" s="228">
        <v>80</v>
      </c>
      <c r="DU88" s="228">
        <v>70</v>
      </c>
      <c r="DV88" s="228">
        <v>0.55000000000000004</v>
      </c>
      <c r="DW88" s="228">
        <v>0.78</v>
      </c>
      <c r="DX88" s="228">
        <v>-0.23</v>
      </c>
      <c r="DY88" s="229">
        <v>-0.2949</v>
      </c>
      <c r="DZ88" s="229">
        <v>7.7399999999999997E-2</v>
      </c>
      <c r="EA88" s="230">
        <v>36061200</v>
      </c>
      <c r="EB88" s="229">
        <v>6.4999999999999997E-3</v>
      </c>
      <c r="EC88" s="229">
        <v>7.7399999999999997E-2</v>
      </c>
      <c r="ED88" s="228">
        <v>0.47</v>
      </c>
      <c r="EE88" s="229">
        <v>6.6E-3</v>
      </c>
      <c r="EF88" s="230">
        <v>13889270</v>
      </c>
      <c r="EG88" s="230">
        <v>18335566</v>
      </c>
      <c r="EH88" s="229">
        <v>-0.24249999999999999</v>
      </c>
      <c r="EI88" s="229">
        <v>0.39810000000000001</v>
      </c>
      <c r="EJ88" s="231">
        <v>126650.11</v>
      </c>
      <c r="EK88" s="231">
        <v>60501.83</v>
      </c>
      <c r="EL88" s="231">
        <v>56034.45</v>
      </c>
      <c r="EM88" s="231">
        <v>14343</v>
      </c>
      <c r="EN88" s="231">
        <v>243186.39</v>
      </c>
      <c r="EO88" s="231">
        <v>272837.48</v>
      </c>
      <c r="EP88" s="231">
        <v>-29651.09</v>
      </c>
      <c r="EQ88" s="229">
        <v>-0.1087</v>
      </c>
      <c r="ER88" s="231">
        <v>241374</v>
      </c>
      <c r="ES88" s="231">
        <v>142275</v>
      </c>
      <c r="ET88" s="231">
        <v>343334</v>
      </c>
      <c r="EU88" s="231">
        <v>936861183</v>
      </c>
      <c r="EV88" s="231">
        <v>726983</v>
      </c>
      <c r="EW88" s="231">
        <v>710204</v>
      </c>
      <c r="EX88" s="231">
        <v>16779</v>
      </c>
      <c r="EY88" s="229">
        <v>2.3599999999999999E-2</v>
      </c>
      <c r="EZ88" s="229">
        <v>1.0680000000000001</v>
      </c>
      <c r="FA88" s="227" t="s">
        <v>555</v>
      </c>
      <c r="FB88" s="161">
        <f t="shared" si="1"/>
        <v>37526650</v>
      </c>
    </row>
    <row r="89" spans="1:158" ht="17.25" thickBot="1" x14ac:dyDescent="0.3">
      <c r="A89" s="226">
        <v>46086</v>
      </c>
      <c r="B89" s="227" t="s">
        <v>161</v>
      </c>
      <c r="C89" s="227" t="s">
        <v>514</v>
      </c>
      <c r="D89" s="228">
        <v>3750</v>
      </c>
      <c r="E89" s="228">
        <v>121.97</v>
      </c>
      <c r="F89" s="228">
        <v>118.97</v>
      </c>
      <c r="G89" s="228">
        <v>3</v>
      </c>
      <c r="H89" s="229">
        <v>2.52E-2</v>
      </c>
      <c r="I89" s="228">
        <v>121.63</v>
      </c>
      <c r="J89" s="228">
        <v>118.59</v>
      </c>
      <c r="K89" s="228">
        <v>3.04</v>
      </c>
      <c r="L89" s="229">
        <v>2.5600000000000001E-2</v>
      </c>
      <c r="M89" s="228">
        <v>121.97</v>
      </c>
      <c r="N89" s="228">
        <v>118.97</v>
      </c>
      <c r="O89" s="228">
        <v>3</v>
      </c>
      <c r="P89" s="229">
        <v>2.52E-2</v>
      </c>
      <c r="Q89" s="228">
        <v>122.84</v>
      </c>
      <c r="R89" s="228">
        <v>119.74</v>
      </c>
      <c r="S89" s="228">
        <v>3.1</v>
      </c>
      <c r="T89" s="229">
        <v>2.5899999999999999E-2</v>
      </c>
      <c r="U89" s="228">
        <v>122.64</v>
      </c>
      <c r="V89" s="228">
        <v>119.84</v>
      </c>
      <c r="W89" s="228">
        <v>2.8</v>
      </c>
      <c r="X89" s="229">
        <v>2.3400000000000001E-2</v>
      </c>
      <c r="Y89" s="228">
        <v>0.34</v>
      </c>
      <c r="Z89" s="228">
        <v>0.38</v>
      </c>
      <c r="AA89" s="228">
        <v>-0.04</v>
      </c>
      <c r="AB89" s="229">
        <v>2.8E-3</v>
      </c>
      <c r="AC89" s="228">
        <v>0.34</v>
      </c>
      <c r="AD89" s="228">
        <v>0.38</v>
      </c>
      <c r="AE89" s="228">
        <v>-0.04</v>
      </c>
      <c r="AF89" s="229">
        <v>2.8E-3</v>
      </c>
      <c r="AG89" s="228">
        <v>1.21</v>
      </c>
      <c r="AH89" s="228">
        <v>1.1499999999999999</v>
      </c>
      <c r="AI89" s="228">
        <v>0.06</v>
      </c>
      <c r="AJ89" s="229">
        <v>9.9000000000000008E-3</v>
      </c>
      <c r="AK89" s="228">
        <v>1.01</v>
      </c>
      <c r="AL89" s="228">
        <v>1.25</v>
      </c>
      <c r="AM89" s="228">
        <v>-0.24</v>
      </c>
      <c r="AN89" s="229">
        <v>8.3000000000000001E-3</v>
      </c>
      <c r="AO89" s="228">
        <v>120.87</v>
      </c>
      <c r="AP89" s="228">
        <v>121.76</v>
      </c>
      <c r="AQ89" s="228">
        <v>0</v>
      </c>
      <c r="AR89" s="230">
        <v>8737500</v>
      </c>
      <c r="AS89" s="230">
        <v>9735000</v>
      </c>
      <c r="AT89" s="230">
        <v>-997500</v>
      </c>
      <c r="AU89" s="229">
        <v>-0.10249999999999999</v>
      </c>
      <c r="AV89" s="230">
        <v>6911250</v>
      </c>
      <c r="AW89" s="230">
        <v>8700000</v>
      </c>
      <c r="AX89" s="230">
        <v>-1788750</v>
      </c>
      <c r="AY89" s="229">
        <v>-0.2056</v>
      </c>
      <c r="AZ89" s="230">
        <v>1578750</v>
      </c>
      <c r="BA89" s="230">
        <v>798750</v>
      </c>
      <c r="BB89" s="230">
        <v>780000</v>
      </c>
      <c r="BC89" s="229">
        <v>0.97650000000000003</v>
      </c>
      <c r="BD89" s="230">
        <v>247500</v>
      </c>
      <c r="BE89" s="230">
        <v>236250</v>
      </c>
      <c r="BF89" s="230">
        <v>11250</v>
      </c>
      <c r="BG89" s="229">
        <v>4.7600000000000003E-2</v>
      </c>
      <c r="BH89" s="230">
        <v>18930000</v>
      </c>
      <c r="BI89" s="230">
        <v>20523750</v>
      </c>
      <c r="BJ89" s="230">
        <v>-1593750</v>
      </c>
      <c r="BK89" s="229">
        <v>-7.7700000000000005E-2</v>
      </c>
      <c r="BL89" s="230">
        <v>9442500</v>
      </c>
      <c r="BM89" s="230">
        <v>13147500</v>
      </c>
      <c r="BN89" s="230">
        <v>-3705000</v>
      </c>
      <c r="BO89" s="229">
        <v>-0.28179999999999999</v>
      </c>
      <c r="BP89" s="230">
        <v>37110000</v>
      </c>
      <c r="BQ89" s="230">
        <v>43406250</v>
      </c>
      <c r="BR89" s="230">
        <v>-6296250</v>
      </c>
      <c r="BS89" s="229">
        <v>-0.14510000000000001</v>
      </c>
      <c r="BT89" s="230">
        <v>5907027</v>
      </c>
      <c r="BU89" s="230">
        <v>5840345</v>
      </c>
      <c r="BV89" s="230">
        <v>66682</v>
      </c>
      <c r="BW89" s="229">
        <v>1.14E-2</v>
      </c>
      <c r="BX89" s="230">
        <v>70335000</v>
      </c>
      <c r="BY89" s="230">
        <v>70515000</v>
      </c>
      <c r="BZ89" s="230">
        <v>-180000</v>
      </c>
      <c r="CA89" s="229">
        <v>-2.5999999999999999E-3</v>
      </c>
      <c r="CB89" s="230">
        <v>65835000</v>
      </c>
      <c r="CC89" s="230">
        <v>67020000</v>
      </c>
      <c r="CD89" s="230">
        <v>-1185000</v>
      </c>
      <c r="CE89" s="229">
        <v>-1.77E-2</v>
      </c>
      <c r="CF89" s="230">
        <v>4117500</v>
      </c>
      <c r="CG89" s="230">
        <v>3123750</v>
      </c>
      <c r="CH89" s="230">
        <v>993750</v>
      </c>
      <c r="CI89" s="229">
        <v>0.31809999999999999</v>
      </c>
      <c r="CJ89" s="230">
        <v>382500</v>
      </c>
      <c r="CK89" s="230">
        <v>371250</v>
      </c>
      <c r="CL89" s="230">
        <v>11250</v>
      </c>
      <c r="CM89" s="229">
        <v>3.0300000000000001E-2</v>
      </c>
      <c r="CN89" s="230">
        <v>35497500</v>
      </c>
      <c r="CO89" s="230">
        <v>35148750</v>
      </c>
      <c r="CP89" s="230">
        <v>348750</v>
      </c>
      <c r="CQ89" s="229">
        <v>9.9000000000000008E-3</v>
      </c>
      <c r="CR89" s="230">
        <v>27566250</v>
      </c>
      <c r="CS89" s="230">
        <v>27191250</v>
      </c>
      <c r="CT89" s="230">
        <v>375000</v>
      </c>
      <c r="CU89" s="229">
        <v>1.38E-2</v>
      </c>
      <c r="CV89" s="230">
        <v>133398750</v>
      </c>
      <c r="CW89" s="230">
        <v>132855000</v>
      </c>
      <c r="CX89" s="230">
        <v>543750</v>
      </c>
      <c r="CY89" s="229">
        <v>4.1000000000000003E-3</v>
      </c>
      <c r="CZ89" s="228">
        <v>33.97</v>
      </c>
      <c r="DA89" s="228">
        <v>38.08</v>
      </c>
      <c r="DB89" s="228">
        <v>-4.1100000000000003</v>
      </c>
      <c r="DC89" s="228">
        <v>-4.1100000000000003</v>
      </c>
      <c r="DD89" s="228">
        <v>52.34</v>
      </c>
      <c r="DE89" s="228">
        <v>52.35</v>
      </c>
      <c r="DF89" s="228">
        <v>-18.37</v>
      </c>
      <c r="DG89" s="228">
        <v>-0.01</v>
      </c>
      <c r="DH89" s="228">
        <v>33.03</v>
      </c>
      <c r="DI89" s="228">
        <v>36.99</v>
      </c>
      <c r="DJ89" s="228">
        <v>-3.96</v>
      </c>
      <c r="DK89" s="228">
        <v>-3.96</v>
      </c>
      <c r="DL89" s="228">
        <v>35.869999999999997</v>
      </c>
      <c r="DM89" s="228">
        <v>39.78</v>
      </c>
      <c r="DN89" s="228">
        <v>-3.91</v>
      </c>
      <c r="DO89" s="228">
        <v>-3.91</v>
      </c>
      <c r="DP89" s="228">
        <v>0.78</v>
      </c>
      <c r="DQ89" s="228">
        <v>0.77</v>
      </c>
      <c r="DR89" s="228">
        <v>0.01</v>
      </c>
      <c r="DS89" s="229">
        <v>1.2999999999999999E-2</v>
      </c>
      <c r="DT89" s="228">
        <v>130</v>
      </c>
      <c r="DU89" s="228">
        <v>140</v>
      </c>
      <c r="DV89" s="228">
        <v>0.5</v>
      </c>
      <c r="DW89" s="228">
        <v>0.64</v>
      </c>
      <c r="DX89" s="228">
        <v>-0.14000000000000001</v>
      </c>
      <c r="DY89" s="229">
        <v>-0.21879999999999999</v>
      </c>
      <c r="DZ89" s="229">
        <v>6.4000000000000001E-2</v>
      </c>
      <c r="EA89" s="230">
        <v>3495000</v>
      </c>
      <c r="EB89" s="229">
        <v>7.1000000000000004E-3</v>
      </c>
      <c r="EC89" s="229">
        <v>6.4000000000000001E-2</v>
      </c>
      <c r="ED89" s="228">
        <v>0.89</v>
      </c>
      <c r="EE89" s="229">
        <v>7.4000000000000003E-3</v>
      </c>
      <c r="EF89" s="230">
        <v>2223796</v>
      </c>
      <c r="EG89" s="230">
        <v>2441175</v>
      </c>
      <c r="EH89" s="229">
        <v>-8.8999999999999996E-2</v>
      </c>
      <c r="EI89" s="229">
        <v>0.3765</v>
      </c>
      <c r="EJ89" s="231">
        <v>24694.39</v>
      </c>
      <c r="EK89" s="231">
        <v>11155.42</v>
      </c>
      <c r="EL89" s="231">
        <v>10575.92</v>
      </c>
      <c r="EM89" s="231">
        <v>2567</v>
      </c>
      <c r="EN89" s="231">
        <v>46425.73</v>
      </c>
      <c r="EO89" s="231">
        <v>53638.85</v>
      </c>
      <c r="EP89" s="231">
        <v>-7213.12</v>
      </c>
      <c r="EQ89" s="229">
        <v>-0.13450000000000001</v>
      </c>
      <c r="ER89" s="231">
        <v>47136</v>
      </c>
      <c r="ES89" s="231">
        <v>35400</v>
      </c>
      <c r="ET89" s="231">
        <v>85826</v>
      </c>
      <c r="EU89" s="231">
        <v>133395043</v>
      </c>
      <c r="EV89" s="231">
        <v>168362</v>
      </c>
      <c r="EW89" s="231">
        <v>165602</v>
      </c>
      <c r="EX89" s="231">
        <v>2760</v>
      </c>
      <c r="EY89" s="229">
        <v>1.67E-2</v>
      </c>
      <c r="EZ89" s="229">
        <v>1</v>
      </c>
      <c r="FA89" s="227" t="s">
        <v>556</v>
      </c>
      <c r="FB89" s="161">
        <f t="shared" si="1"/>
        <v>4500000</v>
      </c>
    </row>
    <row r="90" spans="1:158" ht="17.25" thickBot="1" x14ac:dyDescent="0.3">
      <c r="A90" s="226">
        <v>46086</v>
      </c>
      <c r="B90" s="227" t="s">
        <v>206</v>
      </c>
      <c r="C90" s="227" t="s">
        <v>501</v>
      </c>
      <c r="D90" s="228">
        <v>1000</v>
      </c>
      <c r="E90" s="228">
        <v>632.70000000000005</v>
      </c>
      <c r="F90" s="228">
        <v>636.65</v>
      </c>
      <c r="G90" s="228">
        <v>-3.95</v>
      </c>
      <c r="H90" s="229">
        <v>-6.1999999999999998E-3</v>
      </c>
      <c r="I90" s="228">
        <v>629.70000000000005</v>
      </c>
      <c r="J90" s="228">
        <v>633.75</v>
      </c>
      <c r="K90" s="228">
        <v>-4.05</v>
      </c>
      <c r="L90" s="229">
        <v>-6.4000000000000003E-3</v>
      </c>
      <c r="M90" s="228">
        <v>632.70000000000005</v>
      </c>
      <c r="N90" s="228">
        <v>636.65</v>
      </c>
      <c r="O90" s="228">
        <v>-3.95</v>
      </c>
      <c r="P90" s="229">
        <v>-6.1999999999999998E-3</v>
      </c>
      <c r="Q90" s="228">
        <v>636.54999999999995</v>
      </c>
      <c r="R90" s="228">
        <v>640.15</v>
      </c>
      <c r="S90" s="228">
        <v>-3.6</v>
      </c>
      <c r="T90" s="229">
        <v>-5.5999999999999999E-3</v>
      </c>
      <c r="U90" s="228">
        <v>639.79999999999995</v>
      </c>
      <c r="V90" s="228">
        <v>643.65</v>
      </c>
      <c r="W90" s="228">
        <v>-3.85</v>
      </c>
      <c r="X90" s="229">
        <v>-6.0000000000000001E-3</v>
      </c>
      <c r="Y90" s="228">
        <v>3</v>
      </c>
      <c r="Z90" s="228">
        <v>2.9</v>
      </c>
      <c r="AA90" s="228">
        <v>0.1</v>
      </c>
      <c r="AB90" s="229">
        <v>4.7999999999999996E-3</v>
      </c>
      <c r="AC90" s="228">
        <v>3</v>
      </c>
      <c r="AD90" s="228">
        <v>2.9</v>
      </c>
      <c r="AE90" s="228">
        <v>0.1</v>
      </c>
      <c r="AF90" s="229">
        <v>4.7999999999999996E-3</v>
      </c>
      <c r="AG90" s="228">
        <v>6.85</v>
      </c>
      <c r="AH90" s="228">
        <v>6.4</v>
      </c>
      <c r="AI90" s="228">
        <v>0.45</v>
      </c>
      <c r="AJ90" s="229">
        <v>1.09E-2</v>
      </c>
      <c r="AK90" s="228">
        <v>10.1</v>
      </c>
      <c r="AL90" s="228">
        <v>9.9</v>
      </c>
      <c r="AM90" s="228">
        <v>0.2</v>
      </c>
      <c r="AN90" s="229">
        <v>1.6E-2</v>
      </c>
      <c r="AO90" s="228">
        <v>627.64</v>
      </c>
      <c r="AP90" s="228">
        <v>631.89</v>
      </c>
      <c r="AQ90" s="228">
        <v>0</v>
      </c>
      <c r="AR90" s="230">
        <v>5745000</v>
      </c>
      <c r="AS90" s="230">
        <v>4554000</v>
      </c>
      <c r="AT90" s="230">
        <v>1191000</v>
      </c>
      <c r="AU90" s="229">
        <v>0.26150000000000001</v>
      </c>
      <c r="AV90" s="230">
        <v>5357000</v>
      </c>
      <c r="AW90" s="230">
        <v>4228000</v>
      </c>
      <c r="AX90" s="230">
        <v>1129000</v>
      </c>
      <c r="AY90" s="229">
        <v>0.26700000000000002</v>
      </c>
      <c r="AZ90" s="230">
        <v>331000</v>
      </c>
      <c r="BA90" s="230">
        <v>270000</v>
      </c>
      <c r="BB90" s="230">
        <v>61000</v>
      </c>
      <c r="BC90" s="229">
        <v>0.22589999999999999</v>
      </c>
      <c r="BD90" s="230">
        <v>57000</v>
      </c>
      <c r="BE90" s="230">
        <v>56000</v>
      </c>
      <c r="BF90" s="230">
        <v>1000</v>
      </c>
      <c r="BG90" s="229">
        <v>1.7899999999999999E-2</v>
      </c>
      <c r="BH90" s="230">
        <v>10509000</v>
      </c>
      <c r="BI90" s="230">
        <v>5266000</v>
      </c>
      <c r="BJ90" s="230">
        <v>5243000</v>
      </c>
      <c r="BK90" s="229">
        <v>0.99560000000000004</v>
      </c>
      <c r="BL90" s="230">
        <v>8176000</v>
      </c>
      <c r="BM90" s="230">
        <v>4720000</v>
      </c>
      <c r="BN90" s="230">
        <v>3456000</v>
      </c>
      <c r="BO90" s="229">
        <v>0.73219999999999996</v>
      </c>
      <c r="BP90" s="230">
        <v>24430000</v>
      </c>
      <c r="BQ90" s="230">
        <v>14540000</v>
      </c>
      <c r="BR90" s="230">
        <v>9890000</v>
      </c>
      <c r="BS90" s="229">
        <v>0.68020000000000003</v>
      </c>
      <c r="BT90" s="230">
        <v>4395186</v>
      </c>
      <c r="BU90" s="230">
        <v>3484683</v>
      </c>
      <c r="BV90" s="230">
        <v>910503</v>
      </c>
      <c r="BW90" s="229">
        <v>0.26129999999999998</v>
      </c>
      <c r="BX90" s="230">
        <v>22301000</v>
      </c>
      <c r="BY90" s="230">
        <v>22138000</v>
      </c>
      <c r="BZ90" s="230">
        <v>163000</v>
      </c>
      <c r="CA90" s="229">
        <v>7.4000000000000003E-3</v>
      </c>
      <c r="CB90" s="230">
        <v>21503000</v>
      </c>
      <c r="CC90" s="230">
        <v>21420000</v>
      </c>
      <c r="CD90" s="230">
        <v>83000</v>
      </c>
      <c r="CE90" s="229">
        <v>3.8999999999999998E-3</v>
      </c>
      <c r="CF90" s="230">
        <v>711000</v>
      </c>
      <c r="CG90" s="230">
        <v>658000</v>
      </c>
      <c r="CH90" s="230">
        <v>53000</v>
      </c>
      <c r="CI90" s="229">
        <v>8.0500000000000002E-2</v>
      </c>
      <c r="CJ90" s="230">
        <v>87000</v>
      </c>
      <c r="CK90" s="230">
        <v>60000</v>
      </c>
      <c r="CL90" s="230">
        <v>27000</v>
      </c>
      <c r="CM90" s="229">
        <v>0.45</v>
      </c>
      <c r="CN90" s="230">
        <v>7690000</v>
      </c>
      <c r="CO90" s="230">
        <v>6330000</v>
      </c>
      <c r="CP90" s="230">
        <v>1360000</v>
      </c>
      <c r="CQ90" s="229">
        <v>0.21479999999999999</v>
      </c>
      <c r="CR90" s="230">
        <v>5851000</v>
      </c>
      <c r="CS90" s="230">
        <v>5364000</v>
      </c>
      <c r="CT90" s="230">
        <v>487000</v>
      </c>
      <c r="CU90" s="229">
        <v>9.0800000000000006E-2</v>
      </c>
      <c r="CV90" s="230">
        <v>35842000</v>
      </c>
      <c r="CW90" s="230">
        <v>33832000</v>
      </c>
      <c r="CX90" s="230">
        <v>2010000</v>
      </c>
      <c r="CY90" s="229">
        <v>5.9400000000000001E-2</v>
      </c>
      <c r="CZ90" s="228">
        <v>27.51</v>
      </c>
      <c r="DA90" s="228">
        <v>27.42</v>
      </c>
      <c r="DB90" s="228">
        <v>0.09</v>
      </c>
      <c r="DC90" s="228">
        <v>0.09</v>
      </c>
      <c r="DD90" s="228">
        <v>32.68</v>
      </c>
      <c r="DE90" s="228">
        <v>32.76</v>
      </c>
      <c r="DF90" s="228">
        <v>-5.17</v>
      </c>
      <c r="DG90" s="228">
        <v>-0.08</v>
      </c>
      <c r="DH90" s="228">
        <v>26.85</v>
      </c>
      <c r="DI90" s="228">
        <v>26.45</v>
      </c>
      <c r="DJ90" s="228">
        <v>0.4</v>
      </c>
      <c r="DK90" s="228">
        <v>0.4</v>
      </c>
      <c r="DL90" s="228">
        <v>28.36</v>
      </c>
      <c r="DM90" s="228">
        <v>28.52</v>
      </c>
      <c r="DN90" s="228">
        <v>-0.16</v>
      </c>
      <c r="DO90" s="228">
        <v>-0.16</v>
      </c>
      <c r="DP90" s="228">
        <v>0.76</v>
      </c>
      <c r="DQ90" s="228">
        <v>0.85</v>
      </c>
      <c r="DR90" s="228">
        <v>-0.09</v>
      </c>
      <c r="DS90" s="229">
        <v>-0.10589999999999999</v>
      </c>
      <c r="DT90" s="228">
        <v>700</v>
      </c>
      <c r="DU90" s="228">
        <v>680</v>
      </c>
      <c r="DV90" s="228">
        <v>0.78</v>
      </c>
      <c r="DW90" s="228">
        <v>0.9</v>
      </c>
      <c r="DX90" s="228">
        <v>-0.12</v>
      </c>
      <c r="DY90" s="229">
        <v>-0.1333</v>
      </c>
      <c r="DZ90" s="229">
        <v>3.5799999999999998E-2</v>
      </c>
      <c r="EA90" s="230">
        <v>718000</v>
      </c>
      <c r="EB90" s="229">
        <v>6.1000000000000004E-3</v>
      </c>
      <c r="EC90" s="229">
        <v>3.5799999999999998E-2</v>
      </c>
      <c r="ED90" s="228">
        <v>4.25</v>
      </c>
      <c r="EE90" s="229">
        <v>6.7999999999999996E-3</v>
      </c>
      <c r="EF90" s="230">
        <v>2474352</v>
      </c>
      <c r="EG90" s="230">
        <v>1987451</v>
      </c>
      <c r="EH90" s="229">
        <v>0.245</v>
      </c>
      <c r="EI90" s="229">
        <v>0.56299999999999994</v>
      </c>
      <c r="EJ90" s="231">
        <v>70864.13</v>
      </c>
      <c r="EK90" s="231">
        <v>51415.8</v>
      </c>
      <c r="EL90" s="231">
        <v>36075.019999999997</v>
      </c>
      <c r="EM90" s="231">
        <v>3578</v>
      </c>
      <c r="EN90" s="231">
        <v>158354.95000000001</v>
      </c>
      <c r="EO90" s="231">
        <v>95514.19</v>
      </c>
      <c r="EP90" s="231">
        <v>62840.76</v>
      </c>
      <c r="EQ90" s="229">
        <v>0.65790000000000004</v>
      </c>
      <c r="ER90" s="231">
        <v>53104</v>
      </c>
      <c r="ES90" s="231">
        <v>38747</v>
      </c>
      <c r="ET90" s="231">
        <v>141132</v>
      </c>
      <c r="EU90" s="231">
        <v>132129624</v>
      </c>
      <c r="EV90" s="231">
        <v>232983</v>
      </c>
      <c r="EW90" s="231">
        <v>221116</v>
      </c>
      <c r="EX90" s="231">
        <v>11867</v>
      </c>
      <c r="EY90" s="229">
        <v>5.3699999999999998E-2</v>
      </c>
      <c r="EZ90" s="229">
        <v>0.27129999999999999</v>
      </c>
      <c r="FA90" s="227" t="s">
        <v>567</v>
      </c>
      <c r="FB90" s="161">
        <f t="shared" si="1"/>
        <v>798000</v>
      </c>
    </row>
    <row r="91" spans="1:158" ht="17.25" thickBot="1" x14ac:dyDescent="0.3">
      <c r="A91" s="226">
        <v>46086</v>
      </c>
      <c r="B91" s="227" t="s">
        <v>172</v>
      </c>
      <c r="C91" s="227" t="s">
        <v>578</v>
      </c>
      <c r="D91" s="228">
        <v>1000</v>
      </c>
      <c r="E91" s="228">
        <v>950.65</v>
      </c>
      <c r="F91" s="228">
        <v>942.35</v>
      </c>
      <c r="G91" s="228">
        <v>8.3000000000000007</v>
      </c>
      <c r="H91" s="229">
        <v>8.8000000000000005E-3</v>
      </c>
      <c r="I91" s="228">
        <v>951.75</v>
      </c>
      <c r="J91" s="228">
        <v>939</v>
      </c>
      <c r="K91" s="228">
        <v>12.75</v>
      </c>
      <c r="L91" s="229">
        <v>1.3599999999999999E-2</v>
      </c>
      <c r="M91" s="228">
        <v>950.65</v>
      </c>
      <c r="N91" s="228">
        <v>942.35</v>
      </c>
      <c r="O91" s="228">
        <v>8.3000000000000007</v>
      </c>
      <c r="P91" s="229">
        <v>8.8000000000000005E-3</v>
      </c>
      <c r="Q91" s="228">
        <v>953.95</v>
      </c>
      <c r="R91" s="228">
        <v>946.8</v>
      </c>
      <c r="S91" s="228">
        <v>7.15</v>
      </c>
      <c r="T91" s="229">
        <v>7.6E-3</v>
      </c>
      <c r="U91" s="228">
        <v>952</v>
      </c>
      <c r="V91" s="228">
        <v>955</v>
      </c>
      <c r="W91" s="228">
        <v>-3</v>
      </c>
      <c r="X91" s="229">
        <v>-3.0999999999999999E-3</v>
      </c>
      <c r="Y91" s="228">
        <v>-1.1000000000000001</v>
      </c>
      <c r="Z91" s="228">
        <v>3.35</v>
      </c>
      <c r="AA91" s="228">
        <v>-4.45</v>
      </c>
      <c r="AB91" s="229">
        <v>-1.1999999999999999E-3</v>
      </c>
      <c r="AC91" s="228">
        <v>-1.1000000000000001</v>
      </c>
      <c r="AD91" s="228">
        <v>3.35</v>
      </c>
      <c r="AE91" s="228">
        <v>-4.45</v>
      </c>
      <c r="AF91" s="229">
        <v>-1.1999999999999999E-3</v>
      </c>
      <c r="AG91" s="228">
        <v>2.2000000000000002</v>
      </c>
      <c r="AH91" s="228">
        <v>7.8</v>
      </c>
      <c r="AI91" s="228">
        <v>-5.6</v>
      </c>
      <c r="AJ91" s="229">
        <v>2.3E-3</v>
      </c>
      <c r="AK91" s="228">
        <v>0.25</v>
      </c>
      <c r="AL91" s="228">
        <v>16</v>
      </c>
      <c r="AM91" s="228">
        <v>-15.75</v>
      </c>
      <c r="AN91" s="229">
        <v>2.9999999999999997E-4</v>
      </c>
      <c r="AO91" s="228">
        <v>946.93</v>
      </c>
      <c r="AP91" s="228">
        <v>951.07</v>
      </c>
      <c r="AQ91" s="228">
        <v>0</v>
      </c>
      <c r="AR91" s="230">
        <v>3438000</v>
      </c>
      <c r="AS91" s="230">
        <v>5702000</v>
      </c>
      <c r="AT91" s="230">
        <v>-2264000</v>
      </c>
      <c r="AU91" s="229">
        <v>-0.39710000000000001</v>
      </c>
      <c r="AV91" s="230">
        <v>3340000</v>
      </c>
      <c r="AW91" s="230">
        <v>5492000</v>
      </c>
      <c r="AX91" s="230">
        <v>-2152000</v>
      </c>
      <c r="AY91" s="229">
        <v>-0.39179999999999998</v>
      </c>
      <c r="AZ91" s="230">
        <v>86000</v>
      </c>
      <c r="BA91" s="230">
        <v>195000</v>
      </c>
      <c r="BB91" s="230">
        <v>-109000</v>
      </c>
      <c r="BC91" s="229">
        <v>-0.55900000000000005</v>
      </c>
      <c r="BD91" s="230">
        <v>12000</v>
      </c>
      <c r="BE91" s="230">
        <v>15000</v>
      </c>
      <c r="BF91" s="230">
        <v>-3000</v>
      </c>
      <c r="BG91" s="229">
        <v>-0.2</v>
      </c>
      <c r="BH91" s="230">
        <v>4271000</v>
      </c>
      <c r="BI91" s="230">
        <v>9042000</v>
      </c>
      <c r="BJ91" s="230">
        <v>-4771000</v>
      </c>
      <c r="BK91" s="229">
        <v>-0.52759999999999996</v>
      </c>
      <c r="BL91" s="230">
        <v>2465000</v>
      </c>
      <c r="BM91" s="230">
        <v>7411000</v>
      </c>
      <c r="BN91" s="230">
        <v>-4946000</v>
      </c>
      <c r="BO91" s="229">
        <v>-0.66739999999999999</v>
      </c>
      <c r="BP91" s="230">
        <v>10174000</v>
      </c>
      <c r="BQ91" s="230">
        <v>22155000</v>
      </c>
      <c r="BR91" s="230">
        <v>-11981000</v>
      </c>
      <c r="BS91" s="229">
        <v>-0.54079999999999995</v>
      </c>
      <c r="BT91" s="230">
        <v>2227163</v>
      </c>
      <c r="BU91" s="230">
        <v>3067603</v>
      </c>
      <c r="BV91" s="230">
        <v>-840440</v>
      </c>
      <c r="BW91" s="229">
        <v>-0.27400000000000002</v>
      </c>
      <c r="BX91" s="230">
        <v>7224000</v>
      </c>
      <c r="BY91" s="230">
        <v>7401000</v>
      </c>
      <c r="BZ91" s="230">
        <v>-177000</v>
      </c>
      <c r="CA91" s="229">
        <v>-2.3900000000000001E-2</v>
      </c>
      <c r="CB91" s="230">
        <v>7087000</v>
      </c>
      <c r="CC91" s="230">
        <v>7283000</v>
      </c>
      <c r="CD91" s="230">
        <v>-196000</v>
      </c>
      <c r="CE91" s="229">
        <v>-2.69E-2</v>
      </c>
      <c r="CF91" s="230">
        <v>122000</v>
      </c>
      <c r="CG91" s="230">
        <v>106000</v>
      </c>
      <c r="CH91" s="230">
        <v>16000</v>
      </c>
      <c r="CI91" s="229">
        <v>0.15090000000000001</v>
      </c>
      <c r="CJ91" s="230">
        <v>15000</v>
      </c>
      <c r="CK91" s="230">
        <v>12000</v>
      </c>
      <c r="CL91" s="230">
        <v>3000</v>
      </c>
      <c r="CM91" s="229">
        <v>0.25</v>
      </c>
      <c r="CN91" s="230">
        <v>4350000</v>
      </c>
      <c r="CO91" s="230">
        <v>4268000</v>
      </c>
      <c r="CP91" s="230">
        <v>82000</v>
      </c>
      <c r="CQ91" s="229">
        <v>1.9199999999999998E-2</v>
      </c>
      <c r="CR91" s="230">
        <v>2857000</v>
      </c>
      <c r="CS91" s="230">
        <v>2868000</v>
      </c>
      <c r="CT91" s="230">
        <v>-11000</v>
      </c>
      <c r="CU91" s="229">
        <v>-3.8E-3</v>
      </c>
      <c r="CV91" s="230">
        <v>14431000</v>
      </c>
      <c r="CW91" s="230">
        <v>14537000</v>
      </c>
      <c r="CX91" s="230">
        <v>-106000</v>
      </c>
      <c r="CY91" s="229">
        <v>-7.3000000000000001E-3</v>
      </c>
      <c r="CZ91" s="228">
        <v>31.72</v>
      </c>
      <c r="DA91" s="228">
        <v>35.020000000000003</v>
      </c>
      <c r="DB91" s="228">
        <v>-3.3</v>
      </c>
      <c r="DC91" s="228">
        <v>-3.3</v>
      </c>
      <c r="DD91" s="228">
        <v>39.090000000000003</v>
      </c>
      <c r="DE91" s="228">
        <v>39.14</v>
      </c>
      <c r="DF91" s="228">
        <v>-7.37</v>
      </c>
      <c r="DG91" s="228">
        <v>-0.05</v>
      </c>
      <c r="DH91" s="228">
        <v>31.01</v>
      </c>
      <c r="DI91" s="228">
        <v>33.880000000000003</v>
      </c>
      <c r="DJ91" s="228">
        <v>-2.87</v>
      </c>
      <c r="DK91" s="228">
        <v>-2.87</v>
      </c>
      <c r="DL91" s="228">
        <v>32.950000000000003</v>
      </c>
      <c r="DM91" s="228">
        <v>36.409999999999997</v>
      </c>
      <c r="DN91" s="228">
        <v>-3.46</v>
      </c>
      <c r="DO91" s="228">
        <v>-3.46</v>
      </c>
      <c r="DP91" s="228">
        <v>0.66</v>
      </c>
      <c r="DQ91" s="228">
        <v>0.67</v>
      </c>
      <c r="DR91" s="228">
        <v>-0.01</v>
      </c>
      <c r="DS91" s="229">
        <v>-1.49E-2</v>
      </c>
      <c r="DT91" s="231">
        <v>1000</v>
      </c>
      <c r="DU91" s="228">
        <v>900</v>
      </c>
      <c r="DV91" s="228">
        <v>0.57999999999999996</v>
      </c>
      <c r="DW91" s="228">
        <v>0.82</v>
      </c>
      <c r="DX91" s="228">
        <v>-0.24</v>
      </c>
      <c r="DY91" s="229">
        <v>-0.29270000000000002</v>
      </c>
      <c r="DZ91" s="229">
        <v>1.9E-2</v>
      </c>
      <c r="EA91" s="230">
        <v>118000</v>
      </c>
      <c r="EB91" s="229">
        <v>3.5000000000000001E-3</v>
      </c>
      <c r="EC91" s="229">
        <v>1.9E-2</v>
      </c>
      <c r="ED91" s="228">
        <v>4.1399999999999997</v>
      </c>
      <c r="EE91" s="229">
        <v>4.4000000000000003E-3</v>
      </c>
      <c r="EF91" s="230">
        <v>1074808</v>
      </c>
      <c r="EG91" s="230">
        <v>1396987</v>
      </c>
      <c r="EH91" s="229">
        <v>-0.2306</v>
      </c>
      <c r="EI91" s="229">
        <v>0.48259999999999997</v>
      </c>
      <c r="EJ91" s="231">
        <v>43218.38</v>
      </c>
      <c r="EK91" s="231">
        <v>23057.22</v>
      </c>
      <c r="EL91" s="231">
        <v>32559.49</v>
      </c>
      <c r="EM91" s="231">
        <v>3704</v>
      </c>
      <c r="EN91" s="231">
        <v>98835.09</v>
      </c>
      <c r="EO91" s="231">
        <v>214923.01</v>
      </c>
      <c r="EP91" s="231">
        <v>-116087.92</v>
      </c>
      <c r="EQ91" s="229">
        <v>-0.54010000000000002</v>
      </c>
      <c r="ER91" s="231">
        <v>43560</v>
      </c>
      <c r="ES91" s="231">
        <v>26435</v>
      </c>
      <c r="ET91" s="231">
        <v>68679</v>
      </c>
      <c r="EU91" s="231">
        <v>52862157</v>
      </c>
      <c r="EV91" s="231">
        <v>138675</v>
      </c>
      <c r="EW91" s="231">
        <v>139118</v>
      </c>
      <c r="EX91" s="228">
        <v>-443</v>
      </c>
      <c r="EY91" s="229">
        <v>-3.2000000000000002E-3</v>
      </c>
      <c r="EZ91" s="229">
        <v>0.27300000000000002</v>
      </c>
      <c r="FA91" s="227" t="s">
        <v>556</v>
      </c>
      <c r="FB91" s="161">
        <f t="shared" si="1"/>
        <v>137000</v>
      </c>
    </row>
    <row r="92" spans="1:158" ht="17.25" thickBot="1" x14ac:dyDescent="0.3">
      <c r="A92" s="226">
        <v>46086</v>
      </c>
      <c r="B92" s="227" t="s">
        <v>181</v>
      </c>
      <c r="C92" s="227" t="s">
        <v>687</v>
      </c>
      <c r="D92" s="228">
        <v>1</v>
      </c>
      <c r="E92" s="228">
        <v>17.86</v>
      </c>
      <c r="F92" s="228">
        <v>21.14</v>
      </c>
      <c r="G92" s="228">
        <v>-3.28</v>
      </c>
      <c r="H92" s="229">
        <v>-0.15529999999999999</v>
      </c>
      <c r="I92" s="228">
        <v>17.86</v>
      </c>
      <c r="J92" s="228">
        <v>21.14</v>
      </c>
      <c r="K92" s="228">
        <v>-3.28</v>
      </c>
      <c r="L92" s="229">
        <v>-0.15529999999999999</v>
      </c>
      <c r="M92" s="228">
        <v>0</v>
      </c>
      <c r="N92" s="228">
        <v>0</v>
      </c>
      <c r="O92" s="228">
        <v>0</v>
      </c>
      <c r="P92" s="229">
        <v>0</v>
      </c>
      <c r="Q92" s="228">
        <v>0</v>
      </c>
      <c r="R92" s="228">
        <v>0</v>
      </c>
      <c r="S92" s="228">
        <v>0</v>
      </c>
      <c r="T92" s="229">
        <v>0</v>
      </c>
      <c r="U92" s="228">
        <v>0</v>
      </c>
      <c r="V92" s="228">
        <v>0</v>
      </c>
      <c r="W92" s="228">
        <v>0</v>
      </c>
      <c r="X92" s="229">
        <v>0</v>
      </c>
      <c r="Y92" s="228">
        <v>0</v>
      </c>
      <c r="Z92" s="228">
        <v>0</v>
      </c>
      <c r="AA92" s="228">
        <v>0</v>
      </c>
      <c r="AB92" s="229">
        <v>0</v>
      </c>
      <c r="AC92" s="228">
        <v>0</v>
      </c>
      <c r="AD92" s="228">
        <v>0</v>
      </c>
      <c r="AE92" s="228">
        <v>0</v>
      </c>
      <c r="AF92" s="229">
        <v>0</v>
      </c>
      <c r="AG92" s="228">
        <v>0</v>
      </c>
      <c r="AH92" s="228">
        <v>0</v>
      </c>
      <c r="AI92" s="228">
        <v>0</v>
      </c>
      <c r="AJ92" s="229">
        <v>0</v>
      </c>
      <c r="AK92" s="228">
        <v>0</v>
      </c>
      <c r="AL92" s="228">
        <v>0</v>
      </c>
      <c r="AM92" s="228">
        <v>0</v>
      </c>
      <c r="AN92" s="229">
        <v>0</v>
      </c>
      <c r="AO92" s="228">
        <v>0</v>
      </c>
      <c r="AP92" s="228">
        <v>0</v>
      </c>
      <c r="AQ92" s="228">
        <v>0</v>
      </c>
      <c r="AR92" s="228">
        <v>0</v>
      </c>
      <c r="AS92" s="228">
        <v>0</v>
      </c>
      <c r="AT92" s="228">
        <v>0</v>
      </c>
      <c r="AU92" s="229">
        <v>0</v>
      </c>
      <c r="AV92" s="228">
        <v>0</v>
      </c>
      <c r="AW92" s="228">
        <v>0</v>
      </c>
      <c r="AX92" s="228">
        <v>0</v>
      </c>
      <c r="AY92" s="229">
        <v>0</v>
      </c>
      <c r="AZ92" s="228">
        <v>0</v>
      </c>
      <c r="BA92" s="228">
        <v>0</v>
      </c>
      <c r="BB92" s="228">
        <v>0</v>
      </c>
      <c r="BC92" s="229">
        <v>0</v>
      </c>
      <c r="BD92" s="228">
        <v>0</v>
      </c>
      <c r="BE92" s="228">
        <v>0</v>
      </c>
      <c r="BF92" s="228">
        <v>0</v>
      </c>
      <c r="BG92" s="229">
        <v>0</v>
      </c>
      <c r="BH92" s="228">
        <v>0</v>
      </c>
      <c r="BI92" s="228">
        <v>0</v>
      </c>
      <c r="BJ92" s="228">
        <v>0</v>
      </c>
      <c r="BK92" s="229">
        <v>0</v>
      </c>
      <c r="BL92" s="228">
        <v>0</v>
      </c>
      <c r="BM92" s="228">
        <v>0</v>
      </c>
      <c r="BN92" s="228">
        <v>0</v>
      </c>
      <c r="BO92" s="229">
        <v>0</v>
      </c>
      <c r="BP92" s="228">
        <v>0</v>
      </c>
      <c r="BQ92" s="228">
        <v>0</v>
      </c>
      <c r="BR92" s="228">
        <v>0</v>
      </c>
      <c r="BS92" s="229">
        <v>0</v>
      </c>
      <c r="BT92" s="228">
        <v>0</v>
      </c>
      <c r="BU92" s="228">
        <v>0</v>
      </c>
      <c r="BV92" s="228">
        <v>0</v>
      </c>
      <c r="BW92" s="229">
        <v>0</v>
      </c>
      <c r="BX92" s="228">
        <v>0</v>
      </c>
      <c r="BY92" s="228">
        <v>0</v>
      </c>
      <c r="BZ92" s="228">
        <v>0</v>
      </c>
      <c r="CA92" s="229">
        <v>0</v>
      </c>
      <c r="CB92" s="228">
        <v>0</v>
      </c>
      <c r="CC92" s="228">
        <v>0</v>
      </c>
      <c r="CD92" s="228">
        <v>0</v>
      </c>
      <c r="CE92" s="229">
        <v>0</v>
      </c>
      <c r="CF92" s="228">
        <v>0</v>
      </c>
      <c r="CG92" s="228">
        <v>0</v>
      </c>
      <c r="CH92" s="228">
        <v>0</v>
      </c>
      <c r="CI92" s="229">
        <v>0</v>
      </c>
      <c r="CJ92" s="228">
        <v>0</v>
      </c>
      <c r="CK92" s="228">
        <v>0</v>
      </c>
      <c r="CL92" s="228">
        <v>0</v>
      </c>
      <c r="CM92" s="229">
        <v>0</v>
      </c>
      <c r="CN92" s="228">
        <v>0</v>
      </c>
      <c r="CO92" s="228">
        <v>0</v>
      </c>
      <c r="CP92" s="228">
        <v>0</v>
      </c>
      <c r="CQ92" s="229">
        <v>0</v>
      </c>
      <c r="CR92" s="228">
        <v>0</v>
      </c>
      <c r="CS92" s="228">
        <v>0</v>
      </c>
      <c r="CT92" s="228">
        <v>0</v>
      </c>
      <c r="CU92" s="229">
        <v>0</v>
      </c>
      <c r="CV92" s="228">
        <v>0</v>
      </c>
      <c r="CW92" s="228">
        <v>0</v>
      </c>
      <c r="CX92" s="228">
        <v>0</v>
      </c>
      <c r="CY92" s="229">
        <v>0</v>
      </c>
      <c r="CZ92" s="228">
        <v>0</v>
      </c>
      <c r="DA92" s="228">
        <v>0</v>
      </c>
      <c r="DB92" s="228">
        <v>0</v>
      </c>
      <c r="DC92" s="228">
        <v>0</v>
      </c>
      <c r="DD92" s="228">
        <v>0</v>
      </c>
      <c r="DE92" s="228">
        <v>0</v>
      </c>
      <c r="DF92" s="228">
        <v>0</v>
      </c>
      <c r="DG92" s="228">
        <v>0</v>
      </c>
      <c r="DH92" s="228">
        <v>0</v>
      </c>
      <c r="DI92" s="228">
        <v>0</v>
      </c>
      <c r="DJ92" s="228">
        <v>0</v>
      </c>
      <c r="DK92" s="228">
        <v>0</v>
      </c>
      <c r="DL92" s="228">
        <v>0</v>
      </c>
      <c r="DM92" s="228">
        <v>0</v>
      </c>
      <c r="DN92" s="228">
        <v>0</v>
      </c>
      <c r="DO92" s="228">
        <v>0</v>
      </c>
      <c r="DP92" s="228">
        <v>0</v>
      </c>
      <c r="DQ92" s="228">
        <v>0</v>
      </c>
      <c r="DR92" s="228">
        <v>0</v>
      </c>
      <c r="DS92" s="229">
        <v>0</v>
      </c>
      <c r="DT92" s="228">
        <v>0</v>
      </c>
      <c r="DU92" s="228">
        <v>0</v>
      </c>
      <c r="DV92" s="228">
        <v>0</v>
      </c>
      <c r="DW92" s="228">
        <v>0</v>
      </c>
      <c r="DX92" s="228">
        <v>0</v>
      </c>
      <c r="DY92" s="229">
        <v>0</v>
      </c>
      <c r="DZ92" s="229">
        <v>0</v>
      </c>
      <c r="EA92" s="228">
        <v>0</v>
      </c>
      <c r="EB92" s="229">
        <v>0</v>
      </c>
      <c r="EC92" s="229">
        <v>0</v>
      </c>
      <c r="ED92" s="228">
        <v>0</v>
      </c>
      <c r="EE92" s="229">
        <v>0</v>
      </c>
      <c r="EF92" s="228">
        <v>0</v>
      </c>
      <c r="EG92" s="228">
        <v>0</v>
      </c>
      <c r="EH92" s="229">
        <v>0</v>
      </c>
      <c r="EI92" s="229">
        <v>0</v>
      </c>
      <c r="EJ92" s="228">
        <v>0</v>
      </c>
      <c r="EK92" s="228">
        <v>0</v>
      </c>
      <c r="EL92" s="228">
        <v>0</v>
      </c>
      <c r="EM92" s="228">
        <v>0</v>
      </c>
      <c r="EN92" s="228">
        <v>0</v>
      </c>
      <c r="EO92" s="228">
        <v>0</v>
      </c>
      <c r="EP92" s="228">
        <v>0</v>
      </c>
      <c r="EQ92" s="229">
        <v>0</v>
      </c>
      <c r="ER92" s="228">
        <v>0</v>
      </c>
      <c r="ES92" s="228">
        <v>0</v>
      </c>
      <c r="ET92" s="228">
        <v>0</v>
      </c>
      <c r="EU92" s="228">
        <v>0</v>
      </c>
      <c r="EV92" s="228">
        <v>0</v>
      </c>
      <c r="EW92" s="228">
        <v>0</v>
      </c>
      <c r="EX92" s="228">
        <v>0</v>
      </c>
      <c r="EY92" s="229">
        <v>0</v>
      </c>
      <c r="EZ92" s="229">
        <v>0</v>
      </c>
      <c r="FA92" s="227" t="s">
        <v>237</v>
      </c>
      <c r="FB92" s="161">
        <f t="shared" si="1"/>
        <v>0</v>
      </c>
    </row>
    <row r="93" spans="1:158" ht="17.25" thickBot="1" x14ac:dyDescent="0.3">
      <c r="A93" s="226">
        <v>46086</v>
      </c>
      <c r="B93" s="227" t="s">
        <v>215</v>
      </c>
      <c r="C93" s="227" t="s">
        <v>238</v>
      </c>
      <c r="D93" s="228">
        <v>150</v>
      </c>
      <c r="E93" s="231">
        <v>4520.1000000000004</v>
      </c>
      <c r="F93" s="231">
        <v>4412.3</v>
      </c>
      <c r="G93" s="228">
        <v>107.8</v>
      </c>
      <c r="H93" s="229">
        <v>2.4400000000000002E-2</v>
      </c>
      <c r="I93" s="231">
        <v>4512.8</v>
      </c>
      <c r="J93" s="231">
        <v>4392.8999999999996</v>
      </c>
      <c r="K93" s="228">
        <v>119.9</v>
      </c>
      <c r="L93" s="229">
        <v>2.7300000000000001E-2</v>
      </c>
      <c r="M93" s="231">
        <v>4520.1000000000004</v>
      </c>
      <c r="N93" s="231">
        <v>4412.3</v>
      </c>
      <c r="O93" s="228">
        <v>107.8</v>
      </c>
      <c r="P93" s="229">
        <v>2.4400000000000002E-2</v>
      </c>
      <c r="Q93" s="231">
        <v>4548.5</v>
      </c>
      <c r="R93" s="231">
        <v>4436.7</v>
      </c>
      <c r="S93" s="228">
        <v>111.8</v>
      </c>
      <c r="T93" s="229">
        <v>2.52E-2</v>
      </c>
      <c r="U93" s="231">
        <v>4575.2</v>
      </c>
      <c r="V93" s="231">
        <v>4450.5</v>
      </c>
      <c r="W93" s="228">
        <v>124.7</v>
      </c>
      <c r="X93" s="229">
        <v>2.8000000000000001E-2</v>
      </c>
      <c r="Y93" s="228">
        <v>7.3</v>
      </c>
      <c r="Z93" s="228">
        <v>19.399999999999999</v>
      </c>
      <c r="AA93" s="228">
        <v>-12.1</v>
      </c>
      <c r="AB93" s="229">
        <v>1.6000000000000001E-3</v>
      </c>
      <c r="AC93" s="228">
        <v>7.3</v>
      </c>
      <c r="AD93" s="228">
        <v>19.399999999999999</v>
      </c>
      <c r="AE93" s="228">
        <v>-12.1</v>
      </c>
      <c r="AF93" s="229">
        <v>1.6000000000000001E-3</v>
      </c>
      <c r="AG93" s="228">
        <v>35.700000000000003</v>
      </c>
      <c r="AH93" s="228">
        <v>43.8</v>
      </c>
      <c r="AI93" s="228">
        <v>-8.1</v>
      </c>
      <c r="AJ93" s="229">
        <v>7.9000000000000008E-3</v>
      </c>
      <c r="AK93" s="228">
        <v>62.4</v>
      </c>
      <c r="AL93" s="228">
        <v>57.6</v>
      </c>
      <c r="AM93" s="228">
        <v>4.8</v>
      </c>
      <c r="AN93" s="229">
        <v>1.38E-2</v>
      </c>
      <c r="AO93" s="231">
        <v>4449.46</v>
      </c>
      <c r="AP93" s="231">
        <v>4464.37</v>
      </c>
      <c r="AQ93" s="228">
        <v>0</v>
      </c>
      <c r="AR93" s="230">
        <v>4184250</v>
      </c>
      <c r="AS93" s="230">
        <v>3516000</v>
      </c>
      <c r="AT93" s="230">
        <v>668250</v>
      </c>
      <c r="AU93" s="229">
        <v>0.19009999999999999</v>
      </c>
      <c r="AV93" s="230">
        <v>3892350</v>
      </c>
      <c r="AW93" s="230">
        <v>3328050</v>
      </c>
      <c r="AX93" s="230">
        <v>564300</v>
      </c>
      <c r="AY93" s="229">
        <v>0.1696</v>
      </c>
      <c r="AZ93" s="230">
        <v>189600</v>
      </c>
      <c r="BA93" s="230">
        <v>157200</v>
      </c>
      <c r="BB93" s="230">
        <v>32400</v>
      </c>
      <c r="BC93" s="229">
        <v>0.20610000000000001</v>
      </c>
      <c r="BD93" s="230">
        <v>102300</v>
      </c>
      <c r="BE93" s="230">
        <v>30750</v>
      </c>
      <c r="BF93" s="230">
        <v>71550</v>
      </c>
      <c r="BG93" s="229">
        <v>2.3268</v>
      </c>
      <c r="BH93" s="230">
        <v>9627900</v>
      </c>
      <c r="BI93" s="230">
        <v>9599850</v>
      </c>
      <c r="BJ93" s="230">
        <v>28050</v>
      </c>
      <c r="BK93" s="229">
        <v>2.8999999999999998E-3</v>
      </c>
      <c r="BL93" s="230">
        <v>9331350</v>
      </c>
      <c r="BM93" s="230">
        <v>12192000</v>
      </c>
      <c r="BN93" s="230">
        <v>-2860650</v>
      </c>
      <c r="BO93" s="229">
        <v>-0.2346</v>
      </c>
      <c r="BP93" s="230">
        <v>23143500</v>
      </c>
      <c r="BQ93" s="230">
        <v>25307850</v>
      </c>
      <c r="BR93" s="230">
        <v>-2164350</v>
      </c>
      <c r="BS93" s="229">
        <v>-8.5500000000000007E-2</v>
      </c>
      <c r="BT93" s="230">
        <v>2746192</v>
      </c>
      <c r="BU93" s="230">
        <v>3089306</v>
      </c>
      <c r="BV93" s="230">
        <v>-343114</v>
      </c>
      <c r="BW93" s="229">
        <v>-0.1111</v>
      </c>
      <c r="BX93" s="230">
        <v>9210750</v>
      </c>
      <c r="BY93" s="230">
        <v>9353100</v>
      </c>
      <c r="BZ93" s="230">
        <v>-142350</v>
      </c>
      <c r="CA93" s="229">
        <v>-1.52E-2</v>
      </c>
      <c r="CB93" s="230">
        <v>8387400</v>
      </c>
      <c r="CC93" s="230">
        <v>8547000</v>
      </c>
      <c r="CD93" s="230">
        <v>-159600</v>
      </c>
      <c r="CE93" s="229">
        <v>-1.8700000000000001E-2</v>
      </c>
      <c r="CF93" s="230">
        <v>480000</v>
      </c>
      <c r="CG93" s="230">
        <v>465750</v>
      </c>
      <c r="CH93" s="230">
        <v>14250</v>
      </c>
      <c r="CI93" s="229">
        <v>3.0599999999999999E-2</v>
      </c>
      <c r="CJ93" s="230">
        <v>343350</v>
      </c>
      <c r="CK93" s="230">
        <v>340350</v>
      </c>
      <c r="CL93" s="230">
        <v>3000</v>
      </c>
      <c r="CM93" s="229">
        <v>8.8000000000000005E-3</v>
      </c>
      <c r="CN93" s="230">
        <v>5236200</v>
      </c>
      <c r="CO93" s="230">
        <v>4534650</v>
      </c>
      <c r="CP93" s="230">
        <v>701550</v>
      </c>
      <c r="CQ93" s="229">
        <v>0.1547</v>
      </c>
      <c r="CR93" s="230">
        <v>3843150</v>
      </c>
      <c r="CS93" s="230">
        <v>3457500</v>
      </c>
      <c r="CT93" s="230">
        <v>385650</v>
      </c>
      <c r="CU93" s="229">
        <v>0.1115</v>
      </c>
      <c r="CV93" s="230">
        <v>18290100</v>
      </c>
      <c r="CW93" s="230">
        <v>17345250</v>
      </c>
      <c r="CX93" s="230">
        <v>944850</v>
      </c>
      <c r="CY93" s="229">
        <v>5.45E-2</v>
      </c>
      <c r="CZ93" s="228">
        <v>32.729999999999997</v>
      </c>
      <c r="DA93" s="228">
        <v>40.340000000000003</v>
      </c>
      <c r="DB93" s="228">
        <v>-7.61</v>
      </c>
      <c r="DC93" s="228">
        <v>-7.61</v>
      </c>
      <c r="DD93" s="228">
        <v>34.79</v>
      </c>
      <c r="DE93" s="228">
        <v>34.68</v>
      </c>
      <c r="DF93" s="228">
        <v>-2.06</v>
      </c>
      <c r="DG93" s="228">
        <v>0.11</v>
      </c>
      <c r="DH93" s="228">
        <v>29.15</v>
      </c>
      <c r="DI93" s="228">
        <v>35.47</v>
      </c>
      <c r="DJ93" s="228">
        <v>-6.32</v>
      </c>
      <c r="DK93" s="228">
        <v>-6.32</v>
      </c>
      <c r="DL93" s="228">
        <v>36.42</v>
      </c>
      <c r="DM93" s="228">
        <v>44.17</v>
      </c>
      <c r="DN93" s="228">
        <v>-7.75</v>
      </c>
      <c r="DO93" s="228">
        <v>-7.75</v>
      </c>
      <c r="DP93" s="228">
        <v>0.73</v>
      </c>
      <c r="DQ93" s="228">
        <v>0.76</v>
      </c>
      <c r="DR93" s="228">
        <v>-0.03</v>
      </c>
      <c r="DS93" s="229">
        <v>-3.95E-2</v>
      </c>
      <c r="DT93" s="231">
        <v>4600</v>
      </c>
      <c r="DU93" s="231">
        <v>4300</v>
      </c>
      <c r="DV93" s="228">
        <v>0.97</v>
      </c>
      <c r="DW93" s="228">
        <v>1.27</v>
      </c>
      <c r="DX93" s="228">
        <v>-0.3</v>
      </c>
      <c r="DY93" s="229">
        <v>-0.23619999999999999</v>
      </c>
      <c r="DZ93" s="229">
        <v>8.9399999999999993E-2</v>
      </c>
      <c r="EA93" s="230">
        <v>806100</v>
      </c>
      <c r="EB93" s="229">
        <v>6.3E-3</v>
      </c>
      <c r="EC93" s="229">
        <v>8.9399999999999993E-2</v>
      </c>
      <c r="ED93" s="228">
        <v>14.91</v>
      </c>
      <c r="EE93" s="229">
        <v>3.3999999999999998E-3</v>
      </c>
      <c r="EF93" s="230">
        <v>1396084</v>
      </c>
      <c r="EG93" s="230">
        <v>1583284</v>
      </c>
      <c r="EH93" s="229">
        <v>-0.1182</v>
      </c>
      <c r="EI93" s="229">
        <v>0.50839999999999996</v>
      </c>
      <c r="EJ93" s="231">
        <v>455632.4</v>
      </c>
      <c r="EK93" s="231">
        <v>406151.04</v>
      </c>
      <c r="EL93" s="231">
        <v>186191.38</v>
      </c>
      <c r="EM93" s="231">
        <v>17495</v>
      </c>
      <c r="EN93" s="231">
        <v>1047974.82</v>
      </c>
      <c r="EO93" s="231">
        <v>1141964.81</v>
      </c>
      <c r="EP93" s="231">
        <v>-93989.99</v>
      </c>
      <c r="EQ93" s="229">
        <v>-8.2299999999999998E-2</v>
      </c>
      <c r="ER93" s="231">
        <v>249591</v>
      </c>
      <c r="ES93" s="231">
        <v>172432</v>
      </c>
      <c r="ET93" s="231">
        <v>416661</v>
      </c>
      <c r="EU93" s="231">
        <v>33874835</v>
      </c>
      <c r="EV93" s="231">
        <v>838684</v>
      </c>
      <c r="EW93" s="231">
        <v>785761</v>
      </c>
      <c r="EX93" s="231">
        <v>52923</v>
      </c>
      <c r="EY93" s="229">
        <v>6.7400000000000002E-2</v>
      </c>
      <c r="EZ93" s="229">
        <v>0.53990000000000005</v>
      </c>
      <c r="FA93" s="227" t="s">
        <v>556</v>
      </c>
      <c r="FB93" s="161">
        <f t="shared" si="1"/>
        <v>823350</v>
      </c>
    </row>
    <row r="94" spans="1:158" ht="17.25" thickBot="1" x14ac:dyDescent="0.3">
      <c r="A94" s="226">
        <v>46086</v>
      </c>
      <c r="B94" s="227" t="s">
        <v>172</v>
      </c>
      <c r="C94" s="227" t="s">
        <v>239</v>
      </c>
      <c r="D94" s="228">
        <v>700</v>
      </c>
      <c r="E94" s="228">
        <v>940.45</v>
      </c>
      <c r="F94" s="228">
        <v>929.95</v>
      </c>
      <c r="G94" s="228">
        <v>10.5</v>
      </c>
      <c r="H94" s="229">
        <v>1.1299999999999999E-2</v>
      </c>
      <c r="I94" s="228">
        <v>937.2</v>
      </c>
      <c r="J94" s="228">
        <v>927.55</v>
      </c>
      <c r="K94" s="228">
        <v>9.65</v>
      </c>
      <c r="L94" s="229">
        <v>1.04E-2</v>
      </c>
      <c r="M94" s="228">
        <v>940.45</v>
      </c>
      <c r="N94" s="228">
        <v>929.95</v>
      </c>
      <c r="O94" s="228">
        <v>10.5</v>
      </c>
      <c r="P94" s="229">
        <v>1.1299999999999999E-2</v>
      </c>
      <c r="Q94" s="228">
        <v>946.65</v>
      </c>
      <c r="R94" s="228">
        <v>936.15</v>
      </c>
      <c r="S94" s="228">
        <v>10.5</v>
      </c>
      <c r="T94" s="229">
        <v>1.12E-2</v>
      </c>
      <c r="U94" s="228">
        <v>951.7</v>
      </c>
      <c r="V94" s="228">
        <v>940.85</v>
      </c>
      <c r="W94" s="228">
        <v>10.85</v>
      </c>
      <c r="X94" s="229">
        <v>1.15E-2</v>
      </c>
      <c r="Y94" s="228">
        <v>3.25</v>
      </c>
      <c r="Z94" s="228">
        <v>2.4</v>
      </c>
      <c r="AA94" s="228">
        <v>0.85</v>
      </c>
      <c r="AB94" s="229">
        <v>3.5000000000000001E-3</v>
      </c>
      <c r="AC94" s="228">
        <v>3.25</v>
      </c>
      <c r="AD94" s="228">
        <v>2.4</v>
      </c>
      <c r="AE94" s="228">
        <v>0.85</v>
      </c>
      <c r="AF94" s="229">
        <v>3.5000000000000001E-3</v>
      </c>
      <c r="AG94" s="228">
        <v>9.4499999999999993</v>
      </c>
      <c r="AH94" s="228">
        <v>8.6</v>
      </c>
      <c r="AI94" s="228">
        <v>0.85</v>
      </c>
      <c r="AJ94" s="229">
        <v>1.01E-2</v>
      </c>
      <c r="AK94" s="228">
        <v>14.5</v>
      </c>
      <c r="AL94" s="228">
        <v>13.3</v>
      </c>
      <c r="AM94" s="228">
        <v>1.2</v>
      </c>
      <c r="AN94" s="229">
        <v>1.55E-2</v>
      </c>
      <c r="AO94" s="228">
        <v>939.83</v>
      </c>
      <c r="AP94" s="228">
        <v>943.95</v>
      </c>
      <c r="AQ94" s="228">
        <v>0</v>
      </c>
      <c r="AR94" s="230">
        <v>6020700</v>
      </c>
      <c r="AS94" s="230">
        <v>9313500</v>
      </c>
      <c r="AT94" s="230">
        <v>-3292800</v>
      </c>
      <c r="AU94" s="229">
        <v>-0.35360000000000003</v>
      </c>
      <c r="AV94" s="230">
        <v>5616800</v>
      </c>
      <c r="AW94" s="230">
        <v>8892100</v>
      </c>
      <c r="AX94" s="230">
        <v>-3275300</v>
      </c>
      <c r="AY94" s="229">
        <v>-0.36830000000000002</v>
      </c>
      <c r="AZ94" s="230">
        <v>380800</v>
      </c>
      <c r="BA94" s="230">
        <v>303100</v>
      </c>
      <c r="BB94" s="230">
        <v>77700</v>
      </c>
      <c r="BC94" s="229">
        <v>0.25640000000000002</v>
      </c>
      <c r="BD94" s="230">
        <v>23100</v>
      </c>
      <c r="BE94" s="230">
        <v>118300</v>
      </c>
      <c r="BF94" s="230">
        <v>-95200</v>
      </c>
      <c r="BG94" s="229">
        <v>-0.80469999999999997</v>
      </c>
      <c r="BH94" s="230">
        <v>7132300</v>
      </c>
      <c r="BI94" s="230">
        <v>6922300</v>
      </c>
      <c r="BJ94" s="230">
        <v>210000</v>
      </c>
      <c r="BK94" s="229">
        <v>3.0300000000000001E-2</v>
      </c>
      <c r="BL94" s="230">
        <v>5487300</v>
      </c>
      <c r="BM94" s="230">
        <v>5729500</v>
      </c>
      <c r="BN94" s="230">
        <v>-242200</v>
      </c>
      <c r="BO94" s="229">
        <v>-4.2299999999999997E-2</v>
      </c>
      <c r="BP94" s="230">
        <v>18640300</v>
      </c>
      <c r="BQ94" s="230">
        <v>21965300</v>
      </c>
      <c r="BR94" s="230">
        <v>-3325000</v>
      </c>
      <c r="BS94" s="229">
        <v>-0.15140000000000001</v>
      </c>
      <c r="BT94" s="230">
        <v>1997302</v>
      </c>
      <c r="BU94" s="230">
        <v>2594966</v>
      </c>
      <c r="BV94" s="230">
        <v>-597664</v>
      </c>
      <c r="BW94" s="229">
        <v>-0.2303</v>
      </c>
      <c r="BX94" s="230">
        <v>35873600</v>
      </c>
      <c r="BY94" s="230">
        <v>35472500</v>
      </c>
      <c r="BZ94" s="230">
        <v>401100</v>
      </c>
      <c r="CA94" s="229">
        <v>1.1299999999999999E-2</v>
      </c>
      <c r="CB94" s="230">
        <v>34393100</v>
      </c>
      <c r="CC94" s="230">
        <v>34145300</v>
      </c>
      <c r="CD94" s="230">
        <v>247800</v>
      </c>
      <c r="CE94" s="229">
        <v>7.3000000000000001E-3</v>
      </c>
      <c r="CF94" s="230">
        <v>1343300</v>
      </c>
      <c r="CG94" s="230">
        <v>1193500</v>
      </c>
      <c r="CH94" s="230">
        <v>149800</v>
      </c>
      <c r="CI94" s="229">
        <v>0.1255</v>
      </c>
      <c r="CJ94" s="230">
        <v>137200</v>
      </c>
      <c r="CK94" s="230">
        <v>133700</v>
      </c>
      <c r="CL94" s="230">
        <v>3500</v>
      </c>
      <c r="CM94" s="229">
        <v>2.6200000000000001E-2</v>
      </c>
      <c r="CN94" s="230">
        <v>6166300</v>
      </c>
      <c r="CO94" s="230">
        <v>6233500</v>
      </c>
      <c r="CP94" s="230">
        <v>-67200</v>
      </c>
      <c r="CQ94" s="229">
        <v>-1.0800000000000001E-2</v>
      </c>
      <c r="CR94" s="230">
        <v>4247600</v>
      </c>
      <c r="CS94" s="230">
        <v>4367300</v>
      </c>
      <c r="CT94" s="230">
        <v>-119700</v>
      </c>
      <c r="CU94" s="229">
        <v>-2.7400000000000001E-2</v>
      </c>
      <c r="CV94" s="230">
        <v>46287500</v>
      </c>
      <c r="CW94" s="230">
        <v>46073300</v>
      </c>
      <c r="CX94" s="230">
        <v>214200</v>
      </c>
      <c r="CY94" s="229">
        <v>4.5999999999999999E-3</v>
      </c>
      <c r="CZ94" s="228">
        <v>29.05</v>
      </c>
      <c r="DA94" s="228">
        <v>32</v>
      </c>
      <c r="DB94" s="228">
        <v>-2.95</v>
      </c>
      <c r="DC94" s="228">
        <v>-2.95</v>
      </c>
      <c r="DD94" s="228">
        <v>41.09</v>
      </c>
      <c r="DE94" s="228">
        <v>41.17</v>
      </c>
      <c r="DF94" s="228">
        <v>-12.04</v>
      </c>
      <c r="DG94" s="228">
        <v>-0.08</v>
      </c>
      <c r="DH94" s="228">
        <v>28.39</v>
      </c>
      <c r="DI94" s="228">
        <v>31.13</v>
      </c>
      <c r="DJ94" s="228">
        <v>-2.74</v>
      </c>
      <c r="DK94" s="228">
        <v>-2.74</v>
      </c>
      <c r="DL94" s="228">
        <v>29.91</v>
      </c>
      <c r="DM94" s="228">
        <v>33.06</v>
      </c>
      <c r="DN94" s="228">
        <v>-3.15</v>
      </c>
      <c r="DO94" s="228">
        <v>-3.15</v>
      </c>
      <c r="DP94" s="228">
        <v>0.69</v>
      </c>
      <c r="DQ94" s="228">
        <v>0.7</v>
      </c>
      <c r="DR94" s="228">
        <v>-0.01</v>
      </c>
      <c r="DS94" s="229">
        <v>-1.43E-2</v>
      </c>
      <c r="DT94" s="231">
        <v>1000</v>
      </c>
      <c r="DU94" s="228">
        <v>900</v>
      </c>
      <c r="DV94" s="228">
        <v>0.77</v>
      </c>
      <c r="DW94" s="228">
        <v>0.83</v>
      </c>
      <c r="DX94" s="228">
        <v>-0.06</v>
      </c>
      <c r="DY94" s="229">
        <v>-7.2300000000000003E-2</v>
      </c>
      <c r="DZ94" s="229">
        <v>4.1300000000000003E-2</v>
      </c>
      <c r="EA94" s="230">
        <v>1327200</v>
      </c>
      <c r="EB94" s="229">
        <v>6.6E-3</v>
      </c>
      <c r="EC94" s="229">
        <v>4.1300000000000003E-2</v>
      </c>
      <c r="ED94" s="228">
        <v>4.12</v>
      </c>
      <c r="EE94" s="229">
        <v>4.4000000000000003E-3</v>
      </c>
      <c r="EF94" s="230">
        <v>758487</v>
      </c>
      <c r="EG94" s="230">
        <v>1080732</v>
      </c>
      <c r="EH94" s="229">
        <v>-0.29820000000000002</v>
      </c>
      <c r="EI94" s="229">
        <v>0.37980000000000003</v>
      </c>
      <c r="EJ94" s="231">
        <v>70687.39</v>
      </c>
      <c r="EK94" s="231">
        <v>51675.37</v>
      </c>
      <c r="EL94" s="231">
        <v>56602.239999999998</v>
      </c>
      <c r="EM94" s="231">
        <v>12436</v>
      </c>
      <c r="EN94" s="231">
        <v>178965</v>
      </c>
      <c r="EO94" s="231">
        <v>208345.85</v>
      </c>
      <c r="EP94" s="231">
        <v>-29380.85</v>
      </c>
      <c r="EQ94" s="229">
        <v>-0.14099999999999999</v>
      </c>
      <c r="ER94" s="231">
        <v>60444</v>
      </c>
      <c r="ES94" s="231">
        <v>38650</v>
      </c>
      <c r="ET94" s="231">
        <v>337472</v>
      </c>
      <c r="EU94" s="231">
        <v>93808799</v>
      </c>
      <c r="EV94" s="231">
        <v>436566</v>
      </c>
      <c r="EW94" s="231">
        <v>430720</v>
      </c>
      <c r="EX94" s="231">
        <v>5846</v>
      </c>
      <c r="EY94" s="229">
        <v>1.3599999999999999E-2</v>
      </c>
      <c r="EZ94" s="229">
        <v>0.49340000000000001</v>
      </c>
      <c r="FA94" s="227" t="s">
        <v>555</v>
      </c>
      <c r="FB94" s="161">
        <f t="shared" si="1"/>
        <v>1480500</v>
      </c>
    </row>
    <row r="95" spans="1:158" ht="17.25" thickBot="1" x14ac:dyDescent="0.3">
      <c r="A95" s="226">
        <v>46086</v>
      </c>
      <c r="B95" s="227" t="s">
        <v>188</v>
      </c>
      <c r="C95" s="227" t="s">
        <v>473</v>
      </c>
      <c r="D95" s="228">
        <v>1700</v>
      </c>
      <c r="E95" s="228">
        <v>453.6</v>
      </c>
      <c r="F95" s="228">
        <v>443.4</v>
      </c>
      <c r="G95" s="228">
        <v>10.199999999999999</v>
      </c>
      <c r="H95" s="229">
        <v>2.3E-2</v>
      </c>
      <c r="I95" s="228">
        <v>451.4</v>
      </c>
      <c r="J95" s="228">
        <v>442.3</v>
      </c>
      <c r="K95" s="228">
        <v>9.1</v>
      </c>
      <c r="L95" s="229">
        <v>2.06E-2</v>
      </c>
      <c r="M95" s="228">
        <v>453.6</v>
      </c>
      <c r="N95" s="228">
        <v>443.4</v>
      </c>
      <c r="O95" s="228">
        <v>10.199999999999999</v>
      </c>
      <c r="P95" s="229">
        <v>2.3E-2</v>
      </c>
      <c r="Q95" s="228">
        <v>456.1</v>
      </c>
      <c r="R95" s="228">
        <v>446.45</v>
      </c>
      <c r="S95" s="228">
        <v>9.65</v>
      </c>
      <c r="T95" s="229">
        <v>2.1600000000000001E-2</v>
      </c>
      <c r="U95" s="228">
        <v>463.75</v>
      </c>
      <c r="V95" s="228">
        <v>447</v>
      </c>
      <c r="W95" s="228">
        <v>16.75</v>
      </c>
      <c r="X95" s="229">
        <v>3.7499999999999999E-2</v>
      </c>
      <c r="Y95" s="228">
        <v>2.2000000000000002</v>
      </c>
      <c r="Z95" s="228">
        <v>1.1000000000000001</v>
      </c>
      <c r="AA95" s="228">
        <v>1.1000000000000001</v>
      </c>
      <c r="AB95" s="229">
        <v>4.8999999999999998E-3</v>
      </c>
      <c r="AC95" s="228">
        <v>2.2000000000000002</v>
      </c>
      <c r="AD95" s="228">
        <v>1.1000000000000001</v>
      </c>
      <c r="AE95" s="228">
        <v>1.1000000000000001</v>
      </c>
      <c r="AF95" s="229">
        <v>4.8999999999999998E-3</v>
      </c>
      <c r="AG95" s="228">
        <v>4.7</v>
      </c>
      <c r="AH95" s="228">
        <v>4.1500000000000004</v>
      </c>
      <c r="AI95" s="228">
        <v>0.55000000000000004</v>
      </c>
      <c r="AJ95" s="229">
        <v>1.04E-2</v>
      </c>
      <c r="AK95" s="228">
        <v>12.35</v>
      </c>
      <c r="AL95" s="228">
        <v>4.7</v>
      </c>
      <c r="AM95" s="228">
        <v>7.65</v>
      </c>
      <c r="AN95" s="229">
        <v>2.7400000000000001E-2</v>
      </c>
      <c r="AO95" s="228">
        <v>451.94</v>
      </c>
      <c r="AP95" s="228">
        <v>454.76</v>
      </c>
      <c r="AQ95" s="228">
        <v>0</v>
      </c>
      <c r="AR95" s="230">
        <v>7684000</v>
      </c>
      <c r="AS95" s="230">
        <v>8970900</v>
      </c>
      <c r="AT95" s="230">
        <v>-1286900</v>
      </c>
      <c r="AU95" s="229">
        <v>-0.14349999999999999</v>
      </c>
      <c r="AV95" s="230">
        <v>7473200</v>
      </c>
      <c r="AW95" s="230">
        <v>8216100</v>
      </c>
      <c r="AX95" s="230">
        <v>-742900</v>
      </c>
      <c r="AY95" s="229">
        <v>-9.0399999999999994E-2</v>
      </c>
      <c r="AZ95" s="230">
        <v>190400</v>
      </c>
      <c r="BA95" s="230">
        <v>727600</v>
      </c>
      <c r="BB95" s="230">
        <v>-537200</v>
      </c>
      <c r="BC95" s="229">
        <v>-0.73829999999999996</v>
      </c>
      <c r="BD95" s="230">
        <v>20400</v>
      </c>
      <c r="BE95" s="230">
        <v>27200</v>
      </c>
      <c r="BF95" s="230">
        <v>-6800</v>
      </c>
      <c r="BG95" s="229">
        <v>-0.25</v>
      </c>
      <c r="BH95" s="230">
        <v>12416800</v>
      </c>
      <c r="BI95" s="230">
        <v>10752500</v>
      </c>
      <c r="BJ95" s="230">
        <v>1664300</v>
      </c>
      <c r="BK95" s="229">
        <v>0.15479999999999999</v>
      </c>
      <c r="BL95" s="230">
        <v>4872200</v>
      </c>
      <c r="BM95" s="230">
        <v>5140800</v>
      </c>
      <c r="BN95" s="230">
        <v>-268600</v>
      </c>
      <c r="BO95" s="229">
        <v>-5.2200000000000003E-2</v>
      </c>
      <c r="BP95" s="230">
        <v>24973000</v>
      </c>
      <c r="BQ95" s="230">
        <v>24864200</v>
      </c>
      <c r="BR95" s="230">
        <v>108800</v>
      </c>
      <c r="BS95" s="229">
        <v>4.4000000000000003E-3</v>
      </c>
      <c r="BT95" s="230">
        <v>3105031</v>
      </c>
      <c r="BU95" s="230">
        <v>5679353</v>
      </c>
      <c r="BV95" s="230">
        <v>-2574322</v>
      </c>
      <c r="BW95" s="229">
        <v>-0.45329999999999998</v>
      </c>
      <c r="BX95" s="230">
        <v>71400000</v>
      </c>
      <c r="BY95" s="230">
        <v>71301400</v>
      </c>
      <c r="BZ95" s="230">
        <v>98600</v>
      </c>
      <c r="CA95" s="229">
        <v>1.4E-3</v>
      </c>
      <c r="CB95" s="230">
        <v>70465000</v>
      </c>
      <c r="CC95" s="230">
        <v>70390200</v>
      </c>
      <c r="CD95" s="230">
        <v>74800</v>
      </c>
      <c r="CE95" s="229">
        <v>1.1000000000000001E-3</v>
      </c>
      <c r="CF95" s="230">
        <v>897600</v>
      </c>
      <c r="CG95" s="230">
        <v>884000</v>
      </c>
      <c r="CH95" s="230">
        <v>13600</v>
      </c>
      <c r="CI95" s="229">
        <v>1.54E-2</v>
      </c>
      <c r="CJ95" s="230">
        <v>37400</v>
      </c>
      <c r="CK95" s="230">
        <v>27200</v>
      </c>
      <c r="CL95" s="230">
        <v>10200</v>
      </c>
      <c r="CM95" s="229">
        <v>0.375</v>
      </c>
      <c r="CN95" s="230">
        <v>11255700</v>
      </c>
      <c r="CO95" s="230">
        <v>11347500</v>
      </c>
      <c r="CP95" s="230">
        <v>-91800</v>
      </c>
      <c r="CQ95" s="229">
        <v>-8.0999999999999996E-3</v>
      </c>
      <c r="CR95" s="230">
        <v>6086000</v>
      </c>
      <c r="CS95" s="230">
        <v>5587900</v>
      </c>
      <c r="CT95" s="230">
        <v>498100</v>
      </c>
      <c r="CU95" s="229">
        <v>8.9099999999999999E-2</v>
      </c>
      <c r="CV95" s="230">
        <v>88741700</v>
      </c>
      <c r="CW95" s="230">
        <v>88236800</v>
      </c>
      <c r="CX95" s="230">
        <v>504900</v>
      </c>
      <c r="CY95" s="229">
        <v>5.7000000000000002E-3</v>
      </c>
      <c r="CZ95" s="228">
        <v>30.45</v>
      </c>
      <c r="DA95" s="228">
        <v>33.799999999999997</v>
      </c>
      <c r="DB95" s="228">
        <v>-3.35</v>
      </c>
      <c r="DC95" s="228">
        <v>-3.35</v>
      </c>
      <c r="DD95" s="228">
        <v>37</v>
      </c>
      <c r="DE95" s="228">
        <v>36.99</v>
      </c>
      <c r="DF95" s="228">
        <v>-6.55</v>
      </c>
      <c r="DG95" s="228">
        <v>0.01</v>
      </c>
      <c r="DH95" s="228">
        <v>29.62</v>
      </c>
      <c r="DI95" s="228">
        <v>33.28</v>
      </c>
      <c r="DJ95" s="228">
        <v>-3.66</v>
      </c>
      <c r="DK95" s="228">
        <v>-3.66</v>
      </c>
      <c r="DL95" s="228">
        <v>32.56</v>
      </c>
      <c r="DM95" s="228">
        <v>34.9</v>
      </c>
      <c r="DN95" s="228">
        <v>-2.34</v>
      </c>
      <c r="DO95" s="228">
        <v>-2.34</v>
      </c>
      <c r="DP95" s="228">
        <v>0.54</v>
      </c>
      <c r="DQ95" s="228">
        <v>0.49</v>
      </c>
      <c r="DR95" s="228">
        <v>0.05</v>
      </c>
      <c r="DS95" s="229">
        <v>0.10199999999999999</v>
      </c>
      <c r="DT95" s="228">
        <v>500</v>
      </c>
      <c r="DU95" s="228">
        <v>470</v>
      </c>
      <c r="DV95" s="228">
        <v>0.39</v>
      </c>
      <c r="DW95" s="228">
        <v>0.48</v>
      </c>
      <c r="DX95" s="228">
        <v>-0.09</v>
      </c>
      <c r="DY95" s="229">
        <v>-0.1875</v>
      </c>
      <c r="DZ95" s="229">
        <v>1.3100000000000001E-2</v>
      </c>
      <c r="EA95" s="230">
        <v>911200</v>
      </c>
      <c r="EB95" s="229">
        <v>5.4999999999999997E-3</v>
      </c>
      <c r="EC95" s="229">
        <v>1.3100000000000001E-2</v>
      </c>
      <c r="ED95" s="228">
        <v>2.82</v>
      </c>
      <c r="EE95" s="229">
        <v>6.1999999999999998E-3</v>
      </c>
      <c r="EF95" s="230">
        <v>1518488</v>
      </c>
      <c r="EG95" s="230">
        <v>2772951</v>
      </c>
      <c r="EH95" s="229">
        <v>-0.45240000000000002</v>
      </c>
      <c r="EI95" s="229">
        <v>0.48899999999999999</v>
      </c>
      <c r="EJ95" s="231">
        <v>59617.18</v>
      </c>
      <c r="EK95" s="231">
        <v>21388.28</v>
      </c>
      <c r="EL95" s="231">
        <v>34733.67</v>
      </c>
      <c r="EM95" s="231">
        <v>4506</v>
      </c>
      <c r="EN95" s="231">
        <v>115739.13</v>
      </c>
      <c r="EO95" s="231">
        <v>113413.2</v>
      </c>
      <c r="EP95" s="231">
        <v>2325.9299999999998</v>
      </c>
      <c r="EQ95" s="229">
        <v>2.0500000000000001E-2</v>
      </c>
      <c r="ER95" s="231">
        <v>53778</v>
      </c>
      <c r="ES95" s="231">
        <v>27062</v>
      </c>
      <c r="ET95" s="231">
        <v>323897</v>
      </c>
      <c r="EU95" s="231">
        <v>193623116</v>
      </c>
      <c r="EV95" s="231">
        <v>404737</v>
      </c>
      <c r="EW95" s="231">
        <v>395537</v>
      </c>
      <c r="EX95" s="231">
        <v>9200</v>
      </c>
      <c r="EY95" s="229">
        <v>2.3300000000000001E-2</v>
      </c>
      <c r="EZ95" s="229">
        <v>0.45829999999999999</v>
      </c>
      <c r="FA95" s="227" t="s">
        <v>555</v>
      </c>
      <c r="FB95" s="161">
        <f t="shared" si="1"/>
        <v>935000</v>
      </c>
    </row>
    <row r="96" spans="1:158" ht="17.25" thickBot="1" x14ac:dyDescent="0.3">
      <c r="A96" s="226">
        <v>46086</v>
      </c>
      <c r="B96" s="227" t="s">
        <v>221</v>
      </c>
      <c r="C96" s="227" t="s">
        <v>240</v>
      </c>
      <c r="D96" s="228">
        <v>400</v>
      </c>
      <c r="E96" s="231">
        <v>1309.3</v>
      </c>
      <c r="F96" s="231">
        <v>1311.7</v>
      </c>
      <c r="G96" s="228">
        <v>-2.4</v>
      </c>
      <c r="H96" s="229">
        <v>-1.8E-3</v>
      </c>
      <c r="I96" s="231">
        <v>1305.8</v>
      </c>
      <c r="J96" s="231">
        <v>1307.4000000000001</v>
      </c>
      <c r="K96" s="228">
        <v>-1.6</v>
      </c>
      <c r="L96" s="229">
        <v>-1.1999999999999999E-3</v>
      </c>
      <c r="M96" s="231">
        <v>1309.3</v>
      </c>
      <c r="N96" s="231">
        <v>1311.7</v>
      </c>
      <c r="O96" s="228">
        <v>-2.4</v>
      </c>
      <c r="P96" s="229">
        <v>-1.8E-3</v>
      </c>
      <c r="Q96" s="231">
        <v>1313.6</v>
      </c>
      <c r="R96" s="231">
        <v>1316.3</v>
      </c>
      <c r="S96" s="228">
        <v>-2.7</v>
      </c>
      <c r="T96" s="229">
        <v>-2.0999999999999999E-3</v>
      </c>
      <c r="U96" s="231">
        <v>1318</v>
      </c>
      <c r="V96" s="231">
        <v>1320.6</v>
      </c>
      <c r="W96" s="228">
        <v>-2.6</v>
      </c>
      <c r="X96" s="229">
        <v>-2E-3</v>
      </c>
      <c r="Y96" s="228">
        <v>3.5</v>
      </c>
      <c r="Z96" s="228">
        <v>4.3</v>
      </c>
      <c r="AA96" s="228">
        <v>-0.8</v>
      </c>
      <c r="AB96" s="229">
        <v>2.7000000000000001E-3</v>
      </c>
      <c r="AC96" s="228">
        <v>3.5</v>
      </c>
      <c r="AD96" s="228">
        <v>4.3</v>
      </c>
      <c r="AE96" s="228">
        <v>-0.8</v>
      </c>
      <c r="AF96" s="229">
        <v>2.7000000000000001E-3</v>
      </c>
      <c r="AG96" s="228">
        <v>7.8</v>
      </c>
      <c r="AH96" s="228">
        <v>8.9</v>
      </c>
      <c r="AI96" s="228">
        <v>-1.1000000000000001</v>
      </c>
      <c r="AJ96" s="229">
        <v>6.0000000000000001E-3</v>
      </c>
      <c r="AK96" s="228">
        <v>12.2</v>
      </c>
      <c r="AL96" s="228">
        <v>13.2</v>
      </c>
      <c r="AM96" s="228">
        <v>-1</v>
      </c>
      <c r="AN96" s="229">
        <v>9.2999999999999992E-3</v>
      </c>
      <c r="AO96" s="231">
        <v>1304.79</v>
      </c>
      <c r="AP96" s="231">
        <v>1308.8800000000001</v>
      </c>
      <c r="AQ96" s="228">
        <v>0</v>
      </c>
      <c r="AR96" s="230">
        <v>9472800</v>
      </c>
      <c r="AS96" s="230">
        <v>13887600</v>
      </c>
      <c r="AT96" s="230">
        <v>-4414800</v>
      </c>
      <c r="AU96" s="229">
        <v>-0.31790000000000002</v>
      </c>
      <c r="AV96" s="230">
        <v>8962000</v>
      </c>
      <c r="AW96" s="230">
        <v>13060000</v>
      </c>
      <c r="AX96" s="230">
        <v>-4098000</v>
      </c>
      <c r="AY96" s="229">
        <v>-0.31380000000000002</v>
      </c>
      <c r="AZ96" s="230">
        <v>442400</v>
      </c>
      <c r="BA96" s="230">
        <v>698000</v>
      </c>
      <c r="BB96" s="230">
        <v>-255600</v>
      </c>
      <c r="BC96" s="229">
        <v>-0.36620000000000003</v>
      </c>
      <c r="BD96" s="230">
        <v>68400</v>
      </c>
      <c r="BE96" s="230">
        <v>129600</v>
      </c>
      <c r="BF96" s="230">
        <v>-61200</v>
      </c>
      <c r="BG96" s="229">
        <v>-0.47220000000000001</v>
      </c>
      <c r="BH96" s="230">
        <v>25418000</v>
      </c>
      <c r="BI96" s="230">
        <v>45651600</v>
      </c>
      <c r="BJ96" s="230">
        <v>-20233600</v>
      </c>
      <c r="BK96" s="229">
        <v>-0.44319999999999998</v>
      </c>
      <c r="BL96" s="230">
        <v>17529600</v>
      </c>
      <c r="BM96" s="230">
        <v>26334800</v>
      </c>
      <c r="BN96" s="230">
        <v>-8805200</v>
      </c>
      <c r="BO96" s="229">
        <v>-0.33439999999999998</v>
      </c>
      <c r="BP96" s="230">
        <v>52420400</v>
      </c>
      <c r="BQ96" s="230">
        <v>85874000</v>
      </c>
      <c r="BR96" s="230">
        <v>-33453600</v>
      </c>
      <c r="BS96" s="229">
        <v>-0.3896</v>
      </c>
      <c r="BT96" s="230">
        <v>10729143</v>
      </c>
      <c r="BU96" s="230">
        <v>15629654</v>
      </c>
      <c r="BV96" s="230">
        <v>-4900511</v>
      </c>
      <c r="BW96" s="229">
        <v>-0.3135</v>
      </c>
      <c r="BX96" s="230">
        <v>81372800</v>
      </c>
      <c r="BY96" s="230">
        <v>82105600</v>
      </c>
      <c r="BZ96" s="230">
        <v>-732800</v>
      </c>
      <c r="CA96" s="229">
        <v>-8.8999999999999999E-3</v>
      </c>
      <c r="CB96" s="230">
        <v>75771600</v>
      </c>
      <c r="CC96" s="230">
        <v>76567600</v>
      </c>
      <c r="CD96" s="230">
        <v>-796000</v>
      </c>
      <c r="CE96" s="229">
        <v>-1.04E-2</v>
      </c>
      <c r="CF96" s="230">
        <v>4098400</v>
      </c>
      <c r="CG96" s="230">
        <v>4051600</v>
      </c>
      <c r="CH96" s="230">
        <v>46800</v>
      </c>
      <c r="CI96" s="229">
        <v>1.1599999999999999E-2</v>
      </c>
      <c r="CJ96" s="230">
        <v>1502800</v>
      </c>
      <c r="CK96" s="230">
        <v>1486400</v>
      </c>
      <c r="CL96" s="230">
        <v>16400</v>
      </c>
      <c r="CM96" s="229">
        <v>1.0999999999999999E-2</v>
      </c>
      <c r="CN96" s="230">
        <v>37096800</v>
      </c>
      <c r="CO96" s="230">
        <v>36468800</v>
      </c>
      <c r="CP96" s="230">
        <v>628000</v>
      </c>
      <c r="CQ96" s="229">
        <v>1.72E-2</v>
      </c>
      <c r="CR96" s="230">
        <v>20236400</v>
      </c>
      <c r="CS96" s="230">
        <v>20654000</v>
      </c>
      <c r="CT96" s="230">
        <v>-417600</v>
      </c>
      <c r="CU96" s="229">
        <v>-2.0199999999999999E-2</v>
      </c>
      <c r="CV96" s="230">
        <v>138706000</v>
      </c>
      <c r="CW96" s="230">
        <v>139228400</v>
      </c>
      <c r="CX96" s="230">
        <v>-522400</v>
      </c>
      <c r="CY96" s="229">
        <v>-3.8E-3</v>
      </c>
      <c r="CZ96" s="228">
        <v>32.81</v>
      </c>
      <c r="DA96" s="228">
        <v>34.549999999999997</v>
      </c>
      <c r="DB96" s="228">
        <v>-1.74</v>
      </c>
      <c r="DC96" s="228">
        <v>-1.74</v>
      </c>
      <c r="DD96" s="228">
        <v>30.77</v>
      </c>
      <c r="DE96" s="228">
        <v>30.85</v>
      </c>
      <c r="DF96" s="228">
        <v>2.04</v>
      </c>
      <c r="DG96" s="228">
        <v>-0.08</v>
      </c>
      <c r="DH96" s="228">
        <v>31.45</v>
      </c>
      <c r="DI96" s="228">
        <v>32.950000000000003</v>
      </c>
      <c r="DJ96" s="228">
        <v>-1.5</v>
      </c>
      <c r="DK96" s="228">
        <v>-1.5</v>
      </c>
      <c r="DL96" s="228">
        <v>34.770000000000003</v>
      </c>
      <c r="DM96" s="228">
        <v>37.299999999999997</v>
      </c>
      <c r="DN96" s="228">
        <v>-2.5299999999999998</v>
      </c>
      <c r="DO96" s="228">
        <v>-2.5299999999999998</v>
      </c>
      <c r="DP96" s="228">
        <v>0.55000000000000004</v>
      </c>
      <c r="DQ96" s="228">
        <v>0.56999999999999995</v>
      </c>
      <c r="DR96" s="228">
        <v>-0.02</v>
      </c>
      <c r="DS96" s="229">
        <v>-3.5099999999999999E-2</v>
      </c>
      <c r="DT96" s="231">
        <v>1400</v>
      </c>
      <c r="DU96" s="231">
        <v>1280</v>
      </c>
      <c r="DV96" s="228">
        <v>0.69</v>
      </c>
      <c r="DW96" s="228">
        <v>0.57999999999999996</v>
      </c>
      <c r="DX96" s="228">
        <v>0.11</v>
      </c>
      <c r="DY96" s="229">
        <v>0.18970000000000001</v>
      </c>
      <c r="DZ96" s="229">
        <v>6.88E-2</v>
      </c>
      <c r="EA96" s="230">
        <v>5538000</v>
      </c>
      <c r="EB96" s="229">
        <v>3.3E-3</v>
      </c>
      <c r="EC96" s="229">
        <v>6.88E-2</v>
      </c>
      <c r="ED96" s="228">
        <v>4.09</v>
      </c>
      <c r="EE96" s="229">
        <v>3.0999999999999999E-3</v>
      </c>
      <c r="EF96" s="230">
        <v>4905342</v>
      </c>
      <c r="EG96" s="230">
        <v>8023647</v>
      </c>
      <c r="EH96" s="229">
        <v>-0.3886</v>
      </c>
      <c r="EI96" s="229">
        <v>0.4572</v>
      </c>
      <c r="EJ96" s="231">
        <v>358999.95</v>
      </c>
      <c r="EK96" s="231">
        <v>223473.47</v>
      </c>
      <c r="EL96" s="231">
        <v>123623.56</v>
      </c>
      <c r="EM96" s="231">
        <v>36394</v>
      </c>
      <c r="EN96" s="231">
        <v>706096.98</v>
      </c>
      <c r="EO96" s="231">
        <v>1161663.8600000001</v>
      </c>
      <c r="EP96" s="231">
        <v>-455566.88</v>
      </c>
      <c r="EQ96" s="229">
        <v>-0.39219999999999999</v>
      </c>
      <c r="ER96" s="231">
        <v>534511</v>
      </c>
      <c r="ES96" s="231">
        <v>262005</v>
      </c>
      <c r="ET96" s="231">
        <v>1065721</v>
      </c>
      <c r="EU96" s="231">
        <v>368703409</v>
      </c>
      <c r="EV96" s="231">
        <v>1862237</v>
      </c>
      <c r="EW96" s="231">
        <v>1870243</v>
      </c>
      <c r="EX96" s="231">
        <v>-8006</v>
      </c>
      <c r="EY96" s="229">
        <v>-4.3E-3</v>
      </c>
      <c r="EZ96" s="229">
        <v>0.37619999999999998</v>
      </c>
      <c r="FA96" s="227" t="s">
        <v>568</v>
      </c>
      <c r="FB96" s="161">
        <f t="shared" si="1"/>
        <v>5601200</v>
      </c>
    </row>
    <row r="97" spans="1:158" ht="17.25" thickBot="1" x14ac:dyDescent="0.3">
      <c r="A97" s="226">
        <v>46086</v>
      </c>
      <c r="B97" s="227" t="s">
        <v>161</v>
      </c>
      <c r="C97" s="227" t="s">
        <v>668</v>
      </c>
      <c r="D97" s="228">
        <v>3575</v>
      </c>
      <c r="E97" s="228">
        <v>86.57</v>
      </c>
      <c r="F97" s="228">
        <v>86.22</v>
      </c>
      <c r="G97" s="228">
        <v>0.35</v>
      </c>
      <c r="H97" s="229">
        <v>4.1000000000000003E-3</v>
      </c>
      <c r="I97" s="228">
        <v>86.32</v>
      </c>
      <c r="J97" s="228">
        <v>85.85</v>
      </c>
      <c r="K97" s="228">
        <v>0.47</v>
      </c>
      <c r="L97" s="229">
        <v>5.4999999999999997E-3</v>
      </c>
      <c r="M97" s="228">
        <v>86.57</v>
      </c>
      <c r="N97" s="228">
        <v>86.22</v>
      </c>
      <c r="O97" s="228">
        <v>0.35</v>
      </c>
      <c r="P97" s="229">
        <v>4.1000000000000003E-3</v>
      </c>
      <c r="Q97" s="228">
        <v>87.08</v>
      </c>
      <c r="R97" s="228">
        <v>86.73</v>
      </c>
      <c r="S97" s="228">
        <v>0.35</v>
      </c>
      <c r="T97" s="229">
        <v>4.0000000000000001E-3</v>
      </c>
      <c r="U97" s="228">
        <v>87.46</v>
      </c>
      <c r="V97" s="228">
        <v>87.19</v>
      </c>
      <c r="W97" s="228">
        <v>0.27</v>
      </c>
      <c r="X97" s="229">
        <v>3.0999999999999999E-3</v>
      </c>
      <c r="Y97" s="228">
        <v>0.25</v>
      </c>
      <c r="Z97" s="228">
        <v>0.37</v>
      </c>
      <c r="AA97" s="228">
        <v>-0.12</v>
      </c>
      <c r="AB97" s="229">
        <v>2.8999999999999998E-3</v>
      </c>
      <c r="AC97" s="228">
        <v>0.25</v>
      </c>
      <c r="AD97" s="228">
        <v>0.37</v>
      </c>
      <c r="AE97" s="228">
        <v>-0.12</v>
      </c>
      <c r="AF97" s="229">
        <v>2.8999999999999998E-3</v>
      </c>
      <c r="AG97" s="228">
        <v>0.76</v>
      </c>
      <c r="AH97" s="228">
        <v>0.88</v>
      </c>
      <c r="AI97" s="228">
        <v>-0.12</v>
      </c>
      <c r="AJ97" s="229">
        <v>8.8000000000000005E-3</v>
      </c>
      <c r="AK97" s="228">
        <v>1.1399999999999999</v>
      </c>
      <c r="AL97" s="228">
        <v>1.34</v>
      </c>
      <c r="AM97" s="228">
        <v>-0.2</v>
      </c>
      <c r="AN97" s="229">
        <v>1.32E-2</v>
      </c>
      <c r="AO97" s="228">
        <v>85.41</v>
      </c>
      <c r="AP97" s="228">
        <v>85.91</v>
      </c>
      <c r="AQ97" s="228">
        <v>0</v>
      </c>
      <c r="AR97" s="230">
        <v>18232500</v>
      </c>
      <c r="AS97" s="230">
        <v>14382225</v>
      </c>
      <c r="AT97" s="230">
        <v>3850275</v>
      </c>
      <c r="AU97" s="229">
        <v>0.26769999999999999</v>
      </c>
      <c r="AV97" s="230">
        <v>16566550</v>
      </c>
      <c r="AW97" s="230">
        <v>12866425</v>
      </c>
      <c r="AX97" s="230">
        <v>3700125</v>
      </c>
      <c r="AY97" s="229">
        <v>0.28760000000000002</v>
      </c>
      <c r="AZ97" s="230">
        <v>1547975</v>
      </c>
      <c r="BA97" s="230">
        <v>1333475</v>
      </c>
      <c r="BB97" s="230">
        <v>214500</v>
      </c>
      <c r="BC97" s="229">
        <v>0.16089999999999999</v>
      </c>
      <c r="BD97" s="230">
        <v>117975</v>
      </c>
      <c r="BE97" s="230">
        <v>182325</v>
      </c>
      <c r="BF97" s="230">
        <v>-64350</v>
      </c>
      <c r="BG97" s="229">
        <v>-0.35289999999999999</v>
      </c>
      <c r="BH97" s="230">
        <v>37970075</v>
      </c>
      <c r="BI97" s="230">
        <v>23788050</v>
      </c>
      <c r="BJ97" s="230">
        <v>14182025</v>
      </c>
      <c r="BK97" s="229">
        <v>0.59619999999999995</v>
      </c>
      <c r="BL97" s="230">
        <v>20906600</v>
      </c>
      <c r="BM97" s="230">
        <v>11400675</v>
      </c>
      <c r="BN97" s="230">
        <v>9505925</v>
      </c>
      <c r="BO97" s="229">
        <v>0.83379999999999999</v>
      </c>
      <c r="BP97" s="230">
        <v>77109175</v>
      </c>
      <c r="BQ97" s="230">
        <v>49570950</v>
      </c>
      <c r="BR97" s="230">
        <v>27538225</v>
      </c>
      <c r="BS97" s="229">
        <v>0.55549999999999999</v>
      </c>
      <c r="BT97" s="230">
        <v>11378411</v>
      </c>
      <c r="BU97" s="230">
        <v>10509571</v>
      </c>
      <c r="BV97" s="230">
        <v>868840</v>
      </c>
      <c r="BW97" s="229">
        <v>8.2699999999999996E-2</v>
      </c>
      <c r="BX97" s="230">
        <v>103088700</v>
      </c>
      <c r="BY97" s="230">
        <v>104908375</v>
      </c>
      <c r="BZ97" s="230">
        <v>-1819675</v>
      </c>
      <c r="CA97" s="229">
        <v>-1.7299999999999999E-2</v>
      </c>
      <c r="CB97" s="230">
        <v>98652125</v>
      </c>
      <c r="CC97" s="230">
        <v>100632675</v>
      </c>
      <c r="CD97" s="230">
        <v>-1980550</v>
      </c>
      <c r="CE97" s="229">
        <v>-1.9699999999999999E-2</v>
      </c>
      <c r="CF97" s="230">
        <v>3989700</v>
      </c>
      <c r="CG97" s="230">
        <v>3832400</v>
      </c>
      <c r="CH97" s="230">
        <v>157300</v>
      </c>
      <c r="CI97" s="229">
        <v>4.1000000000000002E-2</v>
      </c>
      <c r="CJ97" s="230">
        <v>446875</v>
      </c>
      <c r="CK97" s="230">
        <v>443300</v>
      </c>
      <c r="CL97" s="230">
        <v>3575</v>
      </c>
      <c r="CM97" s="229">
        <v>8.0999999999999996E-3</v>
      </c>
      <c r="CN97" s="230">
        <v>32171425</v>
      </c>
      <c r="CO97" s="230">
        <v>29858400</v>
      </c>
      <c r="CP97" s="230">
        <v>2313025</v>
      </c>
      <c r="CQ97" s="229">
        <v>7.7499999999999999E-2</v>
      </c>
      <c r="CR97" s="230">
        <v>23920325</v>
      </c>
      <c r="CS97" s="230">
        <v>21328450</v>
      </c>
      <c r="CT97" s="230">
        <v>2591875</v>
      </c>
      <c r="CU97" s="229">
        <v>0.1215</v>
      </c>
      <c r="CV97" s="230">
        <v>159180450</v>
      </c>
      <c r="CW97" s="230">
        <v>156095225</v>
      </c>
      <c r="CX97" s="230">
        <v>3085225</v>
      </c>
      <c r="CY97" s="229">
        <v>1.9800000000000002E-2</v>
      </c>
      <c r="CZ97" s="228">
        <v>44.2</v>
      </c>
      <c r="DA97" s="228">
        <v>48.93</v>
      </c>
      <c r="DB97" s="228">
        <v>-4.7300000000000004</v>
      </c>
      <c r="DC97" s="228">
        <v>-4.7300000000000004</v>
      </c>
      <c r="DD97" s="228">
        <v>51.06</v>
      </c>
      <c r="DE97" s="228">
        <v>51.18</v>
      </c>
      <c r="DF97" s="228">
        <v>-6.86</v>
      </c>
      <c r="DG97" s="228">
        <v>-0.12</v>
      </c>
      <c r="DH97" s="228">
        <v>43.4</v>
      </c>
      <c r="DI97" s="228">
        <v>48.61</v>
      </c>
      <c r="DJ97" s="228">
        <v>-5.21</v>
      </c>
      <c r="DK97" s="228">
        <v>-5.21</v>
      </c>
      <c r="DL97" s="228">
        <v>45.66</v>
      </c>
      <c r="DM97" s="228">
        <v>49.59</v>
      </c>
      <c r="DN97" s="228">
        <v>-3.93</v>
      </c>
      <c r="DO97" s="228">
        <v>-3.93</v>
      </c>
      <c r="DP97" s="228">
        <v>0.74</v>
      </c>
      <c r="DQ97" s="228">
        <v>0.71</v>
      </c>
      <c r="DR97" s="228">
        <v>0.03</v>
      </c>
      <c r="DS97" s="229">
        <v>4.2299999999999997E-2</v>
      </c>
      <c r="DT97" s="228">
        <v>100</v>
      </c>
      <c r="DU97" s="228">
        <v>85</v>
      </c>
      <c r="DV97" s="228">
        <v>0.55000000000000004</v>
      </c>
      <c r="DW97" s="228">
        <v>0.48</v>
      </c>
      <c r="DX97" s="228">
        <v>7.0000000000000007E-2</v>
      </c>
      <c r="DY97" s="229">
        <v>0.14580000000000001</v>
      </c>
      <c r="DZ97" s="229">
        <v>4.2999999999999997E-2</v>
      </c>
      <c r="EA97" s="230">
        <v>4275700</v>
      </c>
      <c r="EB97" s="229">
        <v>5.8999999999999999E-3</v>
      </c>
      <c r="EC97" s="229">
        <v>4.2999999999999997E-2</v>
      </c>
      <c r="ED97" s="228">
        <v>0.5</v>
      </c>
      <c r="EE97" s="229">
        <v>5.8999999999999999E-3</v>
      </c>
      <c r="EF97" s="230">
        <v>3735975</v>
      </c>
      <c r="EG97" s="230">
        <v>3674344</v>
      </c>
      <c r="EH97" s="229">
        <v>1.6799999999999999E-2</v>
      </c>
      <c r="EI97" s="229">
        <v>0.32829999999999998</v>
      </c>
      <c r="EJ97" s="231">
        <v>35951.35</v>
      </c>
      <c r="EK97" s="231">
        <v>18702.55</v>
      </c>
      <c r="EL97" s="231">
        <v>15580.96</v>
      </c>
      <c r="EM97" s="231">
        <v>3473</v>
      </c>
      <c r="EN97" s="231">
        <v>70234.86</v>
      </c>
      <c r="EO97" s="231">
        <v>45640.33</v>
      </c>
      <c r="EP97" s="231">
        <v>24594.53</v>
      </c>
      <c r="EQ97" s="229">
        <v>0.53890000000000005</v>
      </c>
      <c r="ER97" s="231">
        <v>32214</v>
      </c>
      <c r="ES97" s="231">
        <v>23235</v>
      </c>
      <c r="ET97" s="231">
        <v>89268</v>
      </c>
      <c r="EU97" s="231">
        <v>144708707</v>
      </c>
      <c r="EV97" s="231">
        <v>144717</v>
      </c>
      <c r="EW97" s="231">
        <v>141877</v>
      </c>
      <c r="EX97" s="231">
        <v>2840</v>
      </c>
      <c r="EY97" s="229">
        <v>0.02</v>
      </c>
      <c r="EZ97" s="229">
        <v>1.1000000000000001</v>
      </c>
      <c r="FA97" s="227" t="s">
        <v>556</v>
      </c>
      <c r="FB97" s="161">
        <f t="shared" si="1"/>
        <v>4436575</v>
      </c>
    </row>
    <row r="98" spans="1:158" ht="17.25" thickBot="1" x14ac:dyDescent="0.3">
      <c r="A98" s="226">
        <v>46086</v>
      </c>
      <c r="B98" s="227" t="s">
        <v>193</v>
      </c>
      <c r="C98" s="227" t="s">
        <v>241</v>
      </c>
      <c r="D98" s="228">
        <v>4875</v>
      </c>
      <c r="E98" s="228">
        <v>170.99</v>
      </c>
      <c r="F98" s="228">
        <v>169.77</v>
      </c>
      <c r="G98" s="228">
        <v>1.22</v>
      </c>
      <c r="H98" s="229">
        <v>7.1999999999999998E-3</v>
      </c>
      <c r="I98" s="228">
        <v>171.54</v>
      </c>
      <c r="J98" s="228">
        <v>170.44</v>
      </c>
      <c r="K98" s="228">
        <v>1.1000000000000001</v>
      </c>
      <c r="L98" s="229">
        <v>6.4999999999999997E-3</v>
      </c>
      <c r="M98" s="228">
        <v>170.99</v>
      </c>
      <c r="N98" s="228">
        <v>169.77</v>
      </c>
      <c r="O98" s="228">
        <v>1.22</v>
      </c>
      <c r="P98" s="229">
        <v>7.1999999999999998E-3</v>
      </c>
      <c r="Q98" s="228">
        <v>171.87</v>
      </c>
      <c r="R98" s="228">
        <v>170.66</v>
      </c>
      <c r="S98" s="228">
        <v>1.21</v>
      </c>
      <c r="T98" s="229">
        <v>7.1000000000000004E-3</v>
      </c>
      <c r="U98" s="228">
        <v>172.44</v>
      </c>
      <c r="V98" s="228">
        <v>171.86</v>
      </c>
      <c r="W98" s="228">
        <v>0.57999999999999996</v>
      </c>
      <c r="X98" s="229">
        <v>3.3999999999999998E-3</v>
      </c>
      <c r="Y98" s="228">
        <v>-0.55000000000000004</v>
      </c>
      <c r="Z98" s="228">
        <v>-0.67</v>
      </c>
      <c r="AA98" s="228">
        <v>0.12</v>
      </c>
      <c r="AB98" s="229">
        <v>-3.2000000000000002E-3</v>
      </c>
      <c r="AC98" s="228">
        <v>-0.55000000000000004</v>
      </c>
      <c r="AD98" s="228">
        <v>-0.67</v>
      </c>
      <c r="AE98" s="228">
        <v>0.12</v>
      </c>
      <c r="AF98" s="229">
        <v>-3.2000000000000002E-3</v>
      </c>
      <c r="AG98" s="228">
        <v>0.33</v>
      </c>
      <c r="AH98" s="228">
        <v>0.22</v>
      </c>
      <c r="AI98" s="228">
        <v>0.11</v>
      </c>
      <c r="AJ98" s="229">
        <v>1.9E-3</v>
      </c>
      <c r="AK98" s="228">
        <v>0.9</v>
      </c>
      <c r="AL98" s="228">
        <v>1.42</v>
      </c>
      <c r="AM98" s="228">
        <v>-0.52</v>
      </c>
      <c r="AN98" s="229">
        <v>5.1999999999999998E-3</v>
      </c>
      <c r="AO98" s="228">
        <v>170.97</v>
      </c>
      <c r="AP98" s="228">
        <v>172.08</v>
      </c>
      <c r="AQ98" s="228">
        <v>0</v>
      </c>
      <c r="AR98" s="230">
        <v>58870500</v>
      </c>
      <c r="AS98" s="230">
        <v>30317625</v>
      </c>
      <c r="AT98" s="230">
        <v>28552875</v>
      </c>
      <c r="AU98" s="229">
        <v>0.94179999999999997</v>
      </c>
      <c r="AV98" s="230">
        <v>54892500</v>
      </c>
      <c r="AW98" s="230">
        <v>27948375</v>
      </c>
      <c r="AX98" s="230">
        <v>26944125</v>
      </c>
      <c r="AY98" s="229">
        <v>0.96409999999999996</v>
      </c>
      <c r="AZ98" s="230">
        <v>3149250</v>
      </c>
      <c r="BA98" s="230">
        <v>1764750</v>
      </c>
      <c r="BB98" s="230">
        <v>1384500</v>
      </c>
      <c r="BC98" s="229">
        <v>0.78449999999999998</v>
      </c>
      <c r="BD98" s="230">
        <v>828750</v>
      </c>
      <c r="BE98" s="230">
        <v>604500</v>
      </c>
      <c r="BF98" s="230">
        <v>224250</v>
      </c>
      <c r="BG98" s="229">
        <v>0.371</v>
      </c>
      <c r="BH98" s="230">
        <v>101882625</v>
      </c>
      <c r="BI98" s="230">
        <v>58017375</v>
      </c>
      <c r="BJ98" s="230">
        <v>43865250</v>
      </c>
      <c r="BK98" s="229">
        <v>0.75609999999999999</v>
      </c>
      <c r="BL98" s="230">
        <v>98358000</v>
      </c>
      <c r="BM98" s="230">
        <v>108878250</v>
      </c>
      <c r="BN98" s="230">
        <v>-10520250</v>
      </c>
      <c r="BO98" s="229">
        <v>-9.6600000000000005E-2</v>
      </c>
      <c r="BP98" s="230">
        <v>259111125</v>
      </c>
      <c r="BQ98" s="230">
        <v>197213250</v>
      </c>
      <c r="BR98" s="230">
        <v>61897875</v>
      </c>
      <c r="BS98" s="229">
        <v>0.31390000000000001</v>
      </c>
      <c r="BT98" s="230">
        <v>34090099</v>
      </c>
      <c r="BU98" s="230">
        <v>29485743</v>
      </c>
      <c r="BV98" s="230">
        <v>4604356</v>
      </c>
      <c r="BW98" s="229">
        <v>0.15620000000000001</v>
      </c>
      <c r="BX98" s="230">
        <v>95164875</v>
      </c>
      <c r="BY98" s="230">
        <v>88520250</v>
      </c>
      <c r="BZ98" s="230">
        <v>6644625</v>
      </c>
      <c r="CA98" s="229">
        <v>7.51E-2</v>
      </c>
      <c r="CB98" s="230">
        <v>92064375</v>
      </c>
      <c r="CC98" s="230">
        <v>85863375</v>
      </c>
      <c r="CD98" s="230">
        <v>6201000</v>
      </c>
      <c r="CE98" s="229">
        <v>7.22E-2</v>
      </c>
      <c r="CF98" s="230">
        <v>2335125</v>
      </c>
      <c r="CG98" s="230">
        <v>1925625</v>
      </c>
      <c r="CH98" s="230">
        <v>409500</v>
      </c>
      <c r="CI98" s="229">
        <v>0.2127</v>
      </c>
      <c r="CJ98" s="230">
        <v>765375</v>
      </c>
      <c r="CK98" s="230">
        <v>731250</v>
      </c>
      <c r="CL98" s="230">
        <v>34125</v>
      </c>
      <c r="CM98" s="229">
        <v>4.6699999999999998E-2</v>
      </c>
      <c r="CN98" s="230">
        <v>51402000</v>
      </c>
      <c r="CO98" s="230">
        <v>42987750</v>
      </c>
      <c r="CP98" s="230">
        <v>8414250</v>
      </c>
      <c r="CQ98" s="229">
        <v>0.19570000000000001</v>
      </c>
      <c r="CR98" s="230">
        <v>42987750</v>
      </c>
      <c r="CS98" s="230">
        <v>41676375</v>
      </c>
      <c r="CT98" s="230">
        <v>1311375</v>
      </c>
      <c r="CU98" s="229">
        <v>3.15E-2</v>
      </c>
      <c r="CV98" s="230">
        <v>189554625</v>
      </c>
      <c r="CW98" s="230">
        <v>173184375</v>
      </c>
      <c r="CX98" s="230">
        <v>16370250</v>
      </c>
      <c r="CY98" s="229">
        <v>9.4500000000000001E-2</v>
      </c>
      <c r="CZ98" s="228">
        <v>32.619999999999997</v>
      </c>
      <c r="DA98" s="228">
        <v>37.28</v>
      </c>
      <c r="DB98" s="228">
        <v>-4.66</v>
      </c>
      <c r="DC98" s="228">
        <v>-4.66</v>
      </c>
      <c r="DD98" s="228">
        <v>31.71</v>
      </c>
      <c r="DE98" s="228">
        <v>31.77</v>
      </c>
      <c r="DF98" s="228">
        <v>0.91</v>
      </c>
      <c r="DG98" s="228">
        <v>-0.06</v>
      </c>
      <c r="DH98" s="228">
        <v>31.55</v>
      </c>
      <c r="DI98" s="228">
        <v>34.5</v>
      </c>
      <c r="DJ98" s="228">
        <v>-2.95</v>
      </c>
      <c r="DK98" s="228">
        <v>-2.95</v>
      </c>
      <c r="DL98" s="228">
        <v>33.729999999999997</v>
      </c>
      <c r="DM98" s="228">
        <v>38.76</v>
      </c>
      <c r="DN98" s="228">
        <v>-5.03</v>
      </c>
      <c r="DO98" s="228">
        <v>-5.03</v>
      </c>
      <c r="DP98" s="228">
        <v>0.84</v>
      </c>
      <c r="DQ98" s="228">
        <v>0.97</v>
      </c>
      <c r="DR98" s="228">
        <v>-0.13</v>
      </c>
      <c r="DS98" s="229">
        <v>-0.13400000000000001</v>
      </c>
      <c r="DT98" s="228">
        <v>180</v>
      </c>
      <c r="DU98" s="228">
        <v>170</v>
      </c>
      <c r="DV98" s="228">
        <v>0.97</v>
      </c>
      <c r="DW98" s="228">
        <v>1.88</v>
      </c>
      <c r="DX98" s="228">
        <v>-0.91</v>
      </c>
      <c r="DY98" s="229">
        <v>-0.48399999999999999</v>
      </c>
      <c r="DZ98" s="229">
        <v>3.2599999999999997E-2</v>
      </c>
      <c r="EA98" s="230">
        <v>2656875</v>
      </c>
      <c r="EB98" s="229">
        <v>5.1000000000000004E-3</v>
      </c>
      <c r="EC98" s="229">
        <v>3.2599999999999997E-2</v>
      </c>
      <c r="ED98" s="228">
        <v>1.1100000000000001</v>
      </c>
      <c r="EE98" s="229">
        <v>6.4999999999999997E-3</v>
      </c>
      <c r="EF98" s="230">
        <v>13896328</v>
      </c>
      <c r="EG98" s="230">
        <v>14386180</v>
      </c>
      <c r="EH98" s="229">
        <v>-3.4099999999999998E-2</v>
      </c>
      <c r="EI98" s="229">
        <v>0.40760000000000002</v>
      </c>
      <c r="EJ98" s="231">
        <v>186230.15</v>
      </c>
      <c r="EK98" s="231">
        <v>165557</v>
      </c>
      <c r="EL98" s="231">
        <v>100707.59</v>
      </c>
      <c r="EM98" s="231">
        <v>5704</v>
      </c>
      <c r="EN98" s="231">
        <v>452494.74</v>
      </c>
      <c r="EO98" s="231">
        <v>345907.05</v>
      </c>
      <c r="EP98" s="231">
        <v>106587.69</v>
      </c>
      <c r="EQ98" s="229">
        <v>0.30809999999999998</v>
      </c>
      <c r="ER98" s="231">
        <v>94255</v>
      </c>
      <c r="ES98" s="231">
        <v>72745</v>
      </c>
      <c r="ET98" s="231">
        <v>162754</v>
      </c>
      <c r="EU98" s="231">
        <v>684903861</v>
      </c>
      <c r="EV98" s="231">
        <v>329755</v>
      </c>
      <c r="EW98" s="231">
        <v>300335</v>
      </c>
      <c r="EX98" s="231">
        <v>29420</v>
      </c>
      <c r="EY98" s="229">
        <v>9.8000000000000004E-2</v>
      </c>
      <c r="EZ98" s="229">
        <v>0.27679999999999999</v>
      </c>
      <c r="FA98" s="227" t="s">
        <v>555</v>
      </c>
      <c r="FB98" s="161">
        <f t="shared" si="1"/>
        <v>3100500</v>
      </c>
    </row>
    <row r="99" spans="1:158" ht="17.25" thickBot="1" x14ac:dyDescent="0.3">
      <c r="A99" s="226">
        <v>46086</v>
      </c>
      <c r="B99" s="227" t="s">
        <v>175</v>
      </c>
      <c r="C99" s="227" t="s">
        <v>664</v>
      </c>
      <c r="D99" s="228">
        <v>3450</v>
      </c>
      <c r="E99" s="228">
        <v>115.85</v>
      </c>
      <c r="F99" s="228">
        <v>113.61</v>
      </c>
      <c r="G99" s="228">
        <v>2.2400000000000002</v>
      </c>
      <c r="H99" s="229">
        <v>1.9699999999999999E-2</v>
      </c>
      <c r="I99" s="228">
        <v>115.65</v>
      </c>
      <c r="J99" s="228">
        <v>113.52</v>
      </c>
      <c r="K99" s="228">
        <v>2.13</v>
      </c>
      <c r="L99" s="229">
        <v>1.8800000000000001E-2</v>
      </c>
      <c r="M99" s="228">
        <v>115.85</v>
      </c>
      <c r="N99" s="228">
        <v>113.61</v>
      </c>
      <c r="O99" s="228">
        <v>2.2400000000000002</v>
      </c>
      <c r="P99" s="229">
        <v>1.9699999999999999E-2</v>
      </c>
      <c r="Q99" s="228">
        <v>115.39</v>
      </c>
      <c r="R99" s="228">
        <v>113.14</v>
      </c>
      <c r="S99" s="228">
        <v>2.25</v>
      </c>
      <c r="T99" s="229">
        <v>1.9900000000000001E-2</v>
      </c>
      <c r="U99" s="228">
        <v>115.13</v>
      </c>
      <c r="V99" s="228">
        <v>112.74</v>
      </c>
      <c r="W99" s="228">
        <v>2.39</v>
      </c>
      <c r="X99" s="229">
        <v>2.12E-2</v>
      </c>
      <c r="Y99" s="228">
        <v>0.2</v>
      </c>
      <c r="Z99" s="228">
        <v>0.09</v>
      </c>
      <c r="AA99" s="228">
        <v>0.11</v>
      </c>
      <c r="AB99" s="229">
        <v>1.6999999999999999E-3</v>
      </c>
      <c r="AC99" s="228">
        <v>0.2</v>
      </c>
      <c r="AD99" s="228">
        <v>0.09</v>
      </c>
      <c r="AE99" s="228">
        <v>0.11</v>
      </c>
      <c r="AF99" s="229">
        <v>1.6999999999999999E-3</v>
      </c>
      <c r="AG99" s="228">
        <v>-0.26</v>
      </c>
      <c r="AH99" s="228">
        <v>-0.38</v>
      </c>
      <c r="AI99" s="228">
        <v>0.12</v>
      </c>
      <c r="AJ99" s="229">
        <v>-2.2000000000000001E-3</v>
      </c>
      <c r="AK99" s="228">
        <v>-0.52</v>
      </c>
      <c r="AL99" s="228">
        <v>-0.78</v>
      </c>
      <c r="AM99" s="228">
        <v>0.26</v>
      </c>
      <c r="AN99" s="229">
        <v>-4.4999999999999997E-3</v>
      </c>
      <c r="AO99" s="228">
        <v>114.2</v>
      </c>
      <c r="AP99" s="228">
        <v>113.86</v>
      </c>
      <c r="AQ99" s="228">
        <v>0</v>
      </c>
      <c r="AR99" s="230">
        <v>11319450</v>
      </c>
      <c r="AS99" s="230">
        <v>12858150</v>
      </c>
      <c r="AT99" s="230">
        <v>-1538700</v>
      </c>
      <c r="AU99" s="229">
        <v>-0.1197</v>
      </c>
      <c r="AV99" s="230">
        <v>9660000</v>
      </c>
      <c r="AW99" s="230">
        <v>11178000</v>
      </c>
      <c r="AX99" s="230">
        <v>-1518000</v>
      </c>
      <c r="AY99" s="229">
        <v>-0.1358</v>
      </c>
      <c r="AZ99" s="230">
        <v>1428300</v>
      </c>
      <c r="BA99" s="230">
        <v>1559400</v>
      </c>
      <c r="BB99" s="230">
        <v>-131100</v>
      </c>
      <c r="BC99" s="229">
        <v>-8.4099999999999994E-2</v>
      </c>
      <c r="BD99" s="230">
        <v>231150</v>
      </c>
      <c r="BE99" s="230">
        <v>120750</v>
      </c>
      <c r="BF99" s="230">
        <v>110400</v>
      </c>
      <c r="BG99" s="229">
        <v>0.9143</v>
      </c>
      <c r="BH99" s="230">
        <v>15359400</v>
      </c>
      <c r="BI99" s="230">
        <v>18195300</v>
      </c>
      <c r="BJ99" s="230">
        <v>-2835900</v>
      </c>
      <c r="BK99" s="229">
        <v>-0.15590000000000001</v>
      </c>
      <c r="BL99" s="230">
        <v>5216400</v>
      </c>
      <c r="BM99" s="230">
        <v>8369700</v>
      </c>
      <c r="BN99" s="230">
        <v>-3153300</v>
      </c>
      <c r="BO99" s="229">
        <v>-0.37680000000000002</v>
      </c>
      <c r="BP99" s="230">
        <v>31895250</v>
      </c>
      <c r="BQ99" s="230">
        <v>39423150</v>
      </c>
      <c r="BR99" s="230">
        <v>-7527900</v>
      </c>
      <c r="BS99" s="229">
        <v>-0.191</v>
      </c>
      <c r="BT99" s="230">
        <v>10062248</v>
      </c>
      <c r="BU99" s="230">
        <v>12223285</v>
      </c>
      <c r="BV99" s="230">
        <v>-2161037</v>
      </c>
      <c r="BW99" s="229">
        <v>-0.17680000000000001</v>
      </c>
      <c r="BX99" s="230">
        <v>64908300</v>
      </c>
      <c r="BY99" s="230">
        <v>65101500</v>
      </c>
      <c r="BZ99" s="230">
        <v>-193200</v>
      </c>
      <c r="CA99" s="229">
        <v>-3.0000000000000001E-3</v>
      </c>
      <c r="CB99" s="230">
        <v>57973800</v>
      </c>
      <c r="CC99" s="230">
        <v>58242900</v>
      </c>
      <c r="CD99" s="230">
        <v>-269100</v>
      </c>
      <c r="CE99" s="229">
        <v>-4.5999999999999999E-3</v>
      </c>
      <c r="CF99" s="230">
        <v>6185850</v>
      </c>
      <c r="CG99" s="230">
        <v>6182400</v>
      </c>
      <c r="CH99" s="230">
        <v>3450</v>
      </c>
      <c r="CI99" s="229">
        <v>5.9999999999999995E-4</v>
      </c>
      <c r="CJ99" s="230">
        <v>748650</v>
      </c>
      <c r="CK99" s="230">
        <v>676200</v>
      </c>
      <c r="CL99" s="230">
        <v>72450</v>
      </c>
      <c r="CM99" s="229">
        <v>0.1071</v>
      </c>
      <c r="CN99" s="230">
        <v>29218050</v>
      </c>
      <c r="CO99" s="230">
        <v>28231350</v>
      </c>
      <c r="CP99" s="230">
        <v>986700</v>
      </c>
      <c r="CQ99" s="229">
        <v>3.5000000000000003E-2</v>
      </c>
      <c r="CR99" s="230">
        <v>19809900</v>
      </c>
      <c r="CS99" s="230">
        <v>19744350</v>
      </c>
      <c r="CT99" s="230">
        <v>65550</v>
      </c>
      <c r="CU99" s="229">
        <v>3.3E-3</v>
      </c>
      <c r="CV99" s="230">
        <v>113936250</v>
      </c>
      <c r="CW99" s="230">
        <v>113077200</v>
      </c>
      <c r="CX99" s="230">
        <v>859050</v>
      </c>
      <c r="CY99" s="229">
        <v>7.6E-3</v>
      </c>
      <c r="CZ99" s="228">
        <v>37.159999999999997</v>
      </c>
      <c r="DA99" s="228">
        <v>43.24</v>
      </c>
      <c r="DB99" s="228">
        <v>-6.08</v>
      </c>
      <c r="DC99" s="228">
        <v>-6.08</v>
      </c>
      <c r="DD99" s="228">
        <v>47.75</v>
      </c>
      <c r="DE99" s="228">
        <v>47.79</v>
      </c>
      <c r="DF99" s="228">
        <v>-10.59</v>
      </c>
      <c r="DG99" s="228">
        <v>-0.04</v>
      </c>
      <c r="DH99" s="228">
        <v>36.96</v>
      </c>
      <c r="DI99" s="228">
        <v>43.79</v>
      </c>
      <c r="DJ99" s="228">
        <v>-6.83</v>
      </c>
      <c r="DK99" s="228">
        <v>-6.83</v>
      </c>
      <c r="DL99" s="228">
        <v>37.74</v>
      </c>
      <c r="DM99" s="228">
        <v>42.05</v>
      </c>
      <c r="DN99" s="228">
        <v>-4.3099999999999996</v>
      </c>
      <c r="DO99" s="228">
        <v>-4.3099999999999996</v>
      </c>
      <c r="DP99" s="228">
        <v>0.68</v>
      </c>
      <c r="DQ99" s="228">
        <v>0.7</v>
      </c>
      <c r="DR99" s="228">
        <v>-0.02</v>
      </c>
      <c r="DS99" s="229">
        <v>-2.86E-2</v>
      </c>
      <c r="DT99" s="228">
        <v>130</v>
      </c>
      <c r="DU99" s="228">
        <v>120</v>
      </c>
      <c r="DV99" s="228">
        <v>0.34</v>
      </c>
      <c r="DW99" s="228">
        <v>0.46</v>
      </c>
      <c r="DX99" s="228">
        <v>-0.12</v>
      </c>
      <c r="DY99" s="229">
        <v>-0.26090000000000002</v>
      </c>
      <c r="DZ99" s="229">
        <v>0.10680000000000001</v>
      </c>
      <c r="EA99" s="230">
        <v>6858600</v>
      </c>
      <c r="EB99" s="229">
        <v>-4.0000000000000001E-3</v>
      </c>
      <c r="EC99" s="229">
        <v>0.10680000000000001</v>
      </c>
      <c r="ED99" s="228">
        <v>-0.34</v>
      </c>
      <c r="EE99" s="229">
        <v>-3.0000000000000001E-3</v>
      </c>
      <c r="EF99" s="230">
        <v>3199635</v>
      </c>
      <c r="EG99" s="230">
        <v>4739584</v>
      </c>
      <c r="EH99" s="229">
        <v>-0.32490000000000002</v>
      </c>
      <c r="EI99" s="229">
        <v>0.318</v>
      </c>
      <c r="EJ99" s="231">
        <v>19133.55</v>
      </c>
      <c r="EK99" s="231">
        <v>6028.23</v>
      </c>
      <c r="EL99" s="231">
        <v>12921.07</v>
      </c>
      <c r="EM99" s="231">
        <v>3357</v>
      </c>
      <c r="EN99" s="231">
        <v>38082.85</v>
      </c>
      <c r="EO99" s="231">
        <v>48038.29</v>
      </c>
      <c r="EP99" s="231">
        <v>-9955.44</v>
      </c>
      <c r="EQ99" s="229">
        <v>-0.2072</v>
      </c>
      <c r="ER99" s="231">
        <v>37590</v>
      </c>
      <c r="ES99" s="231">
        <v>24157</v>
      </c>
      <c r="ET99" s="231">
        <v>75162</v>
      </c>
      <c r="EU99" s="231">
        <v>119011160</v>
      </c>
      <c r="EV99" s="231">
        <v>136910</v>
      </c>
      <c r="EW99" s="231">
        <v>134353</v>
      </c>
      <c r="EX99" s="231">
        <v>2557</v>
      </c>
      <c r="EY99" s="229">
        <v>1.9E-2</v>
      </c>
      <c r="EZ99" s="229">
        <v>0.95740000000000003</v>
      </c>
      <c r="FA99" s="227" t="s">
        <v>556</v>
      </c>
      <c r="FB99" s="161">
        <f t="shared" si="1"/>
        <v>6934500</v>
      </c>
    </row>
    <row r="100" spans="1:158" ht="17.25" thickBot="1" x14ac:dyDescent="0.3">
      <c r="A100" s="226">
        <v>46086</v>
      </c>
      <c r="B100" s="227" t="s">
        <v>215</v>
      </c>
      <c r="C100" s="227" t="s">
        <v>592</v>
      </c>
      <c r="D100" s="228">
        <v>4250</v>
      </c>
      <c r="E100" s="228">
        <v>98.04</v>
      </c>
      <c r="F100" s="228">
        <v>96.83</v>
      </c>
      <c r="G100" s="228">
        <v>1.21</v>
      </c>
      <c r="H100" s="229">
        <v>1.2500000000000001E-2</v>
      </c>
      <c r="I100" s="228">
        <v>98.85</v>
      </c>
      <c r="J100" s="228">
        <v>97.74</v>
      </c>
      <c r="K100" s="228">
        <v>1.1100000000000001</v>
      </c>
      <c r="L100" s="229">
        <v>1.14E-2</v>
      </c>
      <c r="M100" s="228">
        <v>98.04</v>
      </c>
      <c r="N100" s="228">
        <v>96.83</v>
      </c>
      <c r="O100" s="228">
        <v>1.21</v>
      </c>
      <c r="P100" s="229">
        <v>1.2500000000000001E-2</v>
      </c>
      <c r="Q100" s="228">
        <v>98.16</v>
      </c>
      <c r="R100" s="228">
        <v>96.87</v>
      </c>
      <c r="S100" s="228">
        <v>1.29</v>
      </c>
      <c r="T100" s="229">
        <v>1.3299999999999999E-2</v>
      </c>
      <c r="U100" s="228">
        <v>98.18</v>
      </c>
      <c r="V100" s="228">
        <v>97.16</v>
      </c>
      <c r="W100" s="228">
        <v>1.02</v>
      </c>
      <c r="X100" s="229">
        <v>1.0500000000000001E-2</v>
      </c>
      <c r="Y100" s="228">
        <v>-0.81</v>
      </c>
      <c r="Z100" s="228">
        <v>-0.91</v>
      </c>
      <c r="AA100" s="228">
        <v>0.1</v>
      </c>
      <c r="AB100" s="229">
        <v>-8.2000000000000007E-3</v>
      </c>
      <c r="AC100" s="228">
        <v>-0.81</v>
      </c>
      <c r="AD100" s="228">
        <v>-0.91</v>
      </c>
      <c r="AE100" s="228">
        <v>0.1</v>
      </c>
      <c r="AF100" s="229">
        <v>-8.2000000000000007E-3</v>
      </c>
      <c r="AG100" s="228">
        <v>-0.69</v>
      </c>
      <c r="AH100" s="228">
        <v>-0.87</v>
      </c>
      <c r="AI100" s="228">
        <v>0.18</v>
      </c>
      <c r="AJ100" s="229">
        <v>-7.0000000000000001E-3</v>
      </c>
      <c r="AK100" s="228">
        <v>-0.67</v>
      </c>
      <c r="AL100" s="228">
        <v>-0.57999999999999996</v>
      </c>
      <c r="AM100" s="228">
        <v>-0.09</v>
      </c>
      <c r="AN100" s="229">
        <v>-6.7999999999999996E-3</v>
      </c>
      <c r="AO100" s="228">
        <v>97.03</v>
      </c>
      <c r="AP100" s="228">
        <v>97.12</v>
      </c>
      <c r="AQ100" s="228">
        <v>0</v>
      </c>
      <c r="AR100" s="230">
        <v>15610250</v>
      </c>
      <c r="AS100" s="230">
        <v>22848000</v>
      </c>
      <c r="AT100" s="230">
        <v>-7237750</v>
      </c>
      <c r="AU100" s="229">
        <v>-0.31680000000000003</v>
      </c>
      <c r="AV100" s="230">
        <v>12733000</v>
      </c>
      <c r="AW100" s="230">
        <v>20642250</v>
      </c>
      <c r="AX100" s="230">
        <v>-7909250</v>
      </c>
      <c r="AY100" s="229">
        <v>-0.38319999999999999</v>
      </c>
      <c r="AZ100" s="230">
        <v>2329000</v>
      </c>
      <c r="BA100" s="230">
        <v>1797750</v>
      </c>
      <c r="BB100" s="230">
        <v>531250</v>
      </c>
      <c r="BC100" s="229">
        <v>0.29549999999999998</v>
      </c>
      <c r="BD100" s="230">
        <v>548250</v>
      </c>
      <c r="BE100" s="230">
        <v>408000</v>
      </c>
      <c r="BF100" s="230">
        <v>140250</v>
      </c>
      <c r="BG100" s="229">
        <v>0.34379999999999999</v>
      </c>
      <c r="BH100" s="230">
        <v>51110500</v>
      </c>
      <c r="BI100" s="230">
        <v>60197000</v>
      </c>
      <c r="BJ100" s="230">
        <v>-9086500</v>
      </c>
      <c r="BK100" s="229">
        <v>-0.15090000000000001</v>
      </c>
      <c r="BL100" s="230">
        <v>14620000</v>
      </c>
      <c r="BM100" s="230">
        <v>26690000</v>
      </c>
      <c r="BN100" s="230">
        <v>-12070000</v>
      </c>
      <c r="BO100" s="229">
        <v>-0.45219999999999999</v>
      </c>
      <c r="BP100" s="230">
        <v>81340750</v>
      </c>
      <c r="BQ100" s="230">
        <v>109735000</v>
      </c>
      <c r="BR100" s="230">
        <v>-28394250</v>
      </c>
      <c r="BS100" s="229">
        <v>-0.25879999999999997</v>
      </c>
      <c r="BT100" s="230">
        <v>18488854</v>
      </c>
      <c r="BU100" s="230">
        <v>36427971</v>
      </c>
      <c r="BV100" s="230">
        <v>-17939117</v>
      </c>
      <c r="BW100" s="229">
        <v>-0.49249999999999999</v>
      </c>
      <c r="BX100" s="230">
        <v>76491500</v>
      </c>
      <c r="BY100" s="230">
        <v>75909250</v>
      </c>
      <c r="BZ100" s="230">
        <v>582250</v>
      </c>
      <c r="CA100" s="229">
        <v>7.7000000000000002E-3</v>
      </c>
      <c r="CB100" s="230">
        <v>65195000</v>
      </c>
      <c r="CC100" s="230">
        <v>65050500</v>
      </c>
      <c r="CD100" s="230">
        <v>144500</v>
      </c>
      <c r="CE100" s="229">
        <v>2.2000000000000001E-3</v>
      </c>
      <c r="CF100" s="230">
        <v>9817500</v>
      </c>
      <c r="CG100" s="230">
        <v>9575250</v>
      </c>
      <c r="CH100" s="230">
        <v>242250</v>
      </c>
      <c r="CI100" s="229">
        <v>2.53E-2</v>
      </c>
      <c r="CJ100" s="230">
        <v>1479000</v>
      </c>
      <c r="CK100" s="230">
        <v>1283500</v>
      </c>
      <c r="CL100" s="230">
        <v>195500</v>
      </c>
      <c r="CM100" s="229">
        <v>0.15229999999999999</v>
      </c>
      <c r="CN100" s="230">
        <v>76440500</v>
      </c>
      <c r="CO100" s="230">
        <v>74940250</v>
      </c>
      <c r="CP100" s="230">
        <v>1500250</v>
      </c>
      <c r="CQ100" s="229">
        <v>0.02</v>
      </c>
      <c r="CR100" s="230">
        <v>42559500</v>
      </c>
      <c r="CS100" s="230">
        <v>42134500</v>
      </c>
      <c r="CT100" s="230">
        <v>425000</v>
      </c>
      <c r="CU100" s="229">
        <v>1.01E-2</v>
      </c>
      <c r="CV100" s="230">
        <v>195491500</v>
      </c>
      <c r="CW100" s="230">
        <v>192984000</v>
      </c>
      <c r="CX100" s="230">
        <v>2507500</v>
      </c>
      <c r="CY100" s="229">
        <v>1.2999999999999999E-2</v>
      </c>
      <c r="CZ100" s="228">
        <v>34.61</v>
      </c>
      <c r="DA100" s="228">
        <v>37.43</v>
      </c>
      <c r="DB100" s="228">
        <v>-2.82</v>
      </c>
      <c r="DC100" s="228">
        <v>-2.82</v>
      </c>
      <c r="DD100" s="228">
        <v>44.75</v>
      </c>
      <c r="DE100" s="228">
        <v>44.83</v>
      </c>
      <c r="DF100" s="228">
        <v>-10.14</v>
      </c>
      <c r="DG100" s="228">
        <v>-0.08</v>
      </c>
      <c r="DH100" s="228">
        <v>34.590000000000003</v>
      </c>
      <c r="DI100" s="228">
        <v>37.29</v>
      </c>
      <c r="DJ100" s="228">
        <v>-2.7</v>
      </c>
      <c r="DK100" s="228">
        <v>-2.7</v>
      </c>
      <c r="DL100" s="228">
        <v>34.700000000000003</v>
      </c>
      <c r="DM100" s="228">
        <v>37.74</v>
      </c>
      <c r="DN100" s="228">
        <v>-3.04</v>
      </c>
      <c r="DO100" s="228">
        <v>-3.04</v>
      </c>
      <c r="DP100" s="228">
        <v>0.56000000000000005</v>
      </c>
      <c r="DQ100" s="228">
        <v>0.56000000000000005</v>
      </c>
      <c r="DR100" s="228">
        <v>0</v>
      </c>
      <c r="DS100" s="229">
        <v>0</v>
      </c>
      <c r="DT100" s="228">
        <v>110</v>
      </c>
      <c r="DU100" s="228">
        <v>100</v>
      </c>
      <c r="DV100" s="228">
        <v>0.28999999999999998</v>
      </c>
      <c r="DW100" s="228">
        <v>0.44</v>
      </c>
      <c r="DX100" s="228">
        <v>-0.15</v>
      </c>
      <c r="DY100" s="229">
        <v>-0.34089999999999998</v>
      </c>
      <c r="DZ100" s="229">
        <v>0.1477</v>
      </c>
      <c r="EA100" s="230">
        <v>10858750</v>
      </c>
      <c r="EB100" s="229">
        <v>1.1999999999999999E-3</v>
      </c>
      <c r="EC100" s="229">
        <v>0.1477</v>
      </c>
      <c r="ED100" s="228">
        <v>0.09</v>
      </c>
      <c r="EE100" s="229">
        <v>8.9999999999999998E-4</v>
      </c>
      <c r="EF100" s="230">
        <v>5586616</v>
      </c>
      <c r="EG100" s="230">
        <v>16898755</v>
      </c>
      <c r="EH100" s="229">
        <v>-0.6694</v>
      </c>
      <c r="EI100" s="229">
        <v>0.30220000000000002</v>
      </c>
      <c r="EJ100" s="231">
        <v>53840.07</v>
      </c>
      <c r="EK100" s="231">
        <v>14097.68</v>
      </c>
      <c r="EL100" s="231">
        <v>15149</v>
      </c>
      <c r="EM100" s="231">
        <v>5014</v>
      </c>
      <c r="EN100" s="231">
        <v>83086.75</v>
      </c>
      <c r="EO100" s="231">
        <v>111552.53</v>
      </c>
      <c r="EP100" s="231">
        <v>-28465.78</v>
      </c>
      <c r="EQ100" s="229">
        <v>-0.25519999999999998</v>
      </c>
      <c r="ER100" s="231">
        <v>84565</v>
      </c>
      <c r="ES100" s="231">
        <v>43909</v>
      </c>
      <c r="ET100" s="231">
        <v>75006</v>
      </c>
      <c r="EU100" s="231">
        <v>200960551</v>
      </c>
      <c r="EV100" s="231">
        <v>203480</v>
      </c>
      <c r="EW100" s="231">
        <v>200319</v>
      </c>
      <c r="EX100" s="231">
        <v>3161</v>
      </c>
      <c r="EY100" s="229">
        <v>1.5800000000000002E-2</v>
      </c>
      <c r="EZ100" s="229">
        <v>0.9728</v>
      </c>
      <c r="FA100" s="227" t="s">
        <v>555</v>
      </c>
      <c r="FB100" s="161">
        <f t="shared" si="1"/>
        <v>11296500</v>
      </c>
    </row>
    <row r="101" spans="1:158" ht="17.25" thickBot="1" x14ac:dyDescent="0.3">
      <c r="A101" s="226">
        <v>46086</v>
      </c>
      <c r="B101" s="227" t="s">
        <v>168</v>
      </c>
      <c r="C101" s="227" t="s">
        <v>242</v>
      </c>
      <c r="D101" s="228">
        <v>1600</v>
      </c>
      <c r="E101" s="228">
        <v>312.89999999999998</v>
      </c>
      <c r="F101" s="228">
        <v>312.60000000000002</v>
      </c>
      <c r="G101" s="228">
        <v>0.3</v>
      </c>
      <c r="H101" s="229">
        <v>1E-3</v>
      </c>
      <c r="I101" s="228">
        <v>311.5</v>
      </c>
      <c r="J101" s="228">
        <v>311.95</v>
      </c>
      <c r="K101" s="228">
        <v>-0.45</v>
      </c>
      <c r="L101" s="229">
        <v>-1.4E-3</v>
      </c>
      <c r="M101" s="228">
        <v>312.89999999999998</v>
      </c>
      <c r="N101" s="228">
        <v>312.60000000000002</v>
      </c>
      <c r="O101" s="228">
        <v>0.3</v>
      </c>
      <c r="P101" s="229">
        <v>1E-3</v>
      </c>
      <c r="Q101" s="228">
        <v>314.85000000000002</v>
      </c>
      <c r="R101" s="228">
        <v>314.7</v>
      </c>
      <c r="S101" s="228">
        <v>0.15</v>
      </c>
      <c r="T101" s="229">
        <v>5.0000000000000001E-4</v>
      </c>
      <c r="U101" s="228">
        <v>316.35000000000002</v>
      </c>
      <c r="V101" s="228">
        <v>316.25</v>
      </c>
      <c r="W101" s="228">
        <v>0.1</v>
      </c>
      <c r="X101" s="229">
        <v>2.9999999999999997E-4</v>
      </c>
      <c r="Y101" s="228">
        <v>1.4</v>
      </c>
      <c r="Z101" s="228">
        <v>0.65</v>
      </c>
      <c r="AA101" s="228">
        <v>0.75</v>
      </c>
      <c r="AB101" s="229">
        <v>4.4999999999999997E-3</v>
      </c>
      <c r="AC101" s="228">
        <v>1.4</v>
      </c>
      <c r="AD101" s="228">
        <v>0.65</v>
      </c>
      <c r="AE101" s="228">
        <v>0.75</v>
      </c>
      <c r="AF101" s="229">
        <v>4.4999999999999997E-3</v>
      </c>
      <c r="AG101" s="228">
        <v>3.35</v>
      </c>
      <c r="AH101" s="228">
        <v>2.75</v>
      </c>
      <c r="AI101" s="228">
        <v>0.6</v>
      </c>
      <c r="AJ101" s="229">
        <v>1.0800000000000001E-2</v>
      </c>
      <c r="AK101" s="228">
        <v>4.8499999999999996</v>
      </c>
      <c r="AL101" s="228">
        <v>4.3</v>
      </c>
      <c r="AM101" s="228">
        <v>0.55000000000000004</v>
      </c>
      <c r="AN101" s="229">
        <v>1.5599999999999999E-2</v>
      </c>
      <c r="AO101" s="228">
        <v>311.74</v>
      </c>
      <c r="AP101" s="228">
        <v>313.57</v>
      </c>
      <c r="AQ101" s="228">
        <v>0</v>
      </c>
      <c r="AR101" s="230">
        <v>15182400</v>
      </c>
      <c r="AS101" s="230">
        <v>17659200</v>
      </c>
      <c r="AT101" s="230">
        <v>-2476800</v>
      </c>
      <c r="AU101" s="229">
        <v>-0.14030000000000001</v>
      </c>
      <c r="AV101" s="230">
        <v>13315200</v>
      </c>
      <c r="AW101" s="230">
        <v>16368000</v>
      </c>
      <c r="AX101" s="230">
        <v>-3052800</v>
      </c>
      <c r="AY101" s="229">
        <v>-0.1865</v>
      </c>
      <c r="AZ101" s="230">
        <v>1585600</v>
      </c>
      <c r="BA101" s="230">
        <v>1062400</v>
      </c>
      <c r="BB101" s="230">
        <v>523200</v>
      </c>
      <c r="BC101" s="229">
        <v>0.49249999999999999</v>
      </c>
      <c r="BD101" s="230">
        <v>281600</v>
      </c>
      <c r="BE101" s="230">
        <v>228800</v>
      </c>
      <c r="BF101" s="230">
        <v>52800</v>
      </c>
      <c r="BG101" s="229">
        <v>0.23080000000000001</v>
      </c>
      <c r="BH101" s="230">
        <v>98966400</v>
      </c>
      <c r="BI101" s="230">
        <v>89710400</v>
      </c>
      <c r="BJ101" s="230">
        <v>9256000</v>
      </c>
      <c r="BK101" s="229">
        <v>0.1032</v>
      </c>
      <c r="BL101" s="230">
        <v>28454400</v>
      </c>
      <c r="BM101" s="230">
        <v>38230400</v>
      </c>
      <c r="BN101" s="230">
        <v>-9776000</v>
      </c>
      <c r="BO101" s="229">
        <v>-0.25569999999999998</v>
      </c>
      <c r="BP101" s="230">
        <v>142603200</v>
      </c>
      <c r="BQ101" s="230">
        <v>145600000</v>
      </c>
      <c r="BR101" s="230">
        <v>-2996800</v>
      </c>
      <c r="BS101" s="229">
        <v>-2.06E-2</v>
      </c>
      <c r="BT101" s="230">
        <v>20911201</v>
      </c>
      <c r="BU101" s="230">
        <v>25786267</v>
      </c>
      <c r="BV101" s="230">
        <v>-4875066</v>
      </c>
      <c r="BW101" s="229">
        <v>-0.18909999999999999</v>
      </c>
      <c r="BX101" s="230">
        <v>167980800</v>
      </c>
      <c r="BY101" s="230">
        <v>168883200</v>
      </c>
      <c r="BZ101" s="230">
        <v>-902400</v>
      </c>
      <c r="CA101" s="229">
        <v>-5.3E-3</v>
      </c>
      <c r="CB101" s="230">
        <v>157585600</v>
      </c>
      <c r="CC101" s="230">
        <v>159222400</v>
      </c>
      <c r="CD101" s="230">
        <v>-1636800</v>
      </c>
      <c r="CE101" s="229">
        <v>-1.03E-2</v>
      </c>
      <c r="CF101" s="230">
        <v>9508800</v>
      </c>
      <c r="CG101" s="230">
        <v>8899200</v>
      </c>
      <c r="CH101" s="230">
        <v>609600</v>
      </c>
      <c r="CI101" s="229">
        <v>6.8500000000000005E-2</v>
      </c>
      <c r="CJ101" s="230">
        <v>886400</v>
      </c>
      <c r="CK101" s="230">
        <v>761600</v>
      </c>
      <c r="CL101" s="230">
        <v>124800</v>
      </c>
      <c r="CM101" s="229">
        <v>0.16389999999999999</v>
      </c>
      <c r="CN101" s="230">
        <v>111120000</v>
      </c>
      <c r="CO101" s="230">
        <v>107451200</v>
      </c>
      <c r="CP101" s="230">
        <v>3668800</v>
      </c>
      <c r="CQ101" s="229">
        <v>3.4099999999999998E-2</v>
      </c>
      <c r="CR101" s="230">
        <v>49862400</v>
      </c>
      <c r="CS101" s="230">
        <v>48870400</v>
      </c>
      <c r="CT101" s="230">
        <v>992000</v>
      </c>
      <c r="CU101" s="229">
        <v>2.0299999999999999E-2</v>
      </c>
      <c r="CV101" s="230">
        <v>328963200</v>
      </c>
      <c r="CW101" s="230">
        <v>325204800</v>
      </c>
      <c r="CX101" s="230">
        <v>3758400</v>
      </c>
      <c r="CY101" s="229">
        <v>1.1599999999999999E-2</v>
      </c>
      <c r="CZ101" s="228">
        <v>20.47</v>
      </c>
      <c r="DA101" s="228">
        <v>20.97</v>
      </c>
      <c r="DB101" s="228">
        <v>-0.5</v>
      </c>
      <c r="DC101" s="228">
        <v>-0.5</v>
      </c>
      <c r="DD101" s="228">
        <v>24.35</v>
      </c>
      <c r="DE101" s="228">
        <v>24.41</v>
      </c>
      <c r="DF101" s="228">
        <v>-3.88</v>
      </c>
      <c r="DG101" s="228">
        <v>-0.06</v>
      </c>
      <c r="DH101" s="228">
        <v>20.81</v>
      </c>
      <c r="DI101" s="228">
        <v>21.05</v>
      </c>
      <c r="DJ101" s="228">
        <v>-0.24</v>
      </c>
      <c r="DK101" s="228">
        <v>-0.24</v>
      </c>
      <c r="DL101" s="228">
        <v>19.28</v>
      </c>
      <c r="DM101" s="228">
        <v>20.77</v>
      </c>
      <c r="DN101" s="228">
        <v>-1.49</v>
      </c>
      <c r="DO101" s="228">
        <v>-1.49</v>
      </c>
      <c r="DP101" s="228">
        <v>0.45</v>
      </c>
      <c r="DQ101" s="228">
        <v>0.45</v>
      </c>
      <c r="DR101" s="228">
        <v>0</v>
      </c>
      <c r="DS101" s="229">
        <v>0</v>
      </c>
      <c r="DT101" s="228">
        <v>320</v>
      </c>
      <c r="DU101" s="228">
        <v>320</v>
      </c>
      <c r="DV101" s="228">
        <v>0.28999999999999998</v>
      </c>
      <c r="DW101" s="228">
        <v>0.43</v>
      </c>
      <c r="DX101" s="228">
        <v>-0.14000000000000001</v>
      </c>
      <c r="DY101" s="229">
        <v>-0.3256</v>
      </c>
      <c r="DZ101" s="229">
        <v>6.1899999999999997E-2</v>
      </c>
      <c r="EA101" s="230">
        <v>9660800</v>
      </c>
      <c r="EB101" s="229">
        <v>6.1999999999999998E-3</v>
      </c>
      <c r="EC101" s="229">
        <v>6.1899999999999997E-2</v>
      </c>
      <c r="ED101" s="228">
        <v>1.83</v>
      </c>
      <c r="EE101" s="229">
        <v>5.8999999999999999E-3</v>
      </c>
      <c r="EF101" s="230">
        <v>12014817</v>
      </c>
      <c r="EG101" s="230">
        <v>17442361</v>
      </c>
      <c r="EH101" s="229">
        <v>-0.31119999999999998</v>
      </c>
      <c r="EI101" s="229">
        <v>0.5746</v>
      </c>
      <c r="EJ101" s="231">
        <v>328924.08</v>
      </c>
      <c r="EK101" s="231">
        <v>89106.26</v>
      </c>
      <c r="EL101" s="231">
        <v>47367.54</v>
      </c>
      <c r="EM101" s="231">
        <v>9883</v>
      </c>
      <c r="EN101" s="231">
        <v>465397.88</v>
      </c>
      <c r="EO101" s="231">
        <v>470982.35</v>
      </c>
      <c r="EP101" s="231">
        <v>-5584.47</v>
      </c>
      <c r="EQ101" s="229">
        <v>-1.1900000000000001E-2</v>
      </c>
      <c r="ER101" s="231">
        <v>373268</v>
      </c>
      <c r="ES101" s="231">
        <v>160771</v>
      </c>
      <c r="ET101" s="231">
        <v>525828</v>
      </c>
      <c r="EU101" s="231">
        <v>1252401670</v>
      </c>
      <c r="EV101" s="231">
        <v>1059867</v>
      </c>
      <c r="EW101" s="231">
        <v>1047443</v>
      </c>
      <c r="EX101" s="231">
        <v>12424</v>
      </c>
      <c r="EY101" s="229">
        <v>1.1900000000000001E-2</v>
      </c>
      <c r="EZ101" s="229">
        <v>0.26269999999999999</v>
      </c>
      <c r="FA101" s="227" t="s">
        <v>556</v>
      </c>
      <c r="FB101" s="161">
        <f t="shared" si="1"/>
        <v>10395200</v>
      </c>
    </row>
    <row r="102" spans="1:158" ht="17.25" thickBot="1" x14ac:dyDescent="0.3">
      <c r="A102" s="226">
        <v>46086</v>
      </c>
      <c r="B102" s="227" t="s">
        <v>227</v>
      </c>
      <c r="C102" s="227" t="s">
        <v>243</v>
      </c>
      <c r="D102" s="228">
        <v>625</v>
      </c>
      <c r="E102" s="231">
        <v>1189</v>
      </c>
      <c r="F102" s="231">
        <v>1173.0999999999999</v>
      </c>
      <c r="G102" s="228">
        <v>15.9</v>
      </c>
      <c r="H102" s="229">
        <v>1.3599999999999999E-2</v>
      </c>
      <c r="I102" s="231">
        <v>1184</v>
      </c>
      <c r="J102" s="231">
        <v>1168.4000000000001</v>
      </c>
      <c r="K102" s="228">
        <v>15.6</v>
      </c>
      <c r="L102" s="229">
        <v>1.34E-2</v>
      </c>
      <c r="M102" s="231">
        <v>1189</v>
      </c>
      <c r="N102" s="231">
        <v>1173.0999999999999</v>
      </c>
      <c r="O102" s="228">
        <v>15.9</v>
      </c>
      <c r="P102" s="229">
        <v>1.3599999999999999E-2</v>
      </c>
      <c r="Q102" s="231">
        <v>1195.8</v>
      </c>
      <c r="R102" s="231">
        <v>1178.2</v>
      </c>
      <c r="S102" s="228">
        <v>17.600000000000001</v>
      </c>
      <c r="T102" s="229">
        <v>1.49E-2</v>
      </c>
      <c r="U102" s="231">
        <v>1203.5999999999999</v>
      </c>
      <c r="V102" s="231">
        <v>1186.0999999999999</v>
      </c>
      <c r="W102" s="228">
        <v>17.5</v>
      </c>
      <c r="X102" s="229">
        <v>1.4800000000000001E-2</v>
      </c>
      <c r="Y102" s="228">
        <v>5</v>
      </c>
      <c r="Z102" s="228">
        <v>4.7</v>
      </c>
      <c r="AA102" s="228">
        <v>0.3</v>
      </c>
      <c r="AB102" s="229">
        <v>4.1999999999999997E-3</v>
      </c>
      <c r="AC102" s="228">
        <v>5</v>
      </c>
      <c r="AD102" s="228">
        <v>4.7</v>
      </c>
      <c r="AE102" s="228">
        <v>0.3</v>
      </c>
      <c r="AF102" s="229">
        <v>4.1999999999999997E-3</v>
      </c>
      <c r="AG102" s="228">
        <v>11.8</v>
      </c>
      <c r="AH102" s="228">
        <v>9.8000000000000007</v>
      </c>
      <c r="AI102" s="228">
        <v>2</v>
      </c>
      <c r="AJ102" s="229">
        <v>0.01</v>
      </c>
      <c r="AK102" s="228">
        <v>19.600000000000001</v>
      </c>
      <c r="AL102" s="228">
        <v>17.7</v>
      </c>
      <c r="AM102" s="228">
        <v>1.9</v>
      </c>
      <c r="AN102" s="229">
        <v>1.66E-2</v>
      </c>
      <c r="AO102" s="231">
        <v>1185.8599999999999</v>
      </c>
      <c r="AP102" s="231">
        <v>1194.05</v>
      </c>
      <c r="AQ102" s="228">
        <v>0</v>
      </c>
      <c r="AR102" s="230">
        <v>2754375</v>
      </c>
      <c r="AS102" s="230">
        <v>4547500</v>
      </c>
      <c r="AT102" s="230">
        <v>-1793125</v>
      </c>
      <c r="AU102" s="229">
        <v>-0.39429999999999998</v>
      </c>
      <c r="AV102" s="230">
        <v>2690625</v>
      </c>
      <c r="AW102" s="230">
        <v>4407500</v>
      </c>
      <c r="AX102" s="230">
        <v>-1716875</v>
      </c>
      <c r="AY102" s="229">
        <v>-0.38950000000000001</v>
      </c>
      <c r="AZ102" s="230">
        <v>62500</v>
      </c>
      <c r="BA102" s="230">
        <v>121250</v>
      </c>
      <c r="BB102" s="230">
        <v>-58750</v>
      </c>
      <c r="BC102" s="229">
        <v>-0.48449999999999999</v>
      </c>
      <c r="BD102" s="230">
        <v>1250</v>
      </c>
      <c r="BE102" s="230">
        <v>18750</v>
      </c>
      <c r="BF102" s="230">
        <v>-17500</v>
      </c>
      <c r="BG102" s="229">
        <v>-0.93330000000000002</v>
      </c>
      <c r="BH102" s="230">
        <v>5013125</v>
      </c>
      <c r="BI102" s="230">
        <v>6373750</v>
      </c>
      <c r="BJ102" s="230">
        <v>-1360625</v>
      </c>
      <c r="BK102" s="229">
        <v>-0.2135</v>
      </c>
      <c r="BL102" s="230">
        <v>1975000</v>
      </c>
      <c r="BM102" s="230">
        <v>7827500</v>
      </c>
      <c r="BN102" s="230">
        <v>-5852500</v>
      </c>
      <c r="BO102" s="229">
        <v>-0.74770000000000003</v>
      </c>
      <c r="BP102" s="230">
        <v>9742500</v>
      </c>
      <c r="BQ102" s="230">
        <v>18748750</v>
      </c>
      <c r="BR102" s="230">
        <v>-9006250</v>
      </c>
      <c r="BS102" s="229">
        <v>-0.48039999999999999</v>
      </c>
      <c r="BT102" s="230">
        <v>813266</v>
      </c>
      <c r="BU102" s="230">
        <v>2959744</v>
      </c>
      <c r="BV102" s="230">
        <v>-2146478</v>
      </c>
      <c r="BW102" s="229">
        <v>-0.72519999999999996</v>
      </c>
      <c r="BX102" s="230">
        <v>10081875</v>
      </c>
      <c r="BY102" s="230">
        <v>10097500</v>
      </c>
      <c r="BZ102" s="230">
        <v>-15625</v>
      </c>
      <c r="CA102" s="229">
        <v>-1.5E-3</v>
      </c>
      <c r="CB102" s="230">
        <v>9963750</v>
      </c>
      <c r="CC102" s="230">
        <v>9984375</v>
      </c>
      <c r="CD102" s="230">
        <v>-20625</v>
      </c>
      <c r="CE102" s="229">
        <v>-2.0999999999999999E-3</v>
      </c>
      <c r="CF102" s="230">
        <v>105625</v>
      </c>
      <c r="CG102" s="230">
        <v>101250</v>
      </c>
      <c r="CH102" s="230">
        <v>4375</v>
      </c>
      <c r="CI102" s="229">
        <v>4.3200000000000002E-2</v>
      </c>
      <c r="CJ102" s="230">
        <v>12500</v>
      </c>
      <c r="CK102" s="230">
        <v>11875</v>
      </c>
      <c r="CL102" s="228">
        <v>625</v>
      </c>
      <c r="CM102" s="229">
        <v>5.2600000000000001E-2</v>
      </c>
      <c r="CN102" s="230">
        <v>2992500</v>
      </c>
      <c r="CO102" s="230">
        <v>2768125</v>
      </c>
      <c r="CP102" s="230">
        <v>224375</v>
      </c>
      <c r="CQ102" s="229">
        <v>8.1100000000000005E-2</v>
      </c>
      <c r="CR102" s="230">
        <v>3128750</v>
      </c>
      <c r="CS102" s="230">
        <v>3210625</v>
      </c>
      <c r="CT102" s="230">
        <v>-81875</v>
      </c>
      <c r="CU102" s="229">
        <v>-2.5499999999999998E-2</v>
      </c>
      <c r="CV102" s="230">
        <v>16203125</v>
      </c>
      <c r="CW102" s="230">
        <v>16076250</v>
      </c>
      <c r="CX102" s="230">
        <v>126875</v>
      </c>
      <c r="CY102" s="229">
        <v>7.9000000000000008E-3</v>
      </c>
      <c r="CZ102" s="228">
        <v>28.01</v>
      </c>
      <c r="DA102" s="228">
        <v>31.59</v>
      </c>
      <c r="DB102" s="228">
        <v>-3.58</v>
      </c>
      <c r="DC102" s="228">
        <v>-3.58</v>
      </c>
      <c r="DD102" s="228">
        <v>35.1</v>
      </c>
      <c r="DE102" s="228">
        <v>35.14</v>
      </c>
      <c r="DF102" s="228">
        <v>-7.09</v>
      </c>
      <c r="DG102" s="228">
        <v>-0.04</v>
      </c>
      <c r="DH102" s="228">
        <v>27.39</v>
      </c>
      <c r="DI102" s="228">
        <v>30.24</v>
      </c>
      <c r="DJ102" s="228">
        <v>-2.85</v>
      </c>
      <c r="DK102" s="228">
        <v>-2.85</v>
      </c>
      <c r="DL102" s="228">
        <v>29.58</v>
      </c>
      <c r="DM102" s="228">
        <v>32.68</v>
      </c>
      <c r="DN102" s="228">
        <v>-3.1</v>
      </c>
      <c r="DO102" s="228">
        <v>-3.1</v>
      </c>
      <c r="DP102" s="228">
        <v>1.05</v>
      </c>
      <c r="DQ102" s="228">
        <v>1.1599999999999999</v>
      </c>
      <c r="DR102" s="228">
        <v>-0.11</v>
      </c>
      <c r="DS102" s="229">
        <v>-9.4799999999999995E-2</v>
      </c>
      <c r="DT102" s="231">
        <v>1200</v>
      </c>
      <c r="DU102" s="231">
        <v>1180</v>
      </c>
      <c r="DV102" s="228">
        <v>0.39</v>
      </c>
      <c r="DW102" s="228">
        <v>1.23</v>
      </c>
      <c r="DX102" s="228">
        <v>-0.84</v>
      </c>
      <c r="DY102" s="229">
        <v>-0.68289999999999995</v>
      </c>
      <c r="DZ102" s="229">
        <v>1.17E-2</v>
      </c>
      <c r="EA102" s="230">
        <v>113125</v>
      </c>
      <c r="EB102" s="229">
        <v>5.7000000000000002E-3</v>
      </c>
      <c r="EC102" s="229">
        <v>1.17E-2</v>
      </c>
      <c r="ED102" s="228">
        <v>8.19</v>
      </c>
      <c r="EE102" s="229">
        <v>6.8999999999999999E-3</v>
      </c>
      <c r="EF102" s="230">
        <v>266855</v>
      </c>
      <c r="EG102" s="230">
        <v>1512387</v>
      </c>
      <c r="EH102" s="229">
        <v>-0.8236</v>
      </c>
      <c r="EI102" s="229">
        <v>0.3281</v>
      </c>
      <c r="EJ102" s="231">
        <v>63020.53</v>
      </c>
      <c r="EK102" s="231">
        <v>22839.86</v>
      </c>
      <c r="EL102" s="231">
        <v>32668.36</v>
      </c>
      <c r="EM102" s="231">
        <v>3956</v>
      </c>
      <c r="EN102" s="231">
        <v>118528.75</v>
      </c>
      <c r="EO102" s="231">
        <v>227860.73</v>
      </c>
      <c r="EP102" s="231">
        <v>-109331.98</v>
      </c>
      <c r="EQ102" s="229">
        <v>-0.4798</v>
      </c>
      <c r="ER102" s="231">
        <v>37656</v>
      </c>
      <c r="ES102" s="231">
        <v>36335</v>
      </c>
      <c r="ET102" s="231">
        <v>119883</v>
      </c>
      <c r="EU102" s="231">
        <v>48257090</v>
      </c>
      <c r="EV102" s="231">
        <v>193874</v>
      </c>
      <c r="EW102" s="231">
        <v>190766</v>
      </c>
      <c r="EX102" s="231">
        <v>3108</v>
      </c>
      <c r="EY102" s="229">
        <v>1.6299999999999999E-2</v>
      </c>
      <c r="EZ102" s="229">
        <v>0.33579999999999999</v>
      </c>
      <c r="FA102" s="227" t="s">
        <v>556</v>
      </c>
      <c r="FB102" s="161">
        <f t="shared" si="1"/>
        <v>118125</v>
      </c>
    </row>
    <row r="103" spans="1:158" ht="17.25" thickBot="1" x14ac:dyDescent="0.3">
      <c r="A103" s="226">
        <v>46086</v>
      </c>
      <c r="B103" s="227" t="s">
        <v>175</v>
      </c>
      <c r="C103" s="227" t="s">
        <v>570</v>
      </c>
      <c r="D103" s="228">
        <v>2350</v>
      </c>
      <c r="E103" s="228">
        <v>244.1</v>
      </c>
      <c r="F103" s="228">
        <v>242</v>
      </c>
      <c r="G103" s="228">
        <v>2.1</v>
      </c>
      <c r="H103" s="229">
        <v>8.6999999999999994E-3</v>
      </c>
      <c r="I103" s="228">
        <v>243.1</v>
      </c>
      <c r="J103" s="228">
        <v>241.3</v>
      </c>
      <c r="K103" s="228">
        <v>1.8</v>
      </c>
      <c r="L103" s="229">
        <v>7.4999999999999997E-3</v>
      </c>
      <c r="M103" s="228">
        <v>244.1</v>
      </c>
      <c r="N103" s="228">
        <v>242</v>
      </c>
      <c r="O103" s="228">
        <v>2.1</v>
      </c>
      <c r="P103" s="229">
        <v>8.6999999999999994E-3</v>
      </c>
      <c r="Q103" s="228">
        <v>245.65</v>
      </c>
      <c r="R103" s="228">
        <v>243.5</v>
      </c>
      <c r="S103" s="228">
        <v>2.15</v>
      </c>
      <c r="T103" s="229">
        <v>8.8000000000000005E-3</v>
      </c>
      <c r="U103" s="228">
        <v>247</v>
      </c>
      <c r="V103" s="228">
        <v>244.7</v>
      </c>
      <c r="W103" s="228">
        <v>2.2999999999999998</v>
      </c>
      <c r="X103" s="229">
        <v>9.4000000000000004E-3</v>
      </c>
      <c r="Y103" s="228">
        <v>1</v>
      </c>
      <c r="Z103" s="228">
        <v>0.7</v>
      </c>
      <c r="AA103" s="228">
        <v>0.3</v>
      </c>
      <c r="AB103" s="229">
        <v>4.1000000000000003E-3</v>
      </c>
      <c r="AC103" s="228">
        <v>1</v>
      </c>
      <c r="AD103" s="228">
        <v>0.7</v>
      </c>
      <c r="AE103" s="228">
        <v>0.3</v>
      </c>
      <c r="AF103" s="229">
        <v>4.1000000000000003E-3</v>
      </c>
      <c r="AG103" s="228">
        <v>2.5499999999999998</v>
      </c>
      <c r="AH103" s="228">
        <v>2.2000000000000002</v>
      </c>
      <c r="AI103" s="228">
        <v>0.35</v>
      </c>
      <c r="AJ103" s="229">
        <v>1.0500000000000001E-2</v>
      </c>
      <c r="AK103" s="228">
        <v>3.9</v>
      </c>
      <c r="AL103" s="228">
        <v>3.4</v>
      </c>
      <c r="AM103" s="228">
        <v>0.5</v>
      </c>
      <c r="AN103" s="229">
        <v>1.6E-2</v>
      </c>
      <c r="AO103" s="228">
        <v>242.08</v>
      </c>
      <c r="AP103" s="228">
        <v>243.04</v>
      </c>
      <c r="AQ103" s="228">
        <v>0</v>
      </c>
      <c r="AR103" s="230">
        <v>21504850</v>
      </c>
      <c r="AS103" s="230">
        <v>18720100</v>
      </c>
      <c r="AT103" s="230">
        <v>2784750</v>
      </c>
      <c r="AU103" s="229">
        <v>0.14879999999999999</v>
      </c>
      <c r="AV103" s="230">
        <v>17065700</v>
      </c>
      <c r="AW103" s="230">
        <v>15089350</v>
      </c>
      <c r="AX103" s="230">
        <v>1976350</v>
      </c>
      <c r="AY103" s="229">
        <v>0.13100000000000001</v>
      </c>
      <c r="AZ103" s="230">
        <v>3912750</v>
      </c>
      <c r="BA103" s="230">
        <v>3019750</v>
      </c>
      <c r="BB103" s="230">
        <v>893000</v>
      </c>
      <c r="BC103" s="229">
        <v>0.29570000000000002</v>
      </c>
      <c r="BD103" s="230">
        <v>526400</v>
      </c>
      <c r="BE103" s="230">
        <v>611000</v>
      </c>
      <c r="BF103" s="230">
        <v>-84600</v>
      </c>
      <c r="BG103" s="229">
        <v>-0.13850000000000001</v>
      </c>
      <c r="BH103" s="230">
        <v>45310350</v>
      </c>
      <c r="BI103" s="230">
        <v>41536250</v>
      </c>
      <c r="BJ103" s="230">
        <v>3774100</v>
      </c>
      <c r="BK103" s="229">
        <v>9.0899999999999995E-2</v>
      </c>
      <c r="BL103" s="230">
        <v>21535400</v>
      </c>
      <c r="BM103" s="230">
        <v>26665450</v>
      </c>
      <c r="BN103" s="230">
        <v>-5130050</v>
      </c>
      <c r="BO103" s="229">
        <v>-0.19239999999999999</v>
      </c>
      <c r="BP103" s="230">
        <v>88350600</v>
      </c>
      <c r="BQ103" s="230">
        <v>86921800</v>
      </c>
      <c r="BR103" s="230">
        <v>1428800</v>
      </c>
      <c r="BS103" s="229">
        <v>1.6400000000000001E-2</v>
      </c>
      <c r="BT103" s="230">
        <v>14394497</v>
      </c>
      <c r="BU103" s="230">
        <v>14734583</v>
      </c>
      <c r="BV103" s="230">
        <v>-340086</v>
      </c>
      <c r="BW103" s="229">
        <v>-2.3099999999999999E-2</v>
      </c>
      <c r="BX103" s="230">
        <v>172863650</v>
      </c>
      <c r="BY103" s="230">
        <v>172078750</v>
      </c>
      <c r="BZ103" s="230">
        <v>784900</v>
      </c>
      <c r="CA103" s="229">
        <v>4.5999999999999999E-3</v>
      </c>
      <c r="CB103" s="230">
        <v>161141850</v>
      </c>
      <c r="CC103" s="230">
        <v>162288650</v>
      </c>
      <c r="CD103" s="230">
        <v>-1146800</v>
      </c>
      <c r="CE103" s="229">
        <v>-7.1000000000000004E-3</v>
      </c>
      <c r="CF103" s="230">
        <v>10755950</v>
      </c>
      <c r="CG103" s="230">
        <v>9031050</v>
      </c>
      <c r="CH103" s="230">
        <v>1724900</v>
      </c>
      <c r="CI103" s="229">
        <v>0.191</v>
      </c>
      <c r="CJ103" s="230">
        <v>965850</v>
      </c>
      <c r="CK103" s="230">
        <v>759050</v>
      </c>
      <c r="CL103" s="230">
        <v>206800</v>
      </c>
      <c r="CM103" s="229">
        <v>0.27239999999999998</v>
      </c>
      <c r="CN103" s="230">
        <v>45293900</v>
      </c>
      <c r="CO103" s="230">
        <v>42567900</v>
      </c>
      <c r="CP103" s="230">
        <v>2726000</v>
      </c>
      <c r="CQ103" s="229">
        <v>6.4000000000000001E-2</v>
      </c>
      <c r="CR103" s="230">
        <v>36321600</v>
      </c>
      <c r="CS103" s="230">
        <v>35508500</v>
      </c>
      <c r="CT103" s="230">
        <v>813100</v>
      </c>
      <c r="CU103" s="229">
        <v>2.29E-2</v>
      </c>
      <c r="CV103" s="230">
        <v>254479150</v>
      </c>
      <c r="CW103" s="230">
        <v>250155150</v>
      </c>
      <c r="CX103" s="230">
        <v>4324000</v>
      </c>
      <c r="CY103" s="229">
        <v>1.7299999999999999E-2</v>
      </c>
      <c r="CZ103" s="228">
        <v>31.16</v>
      </c>
      <c r="DA103" s="228">
        <v>34.24</v>
      </c>
      <c r="DB103" s="228">
        <v>-3.08</v>
      </c>
      <c r="DC103" s="228">
        <v>-3.08</v>
      </c>
      <c r="DD103" s="228">
        <v>34.81</v>
      </c>
      <c r="DE103" s="228">
        <v>34.869999999999997</v>
      </c>
      <c r="DF103" s="228">
        <v>-3.65</v>
      </c>
      <c r="DG103" s="228">
        <v>-0.06</v>
      </c>
      <c r="DH103" s="228">
        <v>30.93</v>
      </c>
      <c r="DI103" s="228">
        <v>33.76</v>
      </c>
      <c r="DJ103" s="228">
        <v>-2.83</v>
      </c>
      <c r="DK103" s="228">
        <v>-2.83</v>
      </c>
      <c r="DL103" s="228">
        <v>31.66</v>
      </c>
      <c r="DM103" s="228">
        <v>34.979999999999997</v>
      </c>
      <c r="DN103" s="228">
        <v>-3.32</v>
      </c>
      <c r="DO103" s="228">
        <v>-3.32</v>
      </c>
      <c r="DP103" s="228">
        <v>0.8</v>
      </c>
      <c r="DQ103" s="228">
        <v>0.83</v>
      </c>
      <c r="DR103" s="228">
        <v>-0.03</v>
      </c>
      <c r="DS103" s="229">
        <v>-3.61E-2</v>
      </c>
      <c r="DT103" s="228">
        <v>300</v>
      </c>
      <c r="DU103" s="228">
        <v>260</v>
      </c>
      <c r="DV103" s="228">
        <v>0.48</v>
      </c>
      <c r="DW103" s="228">
        <v>0.64</v>
      </c>
      <c r="DX103" s="228">
        <v>-0.16</v>
      </c>
      <c r="DY103" s="229">
        <v>-0.25</v>
      </c>
      <c r="DZ103" s="229">
        <v>6.7799999999999999E-2</v>
      </c>
      <c r="EA103" s="230">
        <v>9790100</v>
      </c>
      <c r="EB103" s="229">
        <v>6.3E-3</v>
      </c>
      <c r="EC103" s="229">
        <v>6.7799999999999999E-2</v>
      </c>
      <c r="ED103" s="228">
        <v>0.96</v>
      </c>
      <c r="EE103" s="229">
        <v>4.0000000000000001E-3</v>
      </c>
      <c r="EF103" s="230">
        <v>6654802</v>
      </c>
      <c r="EG103" s="230">
        <v>7093116</v>
      </c>
      <c r="EH103" s="229">
        <v>-6.1800000000000001E-2</v>
      </c>
      <c r="EI103" s="229">
        <v>0.46229999999999999</v>
      </c>
      <c r="EJ103" s="231">
        <v>118493.04</v>
      </c>
      <c r="EK103" s="231">
        <v>52105.58</v>
      </c>
      <c r="EL103" s="231">
        <v>52111.73</v>
      </c>
      <c r="EM103" s="231">
        <v>6227</v>
      </c>
      <c r="EN103" s="231">
        <v>222710.35</v>
      </c>
      <c r="EO103" s="231">
        <v>219799.26</v>
      </c>
      <c r="EP103" s="231">
        <v>2911.09</v>
      </c>
      <c r="EQ103" s="229">
        <v>1.32E-2</v>
      </c>
      <c r="ER103" s="231">
        <v>123533</v>
      </c>
      <c r="ES103" s="231">
        <v>95414</v>
      </c>
      <c r="ET103" s="231">
        <v>422155</v>
      </c>
      <c r="EU103" s="231">
        <v>355358091</v>
      </c>
      <c r="EV103" s="231">
        <v>641102</v>
      </c>
      <c r="EW103" s="231">
        <v>626821</v>
      </c>
      <c r="EX103" s="231">
        <v>14281</v>
      </c>
      <c r="EY103" s="229">
        <v>2.2800000000000001E-2</v>
      </c>
      <c r="EZ103" s="229">
        <v>0.71609999999999996</v>
      </c>
      <c r="FA103" s="227" t="s">
        <v>555</v>
      </c>
      <c r="FB103" s="161">
        <f t="shared" si="1"/>
        <v>11721800</v>
      </c>
    </row>
    <row r="104" spans="1:158" ht="17.25" thickBot="1" x14ac:dyDescent="0.3">
      <c r="A104" s="226">
        <v>46086</v>
      </c>
      <c r="B104" s="227" t="s">
        <v>161</v>
      </c>
      <c r="C104" s="227" t="s">
        <v>580</v>
      </c>
      <c r="D104" s="228">
        <v>1000</v>
      </c>
      <c r="E104" s="228">
        <v>480.35</v>
      </c>
      <c r="F104" s="228">
        <v>469.05</v>
      </c>
      <c r="G104" s="228">
        <v>11.3</v>
      </c>
      <c r="H104" s="229">
        <v>2.41E-2</v>
      </c>
      <c r="I104" s="228">
        <v>479.5</v>
      </c>
      <c r="J104" s="228">
        <v>468.05</v>
      </c>
      <c r="K104" s="228">
        <v>11.45</v>
      </c>
      <c r="L104" s="229">
        <v>2.4500000000000001E-2</v>
      </c>
      <c r="M104" s="228">
        <v>480.35</v>
      </c>
      <c r="N104" s="228">
        <v>469.05</v>
      </c>
      <c r="O104" s="228">
        <v>11.3</v>
      </c>
      <c r="P104" s="229">
        <v>2.41E-2</v>
      </c>
      <c r="Q104" s="228">
        <v>483.65</v>
      </c>
      <c r="R104" s="228">
        <v>472.95</v>
      </c>
      <c r="S104" s="228">
        <v>10.7</v>
      </c>
      <c r="T104" s="229">
        <v>2.2599999999999999E-2</v>
      </c>
      <c r="U104" s="228">
        <v>488.8</v>
      </c>
      <c r="V104" s="228">
        <v>474</v>
      </c>
      <c r="W104" s="228">
        <v>14.8</v>
      </c>
      <c r="X104" s="229">
        <v>3.1199999999999999E-2</v>
      </c>
      <c r="Y104" s="228">
        <v>0.85</v>
      </c>
      <c r="Z104" s="228">
        <v>1</v>
      </c>
      <c r="AA104" s="228">
        <v>-0.15</v>
      </c>
      <c r="AB104" s="229">
        <v>1.8E-3</v>
      </c>
      <c r="AC104" s="228">
        <v>0.85</v>
      </c>
      <c r="AD104" s="228">
        <v>1</v>
      </c>
      <c r="AE104" s="228">
        <v>-0.15</v>
      </c>
      <c r="AF104" s="229">
        <v>1.8E-3</v>
      </c>
      <c r="AG104" s="228">
        <v>4.1500000000000004</v>
      </c>
      <c r="AH104" s="228">
        <v>4.9000000000000004</v>
      </c>
      <c r="AI104" s="228">
        <v>-0.75</v>
      </c>
      <c r="AJ104" s="229">
        <v>8.6999999999999994E-3</v>
      </c>
      <c r="AK104" s="228">
        <v>9.3000000000000007</v>
      </c>
      <c r="AL104" s="228">
        <v>5.95</v>
      </c>
      <c r="AM104" s="228">
        <v>3.35</v>
      </c>
      <c r="AN104" s="229">
        <v>1.9400000000000001E-2</v>
      </c>
      <c r="AO104" s="228">
        <v>476.51</v>
      </c>
      <c r="AP104" s="228">
        <v>479.47</v>
      </c>
      <c r="AQ104" s="228">
        <v>0</v>
      </c>
      <c r="AR104" s="230">
        <v>2759000</v>
      </c>
      <c r="AS104" s="230">
        <v>2373000</v>
      </c>
      <c r="AT104" s="230">
        <v>386000</v>
      </c>
      <c r="AU104" s="229">
        <v>0.16270000000000001</v>
      </c>
      <c r="AV104" s="230">
        <v>2662000</v>
      </c>
      <c r="AW104" s="230">
        <v>2301000</v>
      </c>
      <c r="AX104" s="230">
        <v>361000</v>
      </c>
      <c r="AY104" s="229">
        <v>0.15690000000000001</v>
      </c>
      <c r="AZ104" s="230">
        <v>92000</v>
      </c>
      <c r="BA104" s="230">
        <v>67000</v>
      </c>
      <c r="BB104" s="230">
        <v>25000</v>
      </c>
      <c r="BC104" s="229">
        <v>0.37309999999999999</v>
      </c>
      <c r="BD104" s="230">
        <v>5000</v>
      </c>
      <c r="BE104" s="230">
        <v>5000</v>
      </c>
      <c r="BF104" s="228">
        <v>0</v>
      </c>
      <c r="BG104" s="229">
        <v>0</v>
      </c>
      <c r="BH104" s="230">
        <v>3109000</v>
      </c>
      <c r="BI104" s="230">
        <v>4262000</v>
      </c>
      <c r="BJ104" s="230">
        <v>-1153000</v>
      </c>
      <c r="BK104" s="229">
        <v>-0.27050000000000002</v>
      </c>
      <c r="BL104" s="230">
        <v>1025000</v>
      </c>
      <c r="BM104" s="230">
        <v>2542000</v>
      </c>
      <c r="BN104" s="230">
        <v>-1517000</v>
      </c>
      <c r="BO104" s="229">
        <v>-0.5968</v>
      </c>
      <c r="BP104" s="230">
        <v>6893000</v>
      </c>
      <c r="BQ104" s="230">
        <v>9177000</v>
      </c>
      <c r="BR104" s="230">
        <v>-2284000</v>
      </c>
      <c r="BS104" s="229">
        <v>-0.24890000000000001</v>
      </c>
      <c r="BT104" s="230">
        <v>1558195</v>
      </c>
      <c r="BU104" s="230">
        <v>1641410</v>
      </c>
      <c r="BV104" s="230">
        <v>-83215</v>
      </c>
      <c r="BW104" s="229">
        <v>-5.0700000000000002E-2</v>
      </c>
      <c r="BX104" s="230">
        <v>29379000</v>
      </c>
      <c r="BY104" s="230">
        <v>29830000</v>
      </c>
      <c r="BZ104" s="230">
        <v>-451000</v>
      </c>
      <c r="CA104" s="229">
        <v>-1.5100000000000001E-2</v>
      </c>
      <c r="CB104" s="230">
        <v>29187000</v>
      </c>
      <c r="CC104" s="230">
        <v>29656000</v>
      </c>
      <c r="CD104" s="230">
        <v>-469000</v>
      </c>
      <c r="CE104" s="229">
        <v>-1.5800000000000002E-2</v>
      </c>
      <c r="CF104" s="230">
        <v>176000</v>
      </c>
      <c r="CG104" s="230">
        <v>157000</v>
      </c>
      <c r="CH104" s="230">
        <v>19000</v>
      </c>
      <c r="CI104" s="229">
        <v>0.121</v>
      </c>
      <c r="CJ104" s="230">
        <v>16000</v>
      </c>
      <c r="CK104" s="230">
        <v>17000</v>
      </c>
      <c r="CL104" s="230">
        <v>-1000</v>
      </c>
      <c r="CM104" s="229">
        <v>-5.8799999999999998E-2</v>
      </c>
      <c r="CN104" s="230">
        <v>5155000</v>
      </c>
      <c r="CO104" s="230">
        <v>4981000</v>
      </c>
      <c r="CP104" s="230">
        <v>174000</v>
      </c>
      <c r="CQ104" s="229">
        <v>3.49E-2</v>
      </c>
      <c r="CR104" s="230">
        <v>4640000</v>
      </c>
      <c r="CS104" s="230">
        <v>4542000</v>
      </c>
      <c r="CT104" s="230">
        <v>98000</v>
      </c>
      <c r="CU104" s="229">
        <v>2.1600000000000001E-2</v>
      </c>
      <c r="CV104" s="230">
        <v>39174000</v>
      </c>
      <c r="CW104" s="230">
        <v>39353000</v>
      </c>
      <c r="CX104" s="230">
        <v>-179000</v>
      </c>
      <c r="CY104" s="229">
        <v>-4.4999999999999997E-3</v>
      </c>
      <c r="CZ104" s="228">
        <v>30.28</v>
      </c>
      <c r="DA104" s="228">
        <v>33.6</v>
      </c>
      <c r="DB104" s="228">
        <v>-3.32</v>
      </c>
      <c r="DC104" s="228">
        <v>-3.32</v>
      </c>
      <c r="DD104" s="228">
        <v>42.37</v>
      </c>
      <c r="DE104" s="228">
        <v>42.35</v>
      </c>
      <c r="DF104" s="228">
        <v>-12.09</v>
      </c>
      <c r="DG104" s="228">
        <v>0.02</v>
      </c>
      <c r="DH104" s="228">
        <v>29.33</v>
      </c>
      <c r="DI104" s="228">
        <v>32.340000000000003</v>
      </c>
      <c r="DJ104" s="228">
        <v>-3.01</v>
      </c>
      <c r="DK104" s="228">
        <v>-3.01</v>
      </c>
      <c r="DL104" s="228">
        <v>33.159999999999997</v>
      </c>
      <c r="DM104" s="228">
        <v>35.72</v>
      </c>
      <c r="DN104" s="228">
        <v>-2.56</v>
      </c>
      <c r="DO104" s="228">
        <v>-2.56</v>
      </c>
      <c r="DP104" s="228">
        <v>0.9</v>
      </c>
      <c r="DQ104" s="228">
        <v>0.91</v>
      </c>
      <c r="DR104" s="228">
        <v>-0.01</v>
      </c>
      <c r="DS104" s="229">
        <v>-1.0999999999999999E-2</v>
      </c>
      <c r="DT104" s="228">
        <v>500</v>
      </c>
      <c r="DU104" s="228">
        <v>530</v>
      </c>
      <c r="DV104" s="228">
        <v>0.33</v>
      </c>
      <c r="DW104" s="228">
        <v>0.6</v>
      </c>
      <c r="DX104" s="228">
        <v>-0.27</v>
      </c>
      <c r="DY104" s="229">
        <v>-0.45</v>
      </c>
      <c r="DZ104" s="229">
        <v>6.4999999999999997E-3</v>
      </c>
      <c r="EA104" s="230">
        <v>174000</v>
      </c>
      <c r="EB104" s="229">
        <v>6.8999999999999999E-3</v>
      </c>
      <c r="EC104" s="229">
        <v>6.4999999999999997E-3</v>
      </c>
      <c r="ED104" s="228">
        <v>2.96</v>
      </c>
      <c r="EE104" s="229">
        <v>6.1999999999999998E-3</v>
      </c>
      <c r="EF104" s="230">
        <v>749944</v>
      </c>
      <c r="EG104" s="230">
        <v>796055</v>
      </c>
      <c r="EH104" s="229">
        <v>-5.79E-2</v>
      </c>
      <c r="EI104" s="229">
        <v>0.48130000000000001</v>
      </c>
      <c r="EJ104" s="231">
        <v>15804.18</v>
      </c>
      <c r="EK104" s="231">
        <v>4782.49</v>
      </c>
      <c r="EL104" s="231">
        <v>13149.89</v>
      </c>
      <c r="EM104" s="231">
        <v>3449</v>
      </c>
      <c r="EN104" s="231">
        <v>33736.559999999998</v>
      </c>
      <c r="EO104" s="231">
        <v>44849.83</v>
      </c>
      <c r="EP104" s="231">
        <v>-11113.27</v>
      </c>
      <c r="EQ104" s="229">
        <v>-0.24779999999999999</v>
      </c>
      <c r="ER104" s="231">
        <v>26315</v>
      </c>
      <c r="ES104" s="231">
        <v>22821</v>
      </c>
      <c r="ET104" s="231">
        <v>141129</v>
      </c>
      <c r="EU104" s="231">
        <v>80385888</v>
      </c>
      <c r="EV104" s="231">
        <v>190265</v>
      </c>
      <c r="EW104" s="231">
        <v>187718</v>
      </c>
      <c r="EX104" s="231">
        <v>2547</v>
      </c>
      <c r="EY104" s="229">
        <v>1.3599999999999999E-2</v>
      </c>
      <c r="EZ104" s="229">
        <v>0.48730000000000001</v>
      </c>
      <c r="FA104" s="227" t="s">
        <v>556</v>
      </c>
      <c r="FB104" s="161">
        <f t="shared" si="1"/>
        <v>192000</v>
      </c>
    </row>
    <row r="105" spans="1:158" ht="17.25" thickBot="1" x14ac:dyDescent="0.3">
      <c r="A105" s="226">
        <v>46086</v>
      </c>
      <c r="B105" s="227" t="s">
        <v>227</v>
      </c>
      <c r="C105" s="227" t="s">
        <v>244</v>
      </c>
      <c r="D105" s="228">
        <v>675</v>
      </c>
      <c r="E105" s="231">
        <v>1251.2</v>
      </c>
      <c r="F105" s="231">
        <v>1216.9000000000001</v>
      </c>
      <c r="G105" s="228">
        <v>34.299999999999997</v>
      </c>
      <c r="H105" s="229">
        <v>2.8199999999999999E-2</v>
      </c>
      <c r="I105" s="231">
        <v>1248.0999999999999</v>
      </c>
      <c r="J105" s="231">
        <v>1213</v>
      </c>
      <c r="K105" s="228">
        <v>35.1</v>
      </c>
      <c r="L105" s="229">
        <v>2.8899999999999999E-2</v>
      </c>
      <c r="M105" s="231">
        <v>1251.2</v>
      </c>
      <c r="N105" s="231">
        <v>1216.9000000000001</v>
      </c>
      <c r="O105" s="228">
        <v>34.299999999999997</v>
      </c>
      <c r="P105" s="229">
        <v>2.8199999999999999E-2</v>
      </c>
      <c r="Q105" s="231">
        <v>1259.0999999999999</v>
      </c>
      <c r="R105" s="231">
        <v>1224.5</v>
      </c>
      <c r="S105" s="228">
        <v>34.6</v>
      </c>
      <c r="T105" s="229">
        <v>2.8299999999999999E-2</v>
      </c>
      <c r="U105" s="231">
        <v>1269</v>
      </c>
      <c r="V105" s="231">
        <v>1218.9000000000001</v>
      </c>
      <c r="W105" s="228">
        <v>50.1</v>
      </c>
      <c r="X105" s="229">
        <v>4.1099999999999998E-2</v>
      </c>
      <c r="Y105" s="228">
        <v>3.1</v>
      </c>
      <c r="Z105" s="228">
        <v>3.9</v>
      </c>
      <c r="AA105" s="228">
        <v>-0.8</v>
      </c>
      <c r="AB105" s="229">
        <v>2.5000000000000001E-3</v>
      </c>
      <c r="AC105" s="228">
        <v>3.1</v>
      </c>
      <c r="AD105" s="228">
        <v>3.9</v>
      </c>
      <c r="AE105" s="228">
        <v>-0.8</v>
      </c>
      <c r="AF105" s="229">
        <v>2.5000000000000001E-3</v>
      </c>
      <c r="AG105" s="228">
        <v>11</v>
      </c>
      <c r="AH105" s="228">
        <v>11.5</v>
      </c>
      <c r="AI105" s="228">
        <v>-0.5</v>
      </c>
      <c r="AJ105" s="229">
        <v>8.8000000000000005E-3</v>
      </c>
      <c r="AK105" s="228">
        <v>20.9</v>
      </c>
      <c r="AL105" s="228">
        <v>5.9</v>
      </c>
      <c r="AM105" s="228">
        <v>15</v>
      </c>
      <c r="AN105" s="229">
        <v>1.67E-2</v>
      </c>
      <c r="AO105" s="231">
        <v>1238.6400000000001</v>
      </c>
      <c r="AP105" s="231">
        <v>1249.52</v>
      </c>
      <c r="AQ105" s="228">
        <v>0</v>
      </c>
      <c r="AR105" s="230">
        <v>6851250</v>
      </c>
      <c r="AS105" s="230">
        <v>6042600</v>
      </c>
      <c r="AT105" s="230">
        <v>808650</v>
      </c>
      <c r="AU105" s="229">
        <v>0.1338</v>
      </c>
      <c r="AV105" s="230">
        <v>5883300</v>
      </c>
      <c r="AW105" s="230">
        <v>5875875</v>
      </c>
      <c r="AX105" s="230">
        <v>7425</v>
      </c>
      <c r="AY105" s="229">
        <v>1.2999999999999999E-3</v>
      </c>
      <c r="AZ105" s="230">
        <v>963225</v>
      </c>
      <c r="BA105" s="230">
        <v>155250</v>
      </c>
      <c r="BB105" s="230">
        <v>807975</v>
      </c>
      <c r="BC105" s="229">
        <v>5.2042999999999999</v>
      </c>
      <c r="BD105" s="230">
        <v>4725</v>
      </c>
      <c r="BE105" s="230">
        <v>11475</v>
      </c>
      <c r="BF105" s="230">
        <v>-6750</v>
      </c>
      <c r="BG105" s="229">
        <v>-0.58819999999999995</v>
      </c>
      <c r="BH105" s="230">
        <v>9131400</v>
      </c>
      <c r="BI105" s="230">
        <v>9082125</v>
      </c>
      <c r="BJ105" s="230">
        <v>49275</v>
      </c>
      <c r="BK105" s="229">
        <v>5.4000000000000003E-3</v>
      </c>
      <c r="BL105" s="230">
        <v>5006475</v>
      </c>
      <c r="BM105" s="230">
        <v>9518175</v>
      </c>
      <c r="BN105" s="230">
        <v>-4511700</v>
      </c>
      <c r="BO105" s="229">
        <v>-0.47399999999999998</v>
      </c>
      <c r="BP105" s="230">
        <v>20989125</v>
      </c>
      <c r="BQ105" s="230">
        <v>24642900</v>
      </c>
      <c r="BR105" s="230">
        <v>-3653775</v>
      </c>
      <c r="BS105" s="229">
        <v>-0.14829999999999999</v>
      </c>
      <c r="BT105" s="230">
        <v>1744474</v>
      </c>
      <c r="BU105" s="230">
        <v>1787175</v>
      </c>
      <c r="BV105" s="230">
        <v>-42701</v>
      </c>
      <c r="BW105" s="229">
        <v>-2.3900000000000001E-2</v>
      </c>
      <c r="BX105" s="230">
        <v>53298675</v>
      </c>
      <c r="BY105" s="230">
        <v>53104950</v>
      </c>
      <c r="BZ105" s="230">
        <v>193725</v>
      </c>
      <c r="CA105" s="229">
        <v>3.5999999999999999E-3</v>
      </c>
      <c r="CB105" s="230">
        <v>52285500</v>
      </c>
      <c r="CC105" s="230">
        <v>52965900</v>
      </c>
      <c r="CD105" s="230">
        <v>-680400</v>
      </c>
      <c r="CE105" s="229">
        <v>-1.2800000000000001E-2</v>
      </c>
      <c r="CF105" s="230">
        <v>994950</v>
      </c>
      <c r="CG105" s="230">
        <v>120150</v>
      </c>
      <c r="CH105" s="230">
        <v>874800</v>
      </c>
      <c r="CI105" s="229">
        <v>7.2808999999999999</v>
      </c>
      <c r="CJ105" s="230">
        <v>18225</v>
      </c>
      <c r="CK105" s="230">
        <v>18900</v>
      </c>
      <c r="CL105" s="228">
        <v>-675</v>
      </c>
      <c r="CM105" s="229">
        <v>-3.5700000000000003E-2</v>
      </c>
      <c r="CN105" s="230">
        <v>5942700</v>
      </c>
      <c r="CO105" s="230">
        <v>5595075</v>
      </c>
      <c r="CP105" s="230">
        <v>347625</v>
      </c>
      <c r="CQ105" s="229">
        <v>6.2100000000000002E-2</v>
      </c>
      <c r="CR105" s="230">
        <v>3553200</v>
      </c>
      <c r="CS105" s="230">
        <v>3306150</v>
      </c>
      <c r="CT105" s="230">
        <v>247050</v>
      </c>
      <c r="CU105" s="229">
        <v>7.4700000000000003E-2</v>
      </c>
      <c r="CV105" s="230">
        <v>62794575</v>
      </c>
      <c r="CW105" s="230">
        <v>62006175</v>
      </c>
      <c r="CX105" s="230">
        <v>788400</v>
      </c>
      <c r="CY105" s="229">
        <v>1.2699999999999999E-2</v>
      </c>
      <c r="CZ105" s="228">
        <v>26.62</v>
      </c>
      <c r="DA105" s="228">
        <v>29.22</v>
      </c>
      <c r="DB105" s="228">
        <v>-2.6</v>
      </c>
      <c r="DC105" s="228">
        <v>-2.6</v>
      </c>
      <c r="DD105" s="228">
        <v>29.59</v>
      </c>
      <c r="DE105" s="228">
        <v>29.42</v>
      </c>
      <c r="DF105" s="228">
        <v>-2.97</v>
      </c>
      <c r="DG105" s="228">
        <v>0.17</v>
      </c>
      <c r="DH105" s="228">
        <v>25.83</v>
      </c>
      <c r="DI105" s="228">
        <v>27.79</v>
      </c>
      <c r="DJ105" s="228">
        <v>-1.96</v>
      </c>
      <c r="DK105" s="228">
        <v>-1.96</v>
      </c>
      <c r="DL105" s="228">
        <v>28.06</v>
      </c>
      <c r="DM105" s="228">
        <v>30.58</v>
      </c>
      <c r="DN105" s="228">
        <v>-2.52</v>
      </c>
      <c r="DO105" s="228">
        <v>-2.52</v>
      </c>
      <c r="DP105" s="228">
        <v>0.6</v>
      </c>
      <c r="DQ105" s="228">
        <v>0.59</v>
      </c>
      <c r="DR105" s="228">
        <v>0.01</v>
      </c>
      <c r="DS105" s="229">
        <v>1.6899999999999998E-2</v>
      </c>
      <c r="DT105" s="231">
        <v>1300</v>
      </c>
      <c r="DU105" s="231">
        <v>1200</v>
      </c>
      <c r="DV105" s="228">
        <v>0.55000000000000004</v>
      </c>
      <c r="DW105" s="228">
        <v>1.05</v>
      </c>
      <c r="DX105" s="228">
        <v>-0.5</v>
      </c>
      <c r="DY105" s="229">
        <v>-0.47620000000000001</v>
      </c>
      <c r="DZ105" s="229">
        <v>1.9E-2</v>
      </c>
      <c r="EA105" s="230">
        <v>139050</v>
      </c>
      <c r="EB105" s="229">
        <v>6.3E-3</v>
      </c>
      <c r="EC105" s="229">
        <v>1.9E-2</v>
      </c>
      <c r="ED105" s="228">
        <v>10.88</v>
      </c>
      <c r="EE105" s="229">
        <v>8.8000000000000005E-3</v>
      </c>
      <c r="EF105" s="230">
        <v>723098</v>
      </c>
      <c r="EG105" s="230">
        <v>599213</v>
      </c>
      <c r="EH105" s="229">
        <v>0.20669999999999999</v>
      </c>
      <c r="EI105" s="229">
        <v>0.41449999999999998</v>
      </c>
      <c r="EJ105" s="231">
        <v>120145.34</v>
      </c>
      <c r="EK105" s="231">
        <v>60270.76</v>
      </c>
      <c r="EL105" s="231">
        <v>84968.06</v>
      </c>
      <c r="EM105" s="231">
        <v>4896</v>
      </c>
      <c r="EN105" s="231">
        <v>265384.15999999997</v>
      </c>
      <c r="EO105" s="231">
        <v>308438.03000000003</v>
      </c>
      <c r="EP105" s="231">
        <v>-43053.87</v>
      </c>
      <c r="EQ105" s="229">
        <v>-0.1396</v>
      </c>
      <c r="ER105" s="231">
        <v>78593</v>
      </c>
      <c r="ES105" s="231">
        <v>42573</v>
      </c>
      <c r="ET105" s="231">
        <v>666955</v>
      </c>
      <c r="EU105" s="231">
        <v>133434355</v>
      </c>
      <c r="EV105" s="231">
        <v>788121</v>
      </c>
      <c r="EW105" s="231">
        <v>759878</v>
      </c>
      <c r="EX105" s="231">
        <v>28243</v>
      </c>
      <c r="EY105" s="229">
        <v>3.7199999999999997E-2</v>
      </c>
      <c r="EZ105" s="229">
        <v>0.47060000000000002</v>
      </c>
      <c r="FA105" s="227" t="s">
        <v>555</v>
      </c>
      <c r="FB105" s="161">
        <f t="shared" si="1"/>
        <v>1013175</v>
      </c>
    </row>
    <row r="106" spans="1:158" ht="17.25" thickBot="1" x14ac:dyDescent="0.3">
      <c r="A106" s="226">
        <v>46086</v>
      </c>
      <c r="B106" s="227" t="s">
        <v>168</v>
      </c>
      <c r="C106" s="227" t="s">
        <v>245</v>
      </c>
      <c r="D106" s="228">
        <v>1250</v>
      </c>
      <c r="E106" s="228">
        <v>501.55</v>
      </c>
      <c r="F106" s="228">
        <v>500.3</v>
      </c>
      <c r="G106" s="228">
        <v>1.25</v>
      </c>
      <c r="H106" s="229">
        <v>2.5000000000000001E-3</v>
      </c>
      <c r="I106" s="228">
        <v>500.5</v>
      </c>
      <c r="J106" s="228">
        <v>499.5</v>
      </c>
      <c r="K106" s="228">
        <v>1</v>
      </c>
      <c r="L106" s="229">
        <v>2E-3</v>
      </c>
      <c r="M106" s="228">
        <v>501.55</v>
      </c>
      <c r="N106" s="228">
        <v>500.3</v>
      </c>
      <c r="O106" s="228">
        <v>1.25</v>
      </c>
      <c r="P106" s="229">
        <v>2.5000000000000001E-3</v>
      </c>
      <c r="Q106" s="228">
        <v>495.2</v>
      </c>
      <c r="R106" s="228">
        <v>492.65</v>
      </c>
      <c r="S106" s="228">
        <v>2.5499999999999998</v>
      </c>
      <c r="T106" s="229">
        <v>5.1999999999999998E-3</v>
      </c>
      <c r="U106" s="228">
        <v>491.85</v>
      </c>
      <c r="V106" s="228">
        <v>489.4</v>
      </c>
      <c r="W106" s="228">
        <v>2.4500000000000002</v>
      </c>
      <c r="X106" s="229">
        <v>5.0000000000000001E-3</v>
      </c>
      <c r="Y106" s="228">
        <v>1.05</v>
      </c>
      <c r="Z106" s="228">
        <v>0.8</v>
      </c>
      <c r="AA106" s="228">
        <v>0.25</v>
      </c>
      <c r="AB106" s="229">
        <v>2.0999999999999999E-3</v>
      </c>
      <c r="AC106" s="228">
        <v>1.05</v>
      </c>
      <c r="AD106" s="228">
        <v>0.8</v>
      </c>
      <c r="AE106" s="228">
        <v>0.25</v>
      </c>
      <c r="AF106" s="229">
        <v>2.0999999999999999E-3</v>
      </c>
      <c r="AG106" s="228">
        <v>-5.3</v>
      </c>
      <c r="AH106" s="228">
        <v>-6.85</v>
      </c>
      <c r="AI106" s="228">
        <v>1.55</v>
      </c>
      <c r="AJ106" s="229">
        <v>-1.06E-2</v>
      </c>
      <c r="AK106" s="228">
        <v>-8.65</v>
      </c>
      <c r="AL106" s="228">
        <v>-10.1</v>
      </c>
      <c r="AM106" s="228">
        <v>1.45</v>
      </c>
      <c r="AN106" s="229">
        <v>-1.7299999999999999E-2</v>
      </c>
      <c r="AO106" s="228">
        <v>499.2</v>
      </c>
      <c r="AP106" s="228">
        <v>490.9</v>
      </c>
      <c r="AQ106" s="228">
        <v>0</v>
      </c>
      <c r="AR106" s="230">
        <v>3472500</v>
      </c>
      <c r="AS106" s="230">
        <v>6102500</v>
      </c>
      <c r="AT106" s="230">
        <v>-2630000</v>
      </c>
      <c r="AU106" s="229">
        <v>-0.43099999999999999</v>
      </c>
      <c r="AV106" s="230">
        <v>3060000</v>
      </c>
      <c r="AW106" s="230">
        <v>5675000</v>
      </c>
      <c r="AX106" s="230">
        <v>-2615000</v>
      </c>
      <c r="AY106" s="229">
        <v>-0.46079999999999999</v>
      </c>
      <c r="AZ106" s="230">
        <v>371250</v>
      </c>
      <c r="BA106" s="230">
        <v>368750</v>
      </c>
      <c r="BB106" s="230">
        <v>2500</v>
      </c>
      <c r="BC106" s="229">
        <v>6.7999999999999996E-3</v>
      </c>
      <c r="BD106" s="230">
        <v>41250</v>
      </c>
      <c r="BE106" s="230">
        <v>58750</v>
      </c>
      <c r="BF106" s="230">
        <v>-17500</v>
      </c>
      <c r="BG106" s="229">
        <v>-0.2979</v>
      </c>
      <c r="BH106" s="230">
        <v>4708750</v>
      </c>
      <c r="BI106" s="230">
        <v>6578750</v>
      </c>
      <c r="BJ106" s="230">
        <v>-1870000</v>
      </c>
      <c r="BK106" s="229">
        <v>-0.28420000000000001</v>
      </c>
      <c r="BL106" s="230">
        <v>1315000</v>
      </c>
      <c r="BM106" s="230">
        <v>2817500</v>
      </c>
      <c r="BN106" s="230">
        <v>-1502500</v>
      </c>
      <c r="BO106" s="229">
        <v>-0.5333</v>
      </c>
      <c r="BP106" s="230">
        <v>9496250</v>
      </c>
      <c r="BQ106" s="230">
        <v>15498750</v>
      </c>
      <c r="BR106" s="230">
        <v>-6002500</v>
      </c>
      <c r="BS106" s="229">
        <v>-0.38729999999999998</v>
      </c>
      <c r="BT106" s="230">
        <v>1744400</v>
      </c>
      <c r="BU106" s="230">
        <v>3884877</v>
      </c>
      <c r="BV106" s="230">
        <v>-2140477</v>
      </c>
      <c r="BW106" s="229">
        <v>-0.55100000000000005</v>
      </c>
      <c r="BX106" s="230">
        <v>28728750</v>
      </c>
      <c r="BY106" s="230">
        <v>29147500</v>
      </c>
      <c r="BZ106" s="230">
        <v>-418750</v>
      </c>
      <c r="CA106" s="229">
        <v>-1.44E-2</v>
      </c>
      <c r="CB106" s="230">
        <v>27055000</v>
      </c>
      <c r="CC106" s="230">
        <v>27636250</v>
      </c>
      <c r="CD106" s="230">
        <v>-581250</v>
      </c>
      <c r="CE106" s="229">
        <v>-2.1000000000000001E-2</v>
      </c>
      <c r="CF106" s="230">
        <v>1498750</v>
      </c>
      <c r="CG106" s="230">
        <v>1360000</v>
      </c>
      <c r="CH106" s="230">
        <v>138750</v>
      </c>
      <c r="CI106" s="229">
        <v>0.10199999999999999</v>
      </c>
      <c r="CJ106" s="230">
        <v>175000</v>
      </c>
      <c r="CK106" s="230">
        <v>151250</v>
      </c>
      <c r="CL106" s="230">
        <v>23750</v>
      </c>
      <c r="CM106" s="229">
        <v>0.157</v>
      </c>
      <c r="CN106" s="230">
        <v>6725000</v>
      </c>
      <c r="CO106" s="230">
        <v>6306250</v>
      </c>
      <c r="CP106" s="230">
        <v>418750</v>
      </c>
      <c r="CQ106" s="229">
        <v>6.6400000000000001E-2</v>
      </c>
      <c r="CR106" s="230">
        <v>4286250</v>
      </c>
      <c r="CS106" s="230">
        <v>4285000</v>
      </c>
      <c r="CT106" s="230">
        <v>1250</v>
      </c>
      <c r="CU106" s="229">
        <v>2.9999999999999997E-4</v>
      </c>
      <c r="CV106" s="230">
        <v>39740000</v>
      </c>
      <c r="CW106" s="230">
        <v>39738750</v>
      </c>
      <c r="CX106" s="230">
        <v>1250</v>
      </c>
      <c r="CY106" s="229">
        <v>0</v>
      </c>
      <c r="CZ106" s="228">
        <v>28.67</v>
      </c>
      <c r="DA106" s="228">
        <v>31.99</v>
      </c>
      <c r="DB106" s="228">
        <v>-3.32</v>
      </c>
      <c r="DC106" s="228">
        <v>-3.32</v>
      </c>
      <c r="DD106" s="228">
        <v>32.58</v>
      </c>
      <c r="DE106" s="228">
        <v>32.659999999999997</v>
      </c>
      <c r="DF106" s="228">
        <v>-3.91</v>
      </c>
      <c r="DG106" s="228">
        <v>-0.08</v>
      </c>
      <c r="DH106" s="228">
        <v>28.4</v>
      </c>
      <c r="DI106" s="228">
        <v>31.63</v>
      </c>
      <c r="DJ106" s="228">
        <v>-3.23</v>
      </c>
      <c r="DK106" s="228">
        <v>-3.23</v>
      </c>
      <c r="DL106" s="228">
        <v>29.63</v>
      </c>
      <c r="DM106" s="228">
        <v>32.82</v>
      </c>
      <c r="DN106" s="228">
        <v>-3.19</v>
      </c>
      <c r="DO106" s="228">
        <v>-3.19</v>
      </c>
      <c r="DP106" s="228">
        <v>0.64</v>
      </c>
      <c r="DQ106" s="228">
        <v>0.68</v>
      </c>
      <c r="DR106" s="228">
        <v>-0.04</v>
      </c>
      <c r="DS106" s="229">
        <v>-5.8799999999999998E-2</v>
      </c>
      <c r="DT106" s="228">
        <v>600</v>
      </c>
      <c r="DU106" s="228">
        <v>500</v>
      </c>
      <c r="DV106" s="228">
        <v>0.28000000000000003</v>
      </c>
      <c r="DW106" s="228">
        <v>0.43</v>
      </c>
      <c r="DX106" s="228">
        <v>-0.15</v>
      </c>
      <c r="DY106" s="229">
        <v>-0.3488</v>
      </c>
      <c r="DZ106" s="229">
        <v>5.8299999999999998E-2</v>
      </c>
      <c r="EA106" s="230">
        <v>1511250</v>
      </c>
      <c r="EB106" s="229">
        <v>-1.2699999999999999E-2</v>
      </c>
      <c r="EC106" s="229">
        <v>5.8299999999999998E-2</v>
      </c>
      <c r="ED106" s="228">
        <v>-8.3000000000000007</v>
      </c>
      <c r="EE106" s="229">
        <v>-1.66E-2</v>
      </c>
      <c r="EF106" s="230">
        <v>925180</v>
      </c>
      <c r="EG106" s="230">
        <v>2189847</v>
      </c>
      <c r="EH106" s="229">
        <v>-0.57750000000000001</v>
      </c>
      <c r="EI106" s="229">
        <v>0.53039999999999998</v>
      </c>
      <c r="EJ106" s="231">
        <v>25289.34</v>
      </c>
      <c r="EK106" s="231">
        <v>6415.29</v>
      </c>
      <c r="EL106" s="231">
        <v>17299.48</v>
      </c>
      <c r="EM106" s="231">
        <v>5010</v>
      </c>
      <c r="EN106" s="231">
        <v>49004.11</v>
      </c>
      <c r="EO106" s="231">
        <v>80292.600000000006</v>
      </c>
      <c r="EP106" s="231">
        <v>-31288.49</v>
      </c>
      <c r="EQ106" s="229">
        <v>-0.38969999999999999</v>
      </c>
      <c r="ER106" s="231">
        <v>36827</v>
      </c>
      <c r="ES106" s="231">
        <v>21510</v>
      </c>
      <c r="ET106" s="231">
        <v>143977</v>
      </c>
      <c r="EU106" s="231">
        <v>58761693</v>
      </c>
      <c r="EV106" s="231">
        <v>202314</v>
      </c>
      <c r="EW106" s="231">
        <v>201895</v>
      </c>
      <c r="EX106" s="228">
        <v>419</v>
      </c>
      <c r="EY106" s="229">
        <v>2.0999999999999999E-3</v>
      </c>
      <c r="EZ106" s="229">
        <v>0.67630000000000001</v>
      </c>
      <c r="FA106" s="227" t="s">
        <v>556</v>
      </c>
      <c r="FB106" s="161">
        <f t="shared" si="1"/>
        <v>1673750</v>
      </c>
    </row>
    <row r="107" spans="1:158" ht="17.25" thickBot="1" x14ac:dyDescent="0.3">
      <c r="A107" s="226">
        <v>46086</v>
      </c>
      <c r="B107" s="227" t="s">
        <v>168</v>
      </c>
      <c r="C107" s="227" t="s">
        <v>582</v>
      </c>
      <c r="D107" s="228">
        <v>1175</v>
      </c>
      <c r="E107" s="228">
        <v>400.8</v>
      </c>
      <c r="F107" s="228">
        <v>394.95</v>
      </c>
      <c r="G107" s="228">
        <v>5.85</v>
      </c>
      <c r="H107" s="229">
        <v>1.4800000000000001E-2</v>
      </c>
      <c r="I107" s="228">
        <v>399.8</v>
      </c>
      <c r="J107" s="228">
        <v>393.8</v>
      </c>
      <c r="K107" s="228">
        <v>6</v>
      </c>
      <c r="L107" s="229">
        <v>1.52E-2</v>
      </c>
      <c r="M107" s="228">
        <v>400.8</v>
      </c>
      <c r="N107" s="228">
        <v>394.95</v>
      </c>
      <c r="O107" s="228">
        <v>5.85</v>
      </c>
      <c r="P107" s="229">
        <v>1.4800000000000001E-2</v>
      </c>
      <c r="Q107" s="228">
        <v>403.05</v>
      </c>
      <c r="R107" s="228">
        <v>397.1</v>
      </c>
      <c r="S107" s="228">
        <v>5.95</v>
      </c>
      <c r="T107" s="229">
        <v>1.4999999999999999E-2</v>
      </c>
      <c r="U107" s="228">
        <v>405.25</v>
      </c>
      <c r="V107" s="228">
        <v>395.9</v>
      </c>
      <c r="W107" s="228">
        <v>9.35</v>
      </c>
      <c r="X107" s="229">
        <v>2.3599999999999999E-2</v>
      </c>
      <c r="Y107" s="228">
        <v>1</v>
      </c>
      <c r="Z107" s="228">
        <v>1.1499999999999999</v>
      </c>
      <c r="AA107" s="228">
        <v>-0.15</v>
      </c>
      <c r="AB107" s="229">
        <v>2.5000000000000001E-3</v>
      </c>
      <c r="AC107" s="228">
        <v>1</v>
      </c>
      <c r="AD107" s="228">
        <v>1.1499999999999999</v>
      </c>
      <c r="AE107" s="228">
        <v>-0.15</v>
      </c>
      <c r="AF107" s="229">
        <v>2.5000000000000001E-3</v>
      </c>
      <c r="AG107" s="228">
        <v>3.25</v>
      </c>
      <c r="AH107" s="228">
        <v>3.3</v>
      </c>
      <c r="AI107" s="228">
        <v>-0.05</v>
      </c>
      <c r="AJ107" s="229">
        <v>8.0999999999999996E-3</v>
      </c>
      <c r="AK107" s="228">
        <v>5.45</v>
      </c>
      <c r="AL107" s="228">
        <v>2.1</v>
      </c>
      <c r="AM107" s="228">
        <v>3.35</v>
      </c>
      <c r="AN107" s="229">
        <v>1.3599999999999999E-2</v>
      </c>
      <c r="AO107" s="228">
        <v>397.01</v>
      </c>
      <c r="AP107" s="228">
        <v>399.48</v>
      </c>
      <c r="AQ107" s="228">
        <v>0</v>
      </c>
      <c r="AR107" s="230">
        <v>3837550</v>
      </c>
      <c r="AS107" s="230">
        <v>3371075</v>
      </c>
      <c r="AT107" s="230">
        <v>466475</v>
      </c>
      <c r="AU107" s="229">
        <v>0.1384</v>
      </c>
      <c r="AV107" s="230">
        <v>3682450</v>
      </c>
      <c r="AW107" s="230">
        <v>3262975</v>
      </c>
      <c r="AX107" s="230">
        <v>419475</v>
      </c>
      <c r="AY107" s="229">
        <v>0.12859999999999999</v>
      </c>
      <c r="AZ107" s="230">
        <v>133950</v>
      </c>
      <c r="BA107" s="230">
        <v>91650</v>
      </c>
      <c r="BB107" s="230">
        <v>42300</v>
      </c>
      <c r="BC107" s="229">
        <v>0.46150000000000002</v>
      </c>
      <c r="BD107" s="230">
        <v>21150</v>
      </c>
      <c r="BE107" s="230">
        <v>16450</v>
      </c>
      <c r="BF107" s="230">
        <v>4700</v>
      </c>
      <c r="BG107" s="229">
        <v>0.28570000000000001</v>
      </c>
      <c r="BH107" s="230">
        <v>7018275</v>
      </c>
      <c r="BI107" s="230">
        <v>7813750</v>
      </c>
      <c r="BJ107" s="230">
        <v>-795475</v>
      </c>
      <c r="BK107" s="229">
        <v>-0.1018</v>
      </c>
      <c r="BL107" s="230">
        <v>3373425</v>
      </c>
      <c r="BM107" s="230">
        <v>8018200</v>
      </c>
      <c r="BN107" s="230">
        <v>-4644775</v>
      </c>
      <c r="BO107" s="229">
        <v>-0.57930000000000004</v>
      </c>
      <c r="BP107" s="230">
        <v>14229250</v>
      </c>
      <c r="BQ107" s="230">
        <v>19203025</v>
      </c>
      <c r="BR107" s="230">
        <v>-4973775</v>
      </c>
      <c r="BS107" s="229">
        <v>-0.25900000000000001</v>
      </c>
      <c r="BT107" s="230">
        <v>2872170</v>
      </c>
      <c r="BU107" s="230">
        <v>3453427</v>
      </c>
      <c r="BV107" s="230">
        <v>-581257</v>
      </c>
      <c r="BW107" s="229">
        <v>-0.16830000000000001</v>
      </c>
      <c r="BX107" s="230">
        <v>25495150</v>
      </c>
      <c r="BY107" s="230">
        <v>25323600</v>
      </c>
      <c r="BZ107" s="230">
        <v>171550</v>
      </c>
      <c r="CA107" s="229">
        <v>6.7999999999999996E-3</v>
      </c>
      <c r="CB107" s="230">
        <v>24920575</v>
      </c>
      <c r="CC107" s="230">
        <v>24760775</v>
      </c>
      <c r="CD107" s="230">
        <v>159800</v>
      </c>
      <c r="CE107" s="229">
        <v>6.4999999999999997E-3</v>
      </c>
      <c r="CF107" s="230">
        <v>531100</v>
      </c>
      <c r="CG107" s="230">
        <v>526400</v>
      </c>
      <c r="CH107" s="230">
        <v>4700</v>
      </c>
      <c r="CI107" s="229">
        <v>8.8999999999999999E-3</v>
      </c>
      <c r="CJ107" s="230">
        <v>43475</v>
      </c>
      <c r="CK107" s="230">
        <v>36425</v>
      </c>
      <c r="CL107" s="230">
        <v>7050</v>
      </c>
      <c r="CM107" s="229">
        <v>0.19350000000000001</v>
      </c>
      <c r="CN107" s="230">
        <v>7263850</v>
      </c>
      <c r="CO107" s="230">
        <v>6994775</v>
      </c>
      <c r="CP107" s="230">
        <v>269075</v>
      </c>
      <c r="CQ107" s="229">
        <v>3.85E-2</v>
      </c>
      <c r="CR107" s="230">
        <v>5081875</v>
      </c>
      <c r="CS107" s="230">
        <v>5117125</v>
      </c>
      <c r="CT107" s="230">
        <v>-35250</v>
      </c>
      <c r="CU107" s="229">
        <v>-6.8999999999999999E-3</v>
      </c>
      <c r="CV107" s="230">
        <v>37840875</v>
      </c>
      <c r="CW107" s="230">
        <v>37435500</v>
      </c>
      <c r="CX107" s="230">
        <v>405375</v>
      </c>
      <c r="CY107" s="229">
        <v>1.0800000000000001E-2</v>
      </c>
      <c r="CZ107" s="228">
        <v>36.17</v>
      </c>
      <c r="DA107" s="228">
        <v>39.81</v>
      </c>
      <c r="DB107" s="228">
        <v>-3.64</v>
      </c>
      <c r="DC107" s="228">
        <v>-3.64</v>
      </c>
      <c r="DD107" s="228">
        <v>51.82</v>
      </c>
      <c r="DE107" s="228">
        <v>51.91</v>
      </c>
      <c r="DF107" s="228">
        <v>-15.65</v>
      </c>
      <c r="DG107" s="228">
        <v>-0.09</v>
      </c>
      <c r="DH107" s="228">
        <v>35.619999999999997</v>
      </c>
      <c r="DI107" s="228">
        <v>38.369999999999997</v>
      </c>
      <c r="DJ107" s="228">
        <v>-2.75</v>
      </c>
      <c r="DK107" s="228">
        <v>-2.75</v>
      </c>
      <c r="DL107" s="228">
        <v>37.299999999999997</v>
      </c>
      <c r="DM107" s="228">
        <v>41.22</v>
      </c>
      <c r="DN107" s="228">
        <v>-3.92</v>
      </c>
      <c r="DO107" s="228">
        <v>-3.92</v>
      </c>
      <c r="DP107" s="228">
        <v>0.7</v>
      </c>
      <c r="DQ107" s="228">
        <v>0.73</v>
      </c>
      <c r="DR107" s="228">
        <v>-0.03</v>
      </c>
      <c r="DS107" s="229">
        <v>-4.1099999999999998E-2</v>
      </c>
      <c r="DT107" s="228">
        <v>450</v>
      </c>
      <c r="DU107" s="228">
        <v>400</v>
      </c>
      <c r="DV107" s="228">
        <v>0.48</v>
      </c>
      <c r="DW107" s="228">
        <v>1.03</v>
      </c>
      <c r="DX107" s="228">
        <v>-0.55000000000000004</v>
      </c>
      <c r="DY107" s="229">
        <v>-0.53400000000000003</v>
      </c>
      <c r="DZ107" s="229">
        <v>2.2499999999999999E-2</v>
      </c>
      <c r="EA107" s="230">
        <v>562825</v>
      </c>
      <c r="EB107" s="229">
        <v>5.5999999999999999E-3</v>
      </c>
      <c r="EC107" s="229">
        <v>2.2499999999999999E-2</v>
      </c>
      <c r="ED107" s="228">
        <v>2.4700000000000002</v>
      </c>
      <c r="EE107" s="229">
        <v>6.1999999999999998E-3</v>
      </c>
      <c r="EF107" s="230">
        <v>794581</v>
      </c>
      <c r="EG107" s="230">
        <v>875226</v>
      </c>
      <c r="EH107" s="229">
        <v>-9.2100000000000001E-2</v>
      </c>
      <c r="EI107" s="229">
        <v>0.27660000000000001</v>
      </c>
      <c r="EJ107" s="231">
        <v>29741.51</v>
      </c>
      <c r="EK107" s="231">
        <v>13118.8</v>
      </c>
      <c r="EL107" s="231">
        <v>15239.84</v>
      </c>
      <c r="EM107" s="231">
        <v>3810</v>
      </c>
      <c r="EN107" s="231">
        <v>58100.15</v>
      </c>
      <c r="EO107" s="231">
        <v>77157.47</v>
      </c>
      <c r="EP107" s="231">
        <v>-19057.32</v>
      </c>
      <c r="EQ107" s="229">
        <v>-0.247</v>
      </c>
      <c r="ER107" s="231">
        <v>31194</v>
      </c>
      <c r="ES107" s="231">
        <v>19840</v>
      </c>
      <c r="ET107" s="231">
        <v>102198</v>
      </c>
      <c r="EU107" s="231">
        <v>57654984</v>
      </c>
      <c r="EV107" s="231">
        <v>153233</v>
      </c>
      <c r="EW107" s="231">
        <v>150023</v>
      </c>
      <c r="EX107" s="231">
        <v>3210</v>
      </c>
      <c r="EY107" s="229">
        <v>2.1399999999999999E-2</v>
      </c>
      <c r="EZ107" s="229">
        <v>0.65629999999999999</v>
      </c>
      <c r="FA107" s="227" t="s">
        <v>555</v>
      </c>
      <c r="FB107" s="161">
        <f t="shared" si="1"/>
        <v>574575</v>
      </c>
    </row>
    <row r="108" spans="1:158" ht="17.25" thickBot="1" x14ac:dyDescent="0.3">
      <c r="A108" s="226">
        <v>46086</v>
      </c>
      <c r="B108" s="227" t="s">
        <v>184</v>
      </c>
      <c r="C108" s="227" t="s">
        <v>675</v>
      </c>
      <c r="D108" s="228">
        <v>100</v>
      </c>
      <c r="E108" s="231">
        <v>3826.7</v>
      </c>
      <c r="F108" s="231">
        <v>3716.9</v>
      </c>
      <c r="G108" s="228">
        <v>109.8</v>
      </c>
      <c r="H108" s="229">
        <v>2.9499999999999998E-2</v>
      </c>
      <c r="I108" s="231">
        <v>3814.5</v>
      </c>
      <c r="J108" s="231">
        <v>3700.4</v>
      </c>
      <c r="K108" s="228">
        <v>114.1</v>
      </c>
      <c r="L108" s="229">
        <v>3.0800000000000001E-2</v>
      </c>
      <c r="M108" s="231">
        <v>3826.7</v>
      </c>
      <c r="N108" s="231">
        <v>3716.9</v>
      </c>
      <c r="O108" s="228">
        <v>109.8</v>
      </c>
      <c r="P108" s="229">
        <v>2.9499999999999998E-2</v>
      </c>
      <c r="Q108" s="231">
        <v>3812.9</v>
      </c>
      <c r="R108" s="231">
        <v>3720.5</v>
      </c>
      <c r="S108" s="228">
        <v>92.4</v>
      </c>
      <c r="T108" s="229">
        <v>2.4799999999999999E-2</v>
      </c>
      <c r="U108" s="231">
        <v>3839.7</v>
      </c>
      <c r="V108" s="231">
        <v>3736.3</v>
      </c>
      <c r="W108" s="228">
        <v>103.4</v>
      </c>
      <c r="X108" s="229">
        <v>2.7699999999999999E-2</v>
      </c>
      <c r="Y108" s="228">
        <v>12.2</v>
      </c>
      <c r="Z108" s="228">
        <v>16.5</v>
      </c>
      <c r="AA108" s="228">
        <v>-4.3</v>
      </c>
      <c r="AB108" s="229">
        <v>3.2000000000000002E-3</v>
      </c>
      <c r="AC108" s="228">
        <v>12.2</v>
      </c>
      <c r="AD108" s="228">
        <v>16.5</v>
      </c>
      <c r="AE108" s="228">
        <v>-4.3</v>
      </c>
      <c r="AF108" s="229">
        <v>3.2000000000000002E-3</v>
      </c>
      <c r="AG108" s="228">
        <v>-1.6</v>
      </c>
      <c r="AH108" s="228">
        <v>20.100000000000001</v>
      </c>
      <c r="AI108" s="228">
        <v>-21.7</v>
      </c>
      <c r="AJ108" s="229">
        <v>-4.0000000000000002E-4</v>
      </c>
      <c r="AK108" s="228">
        <v>25.2</v>
      </c>
      <c r="AL108" s="228">
        <v>35.9</v>
      </c>
      <c r="AM108" s="228">
        <v>-10.7</v>
      </c>
      <c r="AN108" s="229">
        <v>6.6E-3</v>
      </c>
      <c r="AO108" s="231">
        <v>3757.23</v>
      </c>
      <c r="AP108" s="231">
        <v>3747.28</v>
      </c>
      <c r="AQ108" s="228">
        <v>0</v>
      </c>
      <c r="AR108" s="230">
        <v>1346800</v>
      </c>
      <c r="AS108" s="230">
        <v>833900</v>
      </c>
      <c r="AT108" s="230">
        <v>512900</v>
      </c>
      <c r="AU108" s="229">
        <v>0.61509999999999998</v>
      </c>
      <c r="AV108" s="230">
        <v>1274800</v>
      </c>
      <c r="AW108" s="230">
        <v>791900</v>
      </c>
      <c r="AX108" s="230">
        <v>482900</v>
      </c>
      <c r="AY108" s="229">
        <v>0.60980000000000001</v>
      </c>
      <c r="AZ108" s="230">
        <v>63600</v>
      </c>
      <c r="BA108" s="230">
        <v>36400</v>
      </c>
      <c r="BB108" s="230">
        <v>27200</v>
      </c>
      <c r="BC108" s="229">
        <v>0.74729999999999996</v>
      </c>
      <c r="BD108" s="230">
        <v>8400</v>
      </c>
      <c r="BE108" s="230">
        <v>5600</v>
      </c>
      <c r="BF108" s="230">
        <v>2800</v>
      </c>
      <c r="BG108" s="229">
        <v>0.5</v>
      </c>
      <c r="BH108" s="230">
        <v>2669700</v>
      </c>
      <c r="BI108" s="230">
        <v>1882400</v>
      </c>
      <c r="BJ108" s="230">
        <v>787300</v>
      </c>
      <c r="BK108" s="229">
        <v>0.41820000000000002</v>
      </c>
      <c r="BL108" s="230">
        <v>1571600</v>
      </c>
      <c r="BM108" s="230">
        <v>1079500</v>
      </c>
      <c r="BN108" s="230">
        <v>492100</v>
      </c>
      <c r="BO108" s="229">
        <v>0.45590000000000003</v>
      </c>
      <c r="BP108" s="230">
        <v>5588100</v>
      </c>
      <c r="BQ108" s="230">
        <v>3795800</v>
      </c>
      <c r="BR108" s="230">
        <v>1792300</v>
      </c>
      <c r="BS108" s="229">
        <v>0.47220000000000001</v>
      </c>
      <c r="BT108" s="230">
        <v>1494063</v>
      </c>
      <c r="BU108" s="230">
        <v>1284431</v>
      </c>
      <c r="BV108" s="230">
        <v>209632</v>
      </c>
      <c r="BW108" s="229">
        <v>0.16320000000000001</v>
      </c>
      <c r="BX108" s="230">
        <v>3757500</v>
      </c>
      <c r="BY108" s="230">
        <v>3629600</v>
      </c>
      <c r="BZ108" s="230">
        <v>127900</v>
      </c>
      <c r="CA108" s="229">
        <v>3.5200000000000002E-2</v>
      </c>
      <c r="CB108" s="230">
        <v>3582700</v>
      </c>
      <c r="CC108" s="230">
        <v>3464400</v>
      </c>
      <c r="CD108" s="230">
        <v>118300</v>
      </c>
      <c r="CE108" s="229">
        <v>3.4099999999999998E-2</v>
      </c>
      <c r="CF108" s="230">
        <v>160900</v>
      </c>
      <c r="CG108" s="230">
        <v>153000</v>
      </c>
      <c r="CH108" s="230">
        <v>7900</v>
      </c>
      <c r="CI108" s="229">
        <v>5.16E-2</v>
      </c>
      <c r="CJ108" s="230">
        <v>13900</v>
      </c>
      <c r="CK108" s="230">
        <v>12200</v>
      </c>
      <c r="CL108" s="230">
        <v>1700</v>
      </c>
      <c r="CM108" s="229">
        <v>0.13930000000000001</v>
      </c>
      <c r="CN108" s="230">
        <v>1445000</v>
      </c>
      <c r="CO108" s="230">
        <v>1291600</v>
      </c>
      <c r="CP108" s="230">
        <v>153400</v>
      </c>
      <c r="CQ108" s="229">
        <v>0.1188</v>
      </c>
      <c r="CR108" s="230">
        <v>1271100</v>
      </c>
      <c r="CS108" s="230">
        <v>1078700</v>
      </c>
      <c r="CT108" s="230">
        <v>192400</v>
      </c>
      <c r="CU108" s="229">
        <v>0.1784</v>
      </c>
      <c r="CV108" s="230">
        <v>6473600</v>
      </c>
      <c r="CW108" s="230">
        <v>5999900</v>
      </c>
      <c r="CX108" s="230">
        <v>473700</v>
      </c>
      <c r="CY108" s="229">
        <v>7.9000000000000001E-2</v>
      </c>
      <c r="CZ108" s="228">
        <v>42.41</v>
      </c>
      <c r="DA108" s="228">
        <v>47.22</v>
      </c>
      <c r="DB108" s="228">
        <v>-4.8099999999999996</v>
      </c>
      <c r="DC108" s="228">
        <v>-4.8099999999999996</v>
      </c>
      <c r="DD108" s="228">
        <v>60.4</v>
      </c>
      <c r="DE108" s="228">
        <v>60.41</v>
      </c>
      <c r="DF108" s="228">
        <v>-17.989999999999998</v>
      </c>
      <c r="DG108" s="228">
        <v>-0.01</v>
      </c>
      <c r="DH108" s="228">
        <v>41.31</v>
      </c>
      <c r="DI108" s="228">
        <v>46.79</v>
      </c>
      <c r="DJ108" s="228">
        <v>-5.48</v>
      </c>
      <c r="DK108" s="228">
        <v>-5.48</v>
      </c>
      <c r="DL108" s="228">
        <v>44.28</v>
      </c>
      <c r="DM108" s="228">
        <v>47.97</v>
      </c>
      <c r="DN108" s="228">
        <v>-3.69</v>
      </c>
      <c r="DO108" s="228">
        <v>-3.69</v>
      </c>
      <c r="DP108" s="228">
        <v>0.88</v>
      </c>
      <c r="DQ108" s="228">
        <v>0.84</v>
      </c>
      <c r="DR108" s="228">
        <v>0.04</v>
      </c>
      <c r="DS108" s="229">
        <v>4.7600000000000003E-2</v>
      </c>
      <c r="DT108" s="231">
        <v>4000</v>
      </c>
      <c r="DU108" s="231">
        <v>3500</v>
      </c>
      <c r="DV108" s="228">
        <v>0.59</v>
      </c>
      <c r="DW108" s="228">
        <v>0.56999999999999995</v>
      </c>
      <c r="DX108" s="228">
        <v>0.02</v>
      </c>
      <c r="DY108" s="229">
        <v>3.5099999999999999E-2</v>
      </c>
      <c r="DZ108" s="229">
        <v>4.65E-2</v>
      </c>
      <c r="EA108" s="230">
        <v>165200</v>
      </c>
      <c r="EB108" s="229">
        <v>-3.5999999999999999E-3</v>
      </c>
      <c r="EC108" s="229">
        <v>4.65E-2</v>
      </c>
      <c r="ED108" s="228">
        <v>-9.9499999999999993</v>
      </c>
      <c r="EE108" s="229">
        <v>-2.5999999999999999E-3</v>
      </c>
      <c r="EF108" s="230">
        <v>278891</v>
      </c>
      <c r="EG108" s="230">
        <v>288283</v>
      </c>
      <c r="EH108" s="229">
        <v>-3.2599999999999997E-2</v>
      </c>
      <c r="EI108" s="229">
        <v>0.1867</v>
      </c>
      <c r="EJ108" s="231">
        <v>107503.27</v>
      </c>
      <c r="EK108" s="231">
        <v>58005.87</v>
      </c>
      <c r="EL108" s="231">
        <v>50595.46</v>
      </c>
      <c r="EM108" s="231">
        <v>7976</v>
      </c>
      <c r="EN108" s="231">
        <v>216104.6</v>
      </c>
      <c r="EO108" s="231">
        <v>146556.49</v>
      </c>
      <c r="EP108" s="231">
        <v>69548.11</v>
      </c>
      <c r="EQ108" s="229">
        <v>0.47449999999999998</v>
      </c>
      <c r="ER108" s="231">
        <v>58211</v>
      </c>
      <c r="ES108" s="231">
        <v>47486</v>
      </c>
      <c r="ET108" s="231">
        <v>143768</v>
      </c>
      <c r="EU108" s="231">
        <v>4679418</v>
      </c>
      <c r="EV108" s="231">
        <v>249465</v>
      </c>
      <c r="EW108" s="231">
        <v>228120</v>
      </c>
      <c r="EX108" s="231">
        <v>21345</v>
      </c>
      <c r="EY108" s="229">
        <v>9.3600000000000003E-2</v>
      </c>
      <c r="EZ108" s="229">
        <v>1.3834</v>
      </c>
      <c r="FA108" s="227" t="s">
        <v>555</v>
      </c>
      <c r="FB108" s="161">
        <f t="shared" si="1"/>
        <v>174800</v>
      </c>
    </row>
    <row r="109" spans="1:158" ht="17.25" thickBot="1" x14ac:dyDescent="0.3">
      <c r="A109" s="226">
        <v>46086</v>
      </c>
      <c r="B109" s="227" t="s">
        <v>161</v>
      </c>
      <c r="C109" s="227" t="s">
        <v>610</v>
      </c>
      <c r="D109" s="228">
        <v>175</v>
      </c>
      <c r="E109" s="231">
        <v>4939</v>
      </c>
      <c r="F109" s="231">
        <v>4978.5</v>
      </c>
      <c r="G109" s="228">
        <v>-39.5</v>
      </c>
      <c r="H109" s="229">
        <v>-7.9000000000000008E-3</v>
      </c>
      <c r="I109" s="231">
        <v>4920.5</v>
      </c>
      <c r="J109" s="231">
        <v>4979</v>
      </c>
      <c r="K109" s="228">
        <v>-58.5</v>
      </c>
      <c r="L109" s="229">
        <v>-1.17E-2</v>
      </c>
      <c r="M109" s="231">
        <v>4939</v>
      </c>
      <c r="N109" s="231">
        <v>4978.5</v>
      </c>
      <c r="O109" s="228">
        <v>-39.5</v>
      </c>
      <c r="P109" s="229">
        <v>-7.9000000000000008E-3</v>
      </c>
      <c r="Q109" s="231">
        <v>4900</v>
      </c>
      <c r="R109" s="231">
        <v>4915.5</v>
      </c>
      <c r="S109" s="228">
        <v>-15.5</v>
      </c>
      <c r="T109" s="229">
        <v>-3.2000000000000002E-3</v>
      </c>
      <c r="U109" s="231">
        <v>4826.5</v>
      </c>
      <c r="V109" s="231">
        <v>4900.5</v>
      </c>
      <c r="W109" s="228">
        <v>-74</v>
      </c>
      <c r="X109" s="229">
        <v>-1.5100000000000001E-2</v>
      </c>
      <c r="Y109" s="228">
        <v>18.5</v>
      </c>
      <c r="Z109" s="228">
        <v>-0.5</v>
      </c>
      <c r="AA109" s="228">
        <v>19</v>
      </c>
      <c r="AB109" s="229">
        <v>3.8E-3</v>
      </c>
      <c r="AC109" s="228">
        <v>18.5</v>
      </c>
      <c r="AD109" s="228">
        <v>-0.5</v>
      </c>
      <c r="AE109" s="228">
        <v>19</v>
      </c>
      <c r="AF109" s="229">
        <v>3.8E-3</v>
      </c>
      <c r="AG109" s="228">
        <v>-20.5</v>
      </c>
      <c r="AH109" s="228">
        <v>-63.5</v>
      </c>
      <c r="AI109" s="228">
        <v>43</v>
      </c>
      <c r="AJ109" s="229">
        <v>-4.1999999999999997E-3</v>
      </c>
      <c r="AK109" s="228">
        <v>-94</v>
      </c>
      <c r="AL109" s="228">
        <v>-78.5</v>
      </c>
      <c r="AM109" s="228">
        <v>-15.5</v>
      </c>
      <c r="AN109" s="229">
        <v>-1.9099999999999999E-2</v>
      </c>
      <c r="AO109" s="231">
        <v>4941.51</v>
      </c>
      <c r="AP109" s="231">
        <v>4891.93</v>
      </c>
      <c r="AQ109" s="228">
        <v>0</v>
      </c>
      <c r="AR109" s="230">
        <v>807800</v>
      </c>
      <c r="AS109" s="230">
        <v>852950</v>
      </c>
      <c r="AT109" s="230">
        <v>-45150</v>
      </c>
      <c r="AU109" s="229">
        <v>-5.2900000000000003E-2</v>
      </c>
      <c r="AV109" s="230">
        <v>750925</v>
      </c>
      <c r="AW109" s="230">
        <v>805875</v>
      </c>
      <c r="AX109" s="230">
        <v>-54950</v>
      </c>
      <c r="AY109" s="229">
        <v>-6.8199999999999997E-2</v>
      </c>
      <c r="AZ109" s="230">
        <v>56000</v>
      </c>
      <c r="BA109" s="230">
        <v>45325</v>
      </c>
      <c r="BB109" s="230">
        <v>10675</v>
      </c>
      <c r="BC109" s="229">
        <v>0.23549999999999999</v>
      </c>
      <c r="BD109" s="228">
        <v>875</v>
      </c>
      <c r="BE109" s="230">
        <v>1750</v>
      </c>
      <c r="BF109" s="228">
        <v>-875</v>
      </c>
      <c r="BG109" s="229">
        <v>-0.5</v>
      </c>
      <c r="BH109" s="230">
        <v>786275</v>
      </c>
      <c r="BI109" s="230">
        <v>1197000</v>
      </c>
      <c r="BJ109" s="230">
        <v>-410725</v>
      </c>
      <c r="BK109" s="229">
        <v>-0.34310000000000002</v>
      </c>
      <c r="BL109" s="230">
        <v>670250</v>
      </c>
      <c r="BM109" s="230">
        <v>957600</v>
      </c>
      <c r="BN109" s="230">
        <v>-287350</v>
      </c>
      <c r="BO109" s="229">
        <v>-0.30009999999999998</v>
      </c>
      <c r="BP109" s="230">
        <v>2264325</v>
      </c>
      <c r="BQ109" s="230">
        <v>3007550</v>
      </c>
      <c r="BR109" s="230">
        <v>-743225</v>
      </c>
      <c r="BS109" s="229">
        <v>-0.24709999999999999</v>
      </c>
      <c r="BT109" s="230">
        <v>603644</v>
      </c>
      <c r="BU109" s="230">
        <v>575420</v>
      </c>
      <c r="BV109" s="230">
        <v>28224</v>
      </c>
      <c r="BW109" s="229">
        <v>4.9000000000000002E-2</v>
      </c>
      <c r="BX109" s="230">
        <v>1567825</v>
      </c>
      <c r="BY109" s="230">
        <v>1693650</v>
      </c>
      <c r="BZ109" s="230">
        <v>-125825</v>
      </c>
      <c r="CA109" s="229">
        <v>-7.4300000000000005E-2</v>
      </c>
      <c r="CB109" s="230">
        <v>1430100</v>
      </c>
      <c r="CC109" s="230">
        <v>1571325</v>
      </c>
      <c r="CD109" s="230">
        <v>-141225</v>
      </c>
      <c r="CE109" s="229">
        <v>-8.9899999999999994E-2</v>
      </c>
      <c r="CF109" s="230">
        <v>131950</v>
      </c>
      <c r="CG109" s="230">
        <v>116900</v>
      </c>
      <c r="CH109" s="230">
        <v>15050</v>
      </c>
      <c r="CI109" s="229">
        <v>0.12870000000000001</v>
      </c>
      <c r="CJ109" s="230">
        <v>5775</v>
      </c>
      <c r="CK109" s="230">
        <v>5425</v>
      </c>
      <c r="CL109" s="228">
        <v>350</v>
      </c>
      <c r="CM109" s="229">
        <v>6.4500000000000002E-2</v>
      </c>
      <c r="CN109" s="230">
        <v>610925</v>
      </c>
      <c r="CO109" s="230">
        <v>603225</v>
      </c>
      <c r="CP109" s="230">
        <v>7700</v>
      </c>
      <c r="CQ109" s="229">
        <v>1.2800000000000001E-2</v>
      </c>
      <c r="CR109" s="230">
        <v>483700</v>
      </c>
      <c r="CS109" s="230">
        <v>474775</v>
      </c>
      <c r="CT109" s="230">
        <v>8925</v>
      </c>
      <c r="CU109" s="229">
        <v>1.8800000000000001E-2</v>
      </c>
      <c r="CV109" s="230">
        <v>2662450</v>
      </c>
      <c r="CW109" s="230">
        <v>2771650</v>
      </c>
      <c r="CX109" s="230">
        <v>-109200</v>
      </c>
      <c r="CY109" s="229">
        <v>-3.9399999999999998E-2</v>
      </c>
      <c r="CZ109" s="228">
        <v>33.659999999999997</v>
      </c>
      <c r="DA109" s="228">
        <v>34.54</v>
      </c>
      <c r="DB109" s="228">
        <v>-0.88</v>
      </c>
      <c r="DC109" s="228">
        <v>-0.88</v>
      </c>
      <c r="DD109" s="228">
        <v>44.82</v>
      </c>
      <c r="DE109" s="228">
        <v>44.92</v>
      </c>
      <c r="DF109" s="228">
        <v>-11.16</v>
      </c>
      <c r="DG109" s="228">
        <v>-0.1</v>
      </c>
      <c r="DH109" s="228">
        <v>32.950000000000003</v>
      </c>
      <c r="DI109" s="228">
        <v>34.119999999999997</v>
      </c>
      <c r="DJ109" s="228">
        <v>-1.17</v>
      </c>
      <c r="DK109" s="228">
        <v>-1.17</v>
      </c>
      <c r="DL109" s="228">
        <v>34.49</v>
      </c>
      <c r="DM109" s="228">
        <v>35.049999999999997</v>
      </c>
      <c r="DN109" s="228">
        <v>-0.56000000000000005</v>
      </c>
      <c r="DO109" s="228">
        <v>-0.56000000000000005</v>
      </c>
      <c r="DP109" s="228">
        <v>0.79</v>
      </c>
      <c r="DQ109" s="228">
        <v>0.79</v>
      </c>
      <c r="DR109" s="228">
        <v>0</v>
      </c>
      <c r="DS109" s="229">
        <v>0</v>
      </c>
      <c r="DT109" s="231">
        <v>5000</v>
      </c>
      <c r="DU109" s="231">
        <v>4500</v>
      </c>
      <c r="DV109" s="228">
        <v>0.85</v>
      </c>
      <c r="DW109" s="228">
        <v>0.8</v>
      </c>
      <c r="DX109" s="228">
        <v>0.05</v>
      </c>
      <c r="DY109" s="229">
        <v>6.25E-2</v>
      </c>
      <c r="DZ109" s="229">
        <v>8.7800000000000003E-2</v>
      </c>
      <c r="EA109" s="230">
        <v>122325</v>
      </c>
      <c r="EB109" s="229">
        <v>-7.9000000000000008E-3</v>
      </c>
      <c r="EC109" s="229">
        <v>8.7800000000000003E-2</v>
      </c>
      <c r="ED109" s="228">
        <v>-49.58</v>
      </c>
      <c r="EE109" s="229">
        <v>-0.01</v>
      </c>
      <c r="EF109" s="230">
        <v>376633</v>
      </c>
      <c r="EG109" s="230">
        <v>250398</v>
      </c>
      <c r="EH109" s="229">
        <v>0.50409999999999999</v>
      </c>
      <c r="EI109" s="229">
        <v>0.62390000000000001</v>
      </c>
      <c r="EJ109" s="231">
        <v>41583.58</v>
      </c>
      <c r="EK109" s="231">
        <v>31978.01</v>
      </c>
      <c r="EL109" s="231">
        <v>39888.769999999997</v>
      </c>
      <c r="EM109" s="231">
        <v>4784</v>
      </c>
      <c r="EN109" s="231">
        <v>113450.36</v>
      </c>
      <c r="EO109" s="231">
        <v>155054.94</v>
      </c>
      <c r="EP109" s="231">
        <v>-41604.58</v>
      </c>
      <c r="EQ109" s="229">
        <v>-0.26829999999999998</v>
      </c>
      <c r="ER109" s="231">
        <v>31137</v>
      </c>
      <c r="ES109" s="231">
        <v>23045</v>
      </c>
      <c r="ET109" s="231">
        <v>77377</v>
      </c>
      <c r="EU109" s="231">
        <v>8553821</v>
      </c>
      <c r="EV109" s="231">
        <v>131559</v>
      </c>
      <c r="EW109" s="231">
        <v>137799</v>
      </c>
      <c r="EX109" s="231">
        <v>-6240</v>
      </c>
      <c r="EY109" s="229">
        <v>-4.53E-2</v>
      </c>
      <c r="EZ109" s="229">
        <v>0.31130000000000002</v>
      </c>
      <c r="FA109" s="227" t="s">
        <v>568</v>
      </c>
      <c r="FB109" s="161">
        <f t="shared" si="1"/>
        <v>137725</v>
      </c>
    </row>
    <row r="110" spans="1:158" ht="17.25" thickBot="1" x14ac:dyDescent="0.3">
      <c r="A110" s="226">
        <v>46086</v>
      </c>
      <c r="B110" s="227" t="s">
        <v>175</v>
      </c>
      <c r="C110" s="227" t="s">
        <v>682</v>
      </c>
      <c r="D110" s="228">
        <v>500</v>
      </c>
      <c r="E110" s="228">
        <v>926.45</v>
      </c>
      <c r="F110" s="228">
        <v>911</v>
      </c>
      <c r="G110" s="228">
        <v>15.45</v>
      </c>
      <c r="H110" s="229">
        <v>1.7000000000000001E-2</v>
      </c>
      <c r="I110" s="228">
        <v>927.9</v>
      </c>
      <c r="J110" s="228">
        <v>909.3</v>
      </c>
      <c r="K110" s="228">
        <v>18.600000000000001</v>
      </c>
      <c r="L110" s="229">
        <v>2.0500000000000001E-2</v>
      </c>
      <c r="M110" s="228">
        <v>926.45</v>
      </c>
      <c r="N110" s="228">
        <v>911</v>
      </c>
      <c r="O110" s="228">
        <v>15.45</v>
      </c>
      <c r="P110" s="229">
        <v>1.7000000000000001E-2</v>
      </c>
      <c r="Q110" s="228">
        <v>922.85</v>
      </c>
      <c r="R110" s="228">
        <v>907</v>
      </c>
      <c r="S110" s="228">
        <v>15.85</v>
      </c>
      <c r="T110" s="229">
        <v>1.7500000000000002E-2</v>
      </c>
      <c r="U110" s="228">
        <v>921.35</v>
      </c>
      <c r="V110" s="228">
        <v>900</v>
      </c>
      <c r="W110" s="228">
        <v>21.35</v>
      </c>
      <c r="X110" s="229">
        <v>2.3699999999999999E-2</v>
      </c>
      <c r="Y110" s="228">
        <v>-1.45</v>
      </c>
      <c r="Z110" s="228">
        <v>1.7</v>
      </c>
      <c r="AA110" s="228">
        <v>-3.15</v>
      </c>
      <c r="AB110" s="229">
        <v>-1.6000000000000001E-3</v>
      </c>
      <c r="AC110" s="228">
        <v>-1.45</v>
      </c>
      <c r="AD110" s="228">
        <v>1.7</v>
      </c>
      <c r="AE110" s="228">
        <v>-3.15</v>
      </c>
      <c r="AF110" s="229">
        <v>-1.6000000000000001E-3</v>
      </c>
      <c r="AG110" s="228">
        <v>-5.05</v>
      </c>
      <c r="AH110" s="228">
        <v>-2.2999999999999998</v>
      </c>
      <c r="AI110" s="228">
        <v>-2.75</v>
      </c>
      <c r="AJ110" s="229">
        <v>-5.4000000000000003E-3</v>
      </c>
      <c r="AK110" s="228">
        <v>-6.55</v>
      </c>
      <c r="AL110" s="228">
        <v>-9.3000000000000007</v>
      </c>
      <c r="AM110" s="228">
        <v>2.75</v>
      </c>
      <c r="AN110" s="229">
        <v>-7.1000000000000004E-3</v>
      </c>
      <c r="AO110" s="228">
        <v>923.05</v>
      </c>
      <c r="AP110" s="228">
        <v>918.42</v>
      </c>
      <c r="AQ110" s="228">
        <v>0</v>
      </c>
      <c r="AR110" s="230">
        <v>852500</v>
      </c>
      <c r="AS110" s="230">
        <v>754500</v>
      </c>
      <c r="AT110" s="230">
        <v>98000</v>
      </c>
      <c r="AU110" s="229">
        <v>0.12989999999999999</v>
      </c>
      <c r="AV110" s="230">
        <v>813000</v>
      </c>
      <c r="AW110" s="230">
        <v>708500</v>
      </c>
      <c r="AX110" s="230">
        <v>104500</v>
      </c>
      <c r="AY110" s="229">
        <v>0.14749999999999999</v>
      </c>
      <c r="AZ110" s="230">
        <v>36000</v>
      </c>
      <c r="BA110" s="230">
        <v>43500</v>
      </c>
      <c r="BB110" s="230">
        <v>-7500</v>
      </c>
      <c r="BC110" s="229">
        <v>-0.1724</v>
      </c>
      <c r="BD110" s="230">
        <v>3500</v>
      </c>
      <c r="BE110" s="230">
        <v>2500</v>
      </c>
      <c r="BF110" s="230">
        <v>1000</v>
      </c>
      <c r="BG110" s="229">
        <v>0.4</v>
      </c>
      <c r="BH110" s="230">
        <v>1426000</v>
      </c>
      <c r="BI110" s="230">
        <v>695000</v>
      </c>
      <c r="BJ110" s="230">
        <v>731000</v>
      </c>
      <c r="BK110" s="229">
        <v>1.0518000000000001</v>
      </c>
      <c r="BL110" s="230">
        <v>727000</v>
      </c>
      <c r="BM110" s="230">
        <v>441500</v>
      </c>
      <c r="BN110" s="230">
        <v>285500</v>
      </c>
      <c r="BO110" s="229">
        <v>0.64670000000000005</v>
      </c>
      <c r="BP110" s="230">
        <v>3005500</v>
      </c>
      <c r="BQ110" s="230">
        <v>1891000</v>
      </c>
      <c r="BR110" s="230">
        <v>1114500</v>
      </c>
      <c r="BS110" s="229">
        <v>0.58940000000000003</v>
      </c>
      <c r="BT110" s="230">
        <v>538704</v>
      </c>
      <c r="BU110" s="230">
        <v>1134229</v>
      </c>
      <c r="BV110" s="230">
        <v>-595525</v>
      </c>
      <c r="BW110" s="229">
        <v>-0.52500000000000002</v>
      </c>
      <c r="BX110" s="230">
        <v>2612500</v>
      </c>
      <c r="BY110" s="230">
        <v>2601000</v>
      </c>
      <c r="BZ110" s="230">
        <v>11500</v>
      </c>
      <c r="CA110" s="229">
        <v>4.4000000000000003E-3</v>
      </c>
      <c r="CB110" s="230">
        <v>2428500</v>
      </c>
      <c r="CC110" s="230">
        <v>2417500</v>
      </c>
      <c r="CD110" s="230">
        <v>11000</v>
      </c>
      <c r="CE110" s="229">
        <v>4.5999999999999999E-3</v>
      </c>
      <c r="CF110" s="230">
        <v>170000</v>
      </c>
      <c r="CG110" s="230">
        <v>173000</v>
      </c>
      <c r="CH110" s="230">
        <v>-3000</v>
      </c>
      <c r="CI110" s="229">
        <v>-1.7299999999999999E-2</v>
      </c>
      <c r="CJ110" s="230">
        <v>14000</v>
      </c>
      <c r="CK110" s="230">
        <v>10500</v>
      </c>
      <c r="CL110" s="230">
        <v>3500</v>
      </c>
      <c r="CM110" s="229">
        <v>0.33329999999999999</v>
      </c>
      <c r="CN110" s="230">
        <v>1719000</v>
      </c>
      <c r="CO110" s="230">
        <v>1595000</v>
      </c>
      <c r="CP110" s="230">
        <v>124000</v>
      </c>
      <c r="CQ110" s="229">
        <v>7.7700000000000005E-2</v>
      </c>
      <c r="CR110" s="230">
        <v>1100000</v>
      </c>
      <c r="CS110" s="230">
        <v>1052500</v>
      </c>
      <c r="CT110" s="230">
        <v>47500</v>
      </c>
      <c r="CU110" s="229">
        <v>4.5100000000000001E-2</v>
      </c>
      <c r="CV110" s="230">
        <v>5431500</v>
      </c>
      <c r="CW110" s="230">
        <v>5248500</v>
      </c>
      <c r="CX110" s="230">
        <v>183000</v>
      </c>
      <c r="CY110" s="229">
        <v>3.49E-2</v>
      </c>
      <c r="CZ110" s="228">
        <v>36.39</v>
      </c>
      <c r="DA110" s="228">
        <v>38.51</v>
      </c>
      <c r="DB110" s="228">
        <v>-2.12</v>
      </c>
      <c r="DC110" s="228">
        <v>-2.12</v>
      </c>
      <c r="DD110" s="228">
        <v>49.88</v>
      </c>
      <c r="DE110" s="228">
        <v>49.95</v>
      </c>
      <c r="DF110" s="228">
        <v>-13.49</v>
      </c>
      <c r="DG110" s="228">
        <v>-7.0000000000000007E-2</v>
      </c>
      <c r="DH110" s="228">
        <v>36.06</v>
      </c>
      <c r="DI110" s="228">
        <v>37.53</v>
      </c>
      <c r="DJ110" s="228">
        <v>-1.47</v>
      </c>
      <c r="DK110" s="228">
        <v>-1.47</v>
      </c>
      <c r="DL110" s="228">
        <v>37.03</v>
      </c>
      <c r="DM110" s="228">
        <v>40.049999999999997</v>
      </c>
      <c r="DN110" s="228">
        <v>-3.02</v>
      </c>
      <c r="DO110" s="228">
        <v>-3.02</v>
      </c>
      <c r="DP110" s="228">
        <v>0.64</v>
      </c>
      <c r="DQ110" s="228">
        <v>0.66</v>
      </c>
      <c r="DR110" s="228">
        <v>-0.02</v>
      </c>
      <c r="DS110" s="229">
        <v>-3.0300000000000001E-2</v>
      </c>
      <c r="DT110" s="231">
        <v>1000</v>
      </c>
      <c r="DU110" s="231">
        <v>1000</v>
      </c>
      <c r="DV110" s="228">
        <v>0.51</v>
      </c>
      <c r="DW110" s="228">
        <v>0.64</v>
      </c>
      <c r="DX110" s="228">
        <v>-0.13</v>
      </c>
      <c r="DY110" s="229">
        <v>-0.2031</v>
      </c>
      <c r="DZ110" s="229">
        <v>7.0400000000000004E-2</v>
      </c>
      <c r="EA110" s="230">
        <v>183500</v>
      </c>
      <c r="EB110" s="229">
        <v>-3.8999999999999998E-3</v>
      </c>
      <c r="EC110" s="229">
        <v>7.0400000000000004E-2</v>
      </c>
      <c r="ED110" s="228">
        <v>-4.63</v>
      </c>
      <c r="EE110" s="229">
        <v>-5.0000000000000001E-3</v>
      </c>
      <c r="EF110" s="230">
        <v>238797</v>
      </c>
      <c r="EG110" s="230">
        <v>524457</v>
      </c>
      <c r="EH110" s="229">
        <v>-0.54469999999999996</v>
      </c>
      <c r="EI110" s="229">
        <v>0.44330000000000003</v>
      </c>
      <c r="EJ110" s="231">
        <v>14086.67</v>
      </c>
      <c r="EK110" s="231">
        <v>6641.68</v>
      </c>
      <c r="EL110" s="231">
        <v>7866.97</v>
      </c>
      <c r="EM110" s="231">
        <v>1836</v>
      </c>
      <c r="EN110" s="231">
        <v>28595.32</v>
      </c>
      <c r="EO110" s="231">
        <v>17748.88</v>
      </c>
      <c r="EP110" s="231">
        <v>10846.44</v>
      </c>
      <c r="EQ110" s="229">
        <v>0.61109999999999998</v>
      </c>
      <c r="ER110" s="231">
        <v>17547</v>
      </c>
      <c r="ES110" s="231">
        <v>10353</v>
      </c>
      <c r="ET110" s="231">
        <v>24197</v>
      </c>
      <c r="EU110" s="231">
        <v>19924232</v>
      </c>
      <c r="EV110" s="231">
        <v>52097</v>
      </c>
      <c r="EW110" s="231">
        <v>49983</v>
      </c>
      <c r="EX110" s="231">
        <v>2114</v>
      </c>
      <c r="EY110" s="229">
        <v>4.2299999999999997E-2</v>
      </c>
      <c r="EZ110" s="229">
        <v>0.27260000000000001</v>
      </c>
      <c r="FA110" s="227" t="s">
        <v>555</v>
      </c>
      <c r="FB110" s="161">
        <f t="shared" si="1"/>
        <v>184000</v>
      </c>
    </row>
    <row r="111" spans="1:158" ht="17.25" thickBot="1" x14ac:dyDescent="0.3">
      <c r="A111" s="226">
        <v>46086</v>
      </c>
      <c r="B111" s="227" t="s">
        <v>172</v>
      </c>
      <c r="C111" s="227" t="s">
        <v>246</v>
      </c>
      <c r="D111" s="228">
        <v>2000</v>
      </c>
      <c r="E111" s="228">
        <v>409.15</v>
      </c>
      <c r="F111" s="228">
        <v>405.3</v>
      </c>
      <c r="G111" s="228">
        <v>3.85</v>
      </c>
      <c r="H111" s="229">
        <v>9.4999999999999998E-3</v>
      </c>
      <c r="I111" s="228">
        <v>407.3</v>
      </c>
      <c r="J111" s="228">
        <v>403.35</v>
      </c>
      <c r="K111" s="228">
        <v>3.95</v>
      </c>
      <c r="L111" s="229">
        <v>9.7999999999999997E-3</v>
      </c>
      <c r="M111" s="228">
        <v>409.15</v>
      </c>
      <c r="N111" s="228">
        <v>405.3</v>
      </c>
      <c r="O111" s="228">
        <v>3.85</v>
      </c>
      <c r="P111" s="229">
        <v>9.4999999999999998E-3</v>
      </c>
      <c r="Q111" s="228">
        <v>412.1</v>
      </c>
      <c r="R111" s="228">
        <v>407.85</v>
      </c>
      <c r="S111" s="228">
        <v>4.25</v>
      </c>
      <c r="T111" s="229">
        <v>1.04E-2</v>
      </c>
      <c r="U111" s="228">
        <v>414.2</v>
      </c>
      <c r="V111" s="228">
        <v>409.95</v>
      </c>
      <c r="W111" s="228">
        <v>4.25</v>
      </c>
      <c r="X111" s="229">
        <v>1.04E-2</v>
      </c>
      <c r="Y111" s="228">
        <v>1.85</v>
      </c>
      <c r="Z111" s="228">
        <v>1.95</v>
      </c>
      <c r="AA111" s="228">
        <v>-0.1</v>
      </c>
      <c r="AB111" s="229">
        <v>4.4999999999999997E-3</v>
      </c>
      <c r="AC111" s="228">
        <v>1.85</v>
      </c>
      <c r="AD111" s="228">
        <v>1.95</v>
      </c>
      <c r="AE111" s="228">
        <v>-0.1</v>
      </c>
      <c r="AF111" s="229">
        <v>4.4999999999999997E-3</v>
      </c>
      <c r="AG111" s="228">
        <v>4.8</v>
      </c>
      <c r="AH111" s="228">
        <v>4.5</v>
      </c>
      <c r="AI111" s="228">
        <v>0.3</v>
      </c>
      <c r="AJ111" s="229">
        <v>1.18E-2</v>
      </c>
      <c r="AK111" s="228">
        <v>6.9</v>
      </c>
      <c r="AL111" s="228">
        <v>6.6</v>
      </c>
      <c r="AM111" s="228">
        <v>0.3</v>
      </c>
      <c r="AN111" s="229">
        <v>1.6899999999999998E-2</v>
      </c>
      <c r="AO111" s="228">
        <v>408</v>
      </c>
      <c r="AP111" s="228">
        <v>411.71</v>
      </c>
      <c r="AQ111" s="228">
        <v>0</v>
      </c>
      <c r="AR111" s="230">
        <v>22628000</v>
      </c>
      <c r="AS111" s="230">
        <v>27652000</v>
      </c>
      <c r="AT111" s="230">
        <v>-5024000</v>
      </c>
      <c r="AU111" s="229">
        <v>-0.1817</v>
      </c>
      <c r="AV111" s="230">
        <v>21658000</v>
      </c>
      <c r="AW111" s="230">
        <v>26342000</v>
      </c>
      <c r="AX111" s="230">
        <v>-4684000</v>
      </c>
      <c r="AY111" s="229">
        <v>-0.17780000000000001</v>
      </c>
      <c r="AZ111" s="230">
        <v>920000</v>
      </c>
      <c r="BA111" s="230">
        <v>1132000</v>
      </c>
      <c r="BB111" s="230">
        <v>-212000</v>
      </c>
      <c r="BC111" s="229">
        <v>-0.18729999999999999</v>
      </c>
      <c r="BD111" s="230">
        <v>50000</v>
      </c>
      <c r="BE111" s="230">
        <v>178000</v>
      </c>
      <c r="BF111" s="230">
        <v>-128000</v>
      </c>
      <c r="BG111" s="229">
        <v>-0.71909999999999996</v>
      </c>
      <c r="BH111" s="230">
        <v>22302000</v>
      </c>
      <c r="BI111" s="230">
        <v>32494000</v>
      </c>
      <c r="BJ111" s="230">
        <v>-10192000</v>
      </c>
      <c r="BK111" s="229">
        <v>-0.31369999999999998</v>
      </c>
      <c r="BL111" s="230">
        <v>14358000</v>
      </c>
      <c r="BM111" s="230">
        <v>19906000</v>
      </c>
      <c r="BN111" s="230">
        <v>-5548000</v>
      </c>
      <c r="BO111" s="229">
        <v>-0.2787</v>
      </c>
      <c r="BP111" s="230">
        <v>59288000</v>
      </c>
      <c r="BQ111" s="230">
        <v>80052000</v>
      </c>
      <c r="BR111" s="230">
        <v>-20764000</v>
      </c>
      <c r="BS111" s="229">
        <v>-0.25940000000000002</v>
      </c>
      <c r="BT111" s="230">
        <v>15128662</v>
      </c>
      <c r="BU111" s="230">
        <v>18925294</v>
      </c>
      <c r="BV111" s="230">
        <v>-3796632</v>
      </c>
      <c r="BW111" s="229">
        <v>-0.2006</v>
      </c>
      <c r="BX111" s="230">
        <v>202876000</v>
      </c>
      <c r="BY111" s="230">
        <v>199482000</v>
      </c>
      <c r="BZ111" s="230">
        <v>3394000</v>
      </c>
      <c r="CA111" s="229">
        <v>1.7000000000000001E-2</v>
      </c>
      <c r="CB111" s="230">
        <v>199930000</v>
      </c>
      <c r="CC111" s="230">
        <v>197022000</v>
      </c>
      <c r="CD111" s="230">
        <v>2908000</v>
      </c>
      <c r="CE111" s="229">
        <v>1.4800000000000001E-2</v>
      </c>
      <c r="CF111" s="230">
        <v>2632000</v>
      </c>
      <c r="CG111" s="230">
        <v>2160000</v>
      </c>
      <c r="CH111" s="230">
        <v>472000</v>
      </c>
      <c r="CI111" s="229">
        <v>0.2185</v>
      </c>
      <c r="CJ111" s="230">
        <v>314000</v>
      </c>
      <c r="CK111" s="230">
        <v>300000</v>
      </c>
      <c r="CL111" s="230">
        <v>14000</v>
      </c>
      <c r="CM111" s="229">
        <v>4.6699999999999998E-2</v>
      </c>
      <c r="CN111" s="230">
        <v>30366000</v>
      </c>
      <c r="CO111" s="230">
        <v>29116000</v>
      </c>
      <c r="CP111" s="230">
        <v>1250000</v>
      </c>
      <c r="CQ111" s="229">
        <v>4.2900000000000001E-2</v>
      </c>
      <c r="CR111" s="230">
        <v>19744000</v>
      </c>
      <c r="CS111" s="230">
        <v>20304000</v>
      </c>
      <c r="CT111" s="230">
        <v>-560000</v>
      </c>
      <c r="CU111" s="229">
        <v>-2.76E-2</v>
      </c>
      <c r="CV111" s="230">
        <v>252986000</v>
      </c>
      <c r="CW111" s="230">
        <v>248902000</v>
      </c>
      <c r="CX111" s="230">
        <v>4084000</v>
      </c>
      <c r="CY111" s="229">
        <v>1.6400000000000001E-2</v>
      </c>
      <c r="CZ111" s="228">
        <v>20.09</v>
      </c>
      <c r="DA111" s="228">
        <v>22.64</v>
      </c>
      <c r="DB111" s="228">
        <v>-2.5499999999999998</v>
      </c>
      <c r="DC111" s="228">
        <v>-2.5499999999999998</v>
      </c>
      <c r="DD111" s="228">
        <v>25.39</v>
      </c>
      <c r="DE111" s="228">
        <v>25.42</v>
      </c>
      <c r="DF111" s="228">
        <v>-5.3</v>
      </c>
      <c r="DG111" s="228">
        <v>-0.03</v>
      </c>
      <c r="DH111" s="228">
        <v>19.920000000000002</v>
      </c>
      <c r="DI111" s="228">
        <v>22.06</v>
      </c>
      <c r="DJ111" s="228">
        <v>-2.14</v>
      </c>
      <c r="DK111" s="228">
        <v>-2.14</v>
      </c>
      <c r="DL111" s="228">
        <v>20.34</v>
      </c>
      <c r="DM111" s="228">
        <v>23.58</v>
      </c>
      <c r="DN111" s="228">
        <v>-3.24</v>
      </c>
      <c r="DO111" s="228">
        <v>-3.24</v>
      </c>
      <c r="DP111" s="228">
        <v>0.65</v>
      </c>
      <c r="DQ111" s="228">
        <v>0.7</v>
      </c>
      <c r="DR111" s="228">
        <v>-0.05</v>
      </c>
      <c r="DS111" s="229">
        <v>-7.1400000000000005E-2</v>
      </c>
      <c r="DT111" s="228">
        <v>440</v>
      </c>
      <c r="DU111" s="228">
        <v>400</v>
      </c>
      <c r="DV111" s="228">
        <v>0.64</v>
      </c>
      <c r="DW111" s="228">
        <v>0.61</v>
      </c>
      <c r="DX111" s="228">
        <v>0.03</v>
      </c>
      <c r="DY111" s="229">
        <v>4.9200000000000001E-2</v>
      </c>
      <c r="DZ111" s="229">
        <v>1.4500000000000001E-2</v>
      </c>
      <c r="EA111" s="230">
        <v>2460000</v>
      </c>
      <c r="EB111" s="229">
        <v>7.1999999999999998E-3</v>
      </c>
      <c r="EC111" s="229">
        <v>1.4500000000000001E-2</v>
      </c>
      <c r="ED111" s="228">
        <v>3.71</v>
      </c>
      <c r="EE111" s="229">
        <v>9.1000000000000004E-3</v>
      </c>
      <c r="EF111" s="230">
        <v>10765936</v>
      </c>
      <c r="EG111" s="230">
        <v>13546762</v>
      </c>
      <c r="EH111" s="229">
        <v>-0.20530000000000001</v>
      </c>
      <c r="EI111" s="229">
        <v>0.71160000000000001</v>
      </c>
      <c r="EJ111" s="231">
        <v>94399.19</v>
      </c>
      <c r="EK111" s="231">
        <v>58559.83</v>
      </c>
      <c r="EL111" s="231">
        <v>92359.08</v>
      </c>
      <c r="EM111" s="231">
        <v>9803</v>
      </c>
      <c r="EN111" s="231">
        <v>245318.1</v>
      </c>
      <c r="EO111" s="231">
        <v>333340.96999999997</v>
      </c>
      <c r="EP111" s="231">
        <v>-88022.87</v>
      </c>
      <c r="EQ111" s="229">
        <v>-0.2641</v>
      </c>
      <c r="ER111" s="231">
        <v>131731</v>
      </c>
      <c r="ES111" s="231">
        <v>80532</v>
      </c>
      <c r="ET111" s="231">
        <v>830161</v>
      </c>
      <c r="EU111" s="231">
        <v>781025350</v>
      </c>
      <c r="EV111" s="231">
        <v>1042424</v>
      </c>
      <c r="EW111" s="231">
        <v>1017969</v>
      </c>
      <c r="EX111" s="231">
        <v>24455</v>
      </c>
      <c r="EY111" s="229">
        <v>2.4E-2</v>
      </c>
      <c r="EZ111" s="229">
        <v>0.32390000000000002</v>
      </c>
      <c r="FA111" s="227" t="s">
        <v>555</v>
      </c>
      <c r="FB111" s="161">
        <f t="shared" si="1"/>
        <v>2946000</v>
      </c>
    </row>
    <row r="112" spans="1:158" ht="17.25" thickBot="1" x14ac:dyDescent="0.3">
      <c r="A112" s="226">
        <v>46086</v>
      </c>
      <c r="B112" s="227" t="s">
        <v>221</v>
      </c>
      <c r="C112" s="227" t="s">
        <v>577</v>
      </c>
      <c r="D112" s="228">
        <v>425</v>
      </c>
      <c r="E112" s="228">
        <v>721.2</v>
      </c>
      <c r="F112" s="228">
        <v>739.4</v>
      </c>
      <c r="G112" s="228">
        <v>-18.2</v>
      </c>
      <c r="H112" s="229">
        <v>-2.46E-2</v>
      </c>
      <c r="I112" s="228">
        <v>717.5</v>
      </c>
      <c r="J112" s="228">
        <v>736.15</v>
      </c>
      <c r="K112" s="228">
        <v>-18.649999999999999</v>
      </c>
      <c r="L112" s="229">
        <v>-2.53E-2</v>
      </c>
      <c r="M112" s="228">
        <v>721.2</v>
      </c>
      <c r="N112" s="228">
        <v>739.4</v>
      </c>
      <c r="O112" s="228">
        <v>-18.2</v>
      </c>
      <c r="P112" s="229">
        <v>-2.46E-2</v>
      </c>
      <c r="Q112" s="228">
        <v>724.8</v>
      </c>
      <c r="R112" s="228">
        <v>740.95</v>
      </c>
      <c r="S112" s="228">
        <v>-16.149999999999999</v>
      </c>
      <c r="T112" s="229">
        <v>-2.18E-2</v>
      </c>
      <c r="U112" s="228">
        <v>730.15</v>
      </c>
      <c r="V112" s="228">
        <v>743</v>
      </c>
      <c r="W112" s="228">
        <v>-12.85</v>
      </c>
      <c r="X112" s="229">
        <v>-1.7299999999999999E-2</v>
      </c>
      <c r="Y112" s="228">
        <v>3.7</v>
      </c>
      <c r="Z112" s="228">
        <v>3.25</v>
      </c>
      <c r="AA112" s="228">
        <v>0.45</v>
      </c>
      <c r="AB112" s="229">
        <v>5.1999999999999998E-3</v>
      </c>
      <c r="AC112" s="228">
        <v>3.7</v>
      </c>
      <c r="AD112" s="228">
        <v>3.25</v>
      </c>
      <c r="AE112" s="228">
        <v>0.45</v>
      </c>
      <c r="AF112" s="229">
        <v>5.1999999999999998E-3</v>
      </c>
      <c r="AG112" s="228">
        <v>7.3</v>
      </c>
      <c r="AH112" s="228">
        <v>4.8</v>
      </c>
      <c r="AI112" s="228">
        <v>2.5</v>
      </c>
      <c r="AJ112" s="229">
        <v>1.0200000000000001E-2</v>
      </c>
      <c r="AK112" s="228">
        <v>12.65</v>
      </c>
      <c r="AL112" s="228">
        <v>6.85</v>
      </c>
      <c r="AM112" s="228">
        <v>5.8</v>
      </c>
      <c r="AN112" s="229">
        <v>1.7600000000000001E-2</v>
      </c>
      <c r="AO112" s="228">
        <v>726.57</v>
      </c>
      <c r="AP112" s="228">
        <v>729.42</v>
      </c>
      <c r="AQ112" s="228">
        <v>0</v>
      </c>
      <c r="AR112" s="230">
        <v>1775225</v>
      </c>
      <c r="AS112" s="230">
        <v>1362975</v>
      </c>
      <c r="AT112" s="230">
        <v>412250</v>
      </c>
      <c r="AU112" s="229">
        <v>0.30249999999999999</v>
      </c>
      <c r="AV112" s="230">
        <v>1634975</v>
      </c>
      <c r="AW112" s="230">
        <v>1258425</v>
      </c>
      <c r="AX112" s="230">
        <v>376550</v>
      </c>
      <c r="AY112" s="229">
        <v>0.29920000000000002</v>
      </c>
      <c r="AZ112" s="230">
        <v>124950</v>
      </c>
      <c r="BA112" s="230">
        <v>90100</v>
      </c>
      <c r="BB112" s="230">
        <v>34850</v>
      </c>
      <c r="BC112" s="229">
        <v>0.38679999999999998</v>
      </c>
      <c r="BD112" s="230">
        <v>15300</v>
      </c>
      <c r="BE112" s="230">
        <v>14450</v>
      </c>
      <c r="BF112" s="228">
        <v>850</v>
      </c>
      <c r="BG112" s="229">
        <v>5.8799999999999998E-2</v>
      </c>
      <c r="BH112" s="230">
        <v>3748075</v>
      </c>
      <c r="BI112" s="230">
        <v>3166250</v>
      </c>
      <c r="BJ112" s="230">
        <v>581825</v>
      </c>
      <c r="BK112" s="229">
        <v>0.18379999999999999</v>
      </c>
      <c r="BL112" s="230">
        <v>1484100</v>
      </c>
      <c r="BM112" s="230">
        <v>1828350</v>
      </c>
      <c r="BN112" s="230">
        <v>-344250</v>
      </c>
      <c r="BO112" s="229">
        <v>-0.1883</v>
      </c>
      <c r="BP112" s="230">
        <v>7007400</v>
      </c>
      <c r="BQ112" s="230">
        <v>6357575</v>
      </c>
      <c r="BR112" s="230">
        <v>649825</v>
      </c>
      <c r="BS112" s="229">
        <v>0.1022</v>
      </c>
      <c r="BT112" s="230">
        <v>2429466</v>
      </c>
      <c r="BU112" s="230">
        <v>1831262</v>
      </c>
      <c r="BV112" s="230">
        <v>598204</v>
      </c>
      <c r="BW112" s="229">
        <v>0.32669999999999999</v>
      </c>
      <c r="BX112" s="230">
        <v>6649550</v>
      </c>
      <c r="BY112" s="230">
        <v>6219450</v>
      </c>
      <c r="BZ112" s="230">
        <v>430100</v>
      </c>
      <c r="CA112" s="229">
        <v>6.9199999999999998E-2</v>
      </c>
      <c r="CB112" s="230">
        <v>6134875</v>
      </c>
      <c r="CC112" s="230">
        <v>5759175</v>
      </c>
      <c r="CD112" s="230">
        <v>375700</v>
      </c>
      <c r="CE112" s="229">
        <v>6.5199999999999994E-2</v>
      </c>
      <c r="CF112" s="230">
        <v>487050</v>
      </c>
      <c r="CG112" s="230">
        <v>441575</v>
      </c>
      <c r="CH112" s="230">
        <v>45475</v>
      </c>
      <c r="CI112" s="229">
        <v>0.10299999999999999</v>
      </c>
      <c r="CJ112" s="230">
        <v>27625</v>
      </c>
      <c r="CK112" s="230">
        <v>18700</v>
      </c>
      <c r="CL112" s="230">
        <v>8925</v>
      </c>
      <c r="CM112" s="229">
        <v>0.4773</v>
      </c>
      <c r="CN112" s="230">
        <v>4342225</v>
      </c>
      <c r="CO112" s="230">
        <v>3602300</v>
      </c>
      <c r="CP112" s="230">
        <v>739925</v>
      </c>
      <c r="CQ112" s="229">
        <v>0.2054</v>
      </c>
      <c r="CR112" s="230">
        <v>2603125</v>
      </c>
      <c r="CS112" s="230">
        <v>2482850</v>
      </c>
      <c r="CT112" s="230">
        <v>120275</v>
      </c>
      <c r="CU112" s="229">
        <v>4.8399999999999999E-2</v>
      </c>
      <c r="CV112" s="230">
        <v>13594900</v>
      </c>
      <c r="CW112" s="230">
        <v>12304600</v>
      </c>
      <c r="CX112" s="230">
        <v>1290300</v>
      </c>
      <c r="CY112" s="229">
        <v>0.10489999999999999</v>
      </c>
      <c r="CZ112" s="228">
        <v>42.88</v>
      </c>
      <c r="DA112" s="228">
        <v>46.36</v>
      </c>
      <c r="DB112" s="228">
        <v>-3.48</v>
      </c>
      <c r="DC112" s="228">
        <v>-3.48</v>
      </c>
      <c r="DD112" s="228">
        <v>44.36</v>
      </c>
      <c r="DE112" s="228">
        <v>44.34</v>
      </c>
      <c r="DF112" s="228">
        <v>-1.48</v>
      </c>
      <c r="DG112" s="228">
        <v>0.02</v>
      </c>
      <c r="DH112" s="228">
        <v>42.79</v>
      </c>
      <c r="DI112" s="228">
        <v>46.02</v>
      </c>
      <c r="DJ112" s="228">
        <v>-3.23</v>
      </c>
      <c r="DK112" s="228">
        <v>-3.23</v>
      </c>
      <c r="DL112" s="228">
        <v>43.11</v>
      </c>
      <c r="DM112" s="228">
        <v>46.96</v>
      </c>
      <c r="DN112" s="228">
        <v>-3.85</v>
      </c>
      <c r="DO112" s="228">
        <v>-3.85</v>
      </c>
      <c r="DP112" s="228">
        <v>0.6</v>
      </c>
      <c r="DQ112" s="228">
        <v>0.69</v>
      </c>
      <c r="DR112" s="228">
        <v>-0.09</v>
      </c>
      <c r="DS112" s="229">
        <v>-0.13039999999999999</v>
      </c>
      <c r="DT112" s="228">
        <v>800</v>
      </c>
      <c r="DU112" s="228">
        <v>800</v>
      </c>
      <c r="DV112" s="228">
        <v>0.4</v>
      </c>
      <c r="DW112" s="228">
        <v>0.57999999999999996</v>
      </c>
      <c r="DX112" s="228">
        <v>-0.18</v>
      </c>
      <c r="DY112" s="229">
        <v>-0.31030000000000002</v>
      </c>
      <c r="DZ112" s="229">
        <v>7.7399999999999997E-2</v>
      </c>
      <c r="EA112" s="230">
        <v>460275</v>
      </c>
      <c r="EB112" s="229">
        <v>5.0000000000000001E-3</v>
      </c>
      <c r="EC112" s="229">
        <v>7.7399999999999997E-2</v>
      </c>
      <c r="ED112" s="228">
        <v>2.85</v>
      </c>
      <c r="EE112" s="229">
        <v>3.8999999999999998E-3</v>
      </c>
      <c r="EF112" s="230">
        <v>1170649</v>
      </c>
      <c r="EG112" s="230">
        <v>659367</v>
      </c>
      <c r="EH112" s="229">
        <v>0.77539999999999998</v>
      </c>
      <c r="EI112" s="229">
        <v>0.4819</v>
      </c>
      <c r="EJ112" s="231">
        <v>30637.78</v>
      </c>
      <c r="EK112" s="231">
        <v>10968.51</v>
      </c>
      <c r="EL112" s="231">
        <v>12903.41</v>
      </c>
      <c r="EM112" s="231">
        <v>3926</v>
      </c>
      <c r="EN112" s="231">
        <v>54509.7</v>
      </c>
      <c r="EO112" s="231">
        <v>49911.27</v>
      </c>
      <c r="EP112" s="231">
        <v>4598.43</v>
      </c>
      <c r="EQ112" s="229">
        <v>9.2100000000000001E-2</v>
      </c>
      <c r="ER112" s="231">
        <v>36515</v>
      </c>
      <c r="ES112" s="231">
        <v>20153</v>
      </c>
      <c r="ET112" s="231">
        <v>47977</v>
      </c>
      <c r="EU112" s="231">
        <v>24589408</v>
      </c>
      <c r="EV112" s="231">
        <v>104644</v>
      </c>
      <c r="EW112" s="231">
        <v>96099</v>
      </c>
      <c r="EX112" s="231">
        <v>8545</v>
      </c>
      <c r="EY112" s="229">
        <v>8.8900000000000007E-2</v>
      </c>
      <c r="EZ112" s="229">
        <v>0.55289999999999995</v>
      </c>
      <c r="FA112" s="227" t="s">
        <v>567</v>
      </c>
      <c r="FB112" s="161">
        <f t="shared" si="1"/>
        <v>514675</v>
      </c>
    </row>
    <row r="113" spans="1:158" ht="17.25" thickBot="1" x14ac:dyDescent="0.3">
      <c r="A113" s="226">
        <v>46086</v>
      </c>
      <c r="B113" s="227" t="s">
        <v>170</v>
      </c>
      <c r="C113" s="227" t="s">
        <v>535</v>
      </c>
      <c r="D113" s="228">
        <v>850</v>
      </c>
      <c r="E113" s="231">
        <v>1050.2</v>
      </c>
      <c r="F113" s="231">
        <v>1035.7</v>
      </c>
      <c r="G113" s="228">
        <v>14.5</v>
      </c>
      <c r="H113" s="229">
        <v>1.4E-2</v>
      </c>
      <c r="I113" s="231">
        <v>1045.9000000000001</v>
      </c>
      <c r="J113" s="231">
        <v>1030.5999999999999</v>
      </c>
      <c r="K113" s="228">
        <v>15.3</v>
      </c>
      <c r="L113" s="229">
        <v>1.4800000000000001E-2</v>
      </c>
      <c r="M113" s="231">
        <v>1050.2</v>
      </c>
      <c r="N113" s="231">
        <v>1035.7</v>
      </c>
      <c r="O113" s="228">
        <v>14.5</v>
      </c>
      <c r="P113" s="229">
        <v>1.4E-2</v>
      </c>
      <c r="Q113" s="231">
        <v>1058.7</v>
      </c>
      <c r="R113" s="231">
        <v>1042.0999999999999</v>
      </c>
      <c r="S113" s="228">
        <v>16.600000000000001</v>
      </c>
      <c r="T113" s="229">
        <v>1.5900000000000001E-2</v>
      </c>
      <c r="U113" s="231">
        <v>1062.5</v>
      </c>
      <c r="V113" s="231">
        <v>1049.3</v>
      </c>
      <c r="W113" s="228">
        <v>13.2</v>
      </c>
      <c r="X113" s="229">
        <v>1.26E-2</v>
      </c>
      <c r="Y113" s="228">
        <v>4.3</v>
      </c>
      <c r="Z113" s="228">
        <v>5.0999999999999996</v>
      </c>
      <c r="AA113" s="228">
        <v>-0.8</v>
      </c>
      <c r="AB113" s="229">
        <v>4.1000000000000003E-3</v>
      </c>
      <c r="AC113" s="228">
        <v>4.3</v>
      </c>
      <c r="AD113" s="228">
        <v>5.0999999999999996</v>
      </c>
      <c r="AE113" s="228">
        <v>-0.8</v>
      </c>
      <c r="AF113" s="229">
        <v>4.1000000000000003E-3</v>
      </c>
      <c r="AG113" s="228">
        <v>12.8</v>
      </c>
      <c r="AH113" s="228">
        <v>11.5</v>
      </c>
      <c r="AI113" s="228">
        <v>1.3</v>
      </c>
      <c r="AJ113" s="229">
        <v>1.2200000000000001E-2</v>
      </c>
      <c r="AK113" s="228">
        <v>16.600000000000001</v>
      </c>
      <c r="AL113" s="228">
        <v>18.7</v>
      </c>
      <c r="AM113" s="228">
        <v>-2.1</v>
      </c>
      <c r="AN113" s="229">
        <v>1.5900000000000001E-2</v>
      </c>
      <c r="AO113" s="231">
        <v>1050.67</v>
      </c>
      <c r="AP113" s="231">
        <v>1056.1199999999999</v>
      </c>
      <c r="AQ113" s="228">
        <v>0</v>
      </c>
      <c r="AR113" s="230">
        <v>3150950</v>
      </c>
      <c r="AS113" s="230">
        <v>3484150</v>
      </c>
      <c r="AT113" s="230">
        <v>-333200</v>
      </c>
      <c r="AU113" s="229">
        <v>-9.5600000000000004E-2</v>
      </c>
      <c r="AV113" s="230">
        <v>2731050</v>
      </c>
      <c r="AW113" s="230">
        <v>2905300</v>
      </c>
      <c r="AX113" s="230">
        <v>-174250</v>
      </c>
      <c r="AY113" s="229">
        <v>-0.06</v>
      </c>
      <c r="AZ113" s="230">
        <v>402050</v>
      </c>
      <c r="BA113" s="230">
        <v>534650</v>
      </c>
      <c r="BB113" s="230">
        <v>-132600</v>
      </c>
      <c r="BC113" s="229">
        <v>-0.248</v>
      </c>
      <c r="BD113" s="230">
        <v>17850</v>
      </c>
      <c r="BE113" s="230">
        <v>44200</v>
      </c>
      <c r="BF113" s="230">
        <v>-26350</v>
      </c>
      <c r="BG113" s="229">
        <v>-0.59619999999999995</v>
      </c>
      <c r="BH113" s="230">
        <v>7086450</v>
      </c>
      <c r="BI113" s="230">
        <v>6795750</v>
      </c>
      <c r="BJ113" s="230">
        <v>290700</v>
      </c>
      <c r="BK113" s="229">
        <v>4.2799999999999998E-2</v>
      </c>
      <c r="BL113" s="230">
        <v>1983050</v>
      </c>
      <c r="BM113" s="230">
        <v>3651600</v>
      </c>
      <c r="BN113" s="230">
        <v>-1668550</v>
      </c>
      <c r="BO113" s="229">
        <v>-0.45689999999999997</v>
      </c>
      <c r="BP113" s="230">
        <v>12220450</v>
      </c>
      <c r="BQ113" s="230">
        <v>13931500</v>
      </c>
      <c r="BR113" s="230">
        <v>-1711050</v>
      </c>
      <c r="BS113" s="229">
        <v>-0.12280000000000001</v>
      </c>
      <c r="BT113" s="230">
        <v>977290</v>
      </c>
      <c r="BU113" s="230">
        <v>1553497</v>
      </c>
      <c r="BV113" s="230">
        <v>-576207</v>
      </c>
      <c r="BW113" s="229">
        <v>-0.37090000000000001</v>
      </c>
      <c r="BX113" s="230">
        <v>19311150</v>
      </c>
      <c r="BY113" s="230">
        <v>19267800</v>
      </c>
      <c r="BZ113" s="230">
        <v>43350</v>
      </c>
      <c r="CA113" s="229">
        <v>2.2000000000000001E-3</v>
      </c>
      <c r="CB113" s="230">
        <v>18320900</v>
      </c>
      <c r="CC113" s="230">
        <v>18426300</v>
      </c>
      <c r="CD113" s="230">
        <v>-105400</v>
      </c>
      <c r="CE113" s="229">
        <v>-5.7000000000000002E-3</v>
      </c>
      <c r="CF113" s="230">
        <v>926500</v>
      </c>
      <c r="CG113" s="230">
        <v>779450</v>
      </c>
      <c r="CH113" s="230">
        <v>147050</v>
      </c>
      <c r="CI113" s="229">
        <v>0.18870000000000001</v>
      </c>
      <c r="CJ113" s="230">
        <v>63750</v>
      </c>
      <c r="CK113" s="230">
        <v>62050</v>
      </c>
      <c r="CL113" s="230">
        <v>1700</v>
      </c>
      <c r="CM113" s="229">
        <v>2.7400000000000001E-2</v>
      </c>
      <c r="CN113" s="230">
        <v>7015900</v>
      </c>
      <c r="CO113" s="230">
        <v>6518650</v>
      </c>
      <c r="CP113" s="230">
        <v>497250</v>
      </c>
      <c r="CQ113" s="229">
        <v>7.6300000000000007E-2</v>
      </c>
      <c r="CR113" s="230">
        <v>3997550</v>
      </c>
      <c r="CS113" s="230">
        <v>3792700</v>
      </c>
      <c r="CT113" s="230">
        <v>204850</v>
      </c>
      <c r="CU113" s="229">
        <v>5.3999999999999999E-2</v>
      </c>
      <c r="CV113" s="230">
        <v>30324600</v>
      </c>
      <c r="CW113" s="230">
        <v>29579150</v>
      </c>
      <c r="CX113" s="230">
        <v>745450</v>
      </c>
      <c r="CY113" s="229">
        <v>2.52E-2</v>
      </c>
      <c r="CZ113" s="228">
        <v>33.090000000000003</v>
      </c>
      <c r="DA113" s="228">
        <v>35.31</v>
      </c>
      <c r="DB113" s="228">
        <v>-2.2200000000000002</v>
      </c>
      <c r="DC113" s="228">
        <v>-2.2200000000000002</v>
      </c>
      <c r="DD113" s="228">
        <v>38.549999999999997</v>
      </c>
      <c r="DE113" s="228">
        <v>38.6</v>
      </c>
      <c r="DF113" s="228">
        <v>-5.46</v>
      </c>
      <c r="DG113" s="228">
        <v>-0.05</v>
      </c>
      <c r="DH113" s="228">
        <v>32.82</v>
      </c>
      <c r="DI113" s="228">
        <v>35.049999999999997</v>
      </c>
      <c r="DJ113" s="228">
        <v>-2.23</v>
      </c>
      <c r="DK113" s="228">
        <v>-2.23</v>
      </c>
      <c r="DL113" s="228">
        <v>34.06</v>
      </c>
      <c r="DM113" s="228">
        <v>35.799999999999997</v>
      </c>
      <c r="DN113" s="228">
        <v>-1.74</v>
      </c>
      <c r="DO113" s="228">
        <v>-1.74</v>
      </c>
      <c r="DP113" s="228">
        <v>0.56999999999999995</v>
      </c>
      <c r="DQ113" s="228">
        <v>0.57999999999999996</v>
      </c>
      <c r="DR113" s="228">
        <v>-0.01</v>
      </c>
      <c r="DS113" s="229">
        <v>-1.72E-2</v>
      </c>
      <c r="DT113" s="231">
        <v>1100</v>
      </c>
      <c r="DU113" s="231">
        <v>1000</v>
      </c>
      <c r="DV113" s="228">
        <v>0.28000000000000003</v>
      </c>
      <c r="DW113" s="228">
        <v>0.54</v>
      </c>
      <c r="DX113" s="228">
        <v>-0.26</v>
      </c>
      <c r="DY113" s="229">
        <v>-0.48149999999999998</v>
      </c>
      <c r="DZ113" s="229">
        <v>5.1299999999999998E-2</v>
      </c>
      <c r="EA113" s="230">
        <v>841500</v>
      </c>
      <c r="EB113" s="229">
        <v>8.0999999999999996E-3</v>
      </c>
      <c r="EC113" s="229">
        <v>5.1299999999999998E-2</v>
      </c>
      <c r="ED113" s="228">
        <v>5.45</v>
      </c>
      <c r="EE113" s="229">
        <v>5.1999999999999998E-3</v>
      </c>
      <c r="EF113" s="230">
        <v>443208</v>
      </c>
      <c r="EG113" s="230">
        <v>718629</v>
      </c>
      <c r="EH113" s="229">
        <v>-0.38329999999999997</v>
      </c>
      <c r="EI113" s="229">
        <v>0.45350000000000001</v>
      </c>
      <c r="EJ113" s="231">
        <v>78776.820000000007</v>
      </c>
      <c r="EK113" s="231">
        <v>20403.689999999999</v>
      </c>
      <c r="EL113" s="231">
        <v>33130.19</v>
      </c>
      <c r="EM113" s="231">
        <v>4384</v>
      </c>
      <c r="EN113" s="231">
        <v>132310.70000000001</v>
      </c>
      <c r="EO113" s="231">
        <v>150103.07</v>
      </c>
      <c r="EP113" s="231">
        <v>-17792.37</v>
      </c>
      <c r="EQ113" s="229">
        <v>-0.11849999999999999</v>
      </c>
      <c r="ER113" s="231">
        <v>76472</v>
      </c>
      <c r="ES113" s="231">
        <v>41195</v>
      </c>
      <c r="ET113" s="231">
        <v>202892</v>
      </c>
      <c r="EU113" s="231">
        <v>58629477</v>
      </c>
      <c r="EV113" s="231">
        <v>320560</v>
      </c>
      <c r="EW113" s="231">
        <v>309703</v>
      </c>
      <c r="EX113" s="231">
        <v>10857</v>
      </c>
      <c r="EY113" s="229">
        <v>3.5099999999999999E-2</v>
      </c>
      <c r="EZ113" s="229">
        <v>0.51719999999999999</v>
      </c>
      <c r="FA113" s="227" t="s">
        <v>555</v>
      </c>
      <c r="FB113" s="161">
        <f t="shared" si="1"/>
        <v>990250</v>
      </c>
    </row>
    <row r="114" spans="1:158" ht="17.25" thickBot="1" x14ac:dyDescent="0.3">
      <c r="A114" s="226">
        <v>46086</v>
      </c>
      <c r="B114" s="227" t="s">
        <v>175</v>
      </c>
      <c r="C114" s="227" t="s">
        <v>248</v>
      </c>
      <c r="D114" s="228">
        <v>1000</v>
      </c>
      <c r="E114" s="228">
        <v>523.65</v>
      </c>
      <c r="F114" s="228">
        <v>518.85</v>
      </c>
      <c r="G114" s="228">
        <v>4.8</v>
      </c>
      <c r="H114" s="229">
        <v>9.2999999999999992E-3</v>
      </c>
      <c r="I114" s="228">
        <v>521.4</v>
      </c>
      <c r="J114" s="228">
        <v>518</v>
      </c>
      <c r="K114" s="228">
        <v>3.4</v>
      </c>
      <c r="L114" s="229">
        <v>6.6E-3</v>
      </c>
      <c r="M114" s="228">
        <v>523.65</v>
      </c>
      <c r="N114" s="228">
        <v>518.85</v>
      </c>
      <c r="O114" s="228">
        <v>4.8</v>
      </c>
      <c r="P114" s="229">
        <v>9.2999999999999992E-3</v>
      </c>
      <c r="Q114" s="228">
        <v>527.15</v>
      </c>
      <c r="R114" s="228">
        <v>522.04999999999995</v>
      </c>
      <c r="S114" s="228">
        <v>5.0999999999999996</v>
      </c>
      <c r="T114" s="229">
        <v>9.7999999999999997E-3</v>
      </c>
      <c r="U114" s="228">
        <v>525.5</v>
      </c>
      <c r="V114" s="228">
        <v>528</v>
      </c>
      <c r="W114" s="228">
        <v>-2.5</v>
      </c>
      <c r="X114" s="229">
        <v>-4.7000000000000002E-3</v>
      </c>
      <c r="Y114" s="228">
        <v>2.25</v>
      </c>
      <c r="Z114" s="228">
        <v>0.85</v>
      </c>
      <c r="AA114" s="228">
        <v>1.4</v>
      </c>
      <c r="AB114" s="229">
        <v>4.3E-3</v>
      </c>
      <c r="AC114" s="228">
        <v>2.25</v>
      </c>
      <c r="AD114" s="228">
        <v>0.85</v>
      </c>
      <c r="AE114" s="228">
        <v>1.4</v>
      </c>
      <c r="AF114" s="229">
        <v>4.3E-3</v>
      </c>
      <c r="AG114" s="228">
        <v>5.75</v>
      </c>
      <c r="AH114" s="228">
        <v>4.05</v>
      </c>
      <c r="AI114" s="228">
        <v>1.7</v>
      </c>
      <c r="AJ114" s="229">
        <v>1.0999999999999999E-2</v>
      </c>
      <c r="AK114" s="228">
        <v>4.0999999999999996</v>
      </c>
      <c r="AL114" s="228">
        <v>10</v>
      </c>
      <c r="AM114" s="228">
        <v>-5.9</v>
      </c>
      <c r="AN114" s="229">
        <v>7.9000000000000008E-3</v>
      </c>
      <c r="AO114" s="228">
        <v>519.61</v>
      </c>
      <c r="AP114" s="228">
        <v>522.88</v>
      </c>
      <c r="AQ114" s="228">
        <v>0</v>
      </c>
      <c r="AR114" s="230">
        <v>9988000</v>
      </c>
      <c r="AS114" s="230">
        <v>3300000</v>
      </c>
      <c r="AT114" s="230">
        <v>6688000</v>
      </c>
      <c r="AU114" s="229">
        <v>2.0266999999999999</v>
      </c>
      <c r="AV114" s="230">
        <v>3094000</v>
      </c>
      <c r="AW114" s="230">
        <v>3031000</v>
      </c>
      <c r="AX114" s="230">
        <v>63000</v>
      </c>
      <c r="AY114" s="229">
        <v>2.0799999999999999E-2</v>
      </c>
      <c r="AZ114" s="230">
        <v>6886000</v>
      </c>
      <c r="BA114" s="230">
        <v>230000</v>
      </c>
      <c r="BB114" s="230">
        <v>6656000</v>
      </c>
      <c r="BC114" s="229">
        <v>28.9391</v>
      </c>
      <c r="BD114" s="230">
        <v>8000</v>
      </c>
      <c r="BE114" s="230">
        <v>39000</v>
      </c>
      <c r="BF114" s="230">
        <v>-31000</v>
      </c>
      <c r="BG114" s="229">
        <v>-0.79490000000000005</v>
      </c>
      <c r="BH114" s="230">
        <v>3392000</v>
      </c>
      <c r="BI114" s="230">
        <v>6081000</v>
      </c>
      <c r="BJ114" s="230">
        <v>-2689000</v>
      </c>
      <c r="BK114" s="229">
        <v>-0.44219999999999998</v>
      </c>
      <c r="BL114" s="230">
        <v>2133000</v>
      </c>
      <c r="BM114" s="230">
        <v>3718000</v>
      </c>
      <c r="BN114" s="230">
        <v>-1585000</v>
      </c>
      <c r="BO114" s="229">
        <v>-0.42630000000000001</v>
      </c>
      <c r="BP114" s="230">
        <v>15513000</v>
      </c>
      <c r="BQ114" s="230">
        <v>13099000</v>
      </c>
      <c r="BR114" s="230">
        <v>2414000</v>
      </c>
      <c r="BS114" s="229">
        <v>0.18429999999999999</v>
      </c>
      <c r="BT114" s="230">
        <v>764567</v>
      </c>
      <c r="BU114" s="230">
        <v>1861522</v>
      </c>
      <c r="BV114" s="230">
        <v>-1096955</v>
      </c>
      <c r="BW114" s="229">
        <v>-0.58930000000000005</v>
      </c>
      <c r="BX114" s="230">
        <v>32059000</v>
      </c>
      <c r="BY114" s="230">
        <v>31725000</v>
      </c>
      <c r="BZ114" s="230">
        <v>334000</v>
      </c>
      <c r="CA114" s="229">
        <v>1.0500000000000001E-2</v>
      </c>
      <c r="CB114" s="230">
        <v>27891000</v>
      </c>
      <c r="CC114" s="230">
        <v>27891000</v>
      </c>
      <c r="CD114" s="228">
        <v>0</v>
      </c>
      <c r="CE114" s="229">
        <v>0</v>
      </c>
      <c r="CF114" s="230">
        <v>4111000</v>
      </c>
      <c r="CG114" s="230">
        <v>3781000</v>
      </c>
      <c r="CH114" s="230">
        <v>330000</v>
      </c>
      <c r="CI114" s="229">
        <v>8.7300000000000003E-2</v>
      </c>
      <c r="CJ114" s="230">
        <v>57000</v>
      </c>
      <c r="CK114" s="230">
        <v>53000</v>
      </c>
      <c r="CL114" s="230">
        <v>4000</v>
      </c>
      <c r="CM114" s="229">
        <v>7.5499999999999998E-2</v>
      </c>
      <c r="CN114" s="230">
        <v>6343000</v>
      </c>
      <c r="CO114" s="230">
        <v>6337000</v>
      </c>
      <c r="CP114" s="230">
        <v>6000</v>
      </c>
      <c r="CQ114" s="229">
        <v>8.9999999999999998E-4</v>
      </c>
      <c r="CR114" s="230">
        <v>5785000</v>
      </c>
      <c r="CS114" s="230">
        <v>5679000</v>
      </c>
      <c r="CT114" s="230">
        <v>106000</v>
      </c>
      <c r="CU114" s="229">
        <v>1.8700000000000001E-2</v>
      </c>
      <c r="CV114" s="230">
        <v>44187000</v>
      </c>
      <c r="CW114" s="230">
        <v>43741000</v>
      </c>
      <c r="CX114" s="230">
        <v>446000</v>
      </c>
      <c r="CY114" s="229">
        <v>1.0200000000000001E-2</v>
      </c>
      <c r="CZ114" s="228">
        <v>25.26</v>
      </c>
      <c r="DA114" s="228">
        <v>27.14</v>
      </c>
      <c r="DB114" s="228">
        <v>-1.88</v>
      </c>
      <c r="DC114" s="228">
        <v>-1.88</v>
      </c>
      <c r="DD114" s="228">
        <v>31.6</v>
      </c>
      <c r="DE114" s="228">
        <v>31.66</v>
      </c>
      <c r="DF114" s="228">
        <v>-6.34</v>
      </c>
      <c r="DG114" s="228">
        <v>-0.06</v>
      </c>
      <c r="DH114" s="228">
        <v>24.13</v>
      </c>
      <c r="DI114" s="228">
        <v>26.12</v>
      </c>
      <c r="DJ114" s="228">
        <v>-1.99</v>
      </c>
      <c r="DK114" s="228">
        <v>-1.99</v>
      </c>
      <c r="DL114" s="228">
        <v>27.05</v>
      </c>
      <c r="DM114" s="228">
        <v>28.8</v>
      </c>
      <c r="DN114" s="228">
        <v>-1.75</v>
      </c>
      <c r="DO114" s="228">
        <v>-1.75</v>
      </c>
      <c r="DP114" s="228">
        <v>0.91</v>
      </c>
      <c r="DQ114" s="228">
        <v>0.9</v>
      </c>
      <c r="DR114" s="228">
        <v>0.01</v>
      </c>
      <c r="DS114" s="229">
        <v>1.11E-2</v>
      </c>
      <c r="DT114" s="228">
        <v>550</v>
      </c>
      <c r="DU114" s="228">
        <v>500</v>
      </c>
      <c r="DV114" s="228">
        <v>0.63</v>
      </c>
      <c r="DW114" s="228">
        <v>0.61</v>
      </c>
      <c r="DX114" s="228">
        <v>0.02</v>
      </c>
      <c r="DY114" s="229">
        <v>3.2800000000000003E-2</v>
      </c>
      <c r="DZ114" s="229">
        <v>0.13</v>
      </c>
      <c r="EA114" s="230">
        <v>3834000</v>
      </c>
      <c r="EB114" s="229">
        <v>6.7000000000000002E-3</v>
      </c>
      <c r="EC114" s="229">
        <v>0.13</v>
      </c>
      <c r="ED114" s="228">
        <v>3.27</v>
      </c>
      <c r="EE114" s="229">
        <v>6.3E-3</v>
      </c>
      <c r="EF114" s="230">
        <v>347592</v>
      </c>
      <c r="EG114" s="230">
        <v>900166</v>
      </c>
      <c r="EH114" s="229">
        <v>-0.6139</v>
      </c>
      <c r="EI114" s="229">
        <v>0.4546</v>
      </c>
      <c r="EJ114" s="231">
        <v>18480.87</v>
      </c>
      <c r="EK114" s="231">
        <v>10977.5</v>
      </c>
      <c r="EL114" s="231">
        <v>52124.25</v>
      </c>
      <c r="EM114" s="231">
        <v>4203</v>
      </c>
      <c r="EN114" s="231">
        <v>81582.62</v>
      </c>
      <c r="EO114" s="231">
        <v>69608.19</v>
      </c>
      <c r="EP114" s="231">
        <v>11974.43</v>
      </c>
      <c r="EQ114" s="229">
        <v>0.17199999999999999</v>
      </c>
      <c r="ER114" s="231">
        <v>34773</v>
      </c>
      <c r="ES114" s="231">
        <v>30605</v>
      </c>
      <c r="ET114" s="231">
        <v>168022</v>
      </c>
      <c r="EU114" s="231">
        <v>45183075</v>
      </c>
      <c r="EV114" s="231">
        <v>233399</v>
      </c>
      <c r="EW114" s="231">
        <v>229559</v>
      </c>
      <c r="EX114" s="231">
        <v>3840</v>
      </c>
      <c r="EY114" s="229">
        <v>1.67E-2</v>
      </c>
      <c r="EZ114" s="229">
        <v>0.97799999999999998</v>
      </c>
      <c r="FA114" s="227" t="s">
        <v>555</v>
      </c>
      <c r="FB114" s="161">
        <f t="shared" si="1"/>
        <v>4168000</v>
      </c>
    </row>
    <row r="115" spans="1:158" ht="17.25" thickBot="1" x14ac:dyDescent="0.3">
      <c r="A115" s="226">
        <v>46086</v>
      </c>
      <c r="B115" s="227" t="s">
        <v>175</v>
      </c>
      <c r="C115" s="227" t="s">
        <v>607</v>
      </c>
      <c r="D115" s="228">
        <v>700</v>
      </c>
      <c r="E115" s="228">
        <v>832.2</v>
      </c>
      <c r="F115" s="228">
        <v>827</v>
      </c>
      <c r="G115" s="228">
        <v>5.2</v>
      </c>
      <c r="H115" s="229">
        <v>6.3E-3</v>
      </c>
      <c r="I115" s="228">
        <v>832.95</v>
      </c>
      <c r="J115" s="228">
        <v>828.05</v>
      </c>
      <c r="K115" s="228">
        <v>4.9000000000000004</v>
      </c>
      <c r="L115" s="229">
        <v>5.8999999999999999E-3</v>
      </c>
      <c r="M115" s="228">
        <v>832.2</v>
      </c>
      <c r="N115" s="228">
        <v>827</v>
      </c>
      <c r="O115" s="228">
        <v>5.2</v>
      </c>
      <c r="P115" s="229">
        <v>6.3E-3</v>
      </c>
      <c r="Q115" s="228">
        <v>838</v>
      </c>
      <c r="R115" s="228">
        <v>831.85</v>
      </c>
      <c r="S115" s="228">
        <v>6.15</v>
      </c>
      <c r="T115" s="229">
        <v>7.4000000000000003E-3</v>
      </c>
      <c r="U115" s="228">
        <v>842.9</v>
      </c>
      <c r="V115" s="228">
        <v>837.05</v>
      </c>
      <c r="W115" s="228">
        <v>5.85</v>
      </c>
      <c r="X115" s="229">
        <v>7.0000000000000001E-3</v>
      </c>
      <c r="Y115" s="228">
        <v>-0.75</v>
      </c>
      <c r="Z115" s="228">
        <v>-1.05</v>
      </c>
      <c r="AA115" s="228">
        <v>0.3</v>
      </c>
      <c r="AB115" s="229">
        <v>-8.9999999999999998E-4</v>
      </c>
      <c r="AC115" s="228">
        <v>-0.75</v>
      </c>
      <c r="AD115" s="228">
        <v>-1.05</v>
      </c>
      <c r="AE115" s="228">
        <v>0.3</v>
      </c>
      <c r="AF115" s="229">
        <v>-8.9999999999999998E-4</v>
      </c>
      <c r="AG115" s="228">
        <v>5.05</v>
      </c>
      <c r="AH115" s="228">
        <v>3.8</v>
      </c>
      <c r="AI115" s="228">
        <v>1.25</v>
      </c>
      <c r="AJ115" s="229">
        <v>6.1000000000000004E-3</v>
      </c>
      <c r="AK115" s="228">
        <v>9.9499999999999993</v>
      </c>
      <c r="AL115" s="228">
        <v>9</v>
      </c>
      <c r="AM115" s="228">
        <v>0.95</v>
      </c>
      <c r="AN115" s="229">
        <v>1.1900000000000001E-2</v>
      </c>
      <c r="AO115" s="228">
        <v>827.51</v>
      </c>
      <c r="AP115" s="228">
        <v>832.32</v>
      </c>
      <c r="AQ115" s="228">
        <v>0</v>
      </c>
      <c r="AR115" s="230">
        <v>1571500</v>
      </c>
      <c r="AS115" s="230">
        <v>1799000</v>
      </c>
      <c r="AT115" s="230">
        <v>-227500</v>
      </c>
      <c r="AU115" s="229">
        <v>-0.1265</v>
      </c>
      <c r="AV115" s="230">
        <v>1400700</v>
      </c>
      <c r="AW115" s="230">
        <v>1668100</v>
      </c>
      <c r="AX115" s="230">
        <v>-267400</v>
      </c>
      <c r="AY115" s="229">
        <v>-0.1603</v>
      </c>
      <c r="AZ115" s="230">
        <v>154000</v>
      </c>
      <c r="BA115" s="230">
        <v>119700</v>
      </c>
      <c r="BB115" s="230">
        <v>34300</v>
      </c>
      <c r="BC115" s="229">
        <v>0.28649999999999998</v>
      </c>
      <c r="BD115" s="230">
        <v>16800</v>
      </c>
      <c r="BE115" s="230">
        <v>11200</v>
      </c>
      <c r="BF115" s="230">
        <v>5600</v>
      </c>
      <c r="BG115" s="229">
        <v>0.5</v>
      </c>
      <c r="BH115" s="230">
        <v>2128700</v>
      </c>
      <c r="BI115" s="230">
        <v>2846200</v>
      </c>
      <c r="BJ115" s="230">
        <v>-717500</v>
      </c>
      <c r="BK115" s="229">
        <v>-0.25209999999999999</v>
      </c>
      <c r="BL115" s="230">
        <v>885500</v>
      </c>
      <c r="BM115" s="230">
        <v>1799000</v>
      </c>
      <c r="BN115" s="230">
        <v>-913500</v>
      </c>
      <c r="BO115" s="229">
        <v>-0.50780000000000003</v>
      </c>
      <c r="BP115" s="230">
        <v>4585700</v>
      </c>
      <c r="BQ115" s="230">
        <v>6444200</v>
      </c>
      <c r="BR115" s="230">
        <v>-1858500</v>
      </c>
      <c r="BS115" s="229">
        <v>-0.28839999999999999</v>
      </c>
      <c r="BT115" s="230">
        <v>1162524</v>
      </c>
      <c r="BU115" s="230">
        <v>1321152</v>
      </c>
      <c r="BV115" s="230">
        <v>-158628</v>
      </c>
      <c r="BW115" s="229">
        <v>-0.1201</v>
      </c>
      <c r="BX115" s="230">
        <v>10297000</v>
      </c>
      <c r="BY115" s="230">
        <v>10367000</v>
      </c>
      <c r="BZ115" s="230">
        <v>-70000</v>
      </c>
      <c r="CA115" s="229">
        <v>-6.7999999999999996E-3</v>
      </c>
      <c r="CB115" s="230">
        <v>9501800</v>
      </c>
      <c r="CC115" s="230">
        <v>9615900</v>
      </c>
      <c r="CD115" s="230">
        <v>-114100</v>
      </c>
      <c r="CE115" s="229">
        <v>-1.1900000000000001E-2</v>
      </c>
      <c r="CF115" s="230">
        <v>753200</v>
      </c>
      <c r="CG115" s="230">
        <v>714700</v>
      </c>
      <c r="CH115" s="230">
        <v>38500</v>
      </c>
      <c r="CI115" s="229">
        <v>5.3900000000000003E-2</v>
      </c>
      <c r="CJ115" s="230">
        <v>42000</v>
      </c>
      <c r="CK115" s="230">
        <v>36400</v>
      </c>
      <c r="CL115" s="230">
        <v>5600</v>
      </c>
      <c r="CM115" s="229">
        <v>0.15379999999999999</v>
      </c>
      <c r="CN115" s="230">
        <v>5096700</v>
      </c>
      <c r="CO115" s="230">
        <v>4764900</v>
      </c>
      <c r="CP115" s="230">
        <v>331800</v>
      </c>
      <c r="CQ115" s="229">
        <v>6.9599999999999995E-2</v>
      </c>
      <c r="CR115" s="230">
        <v>2420600</v>
      </c>
      <c r="CS115" s="230">
        <v>2390500</v>
      </c>
      <c r="CT115" s="230">
        <v>30100</v>
      </c>
      <c r="CU115" s="229">
        <v>1.26E-2</v>
      </c>
      <c r="CV115" s="230">
        <v>17814300</v>
      </c>
      <c r="CW115" s="230">
        <v>17522400</v>
      </c>
      <c r="CX115" s="230">
        <v>291900</v>
      </c>
      <c r="CY115" s="229">
        <v>1.67E-2</v>
      </c>
      <c r="CZ115" s="228">
        <v>24.36</v>
      </c>
      <c r="DA115" s="228">
        <v>25.43</v>
      </c>
      <c r="DB115" s="228">
        <v>-1.07</v>
      </c>
      <c r="DC115" s="228">
        <v>-1.07</v>
      </c>
      <c r="DD115" s="228">
        <v>30.48</v>
      </c>
      <c r="DE115" s="228">
        <v>30.54</v>
      </c>
      <c r="DF115" s="228">
        <v>-6.12</v>
      </c>
      <c r="DG115" s="228">
        <v>-0.06</v>
      </c>
      <c r="DH115" s="228">
        <v>24.72</v>
      </c>
      <c r="DI115" s="228">
        <v>25.44</v>
      </c>
      <c r="DJ115" s="228">
        <v>-0.72</v>
      </c>
      <c r="DK115" s="228">
        <v>-0.72</v>
      </c>
      <c r="DL115" s="228">
        <v>23.5</v>
      </c>
      <c r="DM115" s="228">
        <v>25.43</v>
      </c>
      <c r="DN115" s="228">
        <v>-1.93</v>
      </c>
      <c r="DO115" s="228">
        <v>-1.93</v>
      </c>
      <c r="DP115" s="228">
        <v>0.47</v>
      </c>
      <c r="DQ115" s="228">
        <v>0.5</v>
      </c>
      <c r="DR115" s="228">
        <v>-0.03</v>
      </c>
      <c r="DS115" s="229">
        <v>-0.06</v>
      </c>
      <c r="DT115" s="228">
        <v>900</v>
      </c>
      <c r="DU115" s="228">
        <v>800</v>
      </c>
      <c r="DV115" s="228">
        <v>0.42</v>
      </c>
      <c r="DW115" s="228">
        <v>0.63</v>
      </c>
      <c r="DX115" s="228">
        <v>-0.21</v>
      </c>
      <c r="DY115" s="229">
        <v>-0.33329999999999999</v>
      </c>
      <c r="DZ115" s="229">
        <v>7.7200000000000005E-2</v>
      </c>
      <c r="EA115" s="230">
        <v>751100</v>
      </c>
      <c r="EB115" s="229">
        <v>7.0000000000000001E-3</v>
      </c>
      <c r="EC115" s="229">
        <v>7.7200000000000005E-2</v>
      </c>
      <c r="ED115" s="228">
        <v>4.8099999999999996</v>
      </c>
      <c r="EE115" s="229">
        <v>5.7999999999999996E-3</v>
      </c>
      <c r="EF115" s="230">
        <v>564729</v>
      </c>
      <c r="EG115" s="230">
        <v>687862</v>
      </c>
      <c r="EH115" s="229">
        <v>-0.17899999999999999</v>
      </c>
      <c r="EI115" s="229">
        <v>0.48580000000000001</v>
      </c>
      <c r="EJ115" s="231">
        <v>19130.740000000002</v>
      </c>
      <c r="EK115" s="231">
        <v>7368.58</v>
      </c>
      <c r="EL115" s="231">
        <v>13013.7</v>
      </c>
      <c r="EM115" s="231">
        <v>2661</v>
      </c>
      <c r="EN115" s="231">
        <v>39513.019999999997</v>
      </c>
      <c r="EO115" s="231">
        <v>55230.81</v>
      </c>
      <c r="EP115" s="231">
        <v>-15717.79</v>
      </c>
      <c r="EQ115" s="229">
        <v>-0.28460000000000002</v>
      </c>
      <c r="ER115" s="231">
        <v>46727</v>
      </c>
      <c r="ES115" s="231">
        <v>20211</v>
      </c>
      <c r="ET115" s="231">
        <v>85740</v>
      </c>
      <c r="EU115" s="231">
        <v>33206238</v>
      </c>
      <c r="EV115" s="231">
        <v>152677</v>
      </c>
      <c r="EW115" s="231">
        <v>149337</v>
      </c>
      <c r="EX115" s="231">
        <v>3340</v>
      </c>
      <c r="EY115" s="229">
        <v>2.24E-2</v>
      </c>
      <c r="EZ115" s="229">
        <v>0.53649999999999998</v>
      </c>
      <c r="FA115" s="227" t="s">
        <v>556</v>
      </c>
      <c r="FB115" s="161">
        <f t="shared" si="1"/>
        <v>795200</v>
      </c>
    </row>
    <row r="116" spans="1:158" ht="17.25" thickBot="1" x14ac:dyDescent="0.3">
      <c r="A116" s="226">
        <v>46086</v>
      </c>
      <c r="B116" s="227" t="s">
        <v>206</v>
      </c>
      <c r="C116" s="227" t="s">
        <v>588</v>
      </c>
      <c r="D116" s="228">
        <v>450</v>
      </c>
      <c r="E116" s="228">
        <v>920.85</v>
      </c>
      <c r="F116" s="228">
        <v>917.6</v>
      </c>
      <c r="G116" s="228">
        <v>3.25</v>
      </c>
      <c r="H116" s="229">
        <v>3.5000000000000001E-3</v>
      </c>
      <c r="I116" s="228">
        <v>916.25</v>
      </c>
      <c r="J116" s="228">
        <v>912.85</v>
      </c>
      <c r="K116" s="228">
        <v>3.4</v>
      </c>
      <c r="L116" s="229">
        <v>3.7000000000000002E-3</v>
      </c>
      <c r="M116" s="228">
        <v>920.85</v>
      </c>
      <c r="N116" s="228">
        <v>917.6</v>
      </c>
      <c r="O116" s="228">
        <v>3.25</v>
      </c>
      <c r="P116" s="229">
        <v>3.5000000000000001E-3</v>
      </c>
      <c r="Q116" s="228">
        <v>927.35</v>
      </c>
      <c r="R116" s="228">
        <v>921.45</v>
      </c>
      <c r="S116" s="228">
        <v>5.9</v>
      </c>
      <c r="T116" s="229">
        <v>6.4000000000000003E-3</v>
      </c>
      <c r="U116" s="228">
        <v>935</v>
      </c>
      <c r="V116" s="228">
        <v>926.65</v>
      </c>
      <c r="W116" s="228">
        <v>8.35</v>
      </c>
      <c r="X116" s="229">
        <v>8.9999999999999993E-3</v>
      </c>
      <c r="Y116" s="228">
        <v>4.5999999999999996</v>
      </c>
      <c r="Z116" s="228">
        <v>4.75</v>
      </c>
      <c r="AA116" s="228">
        <v>-0.15</v>
      </c>
      <c r="AB116" s="229">
        <v>5.0000000000000001E-3</v>
      </c>
      <c r="AC116" s="228">
        <v>4.5999999999999996</v>
      </c>
      <c r="AD116" s="228">
        <v>4.75</v>
      </c>
      <c r="AE116" s="228">
        <v>-0.15</v>
      </c>
      <c r="AF116" s="229">
        <v>5.0000000000000001E-3</v>
      </c>
      <c r="AG116" s="228">
        <v>11.1</v>
      </c>
      <c r="AH116" s="228">
        <v>8.6</v>
      </c>
      <c r="AI116" s="228">
        <v>2.5</v>
      </c>
      <c r="AJ116" s="229">
        <v>1.21E-2</v>
      </c>
      <c r="AK116" s="228">
        <v>18.75</v>
      </c>
      <c r="AL116" s="228">
        <v>13.8</v>
      </c>
      <c r="AM116" s="228">
        <v>4.95</v>
      </c>
      <c r="AN116" s="229">
        <v>2.0500000000000001E-2</v>
      </c>
      <c r="AO116" s="228">
        <v>919.37</v>
      </c>
      <c r="AP116" s="228">
        <v>926.5</v>
      </c>
      <c r="AQ116" s="228">
        <v>0</v>
      </c>
      <c r="AR116" s="230">
        <v>1844550</v>
      </c>
      <c r="AS116" s="230">
        <v>3321450</v>
      </c>
      <c r="AT116" s="230">
        <v>-1476900</v>
      </c>
      <c r="AU116" s="229">
        <v>-0.44469999999999998</v>
      </c>
      <c r="AV116" s="230">
        <v>1751400</v>
      </c>
      <c r="AW116" s="230">
        <v>3072150</v>
      </c>
      <c r="AX116" s="230">
        <v>-1320750</v>
      </c>
      <c r="AY116" s="229">
        <v>-0.4299</v>
      </c>
      <c r="AZ116" s="230">
        <v>83700</v>
      </c>
      <c r="BA116" s="230">
        <v>220500</v>
      </c>
      <c r="BB116" s="230">
        <v>-136800</v>
      </c>
      <c r="BC116" s="229">
        <v>-0.62039999999999995</v>
      </c>
      <c r="BD116" s="230">
        <v>9450</v>
      </c>
      <c r="BE116" s="230">
        <v>28800</v>
      </c>
      <c r="BF116" s="230">
        <v>-19350</v>
      </c>
      <c r="BG116" s="229">
        <v>-0.67190000000000005</v>
      </c>
      <c r="BH116" s="230">
        <v>1599300</v>
      </c>
      <c r="BI116" s="230">
        <v>3025800</v>
      </c>
      <c r="BJ116" s="230">
        <v>-1426500</v>
      </c>
      <c r="BK116" s="229">
        <v>-0.47139999999999999</v>
      </c>
      <c r="BL116" s="230">
        <v>1914300</v>
      </c>
      <c r="BM116" s="230">
        <v>4343400</v>
      </c>
      <c r="BN116" s="230">
        <v>-2429100</v>
      </c>
      <c r="BO116" s="229">
        <v>-0.55930000000000002</v>
      </c>
      <c r="BP116" s="230">
        <v>5358150</v>
      </c>
      <c r="BQ116" s="230">
        <v>10690650</v>
      </c>
      <c r="BR116" s="230">
        <v>-5332500</v>
      </c>
      <c r="BS116" s="229">
        <v>-0.49880000000000002</v>
      </c>
      <c r="BT116" s="230">
        <v>2062477</v>
      </c>
      <c r="BU116" s="230">
        <v>3462582</v>
      </c>
      <c r="BV116" s="230">
        <v>-1400105</v>
      </c>
      <c r="BW116" s="229">
        <v>-0.40439999999999998</v>
      </c>
      <c r="BX116" s="230">
        <v>9563400</v>
      </c>
      <c r="BY116" s="230">
        <v>9074250</v>
      </c>
      <c r="BZ116" s="230">
        <v>489150</v>
      </c>
      <c r="CA116" s="229">
        <v>5.3900000000000003E-2</v>
      </c>
      <c r="CB116" s="230">
        <v>9354600</v>
      </c>
      <c r="CC116" s="230">
        <v>8882550</v>
      </c>
      <c r="CD116" s="230">
        <v>472050</v>
      </c>
      <c r="CE116" s="229">
        <v>5.3100000000000001E-2</v>
      </c>
      <c r="CF116" s="230">
        <v>182250</v>
      </c>
      <c r="CG116" s="230">
        <v>166050</v>
      </c>
      <c r="CH116" s="230">
        <v>16200</v>
      </c>
      <c r="CI116" s="229">
        <v>9.7600000000000006E-2</v>
      </c>
      <c r="CJ116" s="230">
        <v>26550</v>
      </c>
      <c r="CK116" s="230">
        <v>25650</v>
      </c>
      <c r="CL116" s="228">
        <v>900</v>
      </c>
      <c r="CM116" s="229">
        <v>3.5099999999999999E-2</v>
      </c>
      <c r="CN116" s="230">
        <v>1993950</v>
      </c>
      <c r="CO116" s="230">
        <v>1749600</v>
      </c>
      <c r="CP116" s="230">
        <v>244350</v>
      </c>
      <c r="CQ116" s="229">
        <v>0.13969999999999999</v>
      </c>
      <c r="CR116" s="230">
        <v>2364300</v>
      </c>
      <c r="CS116" s="230">
        <v>1927800</v>
      </c>
      <c r="CT116" s="230">
        <v>436500</v>
      </c>
      <c r="CU116" s="229">
        <v>0.22639999999999999</v>
      </c>
      <c r="CV116" s="230">
        <v>13921650</v>
      </c>
      <c r="CW116" s="230">
        <v>12751650</v>
      </c>
      <c r="CX116" s="230">
        <v>1170000</v>
      </c>
      <c r="CY116" s="229">
        <v>9.1800000000000007E-2</v>
      </c>
      <c r="CZ116" s="228">
        <v>38.86</v>
      </c>
      <c r="DA116" s="228">
        <v>43.18</v>
      </c>
      <c r="DB116" s="228">
        <v>-4.32</v>
      </c>
      <c r="DC116" s="228">
        <v>-4.32</v>
      </c>
      <c r="DD116" s="228">
        <v>45.16</v>
      </c>
      <c r="DE116" s="228">
        <v>45.27</v>
      </c>
      <c r="DF116" s="228">
        <v>-6.3</v>
      </c>
      <c r="DG116" s="228">
        <v>-0.11</v>
      </c>
      <c r="DH116" s="228">
        <v>38.43</v>
      </c>
      <c r="DI116" s="228">
        <v>40.799999999999997</v>
      </c>
      <c r="DJ116" s="228">
        <v>-2.37</v>
      </c>
      <c r="DK116" s="228">
        <v>-2.37</v>
      </c>
      <c r="DL116" s="228">
        <v>39.22</v>
      </c>
      <c r="DM116" s="228">
        <v>44.84</v>
      </c>
      <c r="DN116" s="228">
        <v>-5.62</v>
      </c>
      <c r="DO116" s="228">
        <v>-5.62</v>
      </c>
      <c r="DP116" s="228">
        <v>1.19</v>
      </c>
      <c r="DQ116" s="228">
        <v>1.1000000000000001</v>
      </c>
      <c r="DR116" s="228">
        <v>0.09</v>
      </c>
      <c r="DS116" s="229">
        <v>8.1799999999999998E-2</v>
      </c>
      <c r="DT116" s="231">
        <v>1100</v>
      </c>
      <c r="DU116" s="228">
        <v>940</v>
      </c>
      <c r="DV116" s="228">
        <v>1.2</v>
      </c>
      <c r="DW116" s="228">
        <v>1.44</v>
      </c>
      <c r="DX116" s="228">
        <v>-0.24</v>
      </c>
      <c r="DY116" s="229">
        <v>-0.16669999999999999</v>
      </c>
      <c r="DZ116" s="229">
        <v>2.18E-2</v>
      </c>
      <c r="EA116" s="230">
        <v>191700</v>
      </c>
      <c r="EB116" s="229">
        <v>7.1000000000000004E-3</v>
      </c>
      <c r="EC116" s="229">
        <v>2.18E-2</v>
      </c>
      <c r="ED116" s="228">
        <v>7.13</v>
      </c>
      <c r="EE116" s="229">
        <v>7.7999999999999996E-3</v>
      </c>
      <c r="EF116" s="230">
        <v>1224340</v>
      </c>
      <c r="EG116" s="230">
        <v>2008693</v>
      </c>
      <c r="EH116" s="229">
        <v>-0.39050000000000001</v>
      </c>
      <c r="EI116" s="229">
        <v>0.59360000000000002</v>
      </c>
      <c r="EJ116" s="231">
        <v>15787.09</v>
      </c>
      <c r="EK116" s="231">
        <v>17931.849999999999</v>
      </c>
      <c r="EL116" s="231">
        <v>16965.52</v>
      </c>
      <c r="EM116" s="231">
        <v>4406</v>
      </c>
      <c r="EN116" s="231">
        <v>50684.46</v>
      </c>
      <c r="EO116" s="231">
        <v>101659.1</v>
      </c>
      <c r="EP116" s="231">
        <v>-50974.64</v>
      </c>
      <c r="EQ116" s="229">
        <v>-0.50139999999999996</v>
      </c>
      <c r="ER116" s="231">
        <v>20565</v>
      </c>
      <c r="ES116" s="231">
        <v>22354</v>
      </c>
      <c r="ET116" s="231">
        <v>88080</v>
      </c>
      <c r="EU116" s="231">
        <v>42126960</v>
      </c>
      <c r="EV116" s="231">
        <v>131000</v>
      </c>
      <c r="EW116" s="231">
        <v>119857</v>
      </c>
      <c r="EX116" s="231">
        <v>11143</v>
      </c>
      <c r="EY116" s="229">
        <v>9.2999999999999999E-2</v>
      </c>
      <c r="EZ116" s="229">
        <v>0.33050000000000002</v>
      </c>
      <c r="FA116" s="227" t="s">
        <v>555</v>
      </c>
      <c r="FB116" s="161">
        <f t="shared" si="1"/>
        <v>208800</v>
      </c>
    </row>
    <row r="117" spans="1:158" ht="17.25" thickBot="1" x14ac:dyDescent="0.3">
      <c r="A117" s="226">
        <v>46086</v>
      </c>
      <c r="B117" s="227" t="s">
        <v>184</v>
      </c>
      <c r="C117" s="227" t="s">
        <v>249</v>
      </c>
      <c r="D117" s="228">
        <v>175</v>
      </c>
      <c r="E117" s="231">
        <v>4039.9</v>
      </c>
      <c r="F117" s="231">
        <v>3888.8</v>
      </c>
      <c r="G117" s="228">
        <v>151.1</v>
      </c>
      <c r="H117" s="229">
        <v>3.8899999999999997E-2</v>
      </c>
      <c r="I117" s="231">
        <v>4038.7</v>
      </c>
      <c r="J117" s="231">
        <v>3882.6</v>
      </c>
      <c r="K117" s="228">
        <v>156.1</v>
      </c>
      <c r="L117" s="229">
        <v>4.02E-2</v>
      </c>
      <c r="M117" s="231">
        <v>4039.9</v>
      </c>
      <c r="N117" s="231">
        <v>3888.8</v>
      </c>
      <c r="O117" s="228">
        <v>151.1</v>
      </c>
      <c r="P117" s="229">
        <v>3.8899999999999997E-2</v>
      </c>
      <c r="Q117" s="231">
        <v>4062.7</v>
      </c>
      <c r="R117" s="231">
        <v>3913.4</v>
      </c>
      <c r="S117" s="228">
        <v>149.30000000000001</v>
      </c>
      <c r="T117" s="229">
        <v>3.8199999999999998E-2</v>
      </c>
      <c r="U117" s="231">
        <v>4077.3</v>
      </c>
      <c r="V117" s="231">
        <v>3934.2</v>
      </c>
      <c r="W117" s="228">
        <v>143.1</v>
      </c>
      <c r="X117" s="229">
        <v>3.6400000000000002E-2</v>
      </c>
      <c r="Y117" s="228">
        <v>1.2</v>
      </c>
      <c r="Z117" s="228">
        <v>6.2</v>
      </c>
      <c r="AA117" s="228">
        <v>-5</v>
      </c>
      <c r="AB117" s="229">
        <v>2.9999999999999997E-4</v>
      </c>
      <c r="AC117" s="228">
        <v>1.2</v>
      </c>
      <c r="AD117" s="228">
        <v>6.2</v>
      </c>
      <c r="AE117" s="228">
        <v>-5</v>
      </c>
      <c r="AF117" s="229">
        <v>2.9999999999999997E-4</v>
      </c>
      <c r="AG117" s="228">
        <v>24</v>
      </c>
      <c r="AH117" s="228">
        <v>30.8</v>
      </c>
      <c r="AI117" s="228">
        <v>-6.8</v>
      </c>
      <c r="AJ117" s="229">
        <v>5.8999999999999999E-3</v>
      </c>
      <c r="AK117" s="228">
        <v>38.6</v>
      </c>
      <c r="AL117" s="228">
        <v>51.6</v>
      </c>
      <c r="AM117" s="228">
        <v>-13</v>
      </c>
      <c r="AN117" s="229">
        <v>9.5999999999999992E-3</v>
      </c>
      <c r="AO117" s="231">
        <v>4005.12</v>
      </c>
      <c r="AP117" s="231">
        <v>4024.43</v>
      </c>
      <c r="AQ117" s="228">
        <v>0</v>
      </c>
      <c r="AR117" s="230">
        <v>6359500</v>
      </c>
      <c r="AS117" s="230">
        <v>5808075</v>
      </c>
      <c r="AT117" s="230">
        <v>551425</v>
      </c>
      <c r="AU117" s="229">
        <v>9.4899999999999998E-2</v>
      </c>
      <c r="AV117" s="230">
        <v>6069350</v>
      </c>
      <c r="AW117" s="230">
        <v>5426050</v>
      </c>
      <c r="AX117" s="230">
        <v>643300</v>
      </c>
      <c r="AY117" s="229">
        <v>0.1186</v>
      </c>
      <c r="AZ117" s="230">
        <v>252525</v>
      </c>
      <c r="BA117" s="230">
        <v>295225</v>
      </c>
      <c r="BB117" s="230">
        <v>-42700</v>
      </c>
      <c r="BC117" s="229">
        <v>-0.14460000000000001</v>
      </c>
      <c r="BD117" s="230">
        <v>37625</v>
      </c>
      <c r="BE117" s="230">
        <v>86800</v>
      </c>
      <c r="BF117" s="230">
        <v>-49175</v>
      </c>
      <c r="BG117" s="229">
        <v>-0.5665</v>
      </c>
      <c r="BH117" s="230">
        <v>22812650</v>
      </c>
      <c r="BI117" s="230">
        <v>25048100</v>
      </c>
      <c r="BJ117" s="230">
        <v>-2235450</v>
      </c>
      <c r="BK117" s="229">
        <v>-8.9200000000000002E-2</v>
      </c>
      <c r="BL117" s="230">
        <v>13992300</v>
      </c>
      <c r="BM117" s="230">
        <v>17901800</v>
      </c>
      <c r="BN117" s="230">
        <v>-3909500</v>
      </c>
      <c r="BO117" s="229">
        <v>-0.21840000000000001</v>
      </c>
      <c r="BP117" s="230">
        <v>43164450</v>
      </c>
      <c r="BQ117" s="230">
        <v>48757975</v>
      </c>
      <c r="BR117" s="230">
        <v>-5593525</v>
      </c>
      <c r="BS117" s="229">
        <v>-0.1147</v>
      </c>
      <c r="BT117" s="230">
        <v>5190796</v>
      </c>
      <c r="BU117" s="230">
        <v>7980441</v>
      </c>
      <c r="BV117" s="230">
        <v>-2789645</v>
      </c>
      <c r="BW117" s="229">
        <v>-0.34960000000000002</v>
      </c>
      <c r="BX117" s="230">
        <v>13587875</v>
      </c>
      <c r="BY117" s="230">
        <v>13707225</v>
      </c>
      <c r="BZ117" s="230">
        <v>-119350</v>
      </c>
      <c r="CA117" s="229">
        <v>-8.6999999999999994E-3</v>
      </c>
      <c r="CB117" s="230">
        <v>13182750</v>
      </c>
      <c r="CC117" s="230">
        <v>13315050</v>
      </c>
      <c r="CD117" s="230">
        <v>-132300</v>
      </c>
      <c r="CE117" s="229">
        <v>-9.9000000000000008E-3</v>
      </c>
      <c r="CF117" s="230">
        <v>340375</v>
      </c>
      <c r="CG117" s="230">
        <v>330050</v>
      </c>
      <c r="CH117" s="230">
        <v>10325</v>
      </c>
      <c r="CI117" s="229">
        <v>3.1300000000000001E-2</v>
      </c>
      <c r="CJ117" s="230">
        <v>64750</v>
      </c>
      <c r="CK117" s="230">
        <v>62125</v>
      </c>
      <c r="CL117" s="230">
        <v>2625</v>
      </c>
      <c r="CM117" s="229">
        <v>4.2299999999999997E-2</v>
      </c>
      <c r="CN117" s="230">
        <v>10235400</v>
      </c>
      <c r="CO117" s="230">
        <v>9792300</v>
      </c>
      <c r="CP117" s="230">
        <v>443100</v>
      </c>
      <c r="CQ117" s="229">
        <v>4.5199999999999997E-2</v>
      </c>
      <c r="CR117" s="230">
        <v>6207075</v>
      </c>
      <c r="CS117" s="230">
        <v>5176675</v>
      </c>
      <c r="CT117" s="230">
        <v>1030400</v>
      </c>
      <c r="CU117" s="229">
        <v>0.19900000000000001</v>
      </c>
      <c r="CV117" s="230">
        <v>30030350</v>
      </c>
      <c r="CW117" s="230">
        <v>28676200</v>
      </c>
      <c r="CX117" s="230">
        <v>1354150</v>
      </c>
      <c r="CY117" s="229">
        <v>4.7199999999999999E-2</v>
      </c>
      <c r="CZ117" s="228">
        <v>24.46</v>
      </c>
      <c r="DA117" s="228">
        <v>31.05</v>
      </c>
      <c r="DB117" s="228">
        <v>-6.59</v>
      </c>
      <c r="DC117" s="228">
        <v>-6.59</v>
      </c>
      <c r="DD117" s="228">
        <v>28.38</v>
      </c>
      <c r="DE117" s="228">
        <v>27.95</v>
      </c>
      <c r="DF117" s="228">
        <v>-3.92</v>
      </c>
      <c r="DG117" s="228">
        <v>0.43</v>
      </c>
      <c r="DH117" s="228">
        <v>22.3</v>
      </c>
      <c r="DI117" s="228">
        <v>28.83</v>
      </c>
      <c r="DJ117" s="228">
        <v>-6.53</v>
      </c>
      <c r="DK117" s="228">
        <v>-6.53</v>
      </c>
      <c r="DL117" s="228">
        <v>27.98</v>
      </c>
      <c r="DM117" s="228">
        <v>34.15</v>
      </c>
      <c r="DN117" s="228">
        <v>-6.17</v>
      </c>
      <c r="DO117" s="228">
        <v>-6.17</v>
      </c>
      <c r="DP117" s="228">
        <v>0.61</v>
      </c>
      <c r="DQ117" s="228">
        <v>0.53</v>
      </c>
      <c r="DR117" s="228">
        <v>0.08</v>
      </c>
      <c r="DS117" s="229">
        <v>0.15090000000000001</v>
      </c>
      <c r="DT117" s="231">
        <v>4100</v>
      </c>
      <c r="DU117" s="231">
        <v>3900</v>
      </c>
      <c r="DV117" s="228">
        <v>0.61</v>
      </c>
      <c r="DW117" s="228">
        <v>0.71</v>
      </c>
      <c r="DX117" s="228">
        <v>-0.1</v>
      </c>
      <c r="DY117" s="229">
        <v>-0.14080000000000001</v>
      </c>
      <c r="DZ117" s="229">
        <v>2.98E-2</v>
      </c>
      <c r="EA117" s="230">
        <v>392175</v>
      </c>
      <c r="EB117" s="229">
        <v>5.5999999999999999E-3</v>
      </c>
      <c r="EC117" s="229">
        <v>2.98E-2</v>
      </c>
      <c r="ED117" s="228">
        <v>19.309999999999999</v>
      </c>
      <c r="EE117" s="229">
        <v>4.7999999999999996E-3</v>
      </c>
      <c r="EF117" s="230">
        <v>2658006</v>
      </c>
      <c r="EG117" s="230">
        <v>4189866</v>
      </c>
      <c r="EH117" s="229">
        <v>-0.36559999999999998</v>
      </c>
      <c r="EI117" s="229">
        <v>0.5121</v>
      </c>
      <c r="EJ117" s="231">
        <v>954547.14</v>
      </c>
      <c r="EK117" s="231">
        <v>540707.23</v>
      </c>
      <c r="EL117" s="231">
        <v>254766.01</v>
      </c>
      <c r="EM117" s="231">
        <v>20040</v>
      </c>
      <c r="EN117" s="231">
        <v>1750020.38</v>
      </c>
      <c r="EO117" s="231">
        <v>1944136.66</v>
      </c>
      <c r="EP117" s="231">
        <v>-194116.28</v>
      </c>
      <c r="EQ117" s="229">
        <v>-9.98E-2</v>
      </c>
      <c r="ER117" s="231">
        <v>426768</v>
      </c>
      <c r="ES117" s="231">
        <v>243507</v>
      </c>
      <c r="ET117" s="231">
        <v>549038</v>
      </c>
      <c r="EU117" s="231">
        <v>136109374</v>
      </c>
      <c r="EV117" s="231">
        <v>1219313</v>
      </c>
      <c r="EW117" s="231">
        <v>1143871</v>
      </c>
      <c r="EX117" s="231">
        <v>75442</v>
      </c>
      <c r="EY117" s="229">
        <v>6.6000000000000003E-2</v>
      </c>
      <c r="EZ117" s="229">
        <v>0.22059999999999999</v>
      </c>
      <c r="FA117" s="227" t="s">
        <v>556</v>
      </c>
      <c r="FB117" s="161">
        <f t="shared" si="1"/>
        <v>405125</v>
      </c>
    </row>
    <row r="118" spans="1:158" ht="17.25" thickBot="1" x14ac:dyDescent="0.3">
      <c r="A118" s="226">
        <v>46086</v>
      </c>
      <c r="B118" s="227" t="s">
        <v>175</v>
      </c>
      <c r="C118" s="227" t="s">
        <v>565</v>
      </c>
      <c r="D118" s="228">
        <v>2250</v>
      </c>
      <c r="E118" s="228">
        <v>275.14999999999998</v>
      </c>
      <c r="F118" s="228">
        <v>268.89999999999998</v>
      </c>
      <c r="G118" s="228">
        <v>6.25</v>
      </c>
      <c r="H118" s="229">
        <v>2.3199999999999998E-2</v>
      </c>
      <c r="I118" s="228">
        <v>275.5</v>
      </c>
      <c r="J118" s="228">
        <v>271.05</v>
      </c>
      <c r="K118" s="228">
        <v>4.45</v>
      </c>
      <c r="L118" s="229">
        <v>1.6400000000000001E-2</v>
      </c>
      <c r="M118" s="228">
        <v>275.14999999999998</v>
      </c>
      <c r="N118" s="228">
        <v>268.89999999999998</v>
      </c>
      <c r="O118" s="228">
        <v>6.25</v>
      </c>
      <c r="P118" s="229">
        <v>2.3199999999999998E-2</v>
      </c>
      <c r="Q118" s="228">
        <v>274.8</v>
      </c>
      <c r="R118" s="228">
        <v>268.8</v>
      </c>
      <c r="S118" s="228">
        <v>6</v>
      </c>
      <c r="T118" s="229">
        <v>2.23E-2</v>
      </c>
      <c r="U118" s="228">
        <v>274.45</v>
      </c>
      <c r="V118" s="228">
        <v>268.8</v>
      </c>
      <c r="W118" s="228">
        <v>5.65</v>
      </c>
      <c r="X118" s="229">
        <v>2.1000000000000001E-2</v>
      </c>
      <c r="Y118" s="228">
        <v>-0.35</v>
      </c>
      <c r="Z118" s="228">
        <v>-2.15</v>
      </c>
      <c r="AA118" s="228">
        <v>1.8</v>
      </c>
      <c r="AB118" s="229">
        <v>-1.2999999999999999E-3</v>
      </c>
      <c r="AC118" s="228">
        <v>-0.35</v>
      </c>
      <c r="AD118" s="228">
        <v>-2.15</v>
      </c>
      <c r="AE118" s="228">
        <v>1.8</v>
      </c>
      <c r="AF118" s="229">
        <v>-1.2999999999999999E-3</v>
      </c>
      <c r="AG118" s="228">
        <v>-0.7</v>
      </c>
      <c r="AH118" s="228">
        <v>-2.25</v>
      </c>
      <c r="AI118" s="228">
        <v>1.55</v>
      </c>
      <c r="AJ118" s="229">
        <v>-2.5000000000000001E-3</v>
      </c>
      <c r="AK118" s="228">
        <v>-1.05</v>
      </c>
      <c r="AL118" s="228">
        <v>-2.25</v>
      </c>
      <c r="AM118" s="228">
        <v>1.2</v>
      </c>
      <c r="AN118" s="229">
        <v>-3.8E-3</v>
      </c>
      <c r="AO118" s="228">
        <v>271.89</v>
      </c>
      <c r="AP118" s="228">
        <v>270.89</v>
      </c>
      <c r="AQ118" s="228">
        <v>0</v>
      </c>
      <c r="AR118" s="230">
        <v>10919250</v>
      </c>
      <c r="AS118" s="230">
        <v>16400250</v>
      </c>
      <c r="AT118" s="230">
        <v>-5481000</v>
      </c>
      <c r="AU118" s="229">
        <v>-0.3342</v>
      </c>
      <c r="AV118" s="230">
        <v>9351000</v>
      </c>
      <c r="AW118" s="230">
        <v>15414750</v>
      </c>
      <c r="AX118" s="230">
        <v>-6063750</v>
      </c>
      <c r="AY118" s="229">
        <v>-0.39340000000000003</v>
      </c>
      <c r="AZ118" s="230">
        <v>1372500</v>
      </c>
      <c r="BA118" s="230">
        <v>902250</v>
      </c>
      <c r="BB118" s="230">
        <v>470250</v>
      </c>
      <c r="BC118" s="229">
        <v>0.5212</v>
      </c>
      <c r="BD118" s="230">
        <v>195750</v>
      </c>
      <c r="BE118" s="230">
        <v>83250</v>
      </c>
      <c r="BF118" s="230">
        <v>112500</v>
      </c>
      <c r="BG118" s="229">
        <v>1.3513999999999999</v>
      </c>
      <c r="BH118" s="230">
        <v>31853250</v>
      </c>
      <c r="BI118" s="230">
        <v>35878500</v>
      </c>
      <c r="BJ118" s="230">
        <v>-4025250</v>
      </c>
      <c r="BK118" s="229">
        <v>-0.11219999999999999</v>
      </c>
      <c r="BL118" s="230">
        <v>9094500</v>
      </c>
      <c r="BM118" s="230">
        <v>15745500</v>
      </c>
      <c r="BN118" s="230">
        <v>-6651000</v>
      </c>
      <c r="BO118" s="229">
        <v>-0.4224</v>
      </c>
      <c r="BP118" s="230">
        <v>51867000</v>
      </c>
      <c r="BQ118" s="230">
        <v>68024250</v>
      </c>
      <c r="BR118" s="230">
        <v>-16157250</v>
      </c>
      <c r="BS118" s="229">
        <v>-0.23749999999999999</v>
      </c>
      <c r="BT118" s="230">
        <v>3738781</v>
      </c>
      <c r="BU118" s="230">
        <v>8907487</v>
      </c>
      <c r="BV118" s="230">
        <v>-5168706</v>
      </c>
      <c r="BW118" s="229">
        <v>-0.58030000000000004</v>
      </c>
      <c r="BX118" s="230">
        <v>59807250</v>
      </c>
      <c r="BY118" s="230">
        <v>60396750</v>
      </c>
      <c r="BZ118" s="230">
        <v>-589500</v>
      </c>
      <c r="CA118" s="229">
        <v>-9.7999999999999997E-3</v>
      </c>
      <c r="CB118" s="230">
        <v>56281500</v>
      </c>
      <c r="CC118" s="230">
        <v>57300750</v>
      </c>
      <c r="CD118" s="230">
        <v>-1019250</v>
      </c>
      <c r="CE118" s="229">
        <v>-1.78E-2</v>
      </c>
      <c r="CF118" s="230">
        <v>3237750</v>
      </c>
      <c r="CG118" s="230">
        <v>2819250</v>
      </c>
      <c r="CH118" s="230">
        <v>418500</v>
      </c>
      <c r="CI118" s="229">
        <v>0.1484</v>
      </c>
      <c r="CJ118" s="230">
        <v>288000</v>
      </c>
      <c r="CK118" s="230">
        <v>276750</v>
      </c>
      <c r="CL118" s="230">
        <v>11250</v>
      </c>
      <c r="CM118" s="229">
        <v>4.07E-2</v>
      </c>
      <c r="CN118" s="230">
        <v>37842750</v>
      </c>
      <c r="CO118" s="230">
        <v>38360250</v>
      </c>
      <c r="CP118" s="230">
        <v>-517500</v>
      </c>
      <c r="CQ118" s="229">
        <v>-1.35E-2</v>
      </c>
      <c r="CR118" s="230">
        <v>20346750</v>
      </c>
      <c r="CS118" s="230">
        <v>20922750</v>
      </c>
      <c r="CT118" s="230">
        <v>-576000</v>
      </c>
      <c r="CU118" s="229">
        <v>-2.75E-2</v>
      </c>
      <c r="CV118" s="230">
        <v>117996750</v>
      </c>
      <c r="CW118" s="230">
        <v>119679750</v>
      </c>
      <c r="CX118" s="230">
        <v>-1683000</v>
      </c>
      <c r="CY118" s="229">
        <v>-1.41E-2</v>
      </c>
      <c r="CZ118" s="228">
        <v>36.35</v>
      </c>
      <c r="DA118" s="228">
        <v>39.090000000000003</v>
      </c>
      <c r="DB118" s="228">
        <v>-2.74</v>
      </c>
      <c r="DC118" s="228">
        <v>-2.74</v>
      </c>
      <c r="DD118" s="228">
        <v>38.58</v>
      </c>
      <c r="DE118" s="228">
        <v>38.549999999999997</v>
      </c>
      <c r="DF118" s="228">
        <v>-2.23</v>
      </c>
      <c r="DG118" s="228">
        <v>0.03</v>
      </c>
      <c r="DH118" s="228">
        <v>36.5</v>
      </c>
      <c r="DI118" s="228">
        <v>38.99</v>
      </c>
      <c r="DJ118" s="228">
        <v>-2.4900000000000002</v>
      </c>
      <c r="DK118" s="228">
        <v>-2.4900000000000002</v>
      </c>
      <c r="DL118" s="228">
        <v>35.82</v>
      </c>
      <c r="DM118" s="228">
        <v>39.32</v>
      </c>
      <c r="DN118" s="228">
        <v>-3.5</v>
      </c>
      <c r="DO118" s="228">
        <v>-3.5</v>
      </c>
      <c r="DP118" s="228">
        <v>0.54</v>
      </c>
      <c r="DQ118" s="228">
        <v>0.55000000000000004</v>
      </c>
      <c r="DR118" s="228">
        <v>-0.01</v>
      </c>
      <c r="DS118" s="229">
        <v>-1.8200000000000001E-2</v>
      </c>
      <c r="DT118" s="228">
        <v>320</v>
      </c>
      <c r="DU118" s="228">
        <v>300</v>
      </c>
      <c r="DV118" s="228">
        <v>0.28999999999999998</v>
      </c>
      <c r="DW118" s="228">
        <v>0.44</v>
      </c>
      <c r="DX118" s="228">
        <v>-0.15</v>
      </c>
      <c r="DY118" s="229">
        <v>-0.34089999999999998</v>
      </c>
      <c r="DZ118" s="229">
        <v>5.8999999999999997E-2</v>
      </c>
      <c r="EA118" s="230">
        <v>3096000</v>
      </c>
      <c r="EB118" s="229">
        <v>-1.2999999999999999E-3</v>
      </c>
      <c r="EC118" s="229">
        <v>5.8999999999999997E-2</v>
      </c>
      <c r="ED118" s="228">
        <v>-1</v>
      </c>
      <c r="EE118" s="229">
        <v>-3.7000000000000002E-3</v>
      </c>
      <c r="EF118" s="230">
        <v>1446588</v>
      </c>
      <c r="EG118" s="230">
        <v>4800114</v>
      </c>
      <c r="EH118" s="229">
        <v>-0.6986</v>
      </c>
      <c r="EI118" s="229">
        <v>0.38690000000000002</v>
      </c>
      <c r="EJ118" s="231">
        <v>97449.26</v>
      </c>
      <c r="EK118" s="231">
        <v>24646.84</v>
      </c>
      <c r="EL118" s="231">
        <v>29672.85</v>
      </c>
      <c r="EM118" s="231">
        <v>13006</v>
      </c>
      <c r="EN118" s="231">
        <v>151768.95000000001</v>
      </c>
      <c r="EO118" s="231">
        <v>194962.94</v>
      </c>
      <c r="EP118" s="231">
        <v>-43193.99</v>
      </c>
      <c r="EQ118" s="229">
        <v>-0.2215</v>
      </c>
      <c r="ER118" s="231">
        <v>116635</v>
      </c>
      <c r="ES118" s="231">
        <v>56565</v>
      </c>
      <c r="ET118" s="231">
        <v>164546</v>
      </c>
      <c r="EU118" s="231">
        <v>127100972</v>
      </c>
      <c r="EV118" s="231">
        <v>337746</v>
      </c>
      <c r="EW118" s="231">
        <v>339207</v>
      </c>
      <c r="EX118" s="231">
        <v>-1461</v>
      </c>
      <c r="EY118" s="229">
        <v>-4.3E-3</v>
      </c>
      <c r="EZ118" s="229">
        <v>0.9284</v>
      </c>
      <c r="FA118" s="227" t="s">
        <v>556</v>
      </c>
      <c r="FB118" s="161">
        <f t="shared" si="1"/>
        <v>3525750</v>
      </c>
    </row>
    <row r="119" spans="1:158" ht="17.25" thickBot="1" x14ac:dyDescent="0.3">
      <c r="A119" s="226">
        <v>46086</v>
      </c>
      <c r="B119" s="227" t="s">
        <v>221</v>
      </c>
      <c r="C119" s="227" t="s">
        <v>693</v>
      </c>
      <c r="D119" s="228">
        <v>150</v>
      </c>
      <c r="E119" s="231">
        <v>4316.8</v>
      </c>
      <c r="F119" s="231">
        <v>4352.6000000000004</v>
      </c>
      <c r="G119" s="228">
        <v>-35.799999999999997</v>
      </c>
      <c r="H119" s="229">
        <v>-8.2000000000000007E-3</v>
      </c>
      <c r="I119" s="231">
        <v>4306.3999999999996</v>
      </c>
      <c r="J119" s="231">
        <v>4349.3</v>
      </c>
      <c r="K119" s="228">
        <v>-42.9</v>
      </c>
      <c r="L119" s="229">
        <v>-9.9000000000000008E-3</v>
      </c>
      <c r="M119" s="231">
        <v>4316.8</v>
      </c>
      <c r="N119" s="231">
        <v>4352.6000000000004</v>
      </c>
      <c r="O119" s="228">
        <v>-35.799999999999997</v>
      </c>
      <c r="P119" s="229">
        <v>-8.2000000000000007E-3</v>
      </c>
      <c r="Q119" s="231">
        <v>4320.7</v>
      </c>
      <c r="R119" s="231">
        <v>4354.5</v>
      </c>
      <c r="S119" s="228">
        <v>-33.799999999999997</v>
      </c>
      <c r="T119" s="229">
        <v>-7.7999999999999996E-3</v>
      </c>
      <c r="U119" s="231">
        <v>4334.3999999999996</v>
      </c>
      <c r="V119" s="231">
        <v>4355</v>
      </c>
      <c r="W119" s="228">
        <v>-20.6</v>
      </c>
      <c r="X119" s="229">
        <v>-4.7000000000000002E-3</v>
      </c>
      <c r="Y119" s="228">
        <v>10.4</v>
      </c>
      <c r="Z119" s="228">
        <v>3.3</v>
      </c>
      <c r="AA119" s="228">
        <v>7.1</v>
      </c>
      <c r="AB119" s="229">
        <v>2.3999999999999998E-3</v>
      </c>
      <c r="AC119" s="228">
        <v>10.4</v>
      </c>
      <c r="AD119" s="228">
        <v>3.3</v>
      </c>
      <c r="AE119" s="228">
        <v>7.1</v>
      </c>
      <c r="AF119" s="229">
        <v>2.3999999999999998E-3</v>
      </c>
      <c r="AG119" s="228">
        <v>14.3</v>
      </c>
      <c r="AH119" s="228">
        <v>5.2</v>
      </c>
      <c r="AI119" s="228">
        <v>9.1</v>
      </c>
      <c r="AJ119" s="229">
        <v>3.3E-3</v>
      </c>
      <c r="AK119" s="228">
        <v>28</v>
      </c>
      <c r="AL119" s="228">
        <v>5.7</v>
      </c>
      <c r="AM119" s="228">
        <v>22.3</v>
      </c>
      <c r="AN119" s="229">
        <v>6.4999999999999997E-3</v>
      </c>
      <c r="AO119" s="231">
        <v>4307.92</v>
      </c>
      <c r="AP119" s="231">
        <v>4306.1899999999996</v>
      </c>
      <c r="AQ119" s="228">
        <v>0</v>
      </c>
      <c r="AR119" s="230">
        <v>400350</v>
      </c>
      <c r="AS119" s="230">
        <v>465150</v>
      </c>
      <c r="AT119" s="230">
        <v>-64800</v>
      </c>
      <c r="AU119" s="229">
        <v>-0.13930000000000001</v>
      </c>
      <c r="AV119" s="230">
        <v>375600</v>
      </c>
      <c r="AW119" s="230">
        <v>446100</v>
      </c>
      <c r="AX119" s="230">
        <v>-70500</v>
      </c>
      <c r="AY119" s="229">
        <v>-0.158</v>
      </c>
      <c r="AZ119" s="230">
        <v>20850</v>
      </c>
      <c r="BA119" s="230">
        <v>17550</v>
      </c>
      <c r="BB119" s="230">
        <v>3300</v>
      </c>
      <c r="BC119" s="229">
        <v>0.188</v>
      </c>
      <c r="BD119" s="230">
        <v>3900</v>
      </c>
      <c r="BE119" s="230">
        <v>1500</v>
      </c>
      <c r="BF119" s="230">
        <v>2400</v>
      </c>
      <c r="BG119" s="229">
        <v>1.6</v>
      </c>
      <c r="BH119" s="230">
        <v>1096500</v>
      </c>
      <c r="BI119" s="230">
        <v>768000</v>
      </c>
      <c r="BJ119" s="230">
        <v>328500</v>
      </c>
      <c r="BK119" s="229">
        <v>0.42770000000000002</v>
      </c>
      <c r="BL119" s="230">
        <v>979350</v>
      </c>
      <c r="BM119" s="230">
        <v>519750</v>
      </c>
      <c r="BN119" s="230">
        <v>459600</v>
      </c>
      <c r="BO119" s="229">
        <v>0.88429999999999997</v>
      </c>
      <c r="BP119" s="230">
        <v>2476200</v>
      </c>
      <c r="BQ119" s="230">
        <v>1752900</v>
      </c>
      <c r="BR119" s="230">
        <v>723300</v>
      </c>
      <c r="BS119" s="229">
        <v>0.41260000000000002</v>
      </c>
      <c r="BT119" s="230">
        <v>193854</v>
      </c>
      <c r="BU119" s="230">
        <v>193103</v>
      </c>
      <c r="BV119" s="228">
        <v>751</v>
      </c>
      <c r="BW119" s="229">
        <v>3.8999999999999998E-3</v>
      </c>
      <c r="BX119" s="230">
        <v>3272250</v>
      </c>
      <c r="BY119" s="230">
        <v>3226350</v>
      </c>
      <c r="BZ119" s="230">
        <v>45900</v>
      </c>
      <c r="CA119" s="229">
        <v>1.4200000000000001E-2</v>
      </c>
      <c r="CB119" s="230">
        <v>3191550</v>
      </c>
      <c r="CC119" s="230">
        <v>3151650</v>
      </c>
      <c r="CD119" s="230">
        <v>39900</v>
      </c>
      <c r="CE119" s="229">
        <v>1.2699999999999999E-2</v>
      </c>
      <c r="CF119" s="230">
        <v>75750</v>
      </c>
      <c r="CG119" s="230">
        <v>70950</v>
      </c>
      <c r="CH119" s="230">
        <v>4800</v>
      </c>
      <c r="CI119" s="229">
        <v>6.7699999999999996E-2</v>
      </c>
      <c r="CJ119" s="230">
        <v>4950</v>
      </c>
      <c r="CK119" s="230">
        <v>3750</v>
      </c>
      <c r="CL119" s="230">
        <v>1200</v>
      </c>
      <c r="CM119" s="229">
        <v>0.32</v>
      </c>
      <c r="CN119" s="230">
        <v>1276650</v>
      </c>
      <c r="CO119" s="230">
        <v>1111650</v>
      </c>
      <c r="CP119" s="230">
        <v>165000</v>
      </c>
      <c r="CQ119" s="229">
        <v>0.1484</v>
      </c>
      <c r="CR119" s="230">
        <v>791250</v>
      </c>
      <c r="CS119" s="230">
        <v>711000</v>
      </c>
      <c r="CT119" s="230">
        <v>80250</v>
      </c>
      <c r="CU119" s="229">
        <v>0.1129</v>
      </c>
      <c r="CV119" s="230">
        <v>5340150</v>
      </c>
      <c r="CW119" s="230">
        <v>5049000</v>
      </c>
      <c r="CX119" s="230">
        <v>291150</v>
      </c>
      <c r="CY119" s="229">
        <v>5.7700000000000001E-2</v>
      </c>
      <c r="CZ119" s="228">
        <v>35.64</v>
      </c>
      <c r="DA119" s="228">
        <v>39.39</v>
      </c>
      <c r="DB119" s="228">
        <v>-3.75</v>
      </c>
      <c r="DC119" s="228">
        <v>-3.75</v>
      </c>
      <c r="DD119" s="228">
        <v>34.67</v>
      </c>
      <c r="DE119" s="228">
        <v>34.74</v>
      </c>
      <c r="DF119" s="228">
        <v>0.97</v>
      </c>
      <c r="DG119" s="228">
        <v>-7.0000000000000007E-2</v>
      </c>
      <c r="DH119" s="228">
        <v>36.090000000000003</v>
      </c>
      <c r="DI119" s="228">
        <v>39.200000000000003</v>
      </c>
      <c r="DJ119" s="228">
        <v>-3.11</v>
      </c>
      <c r="DK119" s="228">
        <v>-3.11</v>
      </c>
      <c r="DL119" s="228">
        <v>35.15</v>
      </c>
      <c r="DM119" s="228">
        <v>39.68</v>
      </c>
      <c r="DN119" s="228">
        <v>-4.53</v>
      </c>
      <c r="DO119" s="228">
        <v>-4.53</v>
      </c>
      <c r="DP119" s="228">
        <v>0.62</v>
      </c>
      <c r="DQ119" s="228">
        <v>0.64</v>
      </c>
      <c r="DR119" s="228">
        <v>-0.02</v>
      </c>
      <c r="DS119" s="229">
        <v>-3.1300000000000001E-2</v>
      </c>
      <c r="DT119" s="231">
        <v>5000</v>
      </c>
      <c r="DU119" s="231">
        <v>4200</v>
      </c>
      <c r="DV119" s="228">
        <v>0.89</v>
      </c>
      <c r="DW119" s="228">
        <v>0.68</v>
      </c>
      <c r="DX119" s="228">
        <v>0.21</v>
      </c>
      <c r="DY119" s="229">
        <v>0.30880000000000002</v>
      </c>
      <c r="DZ119" s="229">
        <v>2.47E-2</v>
      </c>
      <c r="EA119" s="230">
        <v>74700</v>
      </c>
      <c r="EB119" s="229">
        <v>8.9999999999999998E-4</v>
      </c>
      <c r="EC119" s="229">
        <v>2.47E-2</v>
      </c>
      <c r="ED119" s="228">
        <v>-1.73</v>
      </c>
      <c r="EE119" s="229">
        <v>-4.0000000000000002E-4</v>
      </c>
      <c r="EF119" s="230">
        <v>80723</v>
      </c>
      <c r="EG119" s="230">
        <v>84511</v>
      </c>
      <c r="EH119" s="229">
        <v>-4.48E-2</v>
      </c>
      <c r="EI119" s="229">
        <v>0.41639999999999999</v>
      </c>
      <c r="EJ119" s="231">
        <v>52382.26</v>
      </c>
      <c r="EK119" s="231">
        <v>42467.09</v>
      </c>
      <c r="EL119" s="231">
        <v>17246.36</v>
      </c>
      <c r="EM119" s="231">
        <v>3974</v>
      </c>
      <c r="EN119" s="231">
        <v>112095.71</v>
      </c>
      <c r="EO119" s="231">
        <v>80565.66</v>
      </c>
      <c r="EP119" s="231">
        <v>31530.05</v>
      </c>
      <c r="EQ119" s="229">
        <v>0.39140000000000003</v>
      </c>
      <c r="ER119" s="231">
        <v>63890</v>
      </c>
      <c r="ES119" s="231">
        <v>35680</v>
      </c>
      <c r="ET119" s="231">
        <v>141260</v>
      </c>
      <c r="EU119" s="231">
        <v>9672091</v>
      </c>
      <c r="EV119" s="231">
        <v>240831</v>
      </c>
      <c r="EW119" s="231">
        <v>229084</v>
      </c>
      <c r="EX119" s="231">
        <v>11747</v>
      </c>
      <c r="EY119" s="229">
        <v>5.1299999999999998E-2</v>
      </c>
      <c r="EZ119" s="229">
        <v>0.55210000000000004</v>
      </c>
      <c r="FA119" s="227" t="s">
        <v>567</v>
      </c>
      <c r="FB119" s="161">
        <f t="shared" si="1"/>
        <v>80700</v>
      </c>
    </row>
    <row r="120" spans="1:158" ht="17.25" thickBot="1" x14ac:dyDescent="0.3">
      <c r="A120" s="226">
        <v>46086</v>
      </c>
      <c r="B120" s="227" t="s">
        <v>170</v>
      </c>
      <c r="C120" s="227" t="s">
        <v>250</v>
      </c>
      <c r="D120" s="228">
        <v>425</v>
      </c>
      <c r="E120" s="231">
        <v>2343.5</v>
      </c>
      <c r="F120" s="231">
        <v>2308</v>
      </c>
      <c r="G120" s="228">
        <v>35.5</v>
      </c>
      <c r="H120" s="229">
        <v>1.54E-2</v>
      </c>
      <c r="I120" s="231">
        <v>2332.9</v>
      </c>
      <c r="J120" s="231">
        <v>2304.9</v>
      </c>
      <c r="K120" s="228">
        <v>28</v>
      </c>
      <c r="L120" s="229">
        <v>1.21E-2</v>
      </c>
      <c r="M120" s="231">
        <v>2343.5</v>
      </c>
      <c r="N120" s="231">
        <v>2308</v>
      </c>
      <c r="O120" s="228">
        <v>35.5</v>
      </c>
      <c r="P120" s="229">
        <v>1.54E-2</v>
      </c>
      <c r="Q120" s="231">
        <v>2358.1999999999998</v>
      </c>
      <c r="R120" s="231">
        <v>2320.4</v>
      </c>
      <c r="S120" s="228">
        <v>37.799999999999997</v>
      </c>
      <c r="T120" s="229">
        <v>1.6299999999999999E-2</v>
      </c>
      <c r="U120" s="231">
        <v>2373.9</v>
      </c>
      <c r="V120" s="231">
        <v>2335.3000000000002</v>
      </c>
      <c r="W120" s="228">
        <v>38.6</v>
      </c>
      <c r="X120" s="229">
        <v>1.6500000000000001E-2</v>
      </c>
      <c r="Y120" s="228">
        <v>10.6</v>
      </c>
      <c r="Z120" s="228">
        <v>3.1</v>
      </c>
      <c r="AA120" s="228">
        <v>7.5</v>
      </c>
      <c r="AB120" s="229">
        <v>4.4999999999999997E-3</v>
      </c>
      <c r="AC120" s="228">
        <v>10.6</v>
      </c>
      <c r="AD120" s="228">
        <v>3.1</v>
      </c>
      <c r="AE120" s="228">
        <v>7.5</v>
      </c>
      <c r="AF120" s="229">
        <v>4.4999999999999997E-3</v>
      </c>
      <c r="AG120" s="228">
        <v>25.3</v>
      </c>
      <c r="AH120" s="228">
        <v>15.5</v>
      </c>
      <c r="AI120" s="228">
        <v>9.8000000000000007</v>
      </c>
      <c r="AJ120" s="229">
        <v>1.0800000000000001E-2</v>
      </c>
      <c r="AK120" s="228">
        <v>41</v>
      </c>
      <c r="AL120" s="228">
        <v>30.4</v>
      </c>
      <c r="AM120" s="228">
        <v>10.6</v>
      </c>
      <c r="AN120" s="229">
        <v>1.7600000000000001E-2</v>
      </c>
      <c r="AO120" s="231">
        <v>2345.5</v>
      </c>
      <c r="AP120" s="231">
        <v>2361.17</v>
      </c>
      <c r="AQ120" s="228">
        <v>0</v>
      </c>
      <c r="AR120" s="230">
        <v>1983475</v>
      </c>
      <c r="AS120" s="230">
        <v>1648575</v>
      </c>
      <c r="AT120" s="230">
        <v>334900</v>
      </c>
      <c r="AU120" s="229">
        <v>0.2031</v>
      </c>
      <c r="AV120" s="230">
        <v>1833025</v>
      </c>
      <c r="AW120" s="230">
        <v>1541050</v>
      </c>
      <c r="AX120" s="230">
        <v>291975</v>
      </c>
      <c r="AY120" s="229">
        <v>0.1895</v>
      </c>
      <c r="AZ120" s="230">
        <v>134725</v>
      </c>
      <c r="BA120" s="230">
        <v>104125</v>
      </c>
      <c r="BB120" s="230">
        <v>30600</v>
      </c>
      <c r="BC120" s="229">
        <v>0.29389999999999999</v>
      </c>
      <c r="BD120" s="230">
        <v>15725</v>
      </c>
      <c r="BE120" s="230">
        <v>3400</v>
      </c>
      <c r="BF120" s="230">
        <v>12325</v>
      </c>
      <c r="BG120" s="229">
        <v>3.625</v>
      </c>
      <c r="BH120" s="230">
        <v>7378425</v>
      </c>
      <c r="BI120" s="230">
        <v>2861100</v>
      </c>
      <c r="BJ120" s="230">
        <v>4517325</v>
      </c>
      <c r="BK120" s="229">
        <v>1.5789</v>
      </c>
      <c r="BL120" s="230">
        <v>2994975</v>
      </c>
      <c r="BM120" s="230">
        <v>2484975</v>
      </c>
      <c r="BN120" s="230">
        <v>510000</v>
      </c>
      <c r="BO120" s="229">
        <v>0.20519999999999999</v>
      </c>
      <c r="BP120" s="230">
        <v>12356875</v>
      </c>
      <c r="BQ120" s="230">
        <v>6994650</v>
      </c>
      <c r="BR120" s="230">
        <v>5362225</v>
      </c>
      <c r="BS120" s="229">
        <v>0.76659999999999995</v>
      </c>
      <c r="BT120" s="230">
        <v>1737105</v>
      </c>
      <c r="BU120" s="230">
        <v>1384833</v>
      </c>
      <c r="BV120" s="230">
        <v>352272</v>
      </c>
      <c r="BW120" s="229">
        <v>0.25440000000000002</v>
      </c>
      <c r="BX120" s="230">
        <v>7393725</v>
      </c>
      <c r="BY120" s="230">
        <v>7399250</v>
      </c>
      <c r="BZ120" s="230">
        <v>-5525</v>
      </c>
      <c r="CA120" s="229">
        <v>-6.9999999999999999E-4</v>
      </c>
      <c r="CB120" s="230">
        <v>7225425</v>
      </c>
      <c r="CC120" s="230">
        <v>7265800</v>
      </c>
      <c r="CD120" s="230">
        <v>-40375</v>
      </c>
      <c r="CE120" s="229">
        <v>-5.5999999999999999E-3</v>
      </c>
      <c r="CF120" s="230">
        <v>153425</v>
      </c>
      <c r="CG120" s="230">
        <v>118150</v>
      </c>
      <c r="CH120" s="230">
        <v>35275</v>
      </c>
      <c r="CI120" s="229">
        <v>0.29859999999999998</v>
      </c>
      <c r="CJ120" s="230">
        <v>14875</v>
      </c>
      <c r="CK120" s="230">
        <v>15300</v>
      </c>
      <c r="CL120" s="228">
        <v>-425</v>
      </c>
      <c r="CM120" s="229">
        <v>-2.7799999999999998E-2</v>
      </c>
      <c r="CN120" s="230">
        <v>2355775</v>
      </c>
      <c r="CO120" s="230">
        <v>2115650</v>
      </c>
      <c r="CP120" s="230">
        <v>240125</v>
      </c>
      <c r="CQ120" s="229">
        <v>0.1135</v>
      </c>
      <c r="CR120" s="230">
        <v>1646025</v>
      </c>
      <c r="CS120" s="230">
        <v>1572500</v>
      </c>
      <c r="CT120" s="230">
        <v>73525</v>
      </c>
      <c r="CU120" s="229">
        <v>4.6800000000000001E-2</v>
      </c>
      <c r="CV120" s="230">
        <v>11395525</v>
      </c>
      <c r="CW120" s="230">
        <v>11087400</v>
      </c>
      <c r="CX120" s="230">
        <v>308125</v>
      </c>
      <c r="CY120" s="229">
        <v>2.7799999999999998E-2</v>
      </c>
      <c r="CZ120" s="228">
        <v>22.9</v>
      </c>
      <c r="DA120" s="228">
        <v>25.32</v>
      </c>
      <c r="DB120" s="228">
        <v>-2.42</v>
      </c>
      <c r="DC120" s="228">
        <v>-2.42</v>
      </c>
      <c r="DD120" s="228">
        <v>28.5</v>
      </c>
      <c r="DE120" s="228">
        <v>28.5</v>
      </c>
      <c r="DF120" s="228">
        <v>-5.6</v>
      </c>
      <c r="DG120" s="228">
        <v>0</v>
      </c>
      <c r="DH120" s="228">
        <v>22.57</v>
      </c>
      <c r="DI120" s="228">
        <v>24.34</v>
      </c>
      <c r="DJ120" s="228">
        <v>-1.77</v>
      </c>
      <c r="DK120" s="228">
        <v>-1.77</v>
      </c>
      <c r="DL120" s="228">
        <v>23.73</v>
      </c>
      <c r="DM120" s="228">
        <v>26.45</v>
      </c>
      <c r="DN120" s="228">
        <v>-2.72</v>
      </c>
      <c r="DO120" s="228">
        <v>-2.72</v>
      </c>
      <c r="DP120" s="228">
        <v>0.7</v>
      </c>
      <c r="DQ120" s="228">
        <v>0.74</v>
      </c>
      <c r="DR120" s="228">
        <v>-0.04</v>
      </c>
      <c r="DS120" s="229">
        <v>-5.4100000000000002E-2</v>
      </c>
      <c r="DT120" s="231">
        <v>2560</v>
      </c>
      <c r="DU120" s="231">
        <v>2200</v>
      </c>
      <c r="DV120" s="228">
        <v>0.41</v>
      </c>
      <c r="DW120" s="228">
        <v>0.87</v>
      </c>
      <c r="DX120" s="228">
        <v>-0.46</v>
      </c>
      <c r="DY120" s="229">
        <v>-0.52869999999999995</v>
      </c>
      <c r="DZ120" s="229">
        <v>2.2800000000000001E-2</v>
      </c>
      <c r="EA120" s="230">
        <v>133450</v>
      </c>
      <c r="EB120" s="229">
        <v>6.3E-3</v>
      </c>
      <c r="EC120" s="229">
        <v>2.2800000000000001E-2</v>
      </c>
      <c r="ED120" s="228">
        <v>15.67</v>
      </c>
      <c r="EE120" s="229">
        <v>6.7000000000000002E-3</v>
      </c>
      <c r="EF120" s="230">
        <v>1111181</v>
      </c>
      <c r="EG120" s="230">
        <v>921998</v>
      </c>
      <c r="EH120" s="229">
        <v>0.20519999999999999</v>
      </c>
      <c r="EI120" s="229">
        <v>0.63970000000000005</v>
      </c>
      <c r="EJ120" s="231">
        <v>180699.29</v>
      </c>
      <c r="EK120" s="231">
        <v>68631.55</v>
      </c>
      <c r="EL120" s="231">
        <v>46547.74</v>
      </c>
      <c r="EM120" s="231">
        <v>3312</v>
      </c>
      <c r="EN120" s="231">
        <v>295878.58</v>
      </c>
      <c r="EO120" s="231">
        <v>162881.64000000001</v>
      </c>
      <c r="EP120" s="231">
        <v>132996.94</v>
      </c>
      <c r="EQ120" s="229">
        <v>0.8165</v>
      </c>
      <c r="ER120" s="231">
        <v>56836</v>
      </c>
      <c r="ES120" s="231">
        <v>36390</v>
      </c>
      <c r="ET120" s="231">
        <v>173299</v>
      </c>
      <c r="EU120" s="231">
        <v>36381777</v>
      </c>
      <c r="EV120" s="231">
        <v>266525</v>
      </c>
      <c r="EW120" s="231">
        <v>256302</v>
      </c>
      <c r="EX120" s="231">
        <v>10223</v>
      </c>
      <c r="EY120" s="229">
        <v>3.9899999999999998E-2</v>
      </c>
      <c r="EZ120" s="229">
        <v>0.31319999999999998</v>
      </c>
      <c r="FA120" s="227" t="s">
        <v>556</v>
      </c>
      <c r="FB120" s="161">
        <f t="shared" si="1"/>
        <v>168300</v>
      </c>
    </row>
    <row r="121" spans="1:158" ht="17.25" thickBot="1" x14ac:dyDescent="0.3">
      <c r="A121" s="226">
        <v>46086</v>
      </c>
      <c r="B121" s="227" t="s">
        <v>162</v>
      </c>
      <c r="C121" s="227" t="s">
        <v>251</v>
      </c>
      <c r="D121" s="228">
        <v>200</v>
      </c>
      <c r="E121" s="231">
        <v>3352.8</v>
      </c>
      <c r="F121" s="231">
        <v>3278.2</v>
      </c>
      <c r="G121" s="228">
        <v>74.599999999999994</v>
      </c>
      <c r="H121" s="229">
        <v>2.2800000000000001E-2</v>
      </c>
      <c r="I121" s="231">
        <v>3348</v>
      </c>
      <c r="J121" s="231">
        <v>3264.3</v>
      </c>
      <c r="K121" s="228">
        <v>83.7</v>
      </c>
      <c r="L121" s="229">
        <v>2.5600000000000001E-2</v>
      </c>
      <c r="M121" s="231">
        <v>3352.8</v>
      </c>
      <c r="N121" s="231">
        <v>3278.2</v>
      </c>
      <c r="O121" s="228">
        <v>74.599999999999994</v>
      </c>
      <c r="P121" s="229">
        <v>2.2800000000000001E-2</v>
      </c>
      <c r="Q121" s="231">
        <v>3376.2</v>
      </c>
      <c r="R121" s="231">
        <v>3297.1</v>
      </c>
      <c r="S121" s="228">
        <v>79.099999999999994</v>
      </c>
      <c r="T121" s="229">
        <v>2.4E-2</v>
      </c>
      <c r="U121" s="231">
        <v>3397.7</v>
      </c>
      <c r="V121" s="231">
        <v>3310.6</v>
      </c>
      <c r="W121" s="228">
        <v>87.1</v>
      </c>
      <c r="X121" s="229">
        <v>2.63E-2</v>
      </c>
      <c r="Y121" s="228">
        <v>4.8</v>
      </c>
      <c r="Z121" s="228">
        <v>13.9</v>
      </c>
      <c r="AA121" s="228">
        <v>-9.1</v>
      </c>
      <c r="AB121" s="229">
        <v>1.4E-3</v>
      </c>
      <c r="AC121" s="228">
        <v>4.8</v>
      </c>
      <c r="AD121" s="228">
        <v>13.9</v>
      </c>
      <c r="AE121" s="228">
        <v>-9.1</v>
      </c>
      <c r="AF121" s="229">
        <v>1.4E-3</v>
      </c>
      <c r="AG121" s="228">
        <v>28.2</v>
      </c>
      <c r="AH121" s="228">
        <v>32.799999999999997</v>
      </c>
      <c r="AI121" s="228">
        <v>-4.5999999999999996</v>
      </c>
      <c r="AJ121" s="229">
        <v>8.3999999999999995E-3</v>
      </c>
      <c r="AK121" s="228">
        <v>49.7</v>
      </c>
      <c r="AL121" s="228">
        <v>46.3</v>
      </c>
      <c r="AM121" s="228">
        <v>3.4</v>
      </c>
      <c r="AN121" s="229">
        <v>1.4800000000000001E-2</v>
      </c>
      <c r="AO121" s="231">
        <v>3323.13</v>
      </c>
      <c r="AP121" s="231">
        <v>3341.28</v>
      </c>
      <c r="AQ121" s="228">
        <v>0</v>
      </c>
      <c r="AR121" s="230">
        <v>2324200</v>
      </c>
      <c r="AS121" s="230">
        <v>2490400</v>
      </c>
      <c r="AT121" s="230">
        <v>-166200</v>
      </c>
      <c r="AU121" s="229">
        <v>-6.6699999999999995E-2</v>
      </c>
      <c r="AV121" s="230">
        <v>2213400</v>
      </c>
      <c r="AW121" s="230">
        <v>2285200</v>
      </c>
      <c r="AX121" s="230">
        <v>-71800</v>
      </c>
      <c r="AY121" s="229">
        <v>-3.1399999999999997E-2</v>
      </c>
      <c r="AZ121" s="230">
        <v>93000</v>
      </c>
      <c r="BA121" s="230">
        <v>147200</v>
      </c>
      <c r="BB121" s="230">
        <v>-54200</v>
      </c>
      <c r="BC121" s="229">
        <v>-0.36820000000000003</v>
      </c>
      <c r="BD121" s="230">
        <v>17800</v>
      </c>
      <c r="BE121" s="230">
        <v>58000</v>
      </c>
      <c r="BF121" s="230">
        <v>-40200</v>
      </c>
      <c r="BG121" s="229">
        <v>-0.69310000000000005</v>
      </c>
      <c r="BH121" s="230">
        <v>5803000</v>
      </c>
      <c r="BI121" s="230">
        <v>5614400</v>
      </c>
      <c r="BJ121" s="230">
        <v>188600</v>
      </c>
      <c r="BK121" s="229">
        <v>3.3599999999999998E-2</v>
      </c>
      <c r="BL121" s="230">
        <v>3791400</v>
      </c>
      <c r="BM121" s="230">
        <v>4543000</v>
      </c>
      <c r="BN121" s="230">
        <v>-751600</v>
      </c>
      <c r="BO121" s="229">
        <v>-0.16539999999999999</v>
      </c>
      <c r="BP121" s="230">
        <v>11918600</v>
      </c>
      <c r="BQ121" s="230">
        <v>12647800</v>
      </c>
      <c r="BR121" s="230">
        <v>-729200</v>
      </c>
      <c r="BS121" s="229">
        <v>-5.7700000000000001E-2</v>
      </c>
      <c r="BT121" s="230">
        <v>2378494</v>
      </c>
      <c r="BU121" s="230">
        <v>4697824</v>
      </c>
      <c r="BV121" s="230">
        <v>-2319330</v>
      </c>
      <c r="BW121" s="229">
        <v>-0.49370000000000003</v>
      </c>
      <c r="BX121" s="230">
        <v>17978400</v>
      </c>
      <c r="BY121" s="230">
        <v>18477200</v>
      </c>
      <c r="BZ121" s="230">
        <v>-498800</v>
      </c>
      <c r="CA121" s="229">
        <v>-2.7E-2</v>
      </c>
      <c r="CB121" s="230">
        <v>17627400</v>
      </c>
      <c r="CC121" s="230">
        <v>18122400</v>
      </c>
      <c r="CD121" s="230">
        <v>-495000</v>
      </c>
      <c r="CE121" s="229">
        <v>-2.7300000000000001E-2</v>
      </c>
      <c r="CF121" s="230">
        <v>281400</v>
      </c>
      <c r="CG121" s="230">
        <v>292400</v>
      </c>
      <c r="CH121" s="230">
        <v>-11000</v>
      </c>
      <c r="CI121" s="229">
        <v>-3.7600000000000001E-2</v>
      </c>
      <c r="CJ121" s="230">
        <v>69600</v>
      </c>
      <c r="CK121" s="230">
        <v>62400</v>
      </c>
      <c r="CL121" s="230">
        <v>7200</v>
      </c>
      <c r="CM121" s="229">
        <v>0.1154</v>
      </c>
      <c r="CN121" s="230">
        <v>4852800</v>
      </c>
      <c r="CO121" s="230">
        <v>4898200</v>
      </c>
      <c r="CP121" s="230">
        <v>-45400</v>
      </c>
      <c r="CQ121" s="229">
        <v>-9.2999999999999992E-3</v>
      </c>
      <c r="CR121" s="230">
        <v>3119400</v>
      </c>
      <c r="CS121" s="230">
        <v>3138800</v>
      </c>
      <c r="CT121" s="230">
        <v>-19400</v>
      </c>
      <c r="CU121" s="229">
        <v>-6.1999999999999998E-3</v>
      </c>
      <c r="CV121" s="230">
        <v>25950600</v>
      </c>
      <c r="CW121" s="230">
        <v>26514200</v>
      </c>
      <c r="CX121" s="230">
        <v>-563600</v>
      </c>
      <c r="CY121" s="229">
        <v>-2.1299999999999999E-2</v>
      </c>
      <c r="CZ121" s="228">
        <v>27.17</v>
      </c>
      <c r="DA121" s="228">
        <v>30.91</v>
      </c>
      <c r="DB121" s="228">
        <v>-3.74</v>
      </c>
      <c r="DC121" s="228">
        <v>-3.74</v>
      </c>
      <c r="DD121" s="228">
        <v>31.36</v>
      </c>
      <c r="DE121" s="228">
        <v>31.25</v>
      </c>
      <c r="DF121" s="228">
        <v>-4.1900000000000004</v>
      </c>
      <c r="DG121" s="228">
        <v>0.11</v>
      </c>
      <c r="DH121" s="228">
        <v>26.02</v>
      </c>
      <c r="DI121" s="228">
        <v>29.89</v>
      </c>
      <c r="DJ121" s="228">
        <v>-3.87</v>
      </c>
      <c r="DK121" s="228">
        <v>-3.87</v>
      </c>
      <c r="DL121" s="228">
        <v>28.92</v>
      </c>
      <c r="DM121" s="228">
        <v>32.17</v>
      </c>
      <c r="DN121" s="228">
        <v>-3.25</v>
      </c>
      <c r="DO121" s="228">
        <v>-3.25</v>
      </c>
      <c r="DP121" s="228">
        <v>0.64</v>
      </c>
      <c r="DQ121" s="228">
        <v>0.64</v>
      </c>
      <c r="DR121" s="228">
        <v>0</v>
      </c>
      <c r="DS121" s="229">
        <v>0</v>
      </c>
      <c r="DT121" s="231">
        <v>4000</v>
      </c>
      <c r="DU121" s="231">
        <v>3400</v>
      </c>
      <c r="DV121" s="228">
        <v>0.65</v>
      </c>
      <c r="DW121" s="228">
        <v>0.81</v>
      </c>
      <c r="DX121" s="228">
        <v>-0.16</v>
      </c>
      <c r="DY121" s="229">
        <v>-0.19750000000000001</v>
      </c>
      <c r="DZ121" s="229">
        <v>1.95E-2</v>
      </c>
      <c r="EA121" s="230">
        <v>354800</v>
      </c>
      <c r="EB121" s="229">
        <v>7.0000000000000001E-3</v>
      </c>
      <c r="EC121" s="229">
        <v>1.95E-2</v>
      </c>
      <c r="ED121" s="228">
        <v>18.149999999999999</v>
      </c>
      <c r="EE121" s="229">
        <v>5.4999999999999997E-3</v>
      </c>
      <c r="EF121" s="230">
        <v>1482197</v>
      </c>
      <c r="EG121" s="230">
        <v>2994220</v>
      </c>
      <c r="EH121" s="229">
        <v>-0.505</v>
      </c>
      <c r="EI121" s="229">
        <v>0.62319999999999998</v>
      </c>
      <c r="EJ121" s="231">
        <v>204340.54</v>
      </c>
      <c r="EK121" s="231">
        <v>123024.13</v>
      </c>
      <c r="EL121" s="231">
        <v>77259.58</v>
      </c>
      <c r="EM121" s="231">
        <v>10699</v>
      </c>
      <c r="EN121" s="231">
        <v>404624.25</v>
      </c>
      <c r="EO121" s="231">
        <v>425422.56</v>
      </c>
      <c r="EP121" s="231">
        <v>-20798.310000000001</v>
      </c>
      <c r="EQ121" s="229">
        <v>-4.8899999999999999E-2</v>
      </c>
      <c r="ER121" s="231">
        <v>176924</v>
      </c>
      <c r="ES121" s="231">
        <v>104182</v>
      </c>
      <c r="ET121" s="231">
        <v>602877</v>
      </c>
      <c r="EU121" s="231">
        <v>95452027</v>
      </c>
      <c r="EV121" s="231">
        <v>883982</v>
      </c>
      <c r="EW121" s="231">
        <v>889403</v>
      </c>
      <c r="EX121" s="231">
        <v>-5421</v>
      </c>
      <c r="EY121" s="229">
        <v>-6.1000000000000004E-3</v>
      </c>
      <c r="EZ121" s="229">
        <v>0.27189999999999998</v>
      </c>
      <c r="FA121" s="227" t="s">
        <v>556</v>
      </c>
      <c r="FB121" s="161">
        <f t="shared" si="1"/>
        <v>351000</v>
      </c>
    </row>
    <row r="122" spans="1:158" ht="17.25" thickBot="1" x14ac:dyDescent="0.3">
      <c r="A122" s="226">
        <v>46086</v>
      </c>
      <c r="B122" s="227" t="s">
        <v>175</v>
      </c>
      <c r="C122" s="227" t="s">
        <v>253</v>
      </c>
      <c r="D122" s="228">
        <v>3000</v>
      </c>
      <c r="E122" s="228">
        <v>268.60000000000002</v>
      </c>
      <c r="F122" s="228">
        <v>270.55</v>
      </c>
      <c r="G122" s="228">
        <v>-1.95</v>
      </c>
      <c r="H122" s="229">
        <v>-7.1999999999999998E-3</v>
      </c>
      <c r="I122" s="228">
        <v>267.3</v>
      </c>
      <c r="J122" s="228">
        <v>269.25</v>
      </c>
      <c r="K122" s="228">
        <v>-1.95</v>
      </c>
      <c r="L122" s="229">
        <v>-7.1999999999999998E-3</v>
      </c>
      <c r="M122" s="228">
        <v>268.60000000000002</v>
      </c>
      <c r="N122" s="228">
        <v>270.55</v>
      </c>
      <c r="O122" s="228">
        <v>-1.95</v>
      </c>
      <c r="P122" s="229">
        <v>-7.1999999999999998E-3</v>
      </c>
      <c r="Q122" s="228">
        <v>270.14999999999998</v>
      </c>
      <c r="R122" s="228">
        <v>272.3</v>
      </c>
      <c r="S122" s="228">
        <v>-2.15</v>
      </c>
      <c r="T122" s="229">
        <v>-7.9000000000000008E-3</v>
      </c>
      <c r="U122" s="228">
        <v>273</v>
      </c>
      <c r="V122" s="228">
        <v>273.14999999999998</v>
      </c>
      <c r="W122" s="228">
        <v>-0.15</v>
      </c>
      <c r="X122" s="229">
        <v>-5.0000000000000001E-4</v>
      </c>
      <c r="Y122" s="228">
        <v>1.3</v>
      </c>
      <c r="Z122" s="228">
        <v>1.3</v>
      </c>
      <c r="AA122" s="228">
        <v>0</v>
      </c>
      <c r="AB122" s="229">
        <v>4.8999999999999998E-3</v>
      </c>
      <c r="AC122" s="228">
        <v>1.3</v>
      </c>
      <c r="AD122" s="228">
        <v>1.3</v>
      </c>
      <c r="AE122" s="228">
        <v>0</v>
      </c>
      <c r="AF122" s="229">
        <v>4.8999999999999998E-3</v>
      </c>
      <c r="AG122" s="228">
        <v>2.85</v>
      </c>
      <c r="AH122" s="228">
        <v>3.05</v>
      </c>
      <c r="AI122" s="228">
        <v>-0.2</v>
      </c>
      <c r="AJ122" s="229">
        <v>1.0699999999999999E-2</v>
      </c>
      <c r="AK122" s="228">
        <v>5.7</v>
      </c>
      <c r="AL122" s="228">
        <v>3.9</v>
      </c>
      <c r="AM122" s="228">
        <v>1.8</v>
      </c>
      <c r="AN122" s="229">
        <v>2.1299999999999999E-2</v>
      </c>
      <c r="AO122" s="228">
        <v>268.45999999999998</v>
      </c>
      <c r="AP122" s="228">
        <v>270.52999999999997</v>
      </c>
      <c r="AQ122" s="228">
        <v>0</v>
      </c>
      <c r="AR122" s="230">
        <v>6429000</v>
      </c>
      <c r="AS122" s="230">
        <v>12261000</v>
      </c>
      <c r="AT122" s="230">
        <v>-5832000</v>
      </c>
      <c r="AU122" s="229">
        <v>-0.47570000000000001</v>
      </c>
      <c r="AV122" s="230">
        <v>6003000</v>
      </c>
      <c r="AW122" s="230">
        <v>11727000</v>
      </c>
      <c r="AX122" s="230">
        <v>-5724000</v>
      </c>
      <c r="AY122" s="229">
        <v>-0.48809999999999998</v>
      </c>
      <c r="AZ122" s="230">
        <v>393000</v>
      </c>
      <c r="BA122" s="230">
        <v>507000</v>
      </c>
      <c r="BB122" s="230">
        <v>-114000</v>
      </c>
      <c r="BC122" s="229">
        <v>-0.22489999999999999</v>
      </c>
      <c r="BD122" s="230">
        <v>33000</v>
      </c>
      <c r="BE122" s="230">
        <v>27000</v>
      </c>
      <c r="BF122" s="230">
        <v>6000</v>
      </c>
      <c r="BG122" s="229">
        <v>0.22220000000000001</v>
      </c>
      <c r="BH122" s="230">
        <v>11331000</v>
      </c>
      <c r="BI122" s="230">
        <v>17757000</v>
      </c>
      <c r="BJ122" s="230">
        <v>-6426000</v>
      </c>
      <c r="BK122" s="229">
        <v>-0.3619</v>
      </c>
      <c r="BL122" s="230">
        <v>4785000</v>
      </c>
      <c r="BM122" s="230">
        <v>12150000</v>
      </c>
      <c r="BN122" s="230">
        <v>-7365000</v>
      </c>
      <c r="BO122" s="229">
        <v>-0.60619999999999996</v>
      </c>
      <c r="BP122" s="230">
        <v>22545000</v>
      </c>
      <c r="BQ122" s="230">
        <v>42168000</v>
      </c>
      <c r="BR122" s="230">
        <v>-19623000</v>
      </c>
      <c r="BS122" s="229">
        <v>-0.46539999999999998</v>
      </c>
      <c r="BT122" s="230">
        <v>3640594</v>
      </c>
      <c r="BU122" s="230">
        <v>6757142</v>
      </c>
      <c r="BV122" s="230">
        <v>-3116548</v>
      </c>
      <c r="BW122" s="229">
        <v>-0.4612</v>
      </c>
      <c r="BX122" s="230">
        <v>51375000</v>
      </c>
      <c r="BY122" s="230">
        <v>49887000</v>
      </c>
      <c r="BZ122" s="230">
        <v>1488000</v>
      </c>
      <c r="CA122" s="229">
        <v>2.98E-2</v>
      </c>
      <c r="CB122" s="230">
        <v>50691000</v>
      </c>
      <c r="CC122" s="230">
        <v>49323000</v>
      </c>
      <c r="CD122" s="230">
        <v>1368000</v>
      </c>
      <c r="CE122" s="229">
        <v>2.7699999999999999E-2</v>
      </c>
      <c r="CF122" s="230">
        <v>639000</v>
      </c>
      <c r="CG122" s="230">
        <v>534000</v>
      </c>
      <c r="CH122" s="230">
        <v>105000</v>
      </c>
      <c r="CI122" s="229">
        <v>0.1966</v>
      </c>
      <c r="CJ122" s="230">
        <v>45000</v>
      </c>
      <c r="CK122" s="230">
        <v>30000</v>
      </c>
      <c r="CL122" s="230">
        <v>15000</v>
      </c>
      <c r="CM122" s="229">
        <v>0.5</v>
      </c>
      <c r="CN122" s="230">
        <v>17973000</v>
      </c>
      <c r="CO122" s="230">
        <v>16692000</v>
      </c>
      <c r="CP122" s="230">
        <v>1281000</v>
      </c>
      <c r="CQ122" s="229">
        <v>7.6700000000000004E-2</v>
      </c>
      <c r="CR122" s="230">
        <v>13884000</v>
      </c>
      <c r="CS122" s="230">
        <v>12867000</v>
      </c>
      <c r="CT122" s="230">
        <v>1017000</v>
      </c>
      <c r="CU122" s="229">
        <v>7.9000000000000001E-2</v>
      </c>
      <c r="CV122" s="230">
        <v>83232000</v>
      </c>
      <c r="CW122" s="230">
        <v>79446000</v>
      </c>
      <c r="CX122" s="230">
        <v>3786000</v>
      </c>
      <c r="CY122" s="229">
        <v>4.7699999999999999E-2</v>
      </c>
      <c r="CZ122" s="228">
        <v>37.36</v>
      </c>
      <c r="DA122" s="228">
        <v>40.229999999999997</v>
      </c>
      <c r="DB122" s="228">
        <v>-2.87</v>
      </c>
      <c r="DC122" s="228">
        <v>-2.87</v>
      </c>
      <c r="DD122" s="228">
        <v>42.59</v>
      </c>
      <c r="DE122" s="228">
        <v>42.69</v>
      </c>
      <c r="DF122" s="228">
        <v>-5.23</v>
      </c>
      <c r="DG122" s="228">
        <v>-0.1</v>
      </c>
      <c r="DH122" s="228">
        <v>37.82</v>
      </c>
      <c r="DI122" s="228">
        <v>40.19</v>
      </c>
      <c r="DJ122" s="228">
        <v>-2.37</v>
      </c>
      <c r="DK122" s="228">
        <v>-2.37</v>
      </c>
      <c r="DL122" s="228">
        <v>36.29</v>
      </c>
      <c r="DM122" s="228">
        <v>40.29</v>
      </c>
      <c r="DN122" s="228">
        <v>-4</v>
      </c>
      <c r="DO122" s="228">
        <v>-4</v>
      </c>
      <c r="DP122" s="228">
        <v>0.77</v>
      </c>
      <c r="DQ122" s="228">
        <v>0.77</v>
      </c>
      <c r="DR122" s="228">
        <v>0</v>
      </c>
      <c r="DS122" s="229">
        <v>0</v>
      </c>
      <c r="DT122" s="228">
        <v>300</v>
      </c>
      <c r="DU122" s="228">
        <v>250</v>
      </c>
      <c r="DV122" s="228">
        <v>0.42</v>
      </c>
      <c r="DW122" s="228">
        <v>0.68</v>
      </c>
      <c r="DX122" s="228">
        <v>-0.26</v>
      </c>
      <c r="DY122" s="229">
        <v>-0.38240000000000002</v>
      </c>
      <c r="DZ122" s="229">
        <v>1.3299999999999999E-2</v>
      </c>
      <c r="EA122" s="230">
        <v>564000</v>
      </c>
      <c r="EB122" s="229">
        <v>5.7999999999999996E-3</v>
      </c>
      <c r="EC122" s="229">
        <v>1.3299999999999999E-2</v>
      </c>
      <c r="ED122" s="228">
        <v>2.0699999999999998</v>
      </c>
      <c r="EE122" s="229">
        <v>7.7000000000000002E-3</v>
      </c>
      <c r="EF122" s="230">
        <v>1588613</v>
      </c>
      <c r="EG122" s="230">
        <v>2924753</v>
      </c>
      <c r="EH122" s="229">
        <v>-0.45679999999999998</v>
      </c>
      <c r="EI122" s="229">
        <v>0.43640000000000001</v>
      </c>
      <c r="EJ122" s="231">
        <v>33784.51</v>
      </c>
      <c r="EK122" s="231">
        <v>13004.85</v>
      </c>
      <c r="EL122" s="231">
        <v>17268.439999999999</v>
      </c>
      <c r="EM122" s="231">
        <v>4650</v>
      </c>
      <c r="EN122" s="231">
        <v>64057.8</v>
      </c>
      <c r="EO122" s="231">
        <v>120360.13</v>
      </c>
      <c r="EP122" s="231">
        <v>-56302.33</v>
      </c>
      <c r="EQ122" s="229">
        <v>-0.46779999999999999</v>
      </c>
      <c r="ER122" s="231">
        <v>54425</v>
      </c>
      <c r="ES122" s="231">
        <v>38251</v>
      </c>
      <c r="ET122" s="231">
        <v>138005</v>
      </c>
      <c r="EU122" s="231">
        <v>82205057</v>
      </c>
      <c r="EV122" s="231">
        <v>230681</v>
      </c>
      <c r="EW122" s="231">
        <v>221480</v>
      </c>
      <c r="EX122" s="231">
        <v>9201</v>
      </c>
      <c r="EY122" s="229">
        <v>4.1500000000000002E-2</v>
      </c>
      <c r="EZ122" s="229">
        <v>1.0125</v>
      </c>
      <c r="FA122" s="227" t="s">
        <v>567</v>
      </c>
      <c r="FB122" s="161">
        <f t="shared" si="1"/>
        <v>684000</v>
      </c>
    </row>
    <row r="123" spans="1:158" ht="17.25" thickBot="1" x14ac:dyDescent="0.3">
      <c r="A123" s="226">
        <v>46086</v>
      </c>
      <c r="B123" s="227" t="s">
        <v>170</v>
      </c>
      <c r="C123" s="227" t="s">
        <v>671</v>
      </c>
      <c r="D123" s="228">
        <v>225</v>
      </c>
      <c r="E123" s="231">
        <v>2234</v>
      </c>
      <c r="F123" s="231">
        <v>2209</v>
      </c>
      <c r="G123" s="228">
        <v>25</v>
      </c>
      <c r="H123" s="229">
        <v>1.1299999999999999E-2</v>
      </c>
      <c r="I123" s="231">
        <v>2226.4</v>
      </c>
      <c r="J123" s="231">
        <v>2207.1999999999998</v>
      </c>
      <c r="K123" s="228">
        <v>19.2</v>
      </c>
      <c r="L123" s="229">
        <v>8.6999999999999994E-3</v>
      </c>
      <c r="M123" s="231">
        <v>2234</v>
      </c>
      <c r="N123" s="231">
        <v>2209</v>
      </c>
      <c r="O123" s="228">
        <v>25</v>
      </c>
      <c r="P123" s="229">
        <v>1.1299999999999999E-2</v>
      </c>
      <c r="Q123" s="231">
        <v>2235.1</v>
      </c>
      <c r="R123" s="231">
        <v>2211.8000000000002</v>
      </c>
      <c r="S123" s="228">
        <v>23.3</v>
      </c>
      <c r="T123" s="229">
        <v>1.0500000000000001E-2</v>
      </c>
      <c r="U123" s="231">
        <v>2222.1999999999998</v>
      </c>
      <c r="V123" s="231">
        <v>2220</v>
      </c>
      <c r="W123" s="228">
        <v>2.2000000000000002</v>
      </c>
      <c r="X123" s="229">
        <v>1E-3</v>
      </c>
      <c r="Y123" s="228">
        <v>7.6</v>
      </c>
      <c r="Z123" s="228">
        <v>1.8</v>
      </c>
      <c r="AA123" s="228">
        <v>5.8</v>
      </c>
      <c r="AB123" s="229">
        <v>3.3999999999999998E-3</v>
      </c>
      <c r="AC123" s="228">
        <v>7.6</v>
      </c>
      <c r="AD123" s="228">
        <v>1.8</v>
      </c>
      <c r="AE123" s="228">
        <v>5.8</v>
      </c>
      <c r="AF123" s="229">
        <v>3.3999999999999998E-3</v>
      </c>
      <c r="AG123" s="228">
        <v>8.6999999999999993</v>
      </c>
      <c r="AH123" s="228">
        <v>4.5999999999999996</v>
      </c>
      <c r="AI123" s="228">
        <v>4.0999999999999996</v>
      </c>
      <c r="AJ123" s="229">
        <v>3.8999999999999998E-3</v>
      </c>
      <c r="AK123" s="228">
        <v>-4.2</v>
      </c>
      <c r="AL123" s="228">
        <v>12.8</v>
      </c>
      <c r="AM123" s="228">
        <v>-17</v>
      </c>
      <c r="AN123" s="229">
        <v>-1.9E-3</v>
      </c>
      <c r="AO123" s="231">
        <v>2226.8200000000002</v>
      </c>
      <c r="AP123" s="231">
        <v>2232.89</v>
      </c>
      <c r="AQ123" s="228">
        <v>0</v>
      </c>
      <c r="AR123" s="230">
        <v>363825</v>
      </c>
      <c r="AS123" s="230">
        <v>382275</v>
      </c>
      <c r="AT123" s="230">
        <v>-18450</v>
      </c>
      <c r="AU123" s="229">
        <v>-4.8300000000000003E-2</v>
      </c>
      <c r="AV123" s="230">
        <v>347850</v>
      </c>
      <c r="AW123" s="230">
        <v>349200</v>
      </c>
      <c r="AX123" s="230">
        <v>-1350</v>
      </c>
      <c r="AY123" s="229">
        <v>-3.8999999999999998E-3</v>
      </c>
      <c r="AZ123" s="230">
        <v>15750</v>
      </c>
      <c r="BA123" s="230">
        <v>31500</v>
      </c>
      <c r="BB123" s="230">
        <v>-15750</v>
      </c>
      <c r="BC123" s="229">
        <v>-0.5</v>
      </c>
      <c r="BD123" s="228">
        <v>225</v>
      </c>
      <c r="BE123" s="230">
        <v>1575</v>
      </c>
      <c r="BF123" s="230">
        <v>-1350</v>
      </c>
      <c r="BG123" s="229">
        <v>-0.85709999999999997</v>
      </c>
      <c r="BH123" s="230">
        <v>922275</v>
      </c>
      <c r="BI123" s="230">
        <v>495675</v>
      </c>
      <c r="BJ123" s="230">
        <v>426600</v>
      </c>
      <c r="BK123" s="229">
        <v>0.86060000000000003</v>
      </c>
      <c r="BL123" s="230">
        <v>157275</v>
      </c>
      <c r="BM123" s="230">
        <v>295200</v>
      </c>
      <c r="BN123" s="230">
        <v>-137925</v>
      </c>
      <c r="BO123" s="229">
        <v>-0.4672</v>
      </c>
      <c r="BP123" s="230">
        <v>1443375</v>
      </c>
      <c r="BQ123" s="230">
        <v>1173150</v>
      </c>
      <c r="BR123" s="230">
        <v>270225</v>
      </c>
      <c r="BS123" s="229">
        <v>0.2303</v>
      </c>
      <c r="BT123" s="230">
        <v>318474</v>
      </c>
      <c r="BU123" s="230">
        <v>695367</v>
      </c>
      <c r="BV123" s="230">
        <v>-376893</v>
      </c>
      <c r="BW123" s="229">
        <v>-0.54200000000000004</v>
      </c>
      <c r="BX123" s="230">
        <v>2683125</v>
      </c>
      <c r="BY123" s="230">
        <v>2701125</v>
      </c>
      <c r="BZ123" s="230">
        <v>-18000</v>
      </c>
      <c r="CA123" s="229">
        <v>-6.7000000000000002E-3</v>
      </c>
      <c r="CB123" s="230">
        <v>2630250</v>
      </c>
      <c r="CC123" s="230">
        <v>2650725</v>
      </c>
      <c r="CD123" s="230">
        <v>-20475</v>
      </c>
      <c r="CE123" s="229">
        <v>-7.7000000000000002E-3</v>
      </c>
      <c r="CF123" s="230">
        <v>46800</v>
      </c>
      <c r="CG123" s="230">
        <v>44325</v>
      </c>
      <c r="CH123" s="230">
        <v>2475</v>
      </c>
      <c r="CI123" s="229">
        <v>5.5800000000000002E-2</v>
      </c>
      <c r="CJ123" s="230">
        <v>6075</v>
      </c>
      <c r="CK123" s="230">
        <v>6075</v>
      </c>
      <c r="CL123" s="228">
        <v>0</v>
      </c>
      <c r="CM123" s="229">
        <v>0</v>
      </c>
      <c r="CN123" s="230">
        <v>897525</v>
      </c>
      <c r="CO123" s="230">
        <v>834975</v>
      </c>
      <c r="CP123" s="230">
        <v>62550</v>
      </c>
      <c r="CQ123" s="229">
        <v>7.4899999999999994E-2</v>
      </c>
      <c r="CR123" s="230">
        <v>532125</v>
      </c>
      <c r="CS123" s="230">
        <v>545400</v>
      </c>
      <c r="CT123" s="230">
        <v>-13275</v>
      </c>
      <c r="CU123" s="229">
        <v>-2.4299999999999999E-2</v>
      </c>
      <c r="CV123" s="230">
        <v>4112775</v>
      </c>
      <c r="CW123" s="230">
        <v>4081500</v>
      </c>
      <c r="CX123" s="230">
        <v>31275</v>
      </c>
      <c r="CY123" s="229">
        <v>7.7000000000000002E-3</v>
      </c>
      <c r="CZ123" s="228">
        <v>27.32</v>
      </c>
      <c r="DA123" s="228">
        <v>29.29</v>
      </c>
      <c r="DB123" s="228">
        <v>-1.97</v>
      </c>
      <c r="DC123" s="228">
        <v>-1.97</v>
      </c>
      <c r="DD123" s="228">
        <v>33.33</v>
      </c>
      <c r="DE123" s="228">
        <v>33.39</v>
      </c>
      <c r="DF123" s="228">
        <v>-6.01</v>
      </c>
      <c r="DG123" s="228">
        <v>-0.06</v>
      </c>
      <c r="DH123" s="228">
        <v>27.21</v>
      </c>
      <c r="DI123" s="228">
        <v>29.14</v>
      </c>
      <c r="DJ123" s="228">
        <v>-1.93</v>
      </c>
      <c r="DK123" s="228">
        <v>-1.93</v>
      </c>
      <c r="DL123" s="228">
        <v>28</v>
      </c>
      <c r="DM123" s="228">
        <v>29.55</v>
      </c>
      <c r="DN123" s="228">
        <v>-1.55</v>
      </c>
      <c r="DO123" s="228">
        <v>-1.55</v>
      </c>
      <c r="DP123" s="228">
        <v>0.59</v>
      </c>
      <c r="DQ123" s="228">
        <v>0.65</v>
      </c>
      <c r="DR123" s="228">
        <v>-0.06</v>
      </c>
      <c r="DS123" s="229">
        <v>-9.2299999999999993E-2</v>
      </c>
      <c r="DT123" s="231">
        <v>2400</v>
      </c>
      <c r="DU123" s="231">
        <v>2100</v>
      </c>
      <c r="DV123" s="228">
        <v>0.17</v>
      </c>
      <c r="DW123" s="228">
        <v>0.6</v>
      </c>
      <c r="DX123" s="228">
        <v>-0.43</v>
      </c>
      <c r="DY123" s="229">
        <v>-0.7167</v>
      </c>
      <c r="DZ123" s="229">
        <v>1.9699999999999999E-2</v>
      </c>
      <c r="EA123" s="230">
        <v>50400</v>
      </c>
      <c r="EB123" s="229">
        <v>5.0000000000000001E-4</v>
      </c>
      <c r="EC123" s="229">
        <v>1.9699999999999999E-2</v>
      </c>
      <c r="ED123" s="228">
        <v>6.07</v>
      </c>
      <c r="EE123" s="229">
        <v>2.7000000000000001E-3</v>
      </c>
      <c r="EF123" s="230">
        <v>171145</v>
      </c>
      <c r="EG123" s="230">
        <v>433210</v>
      </c>
      <c r="EH123" s="229">
        <v>-0.60489999999999999</v>
      </c>
      <c r="EI123" s="229">
        <v>0.53739999999999999</v>
      </c>
      <c r="EJ123" s="231">
        <v>21793.62</v>
      </c>
      <c r="EK123" s="231">
        <v>3420.56</v>
      </c>
      <c r="EL123" s="231">
        <v>8102.68</v>
      </c>
      <c r="EM123" s="231">
        <v>4205</v>
      </c>
      <c r="EN123" s="231">
        <v>33316.86</v>
      </c>
      <c r="EO123" s="231">
        <v>26692.77</v>
      </c>
      <c r="EP123" s="231">
        <v>6624.09</v>
      </c>
      <c r="EQ123" s="229">
        <v>0.2482</v>
      </c>
      <c r="ER123" s="231">
        <v>20828</v>
      </c>
      <c r="ES123" s="231">
        <v>11331</v>
      </c>
      <c r="ET123" s="231">
        <v>59941</v>
      </c>
      <c r="EU123" s="231">
        <v>16919681</v>
      </c>
      <c r="EV123" s="231">
        <v>92099</v>
      </c>
      <c r="EW123" s="231">
        <v>90662</v>
      </c>
      <c r="EX123" s="231">
        <v>1437</v>
      </c>
      <c r="EY123" s="229">
        <v>1.5900000000000001E-2</v>
      </c>
      <c r="EZ123" s="229">
        <v>0.24310000000000001</v>
      </c>
      <c r="FA123" s="227" t="s">
        <v>556</v>
      </c>
      <c r="FB123" s="161">
        <f t="shared" si="1"/>
        <v>52875</v>
      </c>
    </row>
    <row r="124" spans="1:158" ht="17.25" thickBot="1" x14ac:dyDescent="0.3">
      <c r="A124" s="226">
        <v>46086</v>
      </c>
      <c r="B124" s="227" t="s">
        <v>168</v>
      </c>
      <c r="C124" s="227" t="s">
        <v>254</v>
      </c>
      <c r="D124" s="228">
        <v>1200</v>
      </c>
      <c r="E124" s="228">
        <v>780.35</v>
      </c>
      <c r="F124" s="228">
        <v>775.3</v>
      </c>
      <c r="G124" s="228">
        <v>5.05</v>
      </c>
      <c r="H124" s="229">
        <v>6.4999999999999997E-3</v>
      </c>
      <c r="I124" s="228">
        <v>778.85</v>
      </c>
      <c r="J124" s="228">
        <v>771.85</v>
      </c>
      <c r="K124" s="228">
        <v>7</v>
      </c>
      <c r="L124" s="229">
        <v>9.1000000000000004E-3</v>
      </c>
      <c r="M124" s="228">
        <v>780.35</v>
      </c>
      <c r="N124" s="228">
        <v>775.3</v>
      </c>
      <c r="O124" s="228">
        <v>5.05</v>
      </c>
      <c r="P124" s="229">
        <v>6.4999999999999997E-3</v>
      </c>
      <c r="Q124" s="228">
        <v>783.8</v>
      </c>
      <c r="R124" s="228">
        <v>779.75</v>
      </c>
      <c r="S124" s="228">
        <v>4.05</v>
      </c>
      <c r="T124" s="229">
        <v>5.1999999999999998E-3</v>
      </c>
      <c r="U124" s="228">
        <v>788.4</v>
      </c>
      <c r="V124" s="228">
        <v>780.75</v>
      </c>
      <c r="W124" s="228">
        <v>7.65</v>
      </c>
      <c r="X124" s="229">
        <v>9.7999999999999997E-3</v>
      </c>
      <c r="Y124" s="228">
        <v>1.5</v>
      </c>
      <c r="Z124" s="228">
        <v>3.45</v>
      </c>
      <c r="AA124" s="228">
        <v>-1.95</v>
      </c>
      <c r="AB124" s="229">
        <v>1.9E-3</v>
      </c>
      <c r="AC124" s="228">
        <v>1.5</v>
      </c>
      <c r="AD124" s="228">
        <v>3.45</v>
      </c>
      <c r="AE124" s="228">
        <v>-1.95</v>
      </c>
      <c r="AF124" s="229">
        <v>1.9E-3</v>
      </c>
      <c r="AG124" s="228">
        <v>4.95</v>
      </c>
      <c r="AH124" s="228">
        <v>7.9</v>
      </c>
      <c r="AI124" s="228">
        <v>-2.95</v>
      </c>
      <c r="AJ124" s="229">
        <v>6.4000000000000003E-3</v>
      </c>
      <c r="AK124" s="228">
        <v>9.5500000000000007</v>
      </c>
      <c r="AL124" s="228">
        <v>8.9</v>
      </c>
      <c r="AM124" s="228">
        <v>0.65</v>
      </c>
      <c r="AN124" s="229">
        <v>1.23E-2</v>
      </c>
      <c r="AO124" s="228">
        <v>777.63</v>
      </c>
      <c r="AP124" s="228">
        <v>783.73</v>
      </c>
      <c r="AQ124" s="228">
        <v>0</v>
      </c>
      <c r="AR124" s="230">
        <v>1406400</v>
      </c>
      <c r="AS124" s="230">
        <v>2324400</v>
      </c>
      <c r="AT124" s="230">
        <v>-918000</v>
      </c>
      <c r="AU124" s="229">
        <v>-0.39489999999999997</v>
      </c>
      <c r="AV124" s="230">
        <v>1382400</v>
      </c>
      <c r="AW124" s="230">
        <v>2259600</v>
      </c>
      <c r="AX124" s="230">
        <v>-877200</v>
      </c>
      <c r="AY124" s="229">
        <v>-0.38819999999999999</v>
      </c>
      <c r="AZ124" s="230">
        <v>22800</v>
      </c>
      <c r="BA124" s="230">
        <v>57600</v>
      </c>
      <c r="BB124" s="230">
        <v>-34800</v>
      </c>
      <c r="BC124" s="229">
        <v>-0.60419999999999996</v>
      </c>
      <c r="BD124" s="230">
        <v>1200</v>
      </c>
      <c r="BE124" s="230">
        <v>7200</v>
      </c>
      <c r="BF124" s="230">
        <v>-6000</v>
      </c>
      <c r="BG124" s="229">
        <v>-0.83330000000000004</v>
      </c>
      <c r="BH124" s="230">
        <v>2610000</v>
      </c>
      <c r="BI124" s="230">
        <v>3351600</v>
      </c>
      <c r="BJ124" s="230">
        <v>-741600</v>
      </c>
      <c r="BK124" s="229">
        <v>-0.2213</v>
      </c>
      <c r="BL124" s="230">
        <v>1069200</v>
      </c>
      <c r="BM124" s="230">
        <v>2791200</v>
      </c>
      <c r="BN124" s="230">
        <v>-1722000</v>
      </c>
      <c r="BO124" s="229">
        <v>-0.6169</v>
      </c>
      <c r="BP124" s="230">
        <v>5085600</v>
      </c>
      <c r="BQ124" s="230">
        <v>8467200</v>
      </c>
      <c r="BR124" s="230">
        <v>-3381600</v>
      </c>
      <c r="BS124" s="229">
        <v>-0.39939999999999998</v>
      </c>
      <c r="BT124" s="230">
        <v>1033664</v>
      </c>
      <c r="BU124" s="230">
        <v>1207587</v>
      </c>
      <c r="BV124" s="230">
        <v>-173923</v>
      </c>
      <c r="BW124" s="229">
        <v>-0.14399999999999999</v>
      </c>
      <c r="BX124" s="230">
        <v>26802000</v>
      </c>
      <c r="BY124" s="230">
        <v>26990400</v>
      </c>
      <c r="BZ124" s="230">
        <v>-188400</v>
      </c>
      <c r="CA124" s="229">
        <v>-7.0000000000000001E-3</v>
      </c>
      <c r="CB124" s="230">
        <v>26731200</v>
      </c>
      <c r="CC124" s="230">
        <v>26908800</v>
      </c>
      <c r="CD124" s="230">
        <v>-177600</v>
      </c>
      <c r="CE124" s="229">
        <v>-6.6E-3</v>
      </c>
      <c r="CF124" s="230">
        <v>60000</v>
      </c>
      <c r="CG124" s="230">
        <v>72000</v>
      </c>
      <c r="CH124" s="230">
        <v>-12000</v>
      </c>
      <c r="CI124" s="229">
        <v>-0.16669999999999999</v>
      </c>
      <c r="CJ124" s="230">
        <v>10800</v>
      </c>
      <c r="CK124" s="230">
        <v>9600</v>
      </c>
      <c r="CL124" s="230">
        <v>1200</v>
      </c>
      <c r="CM124" s="229">
        <v>0.125</v>
      </c>
      <c r="CN124" s="230">
        <v>4627200</v>
      </c>
      <c r="CO124" s="230">
        <v>4507200</v>
      </c>
      <c r="CP124" s="230">
        <v>120000</v>
      </c>
      <c r="CQ124" s="229">
        <v>2.6599999999999999E-2</v>
      </c>
      <c r="CR124" s="230">
        <v>2139600</v>
      </c>
      <c r="CS124" s="230">
        <v>2072400</v>
      </c>
      <c r="CT124" s="230">
        <v>67200</v>
      </c>
      <c r="CU124" s="229">
        <v>3.2399999999999998E-2</v>
      </c>
      <c r="CV124" s="230">
        <v>33568800</v>
      </c>
      <c r="CW124" s="230">
        <v>33570000</v>
      </c>
      <c r="CX124" s="230">
        <v>-1200</v>
      </c>
      <c r="CY124" s="229">
        <v>0</v>
      </c>
      <c r="CZ124" s="228">
        <v>20.3</v>
      </c>
      <c r="DA124" s="228">
        <v>21.95</v>
      </c>
      <c r="DB124" s="228">
        <v>-1.65</v>
      </c>
      <c r="DC124" s="228">
        <v>-1.65</v>
      </c>
      <c r="DD124" s="228">
        <v>24.22</v>
      </c>
      <c r="DE124" s="228">
        <v>24.25</v>
      </c>
      <c r="DF124" s="228">
        <v>-3.92</v>
      </c>
      <c r="DG124" s="228">
        <v>-0.03</v>
      </c>
      <c r="DH124" s="228">
        <v>20.02</v>
      </c>
      <c r="DI124" s="228">
        <v>21.84</v>
      </c>
      <c r="DJ124" s="228">
        <v>-1.82</v>
      </c>
      <c r="DK124" s="228">
        <v>-1.82</v>
      </c>
      <c r="DL124" s="228">
        <v>20.98</v>
      </c>
      <c r="DM124" s="228">
        <v>22.08</v>
      </c>
      <c r="DN124" s="228">
        <v>-1.1000000000000001</v>
      </c>
      <c r="DO124" s="228">
        <v>-1.1000000000000001</v>
      </c>
      <c r="DP124" s="228">
        <v>0.46</v>
      </c>
      <c r="DQ124" s="228">
        <v>0.46</v>
      </c>
      <c r="DR124" s="228">
        <v>0</v>
      </c>
      <c r="DS124" s="229">
        <v>0</v>
      </c>
      <c r="DT124" s="228">
        <v>860</v>
      </c>
      <c r="DU124" s="228">
        <v>750</v>
      </c>
      <c r="DV124" s="228">
        <v>0.41</v>
      </c>
      <c r="DW124" s="228">
        <v>0.83</v>
      </c>
      <c r="DX124" s="228">
        <v>-0.42</v>
      </c>
      <c r="DY124" s="229">
        <v>-0.50600000000000001</v>
      </c>
      <c r="DZ124" s="229">
        <v>2.5999999999999999E-3</v>
      </c>
      <c r="EA124" s="230">
        <v>81600</v>
      </c>
      <c r="EB124" s="229">
        <v>4.4000000000000003E-3</v>
      </c>
      <c r="EC124" s="229">
        <v>2.5999999999999999E-3</v>
      </c>
      <c r="ED124" s="228">
        <v>6.1</v>
      </c>
      <c r="EE124" s="229">
        <v>7.7999999999999996E-3</v>
      </c>
      <c r="EF124" s="230">
        <v>656108</v>
      </c>
      <c r="EG124" s="230">
        <v>728723</v>
      </c>
      <c r="EH124" s="229">
        <v>-9.9599999999999994E-2</v>
      </c>
      <c r="EI124" s="229">
        <v>0.63470000000000004</v>
      </c>
      <c r="EJ124" s="231">
        <v>21537.45</v>
      </c>
      <c r="EK124" s="231">
        <v>8151.21</v>
      </c>
      <c r="EL124" s="231">
        <v>10938.14</v>
      </c>
      <c r="EM124" s="231">
        <v>1828</v>
      </c>
      <c r="EN124" s="231">
        <v>40626.800000000003</v>
      </c>
      <c r="EO124" s="231">
        <v>67296.7</v>
      </c>
      <c r="EP124" s="231">
        <v>-26669.9</v>
      </c>
      <c r="EQ124" s="229">
        <v>-0.39629999999999999</v>
      </c>
      <c r="ER124" s="231">
        <v>38222</v>
      </c>
      <c r="ES124" s="231">
        <v>16352</v>
      </c>
      <c r="ET124" s="231">
        <v>209152</v>
      </c>
      <c r="EU124" s="231">
        <v>79442217</v>
      </c>
      <c r="EV124" s="231">
        <v>263726</v>
      </c>
      <c r="EW124" s="231">
        <v>262422</v>
      </c>
      <c r="EX124" s="231">
        <v>1304</v>
      </c>
      <c r="EY124" s="229">
        <v>5.0000000000000001E-3</v>
      </c>
      <c r="EZ124" s="229">
        <v>0.42259999999999998</v>
      </c>
      <c r="FA124" s="227" t="s">
        <v>556</v>
      </c>
      <c r="FB124" s="161">
        <f t="shared" si="1"/>
        <v>70800</v>
      </c>
    </row>
    <row r="125" spans="1:158" ht="17.25" thickBot="1" x14ac:dyDescent="0.3">
      <c r="A125" s="226">
        <v>46086</v>
      </c>
      <c r="B125" s="227" t="s">
        <v>162</v>
      </c>
      <c r="C125" s="227" t="s">
        <v>255</v>
      </c>
      <c r="D125" s="228">
        <v>50</v>
      </c>
      <c r="E125" s="231">
        <v>14439</v>
      </c>
      <c r="F125" s="231">
        <v>14185</v>
      </c>
      <c r="G125" s="228">
        <v>254</v>
      </c>
      <c r="H125" s="229">
        <v>1.7899999999999999E-2</v>
      </c>
      <c r="I125" s="231">
        <v>14415</v>
      </c>
      <c r="J125" s="231">
        <v>14158</v>
      </c>
      <c r="K125" s="228">
        <v>257</v>
      </c>
      <c r="L125" s="229">
        <v>1.8200000000000001E-2</v>
      </c>
      <c r="M125" s="231">
        <v>14439</v>
      </c>
      <c r="N125" s="231">
        <v>14185</v>
      </c>
      <c r="O125" s="228">
        <v>254</v>
      </c>
      <c r="P125" s="229">
        <v>1.7899999999999999E-2</v>
      </c>
      <c r="Q125" s="231">
        <v>14526</v>
      </c>
      <c r="R125" s="231">
        <v>14272</v>
      </c>
      <c r="S125" s="228">
        <v>254</v>
      </c>
      <c r="T125" s="229">
        <v>1.78E-2</v>
      </c>
      <c r="U125" s="231">
        <v>14628</v>
      </c>
      <c r="V125" s="231">
        <v>14346</v>
      </c>
      <c r="W125" s="228">
        <v>282</v>
      </c>
      <c r="X125" s="229">
        <v>1.9699999999999999E-2</v>
      </c>
      <c r="Y125" s="228">
        <v>24</v>
      </c>
      <c r="Z125" s="228">
        <v>27</v>
      </c>
      <c r="AA125" s="228">
        <v>-3</v>
      </c>
      <c r="AB125" s="229">
        <v>1.6999999999999999E-3</v>
      </c>
      <c r="AC125" s="228">
        <v>24</v>
      </c>
      <c r="AD125" s="228">
        <v>27</v>
      </c>
      <c r="AE125" s="228">
        <v>-3</v>
      </c>
      <c r="AF125" s="229">
        <v>1.6999999999999999E-3</v>
      </c>
      <c r="AG125" s="228">
        <v>111</v>
      </c>
      <c r="AH125" s="228">
        <v>114</v>
      </c>
      <c r="AI125" s="228">
        <v>-3</v>
      </c>
      <c r="AJ125" s="229">
        <v>7.7000000000000002E-3</v>
      </c>
      <c r="AK125" s="228">
        <v>213</v>
      </c>
      <c r="AL125" s="228">
        <v>188</v>
      </c>
      <c r="AM125" s="228">
        <v>25</v>
      </c>
      <c r="AN125" s="229">
        <v>1.4800000000000001E-2</v>
      </c>
      <c r="AO125" s="231">
        <v>14332.14</v>
      </c>
      <c r="AP125" s="231">
        <v>14412.85</v>
      </c>
      <c r="AQ125" s="228">
        <v>0</v>
      </c>
      <c r="AR125" s="230">
        <v>427000</v>
      </c>
      <c r="AS125" s="230">
        <v>609550</v>
      </c>
      <c r="AT125" s="230">
        <v>-182550</v>
      </c>
      <c r="AU125" s="229">
        <v>-0.29949999999999999</v>
      </c>
      <c r="AV125" s="230">
        <v>405850</v>
      </c>
      <c r="AW125" s="230">
        <v>582500</v>
      </c>
      <c r="AX125" s="230">
        <v>-176650</v>
      </c>
      <c r="AY125" s="229">
        <v>-0.30330000000000001</v>
      </c>
      <c r="AZ125" s="230">
        <v>18450</v>
      </c>
      <c r="BA125" s="230">
        <v>21200</v>
      </c>
      <c r="BB125" s="230">
        <v>-2750</v>
      </c>
      <c r="BC125" s="229">
        <v>-0.12970000000000001</v>
      </c>
      <c r="BD125" s="230">
        <v>2700</v>
      </c>
      <c r="BE125" s="230">
        <v>5850</v>
      </c>
      <c r="BF125" s="230">
        <v>-3150</v>
      </c>
      <c r="BG125" s="229">
        <v>-0.53849999999999998</v>
      </c>
      <c r="BH125" s="230">
        <v>2278850</v>
      </c>
      <c r="BI125" s="230">
        <v>3503500</v>
      </c>
      <c r="BJ125" s="230">
        <v>-1224650</v>
      </c>
      <c r="BK125" s="229">
        <v>-0.34960000000000002</v>
      </c>
      <c r="BL125" s="230">
        <v>1380350</v>
      </c>
      <c r="BM125" s="230">
        <v>2800650</v>
      </c>
      <c r="BN125" s="230">
        <v>-1420300</v>
      </c>
      <c r="BO125" s="229">
        <v>-0.5071</v>
      </c>
      <c r="BP125" s="230">
        <v>4086200</v>
      </c>
      <c r="BQ125" s="230">
        <v>6913700</v>
      </c>
      <c r="BR125" s="230">
        <v>-2827500</v>
      </c>
      <c r="BS125" s="229">
        <v>-0.40899999999999997</v>
      </c>
      <c r="BT125" s="230">
        <v>468924</v>
      </c>
      <c r="BU125" s="230">
        <v>734531</v>
      </c>
      <c r="BV125" s="230">
        <v>-265607</v>
      </c>
      <c r="BW125" s="229">
        <v>-0.36159999999999998</v>
      </c>
      <c r="BX125" s="230">
        <v>2811900</v>
      </c>
      <c r="BY125" s="230">
        <v>2830300</v>
      </c>
      <c r="BZ125" s="230">
        <v>-18400</v>
      </c>
      <c r="CA125" s="229">
        <v>-6.4999999999999997E-3</v>
      </c>
      <c r="CB125" s="230">
        <v>2765200</v>
      </c>
      <c r="CC125" s="230">
        <v>2787250</v>
      </c>
      <c r="CD125" s="230">
        <v>-22050</v>
      </c>
      <c r="CE125" s="229">
        <v>-7.9000000000000008E-3</v>
      </c>
      <c r="CF125" s="230">
        <v>38250</v>
      </c>
      <c r="CG125" s="230">
        <v>35300</v>
      </c>
      <c r="CH125" s="230">
        <v>2950</v>
      </c>
      <c r="CI125" s="229">
        <v>8.3599999999999994E-2</v>
      </c>
      <c r="CJ125" s="230">
        <v>8450</v>
      </c>
      <c r="CK125" s="230">
        <v>7750</v>
      </c>
      <c r="CL125" s="228">
        <v>700</v>
      </c>
      <c r="CM125" s="229">
        <v>9.0300000000000005E-2</v>
      </c>
      <c r="CN125" s="230">
        <v>1642500</v>
      </c>
      <c r="CO125" s="230">
        <v>1590350</v>
      </c>
      <c r="CP125" s="230">
        <v>52150</v>
      </c>
      <c r="CQ125" s="229">
        <v>3.2800000000000003E-2</v>
      </c>
      <c r="CR125" s="230">
        <v>831800</v>
      </c>
      <c r="CS125" s="230">
        <v>817250</v>
      </c>
      <c r="CT125" s="230">
        <v>14550</v>
      </c>
      <c r="CU125" s="229">
        <v>1.78E-2</v>
      </c>
      <c r="CV125" s="230">
        <v>5286200</v>
      </c>
      <c r="CW125" s="230">
        <v>5237900</v>
      </c>
      <c r="CX125" s="230">
        <v>48300</v>
      </c>
      <c r="CY125" s="229">
        <v>9.1999999999999998E-3</v>
      </c>
      <c r="CZ125" s="228">
        <v>22.97</v>
      </c>
      <c r="DA125" s="228">
        <v>26.51</v>
      </c>
      <c r="DB125" s="228">
        <v>-3.54</v>
      </c>
      <c r="DC125" s="228">
        <v>-3.54</v>
      </c>
      <c r="DD125" s="228">
        <v>25.32</v>
      </c>
      <c r="DE125" s="228">
        <v>25.26</v>
      </c>
      <c r="DF125" s="228">
        <v>-2.35</v>
      </c>
      <c r="DG125" s="228">
        <v>0.06</v>
      </c>
      <c r="DH125" s="228">
        <v>21.81</v>
      </c>
      <c r="DI125" s="228">
        <v>24.77</v>
      </c>
      <c r="DJ125" s="228">
        <v>-2.96</v>
      </c>
      <c r="DK125" s="228">
        <v>-2.96</v>
      </c>
      <c r="DL125" s="228">
        <v>24.87</v>
      </c>
      <c r="DM125" s="228">
        <v>28.68</v>
      </c>
      <c r="DN125" s="228">
        <v>-3.81</v>
      </c>
      <c r="DO125" s="228">
        <v>-3.81</v>
      </c>
      <c r="DP125" s="228">
        <v>0.51</v>
      </c>
      <c r="DQ125" s="228">
        <v>0.51</v>
      </c>
      <c r="DR125" s="228">
        <v>0</v>
      </c>
      <c r="DS125" s="229">
        <v>0</v>
      </c>
      <c r="DT125" s="231">
        <v>14500</v>
      </c>
      <c r="DU125" s="231">
        <v>14000</v>
      </c>
      <c r="DV125" s="228">
        <v>0.61</v>
      </c>
      <c r="DW125" s="228">
        <v>0.8</v>
      </c>
      <c r="DX125" s="228">
        <v>-0.19</v>
      </c>
      <c r="DY125" s="229">
        <v>-0.23749999999999999</v>
      </c>
      <c r="DZ125" s="229">
        <v>1.66E-2</v>
      </c>
      <c r="EA125" s="230">
        <v>43050</v>
      </c>
      <c r="EB125" s="229">
        <v>6.0000000000000001E-3</v>
      </c>
      <c r="EC125" s="229">
        <v>1.66E-2</v>
      </c>
      <c r="ED125" s="228">
        <v>80.709999999999994</v>
      </c>
      <c r="EE125" s="229">
        <v>5.5999999999999999E-3</v>
      </c>
      <c r="EF125" s="230">
        <v>279290</v>
      </c>
      <c r="EG125" s="230">
        <v>430176</v>
      </c>
      <c r="EH125" s="229">
        <v>-0.3508</v>
      </c>
      <c r="EI125" s="229">
        <v>0.59560000000000002</v>
      </c>
      <c r="EJ125" s="231">
        <v>341895.76</v>
      </c>
      <c r="EK125" s="231">
        <v>194588</v>
      </c>
      <c r="EL125" s="231">
        <v>61217.11</v>
      </c>
      <c r="EM125" s="231">
        <v>9136</v>
      </c>
      <c r="EN125" s="231">
        <v>597700.87</v>
      </c>
      <c r="EO125" s="231">
        <v>1000566.23</v>
      </c>
      <c r="EP125" s="231">
        <v>-402865.36</v>
      </c>
      <c r="EQ125" s="229">
        <v>-0.40260000000000001</v>
      </c>
      <c r="ER125" s="231">
        <v>251016</v>
      </c>
      <c r="ES125" s="231">
        <v>117172</v>
      </c>
      <c r="ET125" s="231">
        <v>406059</v>
      </c>
      <c r="EU125" s="231">
        <v>17687048</v>
      </c>
      <c r="EV125" s="231">
        <v>774248</v>
      </c>
      <c r="EW125" s="231">
        <v>760077</v>
      </c>
      <c r="EX125" s="231">
        <v>14171</v>
      </c>
      <c r="EY125" s="229">
        <v>1.8599999999999998E-2</v>
      </c>
      <c r="EZ125" s="229">
        <v>0.2989</v>
      </c>
      <c r="FA125" s="227" t="s">
        <v>556</v>
      </c>
      <c r="FB125" s="161">
        <f t="shared" si="1"/>
        <v>46700</v>
      </c>
    </row>
    <row r="126" spans="1:158" ht="17.25" thickBot="1" x14ac:dyDescent="0.3">
      <c r="A126" s="226">
        <v>46086</v>
      </c>
      <c r="B126" s="227" t="s">
        <v>170</v>
      </c>
      <c r="C126" s="227" t="s">
        <v>603</v>
      </c>
      <c r="D126" s="228">
        <v>525</v>
      </c>
      <c r="E126" s="231">
        <v>1063</v>
      </c>
      <c r="F126" s="231">
        <v>1058.5</v>
      </c>
      <c r="G126" s="228">
        <v>4.5</v>
      </c>
      <c r="H126" s="229">
        <v>4.3E-3</v>
      </c>
      <c r="I126" s="231">
        <v>1058.2</v>
      </c>
      <c r="J126" s="231">
        <v>1053.7</v>
      </c>
      <c r="K126" s="228">
        <v>4.5</v>
      </c>
      <c r="L126" s="229">
        <v>4.3E-3</v>
      </c>
      <c r="M126" s="231">
        <v>1063</v>
      </c>
      <c r="N126" s="231">
        <v>1058.5</v>
      </c>
      <c r="O126" s="228">
        <v>4.5</v>
      </c>
      <c r="P126" s="229">
        <v>4.3E-3</v>
      </c>
      <c r="Q126" s="231">
        <v>1069.3</v>
      </c>
      <c r="R126" s="231">
        <v>1065.0999999999999</v>
      </c>
      <c r="S126" s="228">
        <v>4.2</v>
      </c>
      <c r="T126" s="229">
        <v>3.8999999999999998E-3</v>
      </c>
      <c r="U126" s="231">
        <v>1065.3</v>
      </c>
      <c r="V126" s="231">
        <v>1069.5</v>
      </c>
      <c r="W126" s="228">
        <v>-4.2</v>
      </c>
      <c r="X126" s="229">
        <v>-3.8999999999999998E-3</v>
      </c>
      <c r="Y126" s="228">
        <v>4.8</v>
      </c>
      <c r="Z126" s="228">
        <v>4.8</v>
      </c>
      <c r="AA126" s="228">
        <v>0</v>
      </c>
      <c r="AB126" s="229">
        <v>4.4999999999999997E-3</v>
      </c>
      <c r="AC126" s="228">
        <v>4.8</v>
      </c>
      <c r="AD126" s="228">
        <v>4.8</v>
      </c>
      <c r="AE126" s="228">
        <v>0</v>
      </c>
      <c r="AF126" s="229">
        <v>4.4999999999999997E-3</v>
      </c>
      <c r="AG126" s="228">
        <v>11.1</v>
      </c>
      <c r="AH126" s="228">
        <v>11.4</v>
      </c>
      <c r="AI126" s="228">
        <v>-0.3</v>
      </c>
      <c r="AJ126" s="229">
        <v>1.0500000000000001E-2</v>
      </c>
      <c r="AK126" s="228">
        <v>7.1</v>
      </c>
      <c r="AL126" s="228">
        <v>15.8</v>
      </c>
      <c r="AM126" s="228">
        <v>-8.6999999999999993</v>
      </c>
      <c r="AN126" s="229">
        <v>6.7000000000000002E-3</v>
      </c>
      <c r="AO126" s="231">
        <v>1052.26</v>
      </c>
      <c r="AP126" s="231">
        <v>1058.03</v>
      </c>
      <c r="AQ126" s="228">
        <v>0</v>
      </c>
      <c r="AR126" s="230">
        <v>1878450</v>
      </c>
      <c r="AS126" s="230">
        <v>2080575</v>
      </c>
      <c r="AT126" s="230">
        <v>-202125</v>
      </c>
      <c r="AU126" s="229">
        <v>-9.7100000000000006E-2</v>
      </c>
      <c r="AV126" s="230">
        <v>1807050</v>
      </c>
      <c r="AW126" s="230">
        <v>2024925</v>
      </c>
      <c r="AX126" s="230">
        <v>-217875</v>
      </c>
      <c r="AY126" s="229">
        <v>-0.1076</v>
      </c>
      <c r="AZ126" s="230">
        <v>66675</v>
      </c>
      <c r="BA126" s="230">
        <v>39900</v>
      </c>
      <c r="BB126" s="230">
        <v>26775</v>
      </c>
      <c r="BC126" s="229">
        <v>0.67110000000000003</v>
      </c>
      <c r="BD126" s="230">
        <v>4725</v>
      </c>
      <c r="BE126" s="230">
        <v>15750</v>
      </c>
      <c r="BF126" s="230">
        <v>-11025</v>
      </c>
      <c r="BG126" s="229">
        <v>-0.7</v>
      </c>
      <c r="BH126" s="230">
        <v>3393075</v>
      </c>
      <c r="BI126" s="230">
        <v>2658075</v>
      </c>
      <c r="BJ126" s="230">
        <v>735000</v>
      </c>
      <c r="BK126" s="229">
        <v>0.27650000000000002</v>
      </c>
      <c r="BL126" s="230">
        <v>3910725</v>
      </c>
      <c r="BM126" s="230">
        <v>1890525</v>
      </c>
      <c r="BN126" s="230">
        <v>2020200</v>
      </c>
      <c r="BO126" s="229">
        <v>1.0686</v>
      </c>
      <c r="BP126" s="230">
        <v>9182250</v>
      </c>
      <c r="BQ126" s="230">
        <v>6629175</v>
      </c>
      <c r="BR126" s="230">
        <v>2553075</v>
      </c>
      <c r="BS126" s="229">
        <v>0.3851</v>
      </c>
      <c r="BT126" s="230">
        <v>3014237</v>
      </c>
      <c r="BU126" s="230">
        <v>3491758</v>
      </c>
      <c r="BV126" s="230">
        <v>-477521</v>
      </c>
      <c r="BW126" s="229">
        <v>-0.1368</v>
      </c>
      <c r="BX126" s="230">
        <v>13412175</v>
      </c>
      <c r="BY126" s="230">
        <v>13307700</v>
      </c>
      <c r="BZ126" s="230">
        <v>104475</v>
      </c>
      <c r="CA126" s="229">
        <v>7.9000000000000008E-3</v>
      </c>
      <c r="CB126" s="230">
        <v>13253100</v>
      </c>
      <c r="CC126" s="230">
        <v>13159125</v>
      </c>
      <c r="CD126" s="230">
        <v>93975</v>
      </c>
      <c r="CE126" s="229">
        <v>7.1000000000000004E-3</v>
      </c>
      <c r="CF126" s="230">
        <v>139650</v>
      </c>
      <c r="CG126" s="230">
        <v>129675</v>
      </c>
      <c r="CH126" s="230">
        <v>9975</v>
      </c>
      <c r="CI126" s="229">
        <v>7.6899999999999996E-2</v>
      </c>
      <c r="CJ126" s="230">
        <v>19425</v>
      </c>
      <c r="CK126" s="230">
        <v>18900</v>
      </c>
      <c r="CL126" s="228">
        <v>525</v>
      </c>
      <c r="CM126" s="229">
        <v>2.7799999999999998E-2</v>
      </c>
      <c r="CN126" s="230">
        <v>2331525</v>
      </c>
      <c r="CO126" s="230">
        <v>2011275</v>
      </c>
      <c r="CP126" s="230">
        <v>320250</v>
      </c>
      <c r="CQ126" s="229">
        <v>0.15920000000000001</v>
      </c>
      <c r="CR126" s="230">
        <v>1840650</v>
      </c>
      <c r="CS126" s="230">
        <v>1578150</v>
      </c>
      <c r="CT126" s="230">
        <v>262500</v>
      </c>
      <c r="CU126" s="229">
        <v>0.1663</v>
      </c>
      <c r="CV126" s="230">
        <v>17584350</v>
      </c>
      <c r="CW126" s="230">
        <v>16897125</v>
      </c>
      <c r="CX126" s="230">
        <v>687225</v>
      </c>
      <c r="CY126" s="229">
        <v>4.07E-2</v>
      </c>
      <c r="CZ126" s="228">
        <v>28</v>
      </c>
      <c r="DA126" s="228">
        <v>30.52</v>
      </c>
      <c r="DB126" s="228">
        <v>-2.52</v>
      </c>
      <c r="DC126" s="228">
        <v>-2.52</v>
      </c>
      <c r="DD126" s="228">
        <v>37.22</v>
      </c>
      <c r="DE126" s="228">
        <v>37.31</v>
      </c>
      <c r="DF126" s="228">
        <v>-9.2200000000000006</v>
      </c>
      <c r="DG126" s="228">
        <v>-0.09</v>
      </c>
      <c r="DH126" s="228">
        <v>26.84</v>
      </c>
      <c r="DI126" s="228">
        <v>29.76</v>
      </c>
      <c r="DJ126" s="228">
        <v>-2.92</v>
      </c>
      <c r="DK126" s="228">
        <v>-2.92</v>
      </c>
      <c r="DL126" s="228">
        <v>29</v>
      </c>
      <c r="DM126" s="228">
        <v>31.6</v>
      </c>
      <c r="DN126" s="228">
        <v>-2.6</v>
      </c>
      <c r="DO126" s="228">
        <v>-2.6</v>
      </c>
      <c r="DP126" s="228">
        <v>0.79</v>
      </c>
      <c r="DQ126" s="228">
        <v>0.78</v>
      </c>
      <c r="DR126" s="228">
        <v>0.01</v>
      </c>
      <c r="DS126" s="229">
        <v>1.2800000000000001E-2</v>
      </c>
      <c r="DT126" s="231">
        <v>1100</v>
      </c>
      <c r="DU126" s="231">
        <v>1100</v>
      </c>
      <c r="DV126" s="228">
        <v>1.1499999999999999</v>
      </c>
      <c r="DW126" s="228">
        <v>0.71</v>
      </c>
      <c r="DX126" s="228">
        <v>0.44</v>
      </c>
      <c r="DY126" s="229">
        <v>0.61970000000000003</v>
      </c>
      <c r="DZ126" s="229">
        <v>1.1900000000000001E-2</v>
      </c>
      <c r="EA126" s="230">
        <v>148575</v>
      </c>
      <c r="EB126" s="229">
        <v>5.8999999999999999E-3</v>
      </c>
      <c r="EC126" s="229">
        <v>1.1900000000000001E-2</v>
      </c>
      <c r="ED126" s="228">
        <v>5.77</v>
      </c>
      <c r="EE126" s="229">
        <v>5.4999999999999997E-3</v>
      </c>
      <c r="EF126" s="230">
        <v>1852171</v>
      </c>
      <c r="EG126" s="230">
        <v>2290074</v>
      </c>
      <c r="EH126" s="229">
        <v>-0.19120000000000001</v>
      </c>
      <c r="EI126" s="229">
        <v>0.61450000000000005</v>
      </c>
      <c r="EJ126" s="231">
        <v>37630.370000000003</v>
      </c>
      <c r="EK126" s="231">
        <v>40973.19</v>
      </c>
      <c r="EL126" s="231">
        <v>19770.419999999998</v>
      </c>
      <c r="EM126" s="231">
        <v>4132</v>
      </c>
      <c r="EN126" s="231">
        <v>98373.98</v>
      </c>
      <c r="EO126" s="231">
        <v>71914.5</v>
      </c>
      <c r="EP126" s="231">
        <v>26459.48</v>
      </c>
      <c r="EQ126" s="229">
        <v>0.3679</v>
      </c>
      <c r="ER126" s="231">
        <v>25978</v>
      </c>
      <c r="ES126" s="231">
        <v>19458</v>
      </c>
      <c r="ET126" s="231">
        <v>142581</v>
      </c>
      <c r="EU126" s="231">
        <v>111218809</v>
      </c>
      <c r="EV126" s="231">
        <v>188016</v>
      </c>
      <c r="EW126" s="231">
        <v>180156</v>
      </c>
      <c r="EX126" s="231">
        <v>7860</v>
      </c>
      <c r="EY126" s="229">
        <v>4.36E-2</v>
      </c>
      <c r="EZ126" s="229">
        <v>0.15809999999999999</v>
      </c>
      <c r="FA126" s="227" t="s">
        <v>555</v>
      </c>
      <c r="FB126" s="161">
        <f t="shared" si="1"/>
        <v>159075</v>
      </c>
    </row>
    <row r="127" spans="1:158" ht="17.25" thickBot="1" x14ac:dyDescent="0.3">
      <c r="A127" s="226">
        <v>46086</v>
      </c>
      <c r="B127" s="227" t="s">
        <v>215</v>
      </c>
      <c r="C127" s="227" t="s">
        <v>672</v>
      </c>
      <c r="D127" s="228">
        <v>200</v>
      </c>
      <c r="E127" s="231">
        <v>2359.4</v>
      </c>
      <c r="F127" s="231">
        <v>2172.4</v>
      </c>
      <c r="G127" s="228">
        <v>187</v>
      </c>
      <c r="H127" s="229">
        <v>8.6099999999999996E-2</v>
      </c>
      <c r="I127" s="231">
        <v>2352.5</v>
      </c>
      <c r="J127" s="231">
        <v>2165.4</v>
      </c>
      <c r="K127" s="228">
        <v>187.1</v>
      </c>
      <c r="L127" s="229">
        <v>8.6400000000000005E-2</v>
      </c>
      <c r="M127" s="231">
        <v>2359.4</v>
      </c>
      <c r="N127" s="231">
        <v>2172.4</v>
      </c>
      <c r="O127" s="228">
        <v>187</v>
      </c>
      <c r="P127" s="229">
        <v>8.6099999999999996E-2</v>
      </c>
      <c r="Q127" s="231">
        <v>2371.8000000000002</v>
      </c>
      <c r="R127" s="231">
        <v>2184.5</v>
      </c>
      <c r="S127" s="228">
        <v>187.3</v>
      </c>
      <c r="T127" s="229">
        <v>8.5699999999999998E-2</v>
      </c>
      <c r="U127" s="231">
        <v>2369.4</v>
      </c>
      <c r="V127" s="231">
        <v>2196.6999999999998</v>
      </c>
      <c r="W127" s="228">
        <v>172.7</v>
      </c>
      <c r="X127" s="229">
        <v>7.8600000000000003E-2</v>
      </c>
      <c r="Y127" s="228">
        <v>6.9</v>
      </c>
      <c r="Z127" s="228">
        <v>7</v>
      </c>
      <c r="AA127" s="228">
        <v>-0.1</v>
      </c>
      <c r="AB127" s="229">
        <v>2.8999999999999998E-3</v>
      </c>
      <c r="AC127" s="228">
        <v>6.9</v>
      </c>
      <c r="AD127" s="228">
        <v>7</v>
      </c>
      <c r="AE127" s="228">
        <v>-0.1</v>
      </c>
      <c r="AF127" s="229">
        <v>2.8999999999999998E-3</v>
      </c>
      <c r="AG127" s="228">
        <v>19.3</v>
      </c>
      <c r="AH127" s="228">
        <v>19.100000000000001</v>
      </c>
      <c r="AI127" s="228">
        <v>0.2</v>
      </c>
      <c r="AJ127" s="229">
        <v>8.2000000000000007E-3</v>
      </c>
      <c r="AK127" s="228">
        <v>16.899999999999999</v>
      </c>
      <c r="AL127" s="228">
        <v>31.3</v>
      </c>
      <c r="AM127" s="228">
        <v>-14.4</v>
      </c>
      <c r="AN127" s="229">
        <v>7.1999999999999998E-3</v>
      </c>
      <c r="AO127" s="231">
        <v>2331.14</v>
      </c>
      <c r="AP127" s="231">
        <v>2331.5300000000002</v>
      </c>
      <c r="AQ127" s="228">
        <v>0</v>
      </c>
      <c r="AR127" s="230">
        <v>5335000</v>
      </c>
      <c r="AS127" s="230">
        <v>923000</v>
      </c>
      <c r="AT127" s="230">
        <v>4412000</v>
      </c>
      <c r="AU127" s="229">
        <v>4.7801</v>
      </c>
      <c r="AV127" s="230">
        <v>4942200</v>
      </c>
      <c r="AW127" s="230">
        <v>812800</v>
      </c>
      <c r="AX127" s="230">
        <v>4129400</v>
      </c>
      <c r="AY127" s="229">
        <v>5.0804999999999998</v>
      </c>
      <c r="AZ127" s="230">
        <v>334400</v>
      </c>
      <c r="BA127" s="230">
        <v>103800</v>
      </c>
      <c r="BB127" s="230">
        <v>230600</v>
      </c>
      <c r="BC127" s="229">
        <v>2.2216</v>
      </c>
      <c r="BD127" s="230">
        <v>58400</v>
      </c>
      <c r="BE127" s="230">
        <v>6400</v>
      </c>
      <c r="BF127" s="230">
        <v>52000</v>
      </c>
      <c r="BG127" s="229">
        <v>8.125</v>
      </c>
      <c r="BH127" s="230">
        <v>35986800</v>
      </c>
      <c r="BI127" s="230">
        <v>2409000</v>
      </c>
      <c r="BJ127" s="230">
        <v>33577800</v>
      </c>
      <c r="BK127" s="229">
        <v>13.938499999999999</v>
      </c>
      <c r="BL127" s="230">
        <v>8383200</v>
      </c>
      <c r="BM127" s="230">
        <v>1305800</v>
      </c>
      <c r="BN127" s="230">
        <v>7077400</v>
      </c>
      <c r="BO127" s="229">
        <v>5.42</v>
      </c>
      <c r="BP127" s="230">
        <v>49705000</v>
      </c>
      <c r="BQ127" s="230">
        <v>4637800</v>
      </c>
      <c r="BR127" s="230">
        <v>45067200</v>
      </c>
      <c r="BS127" s="229">
        <v>9.7173999999999996</v>
      </c>
      <c r="BT127" s="230">
        <v>10431885</v>
      </c>
      <c r="BU127" s="230">
        <v>1035168</v>
      </c>
      <c r="BV127" s="230">
        <v>9396717</v>
      </c>
      <c r="BW127" s="229">
        <v>9.0775000000000006</v>
      </c>
      <c r="BX127" s="230">
        <v>4322200</v>
      </c>
      <c r="BY127" s="230">
        <v>4375200</v>
      </c>
      <c r="BZ127" s="230">
        <v>-53000</v>
      </c>
      <c r="CA127" s="229">
        <v>-1.21E-2</v>
      </c>
      <c r="CB127" s="230">
        <v>4086200</v>
      </c>
      <c r="CC127" s="230">
        <v>4142000</v>
      </c>
      <c r="CD127" s="230">
        <v>-55800</v>
      </c>
      <c r="CE127" s="229">
        <v>-1.35E-2</v>
      </c>
      <c r="CF127" s="230">
        <v>215400</v>
      </c>
      <c r="CG127" s="230">
        <v>218200</v>
      </c>
      <c r="CH127" s="230">
        <v>-2800</v>
      </c>
      <c r="CI127" s="229">
        <v>-1.2800000000000001E-2</v>
      </c>
      <c r="CJ127" s="230">
        <v>20600</v>
      </c>
      <c r="CK127" s="230">
        <v>15000</v>
      </c>
      <c r="CL127" s="230">
        <v>5600</v>
      </c>
      <c r="CM127" s="229">
        <v>0.37330000000000002</v>
      </c>
      <c r="CN127" s="230">
        <v>3152600</v>
      </c>
      <c r="CO127" s="230">
        <v>1910400</v>
      </c>
      <c r="CP127" s="230">
        <v>1242200</v>
      </c>
      <c r="CQ127" s="229">
        <v>0.6502</v>
      </c>
      <c r="CR127" s="230">
        <v>1673200</v>
      </c>
      <c r="CS127" s="230">
        <v>1173400</v>
      </c>
      <c r="CT127" s="230">
        <v>499800</v>
      </c>
      <c r="CU127" s="229">
        <v>0.4259</v>
      </c>
      <c r="CV127" s="230">
        <v>9148000</v>
      </c>
      <c r="CW127" s="230">
        <v>7459000</v>
      </c>
      <c r="CX127" s="230">
        <v>1689000</v>
      </c>
      <c r="CY127" s="229">
        <v>0.22639999999999999</v>
      </c>
      <c r="CZ127" s="228">
        <v>41.77</v>
      </c>
      <c r="DA127" s="228">
        <v>38.36</v>
      </c>
      <c r="DB127" s="228">
        <v>3.41</v>
      </c>
      <c r="DC127" s="228">
        <v>3.41</v>
      </c>
      <c r="DD127" s="228">
        <v>53.71</v>
      </c>
      <c r="DE127" s="228">
        <v>52.67</v>
      </c>
      <c r="DF127" s="228">
        <v>-11.94</v>
      </c>
      <c r="DG127" s="228">
        <v>1.04</v>
      </c>
      <c r="DH127" s="228">
        <v>41.61</v>
      </c>
      <c r="DI127" s="228">
        <v>38.200000000000003</v>
      </c>
      <c r="DJ127" s="228">
        <v>3.41</v>
      </c>
      <c r="DK127" s="228">
        <v>3.41</v>
      </c>
      <c r="DL127" s="228">
        <v>42.44</v>
      </c>
      <c r="DM127" s="228">
        <v>38.65</v>
      </c>
      <c r="DN127" s="228">
        <v>3.79</v>
      </c>
      <c r="DO127" s="228">
        <v>3.79</v>
      </c>
      <c r="DP127" s="228">
        <v>0.53</v>
      </c>
      <c r="DQ127" s="228">
        <v>0.61</v>
      </c>
      <c r="DR127" s="228">
        <v>-0.08</v>
      </c>
      <c r="DS127" s="229">
        <v>-0.13109999999999999</v>
      </c>
      <c r="DT127" s="231">
        <v>2500</v>
      </c>
      <c r="DU127" s="231">
        <v>2200</v>
      </c>
      <c r="DV127" s="228">
        <v>0.23</v>
      </c>
      <c r="DW127" s="228">
        <v>0.54</v>
      </c>
      <c r="DX127" s="228">
        <v>-0.31</v>
      </c>
      <c r="DY127" s="229">
        <v>-0.57410000000000005</v>
      </c>
      <c r="DZ127" s="229">
        <v>5.4600000000000003E-2</v>
      </c>
      <c r="EA127" s="230">
        <v>233200</v>
      </c>
      <c r="EB127" s="229">
        <v>5.3E-3</v>
      </c>
      <c r="EC127" s="229">
        <v>5.4600000000000003E-2</v>
      </c>
      <c r="ED127" s="228">
        <v>0.39</v>
      </c>
      <c r="EE127" s="229">
        <v>2.0000000000000001E-4</v>
      </c>
      <c r="EF127" s="230">
        <v>1393988</v>
      </c>
      <c r="EG127" s="230">
        <v>287731</v>
      </c>
      <c r="EH127" s="229">
        <v>3.8448000000000002</v>
      </c>
      <c r="EI127" s="229">
        <v>0.1336</v>
      </c>
      <c r="EJ127" s="231">
        <v>899175.24</v>
      </c>
      <c r="EK127" s="231">
        <v>193290.43</v>
      </c>
      <c r="EL127" s="231">
        <v>124383.03</v>
      </c>
      <c r="EM127" s="231">
        <v>3873</v>
      </c>
      <c r="EN127" s="231">
        <v>1216848.7</v>
      </c>
      <c r="EO127" s="231">
        <v>106159.24</v>
      </c>
      <c r="EP127" s="231">
        <v>1110689.46</v>
      </c>
      <c r="EQ127" s="229">
        <v>10.4625</v>
      </c>
      <c r="ER127" s="231">
        <v>77727</v>
      </c>
      <c r="ES127" s="231">
        <v>37746</v>
      </c>
      <c r="ET127" s="231">
        <v>102007</v>
      </c>
      <c r="EU127" s="231">
        <v>11364224</v>
      </c>
      <c r="EV127" s="231">
        <v>217479</v>
      </c>
      <c r="EW127" s="231">
        <v>167613</v>
      </c>
      <c r="EX127" s="231">
        <v>49866</v>
      </c>
      <c r="EY127" s="229">
        <v>0.29749999999999999</v>
      </c>
      <c r="EZ127" s="229">
        <v>0.80500000000000005</v>
      </c>
      <c r="FA127" s="227" t="s">
        <v>556</v>
      </c>
      <c r="FB127" s="161">
        <f t="shared" si="1"/>
        <v>236000</v>
      </c>
    </row>
    <row r="128" spans="1:158" ht="17.25" thickBot="1" x14ac:dyDescent="0.3">
      <c r="A128" s="226">
        <v>46086</v>
      </c>
      <c r="B128" s="227" t="s">
        <v>175</v>
      </c>
      <c r="C128" s="227" t="s">
        <v>517</v>
      </c>
      <c r="D128" s="228">
        <v>625</v>
      </c>
      <c r="E128" s="231">
        <v>2561</v>
      </c>
      <c r="F128" s="231">
        <v>2488.9</v>
      </c>
      <c r="G128" s="228">
        <v>72.099999999999994</v>
      </c>
      <c r="H128" s="229">
        <v>2.9000000000000001E-2</v>
      </c>
      <c r="I128" s="231">
        <v>2553.5</v>
      </c>
      <c r="J128" s="231">
        <v>2478.5</v>
      </c>
      <c r="K128" s="228">
        <v>75</v>
      </c>
      <c r="L128" s="229">
        <v>3.0300000000000001E-2</v>
      </c>
      <c r="M128" s="231">
        <v>2561</v>
      </c>
      <c r="N128" s="231">
        <v>2488.9</v>
      </c>
      <c r="O128" s="228">
        <v>72.099999999999994</v>
      </c>
      <c r="P128" s="229">
        <v>2.9000000000000001E-2</v>
      </c>
      <c r="Q128" s="231">
        <v>2576.6</v>
      </c>
      <c r="R128" s="231">
        <v>2504.3000000000002</v>
      </c>
      <c r="S128" s="228">
        <v>72.3</v>
      </c>
      <c r="T128" s="229">
        <v>2.8899999999999999E-2</v>
      </c>
      <c r="U128" s="231">
        <v>2589.3000000000002</v>
      </c>
      <c r="V128" s="231">
        <v>2516.6</v>
      </c>
      <c r="W128" s="228">
        <v>72.7</v>
      </c>
      <c r="X128" s="229">
        <v>2.8899999999999999E-2</v>
      </c>
      <c r="Y128" s="228">
        <v>7.5</v>
      </c>
      <c r="Z128" s="228">
        <v>10.4</v>
      </c>
      <c r="AA128" s="228">
        <v>-2.9</v>
      </c>
      <c r="AB128" s="229">
        <v>2.8999999999999998E-3</v>
      </c>
      <c r="AC128" s="228">
        <v>7.5</v>
      </c>
      <c r="AD128" s="228">
        <v>10.4</v>
      </c>
      <c r="AE128" s="228">
        <v>-2.9</v>
      </c>
      <c r="AF128" s="229">
        <v>2.8999999999999998E-3</v>
      </c>
      <c r="AG128" s="228">
        <v>23.1</v>
      </c>
      <c r="AH128" s="228">
        <v>25.8</v>
      </c>
      <c r="AI128" s="228">
        <v>-2.7</v>
      </c>
      <c r="AJ128" s="229">
        <v>8.9999999999999993E-3</v>
      </c>
      <c r="AK128" s="228">
        <v>35.799999999999997</v>
      </c>
      <c r="AL128" s="228">
        <v>38.1</v>
      </c>
      <c r="AM128" s="228">
        <v>-2.2999999999999998</v>
      </c>
      <c r="AN128" s="229">
        <v>1.4E-2</v>
      </c>
      <c r="AO128" s="231">
        <v>2552.37</v>
      </c>
      <c r="AP128" s="231">
        <v>2567.15</v>
      </c>
      <c r="AQ128" s="228">
        <v>0</v>
      </c>
      <c r="AR128" s="230">
        <v>5966250</v>
      </c>
      <c r="AS128" s="230">
        <v>5394375</v>
      </c>
      <c r="AT128" s="230">
        <v>571875</v>
      </c>
      <c r="AU128" s="229">
        <v>0.106</v>
      </c>
      <c r="AV128" s="230">
        <v>5522500</v>
      </c>
      <c r="AW128" s="230">
        <v>5089375</v>
      </c>
      <c r="AX128" s="230">
        <v>433125</v>
      </c>
      <c r="AY128" s="229">
        <v>8.5099999999999995E-2</v>
      </c>
      <c r="AZ128" s="230">
        <v>338750</v>
      </c>
      <c r="BA128" s="230">
        <v>257500</v>
      </c>
      <c r="BB128" s="230">
        <v>81250</v>
      </c>
      <c r="BC128" s="229">
        <v>0.3155</v>
      </c>
      <c r="BD128" s="230">
        <v>105000</v>
      </c>
      <c r="BE128" s="230">
        <v>47500</v>
      </c>
      <c r="BF128" s="230">
        <v>57500</v>
      </c>
      <c r="BG128" s="229">
        <v>1.2104999999999999</v>
      </c>
      <c r="BH128" s="230">
        <v>17357500</v>
      </c>
      <c r="BI128" s="230">
        <v>11366250</v>
      </c>
      <c r="BJ128" s="230">
        <v>5991250</v>
      </c>
      <c r="BK128" s="229">
        <v>0.52710000000000001</v>
      </c>
      <c r="BL128" s="230">
        <v>7298125</v>
      </c>
      <c r="BM128" s="230">
        <v>8666250</v>
      </c>
      <c r="BN128" s="230">
        <v>-1368125</v>
      </c>
      <c r="BO128" s="229">
        <v>-0.15790000000000001</v>
      </c>
      <c r="BP128" s="230">
        <v>30621875</v>
      </c>
      <c r="BQ128" s="230">
        <v>25426875</v>
      </c>
      <c r="BR128" s="230">
        <v>5195000</v>
      </c>
      <c r="BS128" s="229">
        <v>0.20430000000000001</v>
      </c>
      <c r="BT128" s="230">
        <v>4104296</v>
      </c>
      <c r="BU128" s="230">
        <v>3157277</v>
      </c>
      <c r="BV128" s="230">
        <v>947019</v>
      </c>
      <c r="BW128" s="229">
        <v>0.2999</v>
      </c>
      <c r="BX128" s="230">
        <v>12566250</v>
      </c>
      <c r="BY128" s="230">
        <v>12766875</v>
      </c>
      <c r="BZ128" s="230">
        <v>-200625</v>
      </c>
      <c r="CA128" s="229">
        <v>-1.5699999999999999E-2</v>
      </c>
      <c r="CB128" s="230">
        <v>11959375</v>
      </c>
      <c r="CC128" s="230">
        <v>12143750</v>
      </c>
      <c r="CD128" s="230">
        <v>-184375</v>
      </c>
      <c r="CE128" s="229">
        <v>-1.52E-2</v>
      </c>
      <c r="CF128" s="230">
        <v>493750</v>
      </c>
      <c r="CG128" s="230">
        <v>508750</v>
      </c>
      <c r="CH128" s="230">
        <v>-15000</v>
      </c>
      <c r="CI128" s="229">
        <v>-2.9499999999999998E-2</v>
      </c>
      <c r="CJ128" s="230">
        <v>113125</v>
      </c>
      <c r="CK128" s="230">
        <v>114375</v>
      </c>
      <c r="CL128" s="230">
        <v>-1250</v>
      </c>
      <c r="CM128" s="229">
        <v>-1.09E-2</v>
      </c>
      <c r="CN128" s="230">
        <v>6579375</v>
      </c>
      <c r="CO128" s="230">
        <v>6869375</v>
      </c>
      <c r="CP128" s="230">
        <v>-290000</v>
      </c>
      <c r="CQ128" s="229">
        <v>-4.2200000000000001E-2</v>
      </c>
      <c r="CR128" s="230">
        <v>5141250</v>
      </c>
      <c r="CS128" s="230">
        <v>5004375</v>
      </c>
      <c r="CT128" s="230">
        <v>136875</v>
      </c>
      <c r="CU128" s="229">
        <v>2.7400000000000001E-2</v>
      </c>
      <c r="CV128" s="230">
        <v>24286875</v>
      </c>
      <c r="CW128" s="230">
        <v>24640625</v>
      </c>
      <c r="CX128" s="230">
        <v>-353750</v>
      </c>
      <c r="CY128" s="229">
        <v>-1.44E-2</v>
      </c>
      <c r="CZ128" s="228">
        <v>40.5</v>
      </c>
      <c r="DA128" s="228">
        <v>43.89</v>
      </c>
      <c r="DB128" s="228">
        <v>-3.39</v>
      </c>
      <c r="DC128" s="228">
        <v>-3.39</v>
      </c>
      <c r="DD128" s="228">
        <v>50</v>
      </c>
      <c r="DE128" s="228">
        <v>49.96</v>
      </c>
      <c r="DF128" s="228">
        <v>-9.5</v>
      </c>
      <c r="DG128" s="228">
        <v>0.04</v>
      </c>
      <c r="DH128" s="228">
        <v>39.69</v>
      </c>
      <c r="DI128" s="228">
        <v>42.81</v>
      </c>
      <c r="DJ128" s="228">
        <v>-3.12</v>
      </c>
      <c r="DK128" s="228">
        <v>-3.12</v>
      </c>
      <c r="DL128" s="228">
        <v>42.42</v>
      </c>
      <c r="DM128" s="228">
        <v>45.32</v>
      </c>
      <c r="DN128" s="228">
        <v>-2.9</v>
      </c>
      <c r="DO128" s="228">
        <v>-2.9</v>
      </c>
      <c r="DP128" s="228">
        <v>0.78</v>
      </c>
      <c r="DQ128" s="228">
        <v>0.73</v>
      </c>
      <c r="DR128" s="228">
        <v>0.05</v>
      </c>
      <c r="DS128" s="229">
        <v>6.8500000000000005E-2</v>
      </c>
      <c r="DT128" s="231">
        <v>2500</v>
      </c>
      <c r="DU128" s="231">
        <v>2400</v>
      </c>
      <c r="DV128" s="228">
        <v>0.42</v>
      </c>
      <c r="DW128" s="228">
        <v>0.76</v>
      </c>
      <c r="DX128" s="228">
        <v>-0.34</v>
      </c>
      <c r="DY128" s="229">
        <v>-0.44740000000000002</v>
      </c>
      <c r="DZ128" s="229">
        <v>4.8300000000000003E-2</v>
      </c>
      <c r="EA128" s="230">
        <v>623125</v>
      </c>
      <c r="EB128" s="229">
        <v>6.1000000000000004E-3</v>
      </c>
      <c r="EC128" s="229">
        <v>4.8300000000000003E-2</v>
      </c>
      <c r="ED128" s="228">
        <v>14.78</v>
      </c>
      <c r="EE128" s="229">
        <v>5.7999999999999996E-3</v>
      </c>
      <c r="EF128" s="230">
        <v>1884266</v>
      </c>
      <c r="EG128" s="230">
        <v>1066918</v>
      </c>
      <c r="EH128" s="229">
        <v>0.7661</v>
      </c>
      <c r="EI128" s="229">
        <v>0.45910000000000001</v>
      </c>
      <c r="EJ128" s="231">
        <v>470745.43</v>
      </c>
      <c r="EK128" s="231">
        <v>180900.63</v>
      </c>
      <c r="EL128" s="231">
        <v>152361</v>
      </c>
      <c r="EM128" s="231">
        <v>9377</v>
      </c>
      <c r="EN128" s="231">
        <v>804007.06</v>
      </c>
      <c r="EO128" s="231">
        <v>647883.49</v>
      </c>
      <c r="EP128" s="231">
        <v>156123.57</v>
      </c>
      <c r="EQ128" s="229">
        <v>0.24099999999999999</v>
      </c>
      <c r="ER128" s="231">
        <v>170618</v>
      </c>
      <c r="ES128" s="231">
        <v>119066</v>
      </c>
      <c r="ET128" s="231">
        <v>321931</v>
      </c>
      <c r="EU128" s="231">
        <v>38177110</v>
      </c>
      <c r="EV128" s="231">
        <v>611615</v>
      </c>
      <c r="EW128" s="231">
        <v>610015</v>
      </c>
      <c r="EX128" s="231">
        <v>1600</v>
      </c>
      <c r="EY128" s="229">
        <v>2.5999999999999999E-3</v>
      </c>
      <c r="EZ128" s="229">
        <v>0.63619999999999999</v>
      </c>
      <c r="FA128" s="227" t="s">
        <v>556</v>
      </c>
      <c r="FB128" s="161">
        <f t="shared" si="1"/>
        <v>606875</v>
      </c>
    </row>
    <row r="129" spans="1:158" ht="17.25" thickBot="1" x14ac:dyDescent="0.3">
      <c r="A129" s="226">
        <v>46086</v>
      </c>
      <c r="B129" s="227" t="s">
        <v>175</v>
      </c>
      <c r="C129" s="227" t="s">
        <v>257</v>
      </c>
      <c r="D129" s="228">
        <v>400</v>
      </c>
      <c r="E129" s="231">
        <v>1753.3</v>
      </c>
      <c r="F129" s="231">
        <v>1752</v>
      </c>
      <c r="G129" s="228">
        <v>1.3</v>
      </c>
      <c r="H129" s="229">
        <v>6.9999999999999999E-4</v>
      </c>
      <c r="I129" s="231">
        <v>1748.6</v>
      </c>
      <c r="J129" s="231">
        <v>1747.8</v>
      </c>
      <c r="K129" s="228">
        <v>0.8</v>
      </c>
      <c r="L129" s="229">
        <v>5.0000000000000001E-4</v>
      </c>
      <c r="M129" s="231">
        <v>1753.3</v>
      </c>
      <c r="N129" s="231">
        <v>1752</v>
      </c>
      <c r="O129" s="228">
        <v>1.3</v>
      </c>
      <c r="P129" s="229">
        <v>6.9999999999999999E-4</v>
      </c>
      <c r="Q129" s="231">
        <v>1761.5</v>
      </c>
      <c r="R129" s="231">
        <v>1762.2</v>
      </c>
      <c r="S129" s="228">
        <v>-0.7</v>
      </c>
      <c r="T129" s="229">
        <v>-4.0000000000000002E-4</v>
      </c>
      <c r="U129" s="231">
        <v>1775</v>
      </c>
      <c r="V129" s="231">
        <v>1760</v>
      </c>
      <c r="W129" s="228">
        <v>15</v>
      </c>
      <c r="X129" s="229">
        <v>8.5000000000000006E-3</v>
      </c>
      <c r="Y129" s="228">
        <v>4.7</v>
      </c>
      <c r="Z129" s="228">
        <v>4.2</v>
      </c>
      <c r="AA129" s="228">
        <v>0.5</v>
      </c>
      <c r="AB129" s="229">
        <v>2.7000000000000001E-3</v>
      </c>
      <c r="AC129" s="228">
        <v>4.7</v>
      </c>
      <c r="AD129" s="228">
        <v>4.2</v>
      </c>
      <c r="AE129" s="228">
        <v>0.5</v>
      </c>
      <c r="AF129" s="229">
        <v>2.7000000000000001E-3</v>
      </c>
      <c r="AG129" s="228">
        <v>12.9</v>
      </c>
      <c r="AH129" s="228">
        <v>14.4</v>
      </c>
      <c r="AI129" s="228">
        <v>-1.5</v>
      </c>
      <c r="AJ129" s="229">
        <v>7.4000000000000003E-3</v>
      </c>
      <c r="AK129" s="228">
        <v>26.4</v>
      </c>
      <c r="AL129" s="228">
        <v>12.2</v>
      </c>
      <c r="AM129" s="228">
        <v>14.2</v>
      </c>
      <c r="AN129" s="229">
        <v>1.5100000000000001E-2</v>
      </c>
      <c r="AO129" s="231">
        <v>1743.25</v>
      </c>
      <c r="AP129" s="231">
        <v>1749.1</v>
      </c>
      <c r="AQ129" s="228">
        <v>0</v>
      </c>
      <c r="AR129" s="230">
        <v>1028800</v>
      </c>
      <c r="AS129" s="230">
        <v>979200</v>
      </c>
      <c r="AT129" s="230">
        <v>49600</v>
      </c>
      <c r="AU129" s="229">
        <v>5.0700000000000002E-2</v>
      </c>
      <c r="AV129" s="230">
        <v>1017600</v>
      </c>
      <c r="AW129" s="230">
        <v>953200</v>
      </c>
      <c r="AX129" s="230">
        <v>64400</v>
      </c>
      <c r="AY129" s="229">
        <v>6.7599999999999993E-2</v>
      </c>
      <c r="AZ129" s="230">
        <v>10000</v>
      </c>
      <c r="BA129" s="230">
        <v>25200</v>
      </c>
      <c r="BB129" s="230">
        <v>-15200</v>
      </c>
      <c r="BC129" s="229">
        <v>-0.60319999999999996</v>
      </c>
      <c r="BD129" s="230">
        <v>1200</v>
      </c>
      <c r="BE129" s="228">
        <v>800</v>
      </c>
      <c r="BF129" s="228">
        <v>400</v>
      </c>
      <c r="BG129" s="229">
        <v>0.5</v>
      </c>
      <c r="BH129" s="230">
        <v>616000</v>
      </c>
      <c r="BI129" s="230">
        <v>726800</v>
      </c>
      <c r="BJ129" s="230">
        <v>-110800</v>
      </c>
      <c r="BK129" s="229">
        <v>-0.15240000000000001</v>
      </c>
      <c r="BL129" s="230">
        <v>318800</v>
      </c>
      <c r="BM129" s="230">
        <v>643600</v>
      </c>
      <c r="BN129" s="230">
        <v>-324800</v>
      </c>
      <c r="BO129" s="229">
        <v>-0.50470000000000004</v>
      </c>
      <c r="BP129" s="230">
        <v>1963600</v>
      </c>
      <c r="BQ129" s="230">
        <v>2349600</v>
      </c>
      <c r="BR129" s="230">
        <v>-386000</v>
      </c>
      <c r="BS129" s="229">
        <v>-0.1643</v>
      </c>
      <c r="BT129" s="230">
        <v>868405</v>
      </c>
      <c r="BU129" s="230">
        <v>683970</v>
      </c>
      <c r="BV129" s="230">
        <v>184435</v>
      </c>
      <c r="BW129" s="229">
        <v>0.2697</v>
      </c>
      <c r="BX129" s="230">
        <v>8634400</v>
      </c>
      <c r="BY129" s="230">
        <v>8724400</v>
      </c>
      <c r="BZ129" s="230">
        <v>-90000</v>
      </c>
      <c r="CA129" s="229">
        <v>-1.03E-2</v>
      </c>
      <c r="CB129" s="230">
        <v>8605600</v>
      </c>
      <c r="CC129" s="230">
        <v>8697600</v>
      </c>
      <c r="CD129" s="230">
        <v>-92000</v>
      </c>
      <c r="CE129" s="229">
        <v>-1.06E-2</v>
      </c>
      <c r="CF129" s="230">
        <v>27200</v>
      </c>
      <c r="CG129" s="230">
        <v>25200</v>
      </c>
      <c r="CH129" s="230">
        <v>2000</v>
      </c>
      <c r="CI129" s="229">
        <v>7.9399999999999998E-2</v>
      </c>
      <c r="CJ129" s="230">
        <v>1600</v>
      </c>
      <c r="CK129" s="230">
        <v>1600</v>
      </c>
      <c r="CL129" s="228">
        <v>0</v>
      </c>
      <c r="CM129" s="229">
        <v>0</v>
      </c>
      <c r="CN129" s="230">
        <v>707200</v>
      </c>
      <c r="CO129" s="230">
        <v>567600</v>
      </c>
      <c r="CP129" s="230">
        <v>139600</v>
      </c>
      <c r="CQ129" s="229">
        <v>0.24590000000000001</v>
      </c>
      <c r="CR129" s="230">
        <v>501200</v>
      </c>
      <c r="CS129" s="230">
        <v>474400</v>
      </c>
      <c r="CT129" s="230">
        <v>26800</v>
      </c>
      <c r="CU129" s="229">
        <v>5.6500000000000002E-2</v>
      </c>
      <c r="CV129" s="230">
        <v>9842800</v>
      </c>
      <c r="CW129" s="230">
        <v>9766400</v>
      </c>
      <c r="CX129" s="230">
        <v>76400</v>
      </c>
      <c r="CY129" s="229">
        <v>7.7999999999999996E-3</v>
      </c>
      <c r="CZ129" s="228">
        <v>26.33</v>
      </c>
      <c r="DA129" s="228">
        <v>28.2</v>
      </c>
      <c r="DB129" s="228">
        <v>-1.87</v>
      </c>
      <c r="DC129" s="228">
        <v>-1.87</v>
      </c>
      <c r="DD129" s="228">
        <v>29.57</v>
      </c>
      <c r="DE129" s="228">
        <v>29.65</v>
      </c>
      <c r="DF129" s="228">
        <v>-3.24</v>
      </c>
      <c r="DG129" s="228">
        <v>-0.08</v>
      </c>
      <c r="DH129" s="228">
        <v>25.46</v>
      </c>
      <c r="DI129" s="228">
        <v>27.32</v>
      </c>
      <c r="DJ129" s="228">
        <v>-1.86</v>
      </c>
      <c r="DK129" s="228">
        <v>-1.86</v>
      </c>
      <c r="DL129" s="228">
        <v>28.02</v>
      </c>
      <c r="DM129" s="228">
        <v>29.18</v>
      </c>
      <c r="DN129" s="228">
        <v>-1.1599999999999999</v>
      </c>
      <c r="DO129" s="228">
        <v>-1.1599999999999999</v>
      </c>
      <c r="DP129" s="228">
        <v>0.71</v>
      </c>
      <c r="DQ129" s="228">
        <v>0.84</v>
      </c>
      <c r="DR129" s="228">
        <v>-0.13</v>
      </c>
      <c r="DS129" s="229">
        <v>-0.15479999999999999</v>
      </c>
      <c r="DT129" s="231">
        <v>1900</v>
      </c>
      <c r="DU129" s="231">
        <v>1800</v>
      </c>
      <c r="DV129" s="228">
        <v>0.52</v>
      </c>
      <c r="DW129" s="228">
        <v>0.89</v>
      </c>
      <c r="DX129" s="228">
        <v>-0.37</v>
      </c>
      <c r="DY129" s="229">
        <v>-0.41570000000000001</v>
      </c>
      <c r="DZ129" s="229">
        <v>3.3E-3</v>
      </c>
      <c r="EA129" s="230">
        <v>26800</v>
      </c>
      <c r="EB129" s="229">
        <v>4.7000000000000002E-3</v>
      </c>
      <c r="EC129" s="229">
        <v>3.3E-3</v>
      </c>
      <c r="ED129" s="228">
        <v>5.85</v>
      </c>
      <c r="EE129" s="229">
        <v>3.3999999999999998E-3</v>
      </c>
      <c r="EF129" s="230">
        <v>553450</v>
      </c>
      <c r="EG129" s="230">
        <v>378352</v>
      </c>
      <c r="EH129" s="229">
        <v>0.46279999999999999</v>
      </c>
      <c r="EI129" s="229">
        <v>0.63729999999999998</v>
      </c>
      <c r="EJ129" s="231">
        <v>11482.23</v>
      </c>
      <c r="EK129" s="231">
        <v>5648.54</v>
      </c>
      <c r="EL129" s="231">
        <v>17935.66</v>
      </c>
      <c r="EM129" s="231">
        <v>1751</v>
      </c>
      <c r="EN129" s="231">
        <v>35066.43</v>
      </c>
      <c r="EO129" s="231">
        <v>42165.26</v>
      </c>
      <c r="EP129" s="231">
        <v>-7098.83</v>
      </c>
      <c r="EQ129" s="229">
        <v>-0.16839999999999999</v>
      </c>
      <c r="ER129" s="231">
        <v>13375</v>
      </c>
      <c r="ES129" s="231">
        <v>8795</v>
      </c>
      <c r="ET129" s="231">
        <v>151390</v>
      </c>
      <c r="EU129" s="231">
        <v>33919851</v>
      </c>
      <c r="EV129" s="231">
        <v>173559</v>
      </c>
      <c r="EW129" s="231">
        <v>171970</v>
      </c>
      <c r="EX129" s="231">
        <v>1589</v>
      </c>
      <c r="EY129" s="229">
        <v>9.1999999999999998E-3</v>
      </c>
      <c r="EZ129" s="229">
        <v>0.29020000000000001</v>
      </c>
      <c r="FA129" s="227" t="s">
        <v>556</v>
      </c>
      <c r="FB129" s="161">
        <f t="shared" si="1"/>
        <v>28800</v>
      </c>
    </row>
    <row r="130" spans="1:158" ht="17.25" thickBot="1" x14ac:dyDescent="0.3">
      <c r="A130" s="226">
        <v>46086</v>
      </c>
      <c r="B130" s="227" t="s">
        <v>181</v>
      </c>
      <c r="C130" s="227" t="s">
        <v>563</v>
      </c>
      <c r="D130" s="228">
        <v>120</v>
      </c>
      <c r="E130" s="231">
        <v>13298.85</v>
      </c>
      <c r="F130" s="231">
        <v>13070.65</v>
      </c>
      <c r="G130" s="228">
        <v>228.2</v>
      </c>
      <c r="H130" s="229">
        <v>1.7500000000000002E-2</v>
      </c>
      <c r="I130" s="231">
        <v>13260.5</v>
      </c>
      <c r="J130" s="231">
        <v>13034.35</v>
      </c>
      <c r="K130" s="228">
        <v>226.15</v>
      </c>
      <c r="L130" s="229">
        <v>1.7399999999999999E-2</v>
      </c>
      <c r="M130" s="231">
        <v>13298.85</v>
      </c>
      <c r="N130" s="231">
        <v>13070.65</v>
      </c>
      <c r="O130" s="228">
        <v>228.2</v>
      </c>
      <c r="P130" s="229">
        <v>1.7500000000000002E-2</v>
      </c>
      <c r="Q130" s="231">
        <v>13358.65</v>
      </c>
      <c r="R130" s="231">
        <v>13137.75</v>
      </c>
      <c r="S130" s="228">
        <v>220.9</v>
      </c>
      <c r="T130" s="229">
        <v>1.6799999999999999E-2</v>
      </c>
      <c r="U130" s="231">
        <v>13413.05</v>
      </c>
      <c r="V130" s="231">
        <v>13202.05</v>
      </c>
      <c r="W130" s="228">
        <v>211</v>
      </c>
      <c r="X130" s="229">
        <v>1.6E-2</v>
      </c>
      <c r="Y130" s="228">
        <v>38.35</v>
      </c>
      <c r="Z130" s="228">
        <v>36.299999999999997</v>
      </c>
      <c r="AA130" s="228">
        <v>2.0499999999999998</v>
      </c>
      <c r="AB130" s="229">
        <v>2.8999999999999998E-3</v>
      </c>
      <c r="AC130" s="228">
        <v>38.35</v>
      </c>
      <c r="AD130" s="228">
        <v>36.299999999999997</v>
      </c>
      <c r="AE130" s="228">
        <v>2.0499999999999998</v>
      </c>
      <c r="AF130" s="229">
        <v>2.8999999999999998E-3</v>
      </c>
      <c r="AG130" s="228">
        <v>98.15</v>
      </c>
      <c r="AH130" s="228">
        <v>103.4</v>
      </c>
      <c r="AI130" s="228">
        <v>-5.25</v>
      </c>
      <c r="AJ130" s="229">
        <v>7.4000000000000003E-3</v>
      </c>
      <c r="AK130" s="228">
        <v>152.55000000000001</v>
      </c>
      <c r="AL130" s="228">
        <v>167.7</v>
      </c>
      <c r="AM130" s="228">
        <v>-15.15</v>
      </c>
      <c r="AN130" s="229">
        <v>1.15E-2</v>
      </c>
      <c r="AO130" s="231">
        <v>13207.9</v>
      </c>
      <c r="AP130" s="231">
        <v>13286.29</v>
      </c>
      <c r="AQ130" s="228">
        <v>0</v>
      </c>
      <c r="AR130" s="230">
        <v>921120</v>
      </c>
      <c r="AS130" s="230">
        <v>1023960</v>
      </c>
      <c r="AT130" s="230">
        <v>-102840</v>
      </c>
      <c r="AU130" s="229">
        <v>-0.1004</v>
      </c>
      <c r="AV130" s="230">
        <v>861720</v>
      </c>
      <c r="AW130" s="230">
        <v>966480</v>
      </c>
      <c r="AX130" s="230">
        <v>-104760</v>
      </c>
      <c r="AY130" s="229">
        <v>-0.1084</v>
      </c>
      <c r="AZ130" s="230">
        <v>51720</v>
      </c>
      <c r="BA130" s="230">
        <v>47880</v>
      </c>
      <c r="BB130" s="230">
        <v>3840</v>
      </c>
      <c r="BC130" s="229">
        <v>8.0199999999999994E-2</v>
      </c>
      <c r="BD130" s="230">
        <v>7680</v>
      </c>
      <c r="BE130" s="230">
        <v>9600</v>
      </c>
      <c r="BF130" s="230">
        <v>-1920</v>
      </c>
      <c r="BG130" s="229">
        <v>-0.2</v>
      </c>
      <c r="BH130" s="230">
        <v>11760240</v>
      </c>
      <c r="BI130" s="230">
        <v>15441000</v>
      </c>
      <c r="BJ130" s="230">
        <v>-3680760</v>
      </c>
      <c r="BK130" s="229">
        <v>-0.2384</v>
      </c>
      <c r="BL130" s="230">
        <v>11731800</v>
      </c>
      <c r="BM130" s="230">
        <v>15181560</v>
      </c>
      <c r="BN130" s="230">
        <v>-3449760</v>
      </c>
      <c r="BO130" s="229">
        <v>-0.22720000000000001</v>
      </c>
      <c r="BP130" s="230">
        <v>24413160</v>
      </c>
      <c r="BQ130" s="230">
        <v>31646520</v>
      </c>
      <c r="BR130" s="230">
        <v>-7233360</v>
      </c>
      <c r="BS130" s="229">
        <v>-0.2286</v>
      </c>
      <c r="BT130" s="228">
        <v>0</v>
      </c>
      <c r="BU130" s="228">
        <v>0</v>
      </c>
      <c r="BV130" s="228">
        <v>0</v>
      </c>
      <c r="BW130" s="229">
        <v>0</v>
      </c>
      <c r="BX130" s="230">
        <v>2556360</v>
      </c>
      <c r="BY130" s="230">
        <v>2579280</v>
      </c>
      <c r="BZ130" s="230">
        <v>-22920</v>
      </c>
      <c r="CA130" s="229">
        <v>-8.8999999999999999E-3</v>
      </c>
      <c r="CB130" s="230">
        <v>2475240</v>
      </c>
      <c r="CC130" s="230">
        <v>2501520</v>
      </c>
      <c r="CD130" s="230">
        <v>-26280</v>
      </c>
      <c r="CE130" s="229">
        <v>-1.0500000000000001E-2</v>
      </c>
      <c r="CF130" s="230">
        <v>72360</v>
      </c>
      <c r="CG130" s="230">
        <v>70320</v>
      </c>
      <c r="CH130" s="230">
        <v>2040</v>
      </c>
      <c r="CI130" s="229">
        <v>2.9000000000000001E-2</v>
      </c>
      <c r="CJ130" s="230">
        <v>8760</v>
      </c>
      <c r="CK130" s="230">
        <v>7440</v>
      </c>
      <c r="CL130" s="230">
        <v>1320</v>
      </c>
      <c r="CM130" s="229">
        <v>0.1774</v>
      </c>
      <c r="CN130" s="230">
        <v>5580360</v>
      </c>
      <c r="CO130" s="230">
        <v>5395320</v>
      </c>
      <c r="CP130" s="230">
        <v>185040</v>
      </c>
      <c r="CQ130" s="229">
        <v>3.4299999999999997E-2</v>
      </c>
      <c r="CR130" s="230">
        <v>5413080</v>
      </c>
      <c r="CS130" s="230">
        <v>5123640</v>
      </c>
      <c r="CT130" s="230">
        <v>289440</v>
      </c>
      <c r="CU130" s="229">
        <v>5.6500000000000002E-2</v>
      </c>
      <c r="CV130" s="230">
        <v>13549800</v>
      </c>
      <c r="CW130" s="230">
        <v>13098240</v>
      </c>
      <c r="CX130" s="230">
        <v>451560</v>
      </c>
      <c r="CY130" s="229">
        <v>3.4500000000000003E-2</v>
      </c>
      <c r="CZ130" s="228">
        <v>24.28</v>
      </c>
      <c r="DA130" s="228">
        <v>26.67</v>
      </c>
      <c r="DB130" s="228">
        <v>-2.39</v>
      </c>
      <c r="DC130" s="228">
        <v>-2.39</v>
      </c>
      <c r="DD130" s="228">
        <v>22.26</v>
      </c>
      <c r="DE130" s="228">
        <v>22.19</v>
      </c>
      <c r="DF130" s="228">
        <v>2.02</v>
      </c>
      <c r="DG130" s="228">
        <v>7.0000000000000007E-2</v>
      </c>
      <c r="DH130" s="228">
        <v>21.67</v>
      </c>
      <c r="DI130" s="228">
        <v>24.12</v>
      </c>
      <c r="DJ130" s="228">
        <v>-2.4500000000000002</v>
      </c>
      <c r="DK130" s="228">
        <v>-2.4500000000000002</v>
      </c>
      <c r="DL130" s="228">
        <v>26.9</v>
      </c>
      <c r="DM130" s="228">
        <v>29.28</v>
      </c>
      <c r="DN130" s="228">
        <v>-2.38</v>
      </c>
      <c r="DO130" s="228">
        <v>-2.38</v>
      </c>
      <c r="DP130" s="228">
        <v>0.97</v>
      </c>
      <c r="DQ130" s="228">
        <v>0.95</v>
      </c>
      <c r="DR130" s="228">
        <v>0.02</v>
      </c>
      <c r="DS130" s="229">
        <v>2.1100000000000001E-2</v>
      </c>
      <c r="DT130" s="231">
        <v>14700</v>
      </c>
      <c r="DU130" s="231">
        <v>12000</v>
      </c>
      <c r="DV130" s="228">
        <v>1</v>
      </c>
      <c r="DW130" s="228">
        <v>0.98</v>
      </c>
      <c r="DX130" s="228">
        <v>0.02</v>
      </c>
      <c r="DY130" s="229">
        <v>2.0400000000000001E-2</v>
      </c>
      <c r="DZ130" s="229">
        <v>3.1699999999999999E-2</v>
      </c>
      <c r="EA130" s="230">
        <v>77760</v>
      </c>
      <c r="EB130" s="229">
        <v>4.4999999999999997E-3</v>
      </c>
      <c r="EC130" s="229">
        <v>3.1699999999999999E-2</v>
      </c>
      <c r="ED130" s="228">
        <v>78.39</v>
      </c>
      <c r="EE130" s="229">
        <v>5.8999999999999999E-3</v>
      </c>
      <c r="EF130" s="228">
        <v>0</v>
      </c>
      <c r="EG130" s="228">
        <v>0</v>
      </c>
      <c r="EH130" s="229">
        <v>0</v>
      </c>
      <c r="EI130" s="229">
        <v>0</v>
      </c>
      <c r="EJ130" s="231">
        <v>1626986.48</v>
      </c>
      <c r="EK130" s="231">
        <v>1521934.38</v>
      </c>
      <c r="EL130" s="231">
        <v>121711.64</v>
      </c>
      <c r="EM130" s="228">
        <v>0</v>
      </c>
      <c r="EN130" s="231">
        <v>3270632.5</v>
      </c>
      <c r="EO130" s="231">
        <v>4233599.1500000004</v>
      </c>
      <c r="EP130" s="231">
        <v>-962966.65</v>
      </c>
      <c r="EQ130" s="229">
        <v>-0.22750000000000001</v>
      </c>
      <c r="ER130" s="231">
        <v>777878</v>
      </c>
      <c r="ES130" s="231">
        <v>689218</v>
      </c>
      <c r="ET130" s="231">
        <v>340020</v>
      </c>
      <c r="EU130" s="228">
        <v>0</v>
      </c>
      <c r="EV130" s="231">
        <v>1807117</v>
      </c>
      <c r="EW130" s="231">
        <v>1742886</v>
      </c>
      <c r="EX130" s="231">
        <v>64231</v>
      </c>
      <c r="EY130" s="229">
        <v>3.6900000000000002E-2</v>
      </c>
      <c r="EZ130" s="229">
        <v>0</v>
      </c>
      <c r="FA130" s="227" t="s">
        <v>556</v>
      </c>
      <c r="FB130" s="161">
        <f t="shared" si="1"/>
        <v>81120</v>
      </c>
    </row>
    <row r="131" spans="1:158" ht="17.25" thickBot="1" x14ac:dyDescent="0.3">
      <c r="A131" s="226">
        <v>46086</v>
      </c>
      <c r="B131" s="227" t="s">
        <v>162</v>
      </c>
      <c r="C131" s="227" t="s">
        <v>559</v>
      </c>
      <c r="D131" s="228">
        <v>6150</v>
      </c>
      <c r="E131" s="228">
        <v>126.52</v>
      </c>
      <c r="F131" s="228">
        <v>123.44</v>
      </c>
      <c r="G131" s="228">
        <v>3.08</v>
      </c>
      <c r="H131" s="229">
        <v>2.5000000000000001E-2</v>
      </c>
      <c r="I131" s="228">
        <v>126.34</v>
      </c>
      <c r="J131" s="228">
        <v>122.88</v>
      </c>
      <c r="K131" s="228">
        <v>3.46</v>
      </c>
      <c r="L131" s="229">
        <v>2.8199999999999999E-2</v>
      </c>
      <c r="M131" s="228">
        <v>126.52</v>
      </c>
      <c r="N131" s="228">
        <v>123.44</v>
      </c>
      <c r="O131" s="228">
        <v>3.08</v>
      </c>
      <c r="P131" s="229">
        <v>2.5000000000000001E-2</v>
      </c>
      <c r="Q131" s="228">
        <v>127.37</v>
      </c>
      <c r="R131" s="228">
        <v>124.01</v>
      </c>
      <c r="S131" s="228">
        <v>3.36</v>
      </c>
      <c r="T131" s="229">
        <v>2.7099999999999999E-2</v>
      </c>
      <c r="U131" s="228">
        <v>128.04</v>
      </c>
      <c r="V131" s="228">
        <v>125.04</v>
      </c>
      <c r="W131" s="228">
        <v>3</v>
      </c>
      <c r="X131" s="229">
        <v>2.4E-2</v>
      </c>
      <c r="Y131" s="228">
        <v>0.18</v>
      </c>
      <c r="Z131" s="228">
        <v>0.56000000000000005</v>
      </c>
      <c r="AA131" s="228">
        <v>-0.38</v>
      </c>
      <c r="AB131" s="229">
        <v>1.4E-3</v>
      </c>
      <c r="AC131" s="228">
        <v>0.18</v>
      </c>
      <c r="AD131" s="228">
        <v>0.56000000000000005</v>
      </c>
      <c r="AE131" s="228">
        <v>-0.38</v>
      </c>
      <c r="AF131" s="229">
        <v>1.4E-3</v>
      </c>
      <c r="AG131" s="228">
        <v>1.03</v>
      </c>
      <c r="AH131" s="228">
        <v>1.1299999999999999</v>
      </c>
      <c r="AI131" s="228">
        <v>-0.1</v>
      </c>
      <c r="AJ131" s="229">
        <v>8.2000000000000007E-3</v>
      </c>
      <c r="AK131" s="228">
        <v>1.7</v>
      </c>
      <c r="AL131" s="228">
        <v>2.16</v>
      </c>
      <c r="AM131" s="228">
        <v>-0.46</v>
      </c>
      <c r="AN131" s="229">
        <v>1.35E-2</v>
      </c>
      <c r="AO131" s="228">
        <v>125.6</v>
      </c>
      <c r="AP131" s="228">
        <v>126.35</v>
      </c>
      <c r="AQ131" s="228">
        <v>0</v>
      </c>
      <c r="AR131" s="230">
        <v>35190300</v>
      </c>
      <c r="AS131" s="230">
        <v>27195300</v>
      </c>
      <c r="AT131" s="230">
        <v>7995000</v>
      </c>
      <c r="AU131" s="229">
        <v>0.29399999999999998</v>
      </c>
      <c r="AV131" s="230">
        <v>32595000</v>
      </c>
      <c r="AW131" s="230">
        <v>25319550</v>
      </c>
      <c r="AX131" s="230">
        <v>7275450</v>
      </c>
      <c r="AY131" s="229">
        <v>0.2873</v>
      </c>
      <c r="AZ131" s="230">
        <v>2306250</v>
      </c>
      <c r="BA131" s="230">
        <v>1346850</v>
      </c>
      <c r="BB131" s="230">
        <v>959400</v>
      </c>
      <c r="BC131" s="229">
        <v>0.71230000000000004</v>
      </c>
      <c r="BD131" s="230">
        <v>289050</v>
      </c>
      <c r="BE131" s="230">
        <v>528900</v>
      </c>
      <c r="BF131" s="230">
        <v>-239850</v>
      </c>
      <c r="BG131" s="229">
        <v>-0.45350000000000001</v>
      </c>
      <c r="BH131" s="230">
        <v>52072050</v>
      </c>
      <c r="BI131" s="230">
        <v>38646600</v>
      </c>
      <c r="BJ131" s="230">
        <v>13425450</v>
      </c>
      <c r="BK131" s="229">
        <v>0.34739999999999999</v>
      </c>
      <c r="BL131" s="230">
        <v>15473400</v>
      </c>
      <c r="BM131" s="230">
        <v>30190350</v>
      </c>
      <c r="BN131" s="230">
        <v>-14716950</v>
      </c>
      <c r="BO131" s="229">
        <v>-0.48749999999999999</v>
      </c>
      <c r="BP131" s="230">
        <v>102735750</v>
      </c>
      <c r="BQ131" s="230">
        <v>96032250</v>
      </c>
      <c r="BR131" s="230">
        <v>6703500</v>
      </c>
      <c r="BS131" s="229">
        <v>6.9800000000000001E-2</v>
      </c>
      <c r="BT131" s="230">
        <v>24147092</v>
      </c>
      <c r="BU131" s="230">
        <v>17400513</v>
      </c>
      <c r="BV131" s="230">
        <v>6746579</v>
      </c>
      <c r="BW131" s="229">
        <v>0.38769999999999999</v>
      </c>
      <c r="BX131" s="230">
        <v>139414350</v>
      </c>
      <c r="BY131" s="230">
        <v>143159700</v>
      </c>
      <c r="BZ131" s="230">
        <v>-3745350</v>
      </c>
      <c r="CA131" s="229">
        <v>-2.6200000000000001E-2</v>
      </c>
      <c r="CB131" s="230">
        <v>136536150</v>
      </c>
      <c r="CC131" s="230">
        <v>140570550</v>
      </c>
      <c r="CD131" s="230">
        <v>-4034400</v>
      </c>
      <c r="CE131" s="229">
        <v>-2.87E-2</v>
      </c>
      <c r="CF131" s="230">
        <v>2017200</v>
      </c>
      <c r="CG131" s="230">
        <v>1814250</v>
      </c>
      <c r="CH131" s="230">
        <v>202950</v>
      </c>
      <c r="CI131" s="229">
        <v>0.1119</v>
      </c>
      <c r="CJ131" s="230">
        <v>861000</v>
      </c>
      <c r="CK131" s="230">
        <v>774900</v>
      </c>
      <c r="CL131" s="230">
        <v>86100</v>
      </c>
      <c r="CM131" s="229">
        <v>0.1111</v>
      </c>
      <c r="CN131" s="230">
        <v>42022950</v>
      </c>
      <c r="CO131" s="230">
        <v>39175500</v>
      </c>
      <c r="CP131" s="230">
        <v>2847450</v>
      </c>
      <c r="CQ131" s="229">
        <v>7.2700000000000001E-2</v>
      </c>
      <c r="CR131" s="230">
        <v>26660250</v>
      </c>
      <c r="CS131" s="230">
        <v>24993600</v>
      </c>
      <c r="CT131" s="230">
        <v>1666650</v>
      </c>
      <c r="CU131" s="229">
        <v>6.6699999999999995E-2</v>
      </c>
      <c r="CV131" s="230">
        <v>208097550</v>
      </c>
      <c r="CW131" s="230">
        <v>207328800</v>
      </c>
      <c r="CX131" s="230">
        <v>768750</v>
      </c>
      <c r="CY131" s="229">
        <v>3.7000000000000002E-3</v>
      </c>
      <c r="CZ131" s="228">
        <v>33.909999999999997</v>
      </c>
      <c r="DA131" s="228">
        <v>38.56</v>
      </c>
      <c r="DB131" s="228">
        <v>-4.6500000000000004</v>
      </c>
      <c r="DC131" s="228">
        <v>-4.6500000000000004</v>
      </c>
      <c r="DD131" s="228">
        <v>39.42</v>
      </c>
      <c r="DE131" s="228">
        <v>39.380000000000003</v>
      </c>
      <c r="DF131" s="228">
        <v>-5.51</v>
      </c>
      <c r="DG131" s="228">
        <v>0.04</v>
      </c>
      <c r="DH131" s="228">
        <v>32.97</v>
      </c>
      <c r="DI131" s="228">
        <v>36.93</v>
      </c>
      <c r="DJ131" s="228">
        <v>-3.96</v>
      </c>
      <c r="DK131" s="228">
        <v>-3.96</v>
      </c>
      <c r="DL131" s="228">
        <v>37.090000000000003</v>
      </c>
      <c r="DM131" s="228">
        <v>40.65</v>
      </c>
      <c r="DN131" s="228">
        <v>-3.56</v>
      </c>
      <c r="DO131" s="228">
        <v>-3.56</v>
      </c>
      <c r="DP131" s="228">
        <v>0.63</v>
      </c>
      <c r="DQ131" s="228">
        <v>0.64</v>
      </c>
      <c r="DR131" s="228">
        <v>-0.01</v>
      </c>
      <c r="DS131" s="229">
        <v>-1.5599999999999999E-2</v>
      </c>
      <c r="DT131" s="228">
        <v>140</v>
      </c>
      <c r="DU131" s="228">
        <v>125</v>
      </c>
      <c r="DV131" s="228">
        <v>0.3</v>
      </c>
      <c r="DW131" s="228">
        <v>0.78</v>
      </c>
      <c r="DX131" s="228">
        <v>-0.48</v>
      </c>
      <c r="DY131" s="229">
        <v>-0.61539999999999995</v>
      </c>
      <c r="DZ131" s="229">
        <v>2.06E-2</v>
      </c>
      <c r="EA131" s="230">
        <v>2589150</v>
      </c>
      <c r="EB131" s="229">
        <v>6.7000000000000002E-3</v>
      </c>
      <c r="EC131" s="229">
        <v>2.06E-2</v>
      </c>
      <c r="ED131" s="228">
        <v>0.75</v>
      </c>
      <c r="EE131" s="229">
        <v>6.0000000000000001E-3</v>
      </c>
      <c r="EF131" s="230">
        <v>10783689</v>
      </c>
      <c r="EG131" s="230">
        <v>7508274</v>
      </c>
      <c r="EH131" s="229">
        <v>0.43619999999999998</v>
      </c>
      <c r="EI131" s="229">
        <v>0.4466</v>
      </c>
      <c r="EJ131" s="231">
        <v>70531.58</v>
      </c>
      <c r="EK131" s="231">
        <v>19022.919999999998</v>
      </c>
      <c r="EL131" s="231">
        <v>44221.41</v>
      </c>
      <c r="EM131" s="231">
        <v>4180</v>
      </c>
      <c r="EN131" s="231">
        <v>133775.91</v>
      </c>
      <c r="EO131" s="231">
        <v>122684.13</v>
      </c>
      <c r="EP131" s="231">
        <v>11091.78</v>
      </c>
      <c r="EQ131" s="229">
        <v>9.0399999999999994E-2</v>
      </c>
      <c r="ER131" s="231">
        <v>57368</v>
      </c>
      <c r="ES131" s="231">
        <v>32653</v>
      </c>
      <c r="ET131" s="231">
        <v>176417</v>
      </c>
      <c r="EU131" s="231">
        <v>606151620</v>
      </c>
      <c r="EV131" s="231">
        <v>266439</v>
      </c>
      <c r="EW131" s="231">
        <v>261127</v>
      </c>
      <c r="EX131" s="231">
        <v>5312</v>
      </c>
      <c r="EY131" s="229">
        <v>2.0299999999999999E-2</v>
      </c>
      <c r="EZ131" s="229">
        <v>0.34329999999999999</v>
      </c>
      <c r="FA131" s="227" t="s">
        <v>556</v>
      </c>
      <c r="FB131" s="161">
        <f t="shared" ref="FB131:FB138" si="2">BX131-CB131</f>
        <v>2878200</v>
      </c>
    </row>
    <row r="132" spans="1:158" ht="17.25" thickBot="1" x14ac:dyDescent="0.3">
      <c r="A132" s="226">
        <v>46086</v>
      </c>
      <c r="B132" s="227" t="s">
        <v>221</v>
      </c>
      <c r="C132" s="227" t="s">
        <v>487</v>
      </c>
      <c r="D132" s="228">
        <v>275</v>
      </c>
      <c r="E132" s="231">
        <v>2242.4</v>
      </c>
      <c r="F132" s="231">
        <v>2277.3000000000002</v>
      </c>
      <c r="G132" s="228">
        <v>-34.9</v>
      </c>
      <c r="H132" s="229">
        <v>-1.5299999999999999E-2</v>
      </c>
      <c r="I132" s="231">
        <v>2231.6</v>
      </c>
      <c r="J132" s="231">
        <v>2267.1999999999998</v>
      </c>
      <c r="K132" s="228">
        <v>-35.6</v>
      </c>
      <c r="L132" s="229">
        <v>-1.5699999999999999E-2</v>
      </c>
      <c r="M132" s="231">
        <v>2242.4</v>
      </c>
      <c r="N132" s="231">
        <v>2277.3000000000002</v>
      </c>
      <c r="O132" s="228">
        <v>-34.9</v>
      </c>
      <c r="P132" s="229">
        <v>-1.5299999999999999E-2</v>
      </c>
      <c r="Q132" s="231">
        <v>2254.1999999999998</v>
      </c>
      <c r="R132" s="231">
        <v>2289.1999999999998</v>
      </c>
      <c r="S132" s="228">
        <v>-35</v>
      </c>
      <c r="T132" s="229">
        <v>-1.5299999999999999E-2</v>
      </c>
      <c r="U132" s="231">
        <v>2268.6</v>
      </c>
      <c r="V132" s="231">
        <v>2307.3000000000002</v>
      </c>
      <c r="W132" s="228">
        <v>-38.700000000000003</v>
      </c>
      <c r="X132" s="229">
        <v>-1.6799999999999999E-2</v>
      </c>
      <c r="Y132" s="228">
        <v>10.8</v>
      </c>
      <c r="Z132" s="228">
        <v>10.1</v>
      </c>
      <c r="AA132" s="228">
        <v>0.7</v>
      </c>
      <c r="AB132" s="229">
        <v>4.7999999999999996E-3</v>
      </c>
      <c r="AC132" s="228">
        <v>10.8</v>
      </c>
      <c r="AD132" s="228">
        <v>10.1</v>
      </c>
      <c r="AE132" s="228">
        <v>0.7</v>
      </c>
      <c r="AF132" s="229">
        <v>4.7999999999999996E-3</v>
      </c>
      <c r="AG132" s="228">
        <v>22.6</v>
      </c>
      <c r="AH132" s="228">
        <v>22</v>
      </c>
      <c r="AI132" s="228">
        <v>0.6</v>
      </c>
      <c r="AJ132" s="229">
        <v>1.01E-2</v>
      </c>
      <c r="AK132" s="228">
        <v>37</v>
      </c>
      <c r="AL132" s="228">
        <v>40.1</v>
      </c>
      <c r="AM132" s="228">
        <v>-3.1</v>
      </c>
      <c r="AN132" s="229">
        <v>1.66E-2</v>
      </c>
      <c r="AO132" s="231">
        <v>2237.7199999999998</v>
      </c>
      <c r="AP132" s="231">
        <v>2251.0300000000002</v>
      </c>
      <c r="AQ132" s="228">
        <v>0</v>
      </c>
      <c r="AR132" s="230">
        <v>896500</v>
      </c>
      <c r="AS132" s="230">
        <v>786500</v>
      </c>
      <c r="AT132" s="230">
        <v>110000</v>
      </c>
      <c r="AU132" s="229">
        <v>0.1399</v>
      </c>
      <c r="AV132" s="230">
        <v>850025</v>
      </c>
      <c r="AW132" s="230">
        <v>753775</v>
      </c>
      <c r="AX132" s="230">
        <v>96250</v>
      </c>
      <c r="AY132" s="229">
        <v>0.12770000000000001</v>
      </c>
      <c r="AZ132" s="230">
        <v>41525</v>
      </c>
      <c r="BA132" s="230">
        <v>30800</v>
      </c>
      <c r="BB132" s="230">
        <v>10725</v>
      </c>
      <c r="BC132" s="229">
        <v>0.34820000000000001</v>
      </c>
      <c r="BD132" s="230">
        <v>4950</v>
      </c>
      <c r="BE132" s="230">
        <v>1925</v>
      </c>
      <c r="BF132" s="230">
        <v>3025</v>
      </c>
      <c r="BG132" s="229">
        <v>1.5713999999999999</v>
      </c>
      <c r="BH132" s="230">
        <v>975150</v>
      </c>
      <c r="BI132" s="230">
        <v>1463275</v>
      </c>
      <c r="BJ132" s="230">
        <v>-488125</v>
      </c>
      <c r="BK132" s="229">
        <v>-0.33360000000000001</v>
      </c>
      <c r="BL132" s="230">
        <v>554400</v>
      </c>
      <c r="BM132" s="230">
        <v>658075</v>
      </c>
      <c r="BN132" s="230">
        <v>-103675</v>
      </c>
      <c r="BO132" s="229">
        <v>-0.1575</v>
      </c>
      <c r="BP132" s="230">
        <v>2426050</v>
      </c>
      <c r="BQ132" s="230">
        <v>2907850</v>
      </c>
      <c r="BR132" s="230">
        <v>-481800</v>
      </c>
      <c r="BS132" s="229">
        <v>-0.16569999999999999</v>
      </c>
      <c r="BT132" s="230">
        <v>760689</v>
      </c>
      <c r="BU132" s="230">
        <v>700841</v>
      </c>
      <c r="BV132" s="230">
        <v>59848</v>
      </c>
      <c r="BW132" s="229">
        <v>8.5400000000000004E-2</v>
      </c>
      <c r="BX132" s="230">
        <v>5450500</v>
      </c>
      <c r="BY132" s="230">
        <v>5240675</v>
      </c>
      <c r="BZ132" s="230">
        <v>209825</v>
      </c>
      <c r="CA132" s="229">
        <v>0.04</v>
      </c>
      <c r="CB132" s="230">
        <v>5353700</v>
      </c>
      <c r="CC132" s="230">
        <v>5153775</v>
      </c>
      <c r="CD132" s="230">
        <v>199925</v>
      </c>
      <c r="CE132" s="229">
        <v>3.8800000000000001E-2</v>
      </c>
      <c r="CF132" s="230">
        <v>88550</v>
      </c>
      <c r="CG132" s="230">
        <v>82500</v>
      </c>
      <c r="CH132" s="230">
        <v>6050</v>
      </c>
      <c r="CI132" s="229">
        <v>7.3300000000000004E-2</v>
      </c>
      <c r="CJ132" s="230">
        <v>8250</v>
      </c>
      <c r="CK132" s="230">
        <v>4400</v>
      </c>
      <c r="CL132" s="230">
        <v>3850</v>
      </c>
      <c r="CM132" s="229">
        <v>0.875</v>
      </c>
      <c r="CN132" s="230">
        <v>1100275</v>
      </c>
      <c r="CO132" s="230">
        <v>1030150</v>
      </c>
      <c r="CP132" s="230">
        <v>70125</v>
      </c>
      <c r="CQ132" s="229">
        <v>6.8099999999999994E-2</v>
      </c>
      <c r="CR132" s="230">
        <v>640200</v>
      </c>
      <c r="CS132" s="230">
        <v>688050</v>
      </c>
      <c r="CT132" s="230">
        <v>-47850</v>
      </c>
      <c r="CU132" s="229">
        <v>-6.9500000000000006E-2</v>
      </c>
      <c r="CV132" s="230">
        <v>7190975</v>
      </c>
      <c r="CW132" s="230">
        <v>6958875</v>
      </c>
      <c r="CX132" s="230">
        <v>232100</v>
      </c>
      <c r="CY132" s="229">
        <v>3.3399999999999999E-2</v>
      </c>
      <c r="CZ132" s="228">
        <v>36.729999999999997</v>
      </c>
      <c r="DA132" s="228">
        <v>39.01</v>
      </c>
      <c r="DB132" s="228">
        <v>-2.2799999999999998</v>
      </c>
      <c r="DC132" s="228">
        <v>-2.2799999999999998</v>
      </c>
      <c r="DD132" s="228">
        <v>35.51</v>
      </c>
      <c r="DE132" s="228">
        <v>35.53</v>
      </c>
      <c r="DF132" s="228">
        <v>1.22</v>
      </c>
      <c r="DG132" s="228">
        <v>-0.02</v>
      </c>
      <c r="DH132" s="228">
        <v>35.79</v>
      </c>
      <c r="DI132" s="228">
        <v>38.090000000000003</v>
      </c>
      <c r="DJ132" s="228">
        <v>-2.2999999999999998</v>
      </c>
      <c r="DK132" s="228">
        <v>-2.2999999999999998</v>
      </c>
      <c r="DL132" s="228">
        <v>38.380000000000003</v>
      </c>
      <c r="DM132" s="228">
        <v>41.06</v>
      </c>
      <c r="DN132" s="228">
        <v>-2.68</v>
      </c>
      <c r="DO132" s="228">
        <v>-2.68</v>
      </c>
      <c r="DP132" s="228">
        <v>0.57999999999999996</v>
      </c>
      <c r="DQ132" s="228">
        <v>0.67</v>
      </c>
      <c r="DR132" s="228">
        <v>-0.09</v>
      </c>
      <c r="DS132" s="229">
        <v>-0.1343</v>
      </c>
      <c r="DT132" s="231">
        <v>2300</v>
      </c>
      <c r="DU132" s="231">
        <v>2200</v>
      </c>
      <c r="DV132" s="228">
        <v>0.56999999999999995</v>
      </c>
      <c r="DW132" s="228">
        <v>0.45</v>
      </c>
      <c r="DX132" s="228">
        <v>0.12</v>
      </c>
      <c r="DY132" s="229">
        <v>0.26669999999999999</v>
      </c>
      <c r="DZ132" s="229">
        <v>1.78E-2</v>
      </c>
      <c r="EA132" s="230">
        <v>86900</v>
      </c>
      <c r="EB132" s="229">
        <v>5.3E-3</v>
      </c>
      <c r="EC132" s="229">
        <v>1.78E-2</v>
      </c>
      <c r="ED132" s="228">
        <v>13.31</v>
      </c>
      <c r="EE132" s="229">
        <v>5.8999999999999999E-3</v>
      </c>
      <c r="EF132" s="230">
        <v>435783</v>
      </c>
      <c r="EG132" s="230">
        <v>322022</v>
      </c>
      <c r="EH132" s="229">
        <v>0.3533</v>
      </c>
      <c r="EI132" s="229">
        <v>0.57289999999999996</v>
      </c>
      <c r="EJ132" s="231">
        <v>23865.11</v>
      </c>
      <c r="EK132" s="231">
        <v>12216.65</v>
      </c>
      <c r="EL132" s="231">
        <v>20067.63</v>
      </c>
      <c r="EM132" s="231">
        <v>3020</v>
      </c>
      <c r="EN132" s="231">
        <v>56149.39</v>
      </c>
      <c r="EO132" s="231">
        <v>68331.7</v>
      </c>
      <c r="EP132" s="231">
        <v>-12182.31</v>
      </c>
      <c r="EQ132" s="229">
        <v>-0.17829999999999999</v>
      </c>
      <c r="ER132" s="231">
        <v>27178</v>
      </c>
      <c r="ES132" s="231">
        <v>14344</v>
      </c>
      <c r="ET132" s="231">
        <v>122235</v>
      </c>
      <c r="EU132" s="231">
        <v>17093933</v>
      </c>
      <c r="EV132" s="231">
        <v>163757</v>
      </c>
      <c r="EW132" s="231">
        <v>160283</v>
      </c>
      <c r="EX132" s="231">
        <v>3474</v>
      </c>
      <c r="EY132" s="229">
        <v>2.1700000000000001E-2</v>
      </c>
      <c r="EZ132" s="229">
        <v>0.42070000000000002</v>
      </c>
      <c r="FA132" s="227" t="s">
        <v>567</v>
      </c>
      <c r="FB132" s="161">
        <f t="shared" si="2"/>
        <v>96800</v>
      </c>
    </row>
    <row r="133" spans="1:158" ht="17.25" thickBot="1" x14ac:dyDescent="0.3">
      <c r="A133" s="226">
        <v>46086</v>
      </c>
      <c r="B133" s="227" t="s">
        <v>175</v>
      </c>
      <c r="C133" s="227" t="s">
        <v>262</v>
      </c>
      <c r="D133" s="228">
        <v>275</v>
      </c>
      <c r="E133" s="231">
        <v>3318.5</v>
      </c>
      <c r="F133" s="231">
        <v>3354.7</v>
      </c>
      <c r="G133" s="228">
        <v>-36.200000000000003</v>
      </c>
      <c r="H133" s="229">
        <v>-1.0800000000000001E-2</v>
      </c>
      <c r="I133" s="231">
        <v>3306.4</v>
      </c>
      <c r="J133" s="231">
        <v>3339.9</v>
      </c>
      <c r="K133" s="228">
        <v>-33.5</v>
      </c>
      <c r="L133" s="229">
        <v>-0.01</v>
      </c>
      <c r="M133" s="231">
        <v>3318.5</v>
      </c>
      <c r="N133" s="231">
        <v>3354.7</v>
      </c>
      <c r="O133" s="228">
        <v>-36.200000000000003</v>
      </c>
      <c r="P133" s="229">
        <v>-1.0800000000000001E-2</v>
      </c>
      <c r="Q133" s="231">
        <v>3320.1</v>
      </c>
      <c r="R133" s="231">
        <v>3353.1</v>
      </c>
      <c r="S133" s="228">
        <v>-33</v>
      </c>
      <c r="T133" s="229">
        <v>-9.7999999999999997E-3</v>
      </c>
      <c r="U133" s="231">
        <v>3313.7</v>
      </c>
      <c r="V133" s="231">
        <v>3361.1</v>
      </c>
      <c r="W133" s="228">
        <v>-47.4</v>
      </c>
      <c r="X133" s="229">
        <v>-1.41E-2</v>
      </c>
      <c r="Y133" s="228">
        <v>12.1</v>
      </c>
      <c r="Z133" s="228">
        <v>14.8</v>
      </c>
      <c r="AA133" s="228">
        <v>-2.7</v>
      </c>
      <c r="AB133" s="229">
        <v>3.7000000000000002E-3</v>
      </c>
      <c r="AC133" s="228">
        <v>12.1</v>
      </c>
      <c r="AD133" s="228">
        <v>14.8</v>
      </c>
      <c r="AE133" s="228">
        <v>-2.7</v>
      </c>
      <c r="AF133" s="229">
        <v>3.7000000000000002E-3</v>
      </c>
      <c r="AG133" s="228">
        <v>13.7</v>
      </c>
      <c r="AH133" s="228">
        <v>13.2</v>
      </c>
      <c r="AI133" s="228">
        <v>0.5</v>
      </c>
      <c r="AJ133" s="229">
        <v>4.1000000000000003E-3</v>
      </c>
      <c r="AK133" s="228">
        <v>7.3</v>
      </c>
      <c r="AL133" s="228">
        <v>21.2</v>
      </c>
      <c r="AM133" s="228">
        <v>-13.9</v>
      </c>
      <c r="AN133" s="229">
        <v>2.2000000000000001E-3</v>
      </c>
      <c r="AO133" s="231">
        <v>3302.97</v>
      </c>
      <c r="AP133" s="231">
        <v>3311.69</v>
      </c>
      <c r="AQ133" s="228">
        <v>0</v>
      </c>
      <c r="AR133" s="230">
        <v>1656875</v>
      </c>
      <c r="AS133" s="230">
        <v>1523775</v>
      </c>
      <c r="AT133" s="230">
        <v>133100</v>
      </c>
      <c r="AU133" s="229">
        <v>8.7300000000000003E-2</v>
      </c>
      <c r="AV133" s="230">
        <v>1580700</v>
      </c>
      <c r="AW133" s="230">
        <v>1455300</v>
      </c>
      <c r="AX133" s="230">
        <v>125400</v>
      </c>
      <c r="AY133" s="229">
        <v>8.6199999999999999E-2</v>
      </c>
      <c r="AZ133" s="230">
        <v>62425</v>
      </c>
      <c r="BA133" s="230">
        <v>58575</v>
      </c>
      <c r="BB133" s="230">
        <v>3850</v>
      </c>
      <c r="BC133" s="229">
        <v>6.5699999999999995E-2</v>
      </c>
      <c r="BD133" s="230">
        <v>13750</v>
      </c>
      <c r="BE133" s="230">
        <v>9900</v>
      </c>
      <c r="BF133" s="230">
        <v>3850</v>
      </c>
      <c r="BG133" s="229">
        <v>0.38890000000000002</v>
      </c>
      <c r="BH133" s="230">
        <v>4549600</v>
      </c>
      <c r="BI133" s="230">
        <v>4141775</v>
      </c>
      <c r="BJ133" s="230">
        <v>407825</v>
      </c>
      <c r="BK133" s="229">
        <v>9.8500000000000004E-2</v>
      </c>
      <c r="BL133" s="230">
        <v>2575925</v>
      </c>
      <c r="BM133" s="230">
        <v>2538250</v>
      </c>
      <c r="BN133" s="230">
        <v>37675</v>
      </c>
      <c r="BO133" s="229">
        <v>1.4800000000000001E-2</v>
      </c>
      <c r="BP133" s="230">
        <v>8782400</v>
      </c>
      <c r="BQ133" s="230">
        <v>8203800</v>
      </c>
      <c r="BR133" s="230">
        <v>578600</v>
      </c>
      <c r="BS133" s="229">
        <v>7.0499999999999993E-2</v>
      </c>
      <c r="BT133" s="230">
        <v>981029</v>
      </c>
      <c r="BU133" s="230">
        <v>774718</v>
      </c>
      <c r="BV133" s="230">
        <v>206311</v>
      </c>
      <c r="BW133" s="229">
        <v>0.26629999999999998</v>
      </c>
      <c r="BX133" s="230">
        <v>4265525</v>
      </c>
      <c r="BY133" s="230">
        <v>4380475</v>
      </c>
      <c r="BZ133" s="230">
        <v>-114950</v>
      </c>
      <c r="CA133" s="229">
        <v>-2.6200000000000001E-2</v>
      </c>
      <c r="CB133" s="230">
        <v>4101625</v>
      </c>
      <c r="CC133" s="230">
        <v>4227575</v>
      </c>
      <c r="CD133" s="230">
        <v>-125950</v>
      </c>
      <c r="CE133" s="229">
        <v>-2.98E-2</v>
      </c>
      <c r="CF133" s="230">
        <v>147675</v>
      </c>
      <c r="CG133" s="230">
        <v>142725</v>
      </c>
      <c r="CH133" s="230">
        <v>4950</v>
      </c>
      <c r="CI133" s="229">
        <v>3.4700000000000002E-2</v>
      </c>
      <c r="CJ133" s="230">
        <v>16225</v>
      </c>
      <c r="CK133" s="230">
        <v>10175</v>
      </c>
      <c r="CL133" s="230">
        <v>6050</v>
      </c>
      <c r="CM133" s="229">
        <v>0.59460000000000002</v>
      </c>
      <c r="CN133" s="230">
        <v>3960825</v>
      </c>
      <c r="CO133" s="230">
        <v>3697925</v>
      </c>
      <c r="CP133" s="230">
        <v>262900</v>
      </c>
      <c r="CQ133" s="229">
        <v>7.1099999999999997E-2</v>
      </c>
      <c r="CR133" s="230">
        <v>1744875</v>
      </c>
      <c r="CS133" s="230">
        <v>1646150</v>
      </c>
      <c r="CT133" s="230">
        <v>98725</v>
      </c>
      <c r="CU133" s="229">
        <v>0.06</v>
      </c>
      <c r="CV133" s="230">
        <v>9971225</v>
      </c>
      <c r="CW133" s="230">
        <v>9724550</v>
      </c>
      <c r="CX133" s="230">
        <v>246675</v>
      </c>
      <c r="CY133" s="229">
        <v>2.5399999999999999E-2</v>
      </c>
      <c r="CZ133" s="228">
        <v>35.549999999999997</v>
      </c>
      <c r="DA133" s="228">
        <v>38.07</v>
      </c>
      <c r="DB133" s="228">
        <v>-2.52</v>
      </c>
      <c r="DC133" s="228">
        <v>-2.52</v>
      </c>
      <c r="DD133" s="228">
        <v>42.14</v>
      </c>
      <c r="DE133" s="228">
        <v>42.22</v>
      </c>
      <c r="DF133" s="228">
        <v>-6.59</v>
      </c>
      <c r="DG133" s="228">
        <v>-0.08</v>
      </c>
      <c r="DH133" s="228">
        <v>35.119999999999997</v>
      </c>
      <c r="DI133" s="228">
        <v>37.78</v>
      </c>
      <c r="DJ133" s="228">
        <v>-2.66</v>
      </c>
      <c r="DK133" s="228">
        <v>-2.66</v>
      </c>
      <c r="DL133" s="228">
        <v>36.31</v>
      </c>
      <c r="DM133" s="228">
        <v>38.549999999999997</v>
      </c>
      <c r="DN133" s="228">
        <v>-2.2400000000000002</v>
      </c>
      <c r="DO133" s="228">
        <v>-2.2400000000000002</v>
      </c>
      <c r="DP133" s="228">
        <v>0.44</v>
      </c>
      <c r="DQ133" s="228">
        <v>0.45</v>
      </c>
      <c r="DR133" s="228">
        <v>-0.01</v>
      </c>
      <c r="DS133" s="229">
        <v>-2.2200000000000001E-2</v>
      </c>
      <c r="DT133" s="231">
        <v>4000</v>
      </c>
      <c r="DU133" s="231">
        <v>3400</v>
      </c>
      <c r="DV133" s="228">
        <v>0.56999999999999995</v>
      </c>
      <c r="DW133" s="228">
        <v>0.61</v>
      </c>
      <c r="DX133" s="228">
        <v>-0.04</v>
      </c>
      <c r="DY133" s="229">
        <v>-6.5600000000000006E-2</v>
      </c>
      <c r="DZ133" s="229">
        <v>3.8399999999999997E-2</v>
      </c>
      <c r="EA133" s="230">
        <v>152900</v>
      </c>
      <c r="EB133" s="229">
        <v>5.0000000000000001E-4</v>
      </c>
      <c r="EC133" s="229">
        <v>3.8399999999999997E-2</v>
      </c>
      <c r="ED133" s="228">
        <v>8.7200000000000006</v>
      </c>
      <c r="EE133" s="229">
        <v>2.5999999999999999E-3</v>
      </c>
      <c r="EF133" s="230">
        <v>445010</v>
      </c>
      <c r="EG133" s="230">
        <v>340007</v>
      </c>
      <c r="EH133" s="229">
        <v>0.30880000000000002</v>
      </c>
      <c r="EI133" s="229">
        <v>0.4536</v>
      </c>
      <c r="EJ133" s="231">
        <v>164512.1</v>
      </c>
      <c r="EK133" s="231">
        <v>84790.82</v>
      </c>
      <c r="EL133" s="231">
        <v>54731.98</v>
      </c>
      <c r="EM133" s="231">
        <v>6588</v>
      </c>
      <c r="EN133" s="231">
        <v>304034.90000000002</v>
      </c>
      <c r="EO133" s="231">
        <v>290165.21999999997</v>
      </c>
      <c r="EP133" s="231">
        <v>13869.68</v>
      </c>
      <c r="EQ133" s="229">
        <v>4.7800000000000002E-2</v>
      </c>
      <c r="ER133" s="231">
        <v>149630</v>
      </c>
      <c r="ES133" s="231">
        <v>58199</v>
      </c>
      <c r="ET133" s="231">
        <v>141553</v>
      </c>
      <c r="EU133" s="231">
        <v>14790848</v>
      </c>
      <c r="EV133" s="231">
        <v>349382</v>
      </c>
      <c r="EW133" s="231">
        <v>342532</v>
      </c>
      <c r="EX133" s="231">
        <v>6850</v>
      </c>
      <c r="EY133" s="229">
        <v>0.02</v>
      </c>
      <c r="EZ133" s="229">
        <v>0.67410000000000003</v>
      </c>
      <c r="FA133" s="227" t="s">
        <v>568</v>
      </c>
      <c r="FB133" s="161">
        <f t="shared" si="2"/>
        <v>163900</v>
      </c>
    </row>
    <row r="134" spans="1:158" ht="17.25" thickBot="1" x14ac:dyDescent="0.3">
      <c r="A134" s="226">
        <v>46086</v>
      </c>
      <c r="B134" s="227" t="s">
        <v>227</v>
      </c>
      <c r="C134" s="227" t="s">
        <v>263</v>
      </c>
      <c r="D134" s="228">
        <v>3750</v>
      </c>
      <c r="E134" s="228">
        <v>396.65</v>
      </c>
      <c r="F134" s="228">
        <v>374.4</v>
      </c>
      <c r="G134" s="228">
        <v>22.25</v>
      </c>
      <c r="H134" s="229">
        <v>5.9400000000000001E-2</v>
      </c>
      <c r="I134" s="228">
        <v>395.95</v>
      </c>
      <c r="J134" s="228">
        <v>373.5</v>
      </c>
      <c r="K134" s="228">
        <v>22.45</v>
      </c>
      <c r="L134" s="229">
        <v>6.0100000000000001E-2</v>
      </c>
      <c r="M134" s="228">
        <v>396.65</v>
      </c>
      <c r="N134" s="228">
        <v>374.4</v>
      </c>
      <c r="O134" s="228">
        <v>22.25</v>
      </c>
      <c r="P134" s="229">
        <v>5.9400000000000001E-2</v>
      </c>
      <c r="Q134" s="228">
        <v>398.9</v>
      </c>
      <c r="R134" s="228">
        <v>376.5</v>
      </c>
      <c r="S134" s="228">
        <v>22.4</v>
      </c>
      <c r="T134" s="229">
        <v>5.9499999999999997E-2</v>
      </c>
      <c r="U134" s="228">
        <v>401.05</v>
      </c>
      <c r="V134" s="228">
        <v>377.25</v>
      </c>
      <c r="W134" s="228">
        <v>23.8</v>
      </c>
      <c r="X134" s="229">
        <v>6.3100000000000003E-2</v>
      </c>
      <c r="Y134" s="228">
        <v>0.7</v>
      </c>
      <c r="Z134" s="228">
        <v>0.9</v>
      </c>
      <c r="AA134" s="228">
        <v>-0.2</v>
      </c>
      <c r="AB134" s="229">
        <v>1.8E-3</v>
      </c>
      <c r="AC134" s="228">
        <v>0.7</v>
      </c>
      <c r="AD134" s="228">
        <v>0.9</v>
      </c>
      <c r="AE134" s="228">
        <v>-0.2</v>
      </c>
      <c r="AF134" s="229">
        <v>1.8E-3</v>
      </c>
      <c r="AG134" s="228">
        <v>2.95</v>
      </c>
      <c r="AH134" s="228">
        <v>3</v>
      </c>
      <c r="AI134" s="228">
        <v>-0.05</v>
      </c>
      <c r="AJ134" s="229">
        <v>7.4999999999999997E-3</v>
      </c>
      <c r="AK134" s="228">
        <v>5.0999999999999996</v>
      </c>
      <c r="AL134" s="228">
        <v>3.75</v>
      </c>
      <c r="AM134" s="228">
        <v>1.35</v>
      </c>
      <c r="AN134" s="229">
        <v>1.29E-2</v>
      </c>
      <c r="AO134" s="228">
        <v>396.29</v>
      </c>
      <c r="AP134" s="228">
        <v>395.59</v>
      </c>
      <c r="AQ134" s="228">
        <v>0</v>
      </c>
      <c r="AR134" s="230">
        <v>76387500</v>
      </c>
      <c r="AS134" s="230">
        <v>40447500</v>
      </c>
      <c r="AT134" s="230">
        <v>35940000</v>
      </c>
      <c r="AU134" s="229">
        <v>0.88859999999999995</v>
      </c>
      <c r="AV134" s="230">
        <v>60798750</v>
      </c>
      <c r="AW134" s="230">
        <v>38621250</v>
      </c>
      <c r="AX134" s="230">
        <v>22177500</v>
      </c>
      <c r="AY134" s="229">
        <v>0.57420000000000004</v>
      </c>
      <c r="AZ134" s="230">
        <v>12900000</v>
      </c>
      <c r="BA134" s="230">
        <v>1500000</v>
      </c>
      <c r="BB134" s="230">
        <v>11400000</v>
      </c>
      <c r="BC134" s="229">
        <v>7.6</v>
      </c>
      <c r="BD134" s="230">
        <v>2688750</v>
      </c>
      <c r="BE134" s="230">
        <v>326250</v>
      </c>
      <c r="BF134" s="230">
        <v>2362500</v>
      </c>
      <c r="BG134" s="229">
        <v>7.2413999999999996</v>
      </c>
      <c r="BH134" s="230">
        <v>214350000</v>
      </c>
      <c r="BI134" s="230">
        <v>81693750</v>
      </c>
      <c r="BJ134" s="230">
        <v>132656250</v>
      </c>
      <c r="BK134" s="229">
        <v>1.6237999999999999</v>
      </c>
      <c r="BL134" s="230">
        <v>86265000</v>
      </c>
      <c r="BM134" s="230">
        <v>41692500</v>
      </c>
      <c r="BN134" s="230">
        <v>44572500</v>
      </c>
      <c r="BO134" s="229">
        <v>1.0690999999999999</v>
      </c>
      <c r="BP134" s="230">
        <v>377002500</v>
      </c>
      <c r="BQ134" s="230">
        <v>163833750</v>
      </c>
      <c r="BR134" s="230">
        <v>213168750</v>
      </c>
      <c r="BS134" s="229">
        <v>1.3010999999999999</v>
      </c>
      <c r="BT134" s="230">
        <v>49649613</v>
      </c>
      <c r="BU134" s="230">
        <v>27233322</v>
      </c>
      <c r="BV134" s="230">
        <v>22416291</v>
      </c>
      <c r="BW134" s="229">
        <v>0.82310000000000005</v>
      </c>
      <c r="BX134" s="230">
        <v>59126250</v>
      </c>
      <c r="BY134" s="230">
        <v>57851250</v>
      </c>
      <c r="BZ134" s="230">
        <v>1275000</v>
      </c>
      <c r="CA134" s="229">
        <v>2.1999999999999999E-2</v>
      </c>
      <c r="CB134" s="230">
        <v>48453750</v>
      </c>
      <c r="CC134" s="230">
        <v>51502500</v>
      </c>
      <c r="CD134" s="230">
        <v>-3048750</v>
      </c>
      <c r="CE134" s="229">
        <v>-5.9200000000000003E-2</v>
      </c>
      <c r="CF134" s="230">
        <v>6048750</v>
      </c>
      <c r="CG134" s="230">
        <v>3716250</v>
      </c>
      <c r="CH134" s="230">
        <v>2332500</v>
      </c>
      <c r="CI134" s="229">
        <v>0.62760000000000005</v>
      </c>
      <c r="CJ134" s="230">
        <v>4623750</v>
      </c>
      <c r="CK134" s="230">
        <v>2632500</v>
      </c>
      <c r="CL134" s="230">
        <v>1991250</v>
      </c>
      <c r="CM134" s="229">
        <v>0.75639999999999996</v>
      </c>
      <c r="CN134" s="230">
        <v>32838750</v>
      </c>
      <c r="CO134" s="230">
        <v>25923750</v>
      </c>
      <c r="CP134" s="230">
        <v>6915000</v>
      </c>
      <c r="CQ134" s="229">
        <v>0.26669999999999999</v>
      </c>
      <c r="CR134" s="230">
        <v>26722500</v>
      </c>
      <c r="CS134" s="230">
        <v>21825000</v>
      </c>
      <c r="CT134" s="230">
        <v>4897500</v>
      </c>
      <c r="CU134" s="229">
        <v>0.22439999999999999</v>
      </c>
      <c r="CV134" s="230">
        <v>118687500</v>
      </c>
      <c r="CW134" s="230">
        <v>105600000</v>
      </c>
      <c r="CX134" s="230">
        <v>13087500</v>
      </c>
      <c r="CY134" s="229">
        <v>0.1239</v>
      </c>
      <c r="CZ134" s="228">
        <v>42.54</v>
      </c>
      <c r="DA134" s="228">
        <v>42.15</v>
      </c>
      <c r="DB134" s="228">
        <v>0.39</v>
      </c>
      <c r="DC134" s="228">
        <v>0.39</v>
      </c>
      <c r="DD134" s="228">
        <v>51.4</v>
      </c>
      <c r="DE134" s="228">
        <v>50.91</v>
      </c>
      <c r="DF134" s="228">
        <v>-8.86</v>
      </c>
      <c r="DG134" s="228">
        <v>0.49</v>
      </c>
      <c r="DH134" s="228">
        <v>42.14</v>
      </c>
      <c r="DI134" s="228">
        <v>41.49</v>
      </c>
      <c r="DJ134" s="228">
        <v>0.65</v>
      </c>
      <c r="DK134" s="228">
        <v>0.65</v>
      </c>
      <c r="DL134" s="228">
        <v>43.53</v>
      </c>
      <c r="DM134" s="228">
        <v>43.45</v>
      </c>
      <c r="DN134" s="228">
        <v>0.08</v>
      </c>
      <c r="DO134" s="228">
        <v>0.08</v>
      </c>
      <c r="DP134" s="228">
        <v>0.81</v>
      </c>
      <c r="DQ134" s="228">
        <v>0.84</v>
      </c>
      <c r="DR134" s="228">
        <v>-0.03</v>
      </c>
      <c r="DS134" s="229">
        <v>-3.5700000000000003E-2</v>
      </c>
      <c r="DT134" s="228">
        <v>400</v>
      </c>
      <c r="DU134" s="228">
        <v>350</v>
      </c>
      <c r="DV134" s="228">
        <v>0.4</v>
      </c>
      <c r="DW134" s="228">
        <v>0.51</v>
      </c>
      <c r="DX134" s="228">
        <v>-0.11</v>
      </c>
      <c r="DY134" s="229">
        <v>-0.2157</v>
      </c>
      <c r="DZ134" s="229">
        <v>0.18049999999999999</v>
      </c>
      <c r="EA134" s="230">
        <v>6348750</v>
      </c>
      <c r="EB134" s="229">
        <v>5.7000000000000002E-3</v>
      </c>
      <c r="EC134" s="229">
        <v>0.18049999999999999</v>
      </c>
      <c r="ED134" s="228">
        <v>-0.7</v>
      </c>
      <c r="EE134" s="229">
        <v>-1.8E-3</v>
      </c>
      <c r="EF134" s="230">
        <v>11865729</v>
      </c>
      <c r="EG134" s="230">
        <v>12039966</v>
      </c>
      <c r="EH134" s="229">
        <v>-1.4500000000000001E-2</v>
      </c>
      <c r="EI134" s="229">
        <v>0.23899999999999999</v>
      </c>
      <c r="EJ134" s="231">
        <v>911447.75</v>
      </c>
      <c r="EK134" s="231">
        <v>329803.03000000003</v>
      </c>
      <c r="EL134" s="231">
        <v>302814.61</v>
      </c>
      <c r="EM134" s="231">
        <v>6233</v>
      </c>
      <c r="EN134" s="231">
        <v>1544065.39</v>
      </c>
      <c r="EO134" s="231">
        <v>621130.76</v>
      </c>
      <c r="EP134" s="231">
        <v>922934.63</v>
      </c>
      <c r="EQ134" s="229">
        <v>1.4859</v>
      </c>
      <c r="ER134" s="231">
        <v>130118</v>
      </c>
      <c r="ES134" s="231">
        <v>95958</v>
      </c>
      <c r="ET134" s="231">
        <v>234864</v>
      </c>
      <c r="EU134" s="231">
        <v>134225816</v>
      </c>
      <c r="EV134" s="231">
        <v>460940</v>
      </c>
      <c r="EW134" s="231">
        <v>390397</v>
      </c>
      <c r="EX134" s="231">
        <v>70543</v>
      </c>
      <c r="EY134" s="229">
        <v>0.1807</v>
      </c>
      <c r="EZ134" s="229">
        <v>0.88419999999999999</v>
      </c>
      <c r="FA134" s="227" t="s">
        <v>555</v>
      </c>
      <c r="FB134" s="161">
        <f t="shared" si="2"/>
        <v>10672500</v>
      </c>
    </row>
    <row r="135" spans="1:158" ht="17.25" thickBot="1" x14ac:dyDescent="0.3">
      <c r="A135" s="226">
        <v>46086</v>
      </c>
      <c r="B135" s="227" t="s">
        <v>615</v>
      </c>
      <c r="C135" s="227" t="s">
        <v>264</v>
      </c>
      <c r="D135" s="228">
        <v>375</v>
      </c>
      <c r="E135" s="231">
        <v>1016.8</v>
      </c>
      <c r="F135" s="231">
        <v>1002.4</v>
      </c>
      <c r="G135" s="228">
        <v>14.4</v>
      </c>
      <c r="H135" s="229">
        <v>1.44E-2</v>
      </c>
      <c r="I135" s="231">
        <v>1015.3</v>
      </c>
      <c r="J135" s="228">
        <v>999.7</v>
      </c>
      <c r="K135" s="228">
        <v>15.6</v>
      </c>
      <c r="L135" s="229">
        <v>1.5599999999999999E-2</v>
      </c>
      <c r="M135" s="231">
        <v>1016.8</v>
      </c>
      <c r="N135" s="231">
        <v>1002.4</v>
      </c>
      <c r="O135" s="228">
        <v>14.4</v>
      </c>
      <c r="P135" s="229">
        <v>1.44E-2</v>
      </c>
      <c r="Q135" s="231">
        <v>1017.7</v>
      </c>
      <c r="R135" s="231">
        <v>1004.5</v>
      </c>
      <c r="S135" s="228">
        <v>13.2</v>
      </c>
      <c r="T135" s="229">
        <v>1.3100000000000001E-2</v>
      </c>
      <c r="U135" s="231">
        <v>1016.1</v>
      </c>
      <c r="V135" s="231">
        <v>1007.4</v>
      </c>
      <c r="W135" s="228">
        <v>8.6999999999999993</v>
      </c>
      <c r="X135" s="229">
        <v>8.6E-3</v>
      </c>
      <c r="Y135" s="228">
        <v>1.5</v>
      </c>
      <c r="Z135" s="228">
        <v>2.7</v>
      </c>
      <c r="AA135" s="228">
        <v>-1.2</v>
      </c>
      <c r="AB135" s="229">
        <v>1.5E-3</v>
      </c>
      <c r="AC135" s="228">
        <v>1.5</v>
      </c>
      <c r="AD135" s="228">
        <v>2.7</v>
      </c>
      <c r="AE135" s="228">
        <v>-1.2</v>
      </c>
      <c r="AF135" s="229">
        <v>1.5E-3</v>
      </c>
      <c r="AG135" s="228">
        <v>2.4</v>
      </c>
      <c r="AH135" s="228">
        <v>4.8</v>
      </c>
      <c r="AI135" s="228">
        <v>-2.4</v>
      </c>
      <c r="AJ135" s="229">
        <v>2.3999999999999998E-3</v>
      </c>
      <c r="AK135" s="228">
        <v>0.8</v>
      </c>
      <c r="AL135" s="228">
        <v>7.7</v>
      </c>
      <c r="AM135" s="228">
        <v>-6.9</v>
      </c>
      <c r="AN135" s="229">
        <v>8.0000000000000004E-4</v>
      </c>
      <c r="AO135" s="231">
        <v>1011.12</v>
      </c>
      <c r="AP135" s="231">
        <v>1012.13</v>
      </c>
      <c r="AQ135" s="228">
        <v>0</v>
      </c>
      <c r="AR135" s="230">
        <v>1567125</v>
      </c>
      <c r="AS135" s="230">
        <v>1455375</v>
      </c>
      <c r="AT135" s="230">
        <v>111750</v>
      </c>
      <c r="AU135" s="229">
        <v>7.6799999999999993E-2</v>
      </c>
      <c r="AV135" s="230">
        <v>1508250</v>
      </c>
      <c r="AW135" s="230">
        <v>1383750</v>
      </c>
      <c r="AX135" s="230">
        <v>124500</v>
      </c>
      <c r="AY135" s="229">
        <v>0.09</v>
      </c>
      <c r="AZ135" s="230">
        <v>54000</v>
      </c>
      <c r="BA135" s="230">
        <v>52500</v>
      </c>
      <c r="BB135" s="230">
        <v>1500</v>
      </c>
      <c r="BC135" s="229">
        <v>2.86E-2</v>
      </c>
      <c r="BD135" s="230">
        <v>4875</v>
      </c>
      <c r="BE135" s="230">
        <v>19125</v>
      </c>
      <c r="BF135" s="230">
        <v>-14250</v>
      </c>
      <c r="BG135" s="229">
        <v>-0.74509999999999998</v>
      </c>
      <c r="BH135" s="230">
        <v>1775625</v>
      </c>
      <c r="BI135" s="230">
        <v>2203875</v>
      </c>
      <c r="BJ135" s="230">
        <v>-428250</v>
      </c>
      <c r="BK135" s="229">
        <v>-0.1943</v>
      </c>
      <c r="BL135" s="230">
        <v>373125</v>
      </c>
      <c r="BM135" s="230">
        <v>1055625</v>
      </c>
      <c r="BN135" s="230">
        <v>-682500</v>
      </c>
      <c r="BO135" s="229">
        <v>-0.64649999999999996</v>
      </c>
      <c r="BP135" s="230">
        <v>3715875</v>
      </c>
      <c r="BQ135" s="230">
        <v>4714875</v>
      </c>
      <c r="BR135" s="230">
        <v>-999000</v>
      </c>
      <c r="BS135" s="229">
        <v>-0.21190000000000001</v>
      </c>
      <c r="BT135" s="230">
        <v>2540177</v>
      </c>
      <c r="BU135" s="230">
        <v>1822888</v>
      </c>
      <c r="BV135" s="230">
        <v>717289</v>
      </c>
      <c r="BW135" s="229">
        <v>0.39350000000000002</v>
      </c>
      <c r="BX135" s="230">
        <v>11216250</v>
      </c>
      <c r="BY135" s="230">
        <v>11441250</v>
      </c>
      <c r="BZ135" s="230">
        <v>-225000</v>
      </c>
      <c r="CA135" s="229">
        <v>-1.9699999999999999E-2</v>
      </c>
      <c r="CB135" s="230">
        <v>11011125</v>
      </c>
      <c r="CC135" s="230">
        <v>11230500</v>
      </c>
      <c r="CD135" s="230">
        <v>-219375</v>
      </c>
      <c r="CE135" s="229">
        <v>-1.95E-2</v>
      </c>
      <c r="CF135" s="230">
        <v>186375</v>
      </c>
      <c r="CG135" s="230">
        <v>192375</v>
      </c>
      <c r="CH135" s="230">
        <v>-6000</v>
      </c>
      <c r="CI135" s="229">
        <v>-3.1199999999999999E-2</v>
      </c>
      <c r="CJ135" s="230">
        <v>18750</v>
      </c>
      <c r="CK135" s="230">
        <v>18375</v>
      </c>
      <c r="CL135" s="228">
        <v>375</v>
      </c>
      <c r="CM135" s="229">
        <v>2.0400000000000001E-2</v>
      </c>
      <c r="CN135" s="230">
        <v>2773125</v>
      </c>
      <c r="CO135" s="230">
        <v>2726250</v>
      </c>
      <c r="CP135" s="230">
        <v>46875</v>
      </c>
      <c r="CQ135" s="229">
        <v>1.72E-2</v>
      </c>
      <c r="CR135" s="230">
        <v>1377375</v>
      </c>
      <c r="CS135" s="230">
        <v>1362000</v>
      </c>
      <c r="CT135" s="230">
        <v>15375</v>
      </c>
      <c r="CU135" s="229">
        <v>1.1299999999999999E-2</v>
      </c>
      <c r="CV135" s="230">
        <v>15366750</v>
      </c>
      <c r="CW135" s="230">
        <v>15529500</v>
      </c>
      <c r="CX135" s="230">
        <v>-162750</v>
      </c>
      <c r="CY135" s="229">
        <v>-1.0500000000000001E-2</v>
      </c>
      <c r="CZ135" s="228">
        <v>33.22</v>
      </c>
      <c r="DA135" s="228">
        <v>36.94</v>
      </c>
      <c r="DB135" s="228">
        <v>-3.72</v>
      </c>
      <c r="DC135" s="228">
        <v>-3.72</v>
      </c>
      <c r="DD135" s="228">
        <v>36.33</v>
      </c>
      <c r="DE135" s="228">
        <v>36.36</v>
      </c>
      <c r="DF135" s="228">
        <v>-3.11</v>
      </c>
      <c r="DG135" s="228">
        <v>-0.03</v>
      </c>
      <c r="DH135" s="228">
        <v>32.85</v>
      </c>
      <c r="DI135" s="228">
        <v>36.380000000000003</v>
      </c>
      <c r="DJ135" s="228">
        <v>-3.53</v>
      </c>
      <c r="DK135" s="228">
        <v>-3.53</v>
      </c>
      <c r="DL135" s="228">
        <v>35</v>
      </c>
      <c r="DM135" s="228">
        <v>38.11</v>
      </c>
      <c r="DN135" s="228">
        <v>-3.11</v>
      </c>
      <c r="DO135" s="228">
        <v>-3.11</v>
      </c>
      <c r="DP135" s="228">
        <v>0.5</v>
      </c>
      <c r="DQ135" s="228">
        <v>0.5</v>
      </c>
      <c r="DR135" s="228">
        <v>0</v>
      </c>
      <c r="DS135" s="229">
        <v>0</v>
      </c>
      <c r="DT135" s="231">
        <v>1100</v>
      </c>
      <c r="DU135" s="231">
        <v>1000</v>
      </c>
      <c r="DV135" s="228">
        <v>0.21</v>
      </c>
      <c r="DW135" s="228">
        <v>0.48</v>
      </c>
      <c r="DX135" s="228">
        <v>-0.27</v>
      </c>
      <c r="DY135" s="229">
        <v>-0.5625</v>
      </c>
      <c r="DZ135" s="229">
        <v>1.83E-2</v>
      </c>
      <c r="EA135" s="230">
        <v>210750</v>
      </c>
      <c r="EB135" s="229">
        <v>8.9999999999999998E-4</v>
      </c>
      <c r="EC135" s="229">
        <v>1.83E-2</v>
      </c>
      <c r="ED135" s="228">
        <v>1.01</v>
      </c>
      <c r="EE135" s="229">
        <v>1E-3</v>
      </c>
      <c r="EF135" s="230">
        <v>1609396</v>
      </c>
      <c r="EG135" s="230">
        <v>1034435</v>
      </c>
      <c r="EH135" s="229">
        <v>0.55579999999999996</v>
      </c>
      <c r="EI135" s="229">
        <v>0.63360000000000005</v>
      </c>
      <c r="EJ135" s="231">
        <v>19374.54</v>
      </c>
      <c r="EK135" s="231">
        <v>3711</v>
      </c>
      <c r="EL135" s="231">
        <v>15846.23</v>
      </c>
      <c r="EM135" s="231">
        <v>3503</v>
      </c>
      <c r="EN135" s="231">
        <v>38931.769999999997</v>
      </c>
      <c r="EO135" s="231">
        <v>49653.08</v>
      </c>
      <c r="EP135" s="231">
        <v>-10721.31</v>
      </c>
      <c r="EQ135" s="229">
        <v>-0.21590000000000001</v>
      </c>
      <c r="ER135" s="231">
        <v>31641</v>
      </c>
      <c r="ES135" s="231">
        <v>14122</v>
      </c>
      <c r="ET135" s="231">
        <v>114048</v>
      </c>
      <c r="EU135" s="231">
        <v>45110207</v>
      </c>
      <c r="EV135" s="231">
        <v>159811</v>
      </c>
      <c r="EW135" s="231">
        <v>159835</v>
      </c>
      <c r="EX135" s="228">
        <v>-24</v>
      </c>
      <c r="EY135" s="229">
        <v>-2.0000000000000001E-4</v>
      </c>
      <c r="EZ135" s="229">
        <v>0.34060000000000001</v>
      </c>
      <c r="FA135" s="227" t="s">
        <v>556</v>
      </c>
      <c r="FB135" s="161">
        <f t="shared" si="2"/>
        <v>205125</v>
      </c>
    </row>
    <row r="136" spans="1:158" ht="17.25" thickBot="1" x14ac:dyDescent="0.3">
      <c r="A136" s="226">
        <v>46086</v>
      </c>
      <c r="B136" s="227" t="s">
        <v>206</v>
      </c>
      <c r="C136" s="227" t="s">
        <v>550</v>
      </c>
      <c r="D136" s="228">
        <v>6500</v>
      </c>
      <c r="E136" s="228">
        <v>87.21</v>
      </c>
      <c r="F136" s="228">
        <v>85.72</v>
      </c>
      <c r="G136" s="228">
        <v>1.49</v>
      </c>
      <c r="H136" s="229">
        <v>1.7399999999999999E-2</v>
      </c>
      <c r="I136" s="228">
        <v>86.85</v>
      </c>
      <c r="J136" s="228">
        <v>85.63</v>
      </c>
      <c r="K136" s="228">
        <v>1.22</v>
      </c>
      <c r="L136" s="229">
        <v>1.4200000000000001E-2</v>
      </c>
      <c r="M136" s="228">
        <v>87.21</v>
      </c>
      <c r="N136" s="228">
        <v>85.72</v>
      </c>
      <c r="O136" s="228">
        <v>1.49</v>
      </c>
      <c r="P136" s="229">
        <v>1.7399999999999999E-2</v>
      </c>
      <c r="Q136" s="228">
        <v>87.71</v>
      </c>
      <c r="R136" s="228">
        <v>86.21</v>
      </c>
      <c r="S136" s="228">
        <v>1.5</v>
      </c>
      <c r="T136" s="229">
        <v>1.7399999999999999E-2</v>
      </c>
      <c r="U136" s="228">
        <v>88.31</v>
      </c>
      <c r="V136" s="228">
        <v>86.67</v>
      </c>
      <c r="W136" s="228">
        <v>1.64</v>
      </c>
      <c r="X136" s="229">
        <v>1.89E-2</v>
      </c>
      <c r="Y136" s="228">
        <v>0.36</v>
      </c>
      <c r="Z136" s="228">
        <v>0.09</v>
      </c>
      <c r="AA136" s="228">
        <v>0.27</v>
      </c>
      <c r="AB136" s="229">
        <v>4.1000000000000003E-3</v>
      </c>
      <c r="AC136" s="228">
        <v>0.36</v>
      </c>
      <c r="AD136" s="228">
        <v>0.09</v>
      </c>
      <c r="AE136" s="228">
        <v>0.27</v>
      </c>
      <c r="AF136" s="229">
        <v>4.1000000000000003E-3</v>
      </c>
      <c r="AG136" s="228">
        <v>0.86</v>
      </c>
      <c r="AH136" s="228">
        <v>0.57999999999999996</v>
      </c>
      <c r="AI136" s="228">
        <v>0.28000000000000003</v>
      </c>
      <c r="AJ136" s="229">
        <v>9.9000000000000008E-3</v>
      </c>
      <c r="AK136" s="228">
        <v>1.46</v>
      </c>
      <c r="AL136" s="228">
        <v>1.04</v>
      </c>
      <c r="AM136" s="228">
        <v>0.42</v>
      </c>
      <c r="AN136" s="229">
        <v>1.6799999999999999E-2</v>
      </c>
      <c r="AO136" s="228">
        <v>86.33</v>
      </c>
      <c r="AP136" s="228">
        <v>86.85</v>
      </c>
      <c r="AQ136" s="228">
        <v>0</v>
      </c>
      <c r="AR136" s="230">
        <v>11940500</v>
      </c>
      <c r="AS136" s="230">
        <v>16484000</v>
      </c>
      <c r="AT136" s="230">
        <v>-4543500</v>
      </c>
      <c r="AU136" s="229">
        <v>-0.27560000000000001</v>
      </c>
      <c r="AV136" s="230">
        <v>10556000</v>
      </c>
      <c r="AW136" s="230">
        <v>14969500</v>
      </c>
      <c r="AX136" s="230">
        <v>-4413500</v>
      </c>
      <c r="AY136" s="229">
        <v>-0.29480000000000001</v>
      </c>
      <c r="AZ136" s="230">
        <v>968500</v>
      </c>
      <c r="BA136" s="230">
        <v>1248000</v>
      </c>
      <c r="BB136" s="230">
        <v>-279500</v>
      </c>
      <c r="BC136" s="229">
        <v>-0.224</v>
      </c>
      <c r="BD136" s="230">
        <v>416000</v>
      </c>
      <c r="BE136" s="230">
        <v>266500</v>
      </c>
      <c r="BF136" s="230">
        <v>149500</v>
      </c>
      <c r="BG136" s="229">
        <v>0.56100000000000005</v>
      </c>
      <c r="BH136" s="230">
        <v>14599000</v>
      </c>
      <c r="BI136" s="230">
        <v>17699500</v>
      </c>
      <c r="BJ136" s="230">
        <v>-3100500</v>
      </c>
      <c r="BK136" s="229">
        <v>-0.17519999999999999</v>
      </c>
      <c r="BL136" s="230">
        <v>8677500</v>
      </c>
      <c r="BM136" s="230">
        <v>11557000</v>
      </c>
      <c r="BN136" s="230">
        <v>-2879500</v>
      </c>
      <c r="BO136" s="229">
        <v>-0.2492</v>
      </c>
      <c r="BP136" s="230">
        <v>35217000</v>
      </c>
      <c r="BQ136" s="230">
        <v>45740500</v>
      </c>
      <c r="BR136" s="230">
        <v>-10523500</v>
      </c>
      <c r="BS136" s="229">
        <v>-0.2301</v>
      </c>
      <c r="BT136" s="230">
        <v>11408001</v>
      </c>
      <c r="BU136" s="230">
        <v>15217180</v>
      </c>
      <c r="BV136" s="230">
        <v>-3809179</v>
      </c>
      <c r="BW136" s="229">
        <v>-0.25030000000000002</v>
      </c>
      <c r="BX136" s="230">
        <v>89043500</v>
      </c>
      <c r="BY136" s="230">
        <v>89050000</v>
      </c>
      <c r="BZ136" s="230">
        <v>-6500</v>
      </c>
      <c r="CA136" s="229">
        <v>-1E-4</v>
      </c>
      <c r="CB136" s="230">
        <v>86008000</v>
      </c>
      <c r="CC136" s="230">
        <v>86222500</v>
      </c>
      <c r="CD136" s="230">
        <v>-214500</v>
      </c>
      <c r="CE136" s="229">
        <v>-2.5000000000000001E-3</v>
      </c>
      <c r="CF136" s="230">
        <v>2424500</v>
      </c>
      <c r="CG136" s="230">
        <v>2288000</v>
      </c>
      <c r="CH136" s="230">
        <v>136500</v>
      </c>
      <c r="CI136" s="229">
        <v>5.9700000000000003E-2</v>
      </c>
      <c r="CJ136" s="230">
        <v>611000</v>
      </c>
      <c r="CK136" s="230">
        <v>539500</v>
      </c>
      <c r="CL136" s="230">
        <v>71500</v>
      </c>
      <c r="CM136" s="229">
        <v>0.13250000000000001</v>
      </c>
      <c r="CN136" s="230">
        <v>31798000</v>
      </c>
      <c r="CO136" s="230">
        <v>29529500</v>
      </c>
      <c r="CP136" s="230">
        <v>2268500</v>
      </c>
      <c r="CQ136" s="229">
        <v>7.6799999999999993E-2</v>
      </c>
      <c r="CR136" s="230">
        <v>18479500</v>
      </c>
      <c r="CS136" s="230">
        <v>17855500</v>
      </c>
      <c r="CT136" s="230">
        <v>624000</v>
      </c>
      <c r="CU136" s="229">
        <v>3.49E-2</v>
      </c>
      <c r="CV136" s="230">
        <v>139321000</v>
      </c>
      <c r="CW136" s="230">
        <v>136435000</v>
      </c>
      <c r="CX136" s="230">
        <v>2886000</v>
      </c>
      <c r="CY136" s="229">
        <v>2.12E-2</v>
      </c>
      <c r="CZ136" s="228">
        <v>40.729999999999997</v>
      </c>
      <c r="DA136" s="228">
        <v>45.14</v>
      </c>
      <c r="DB136" s="228">
        <v>-4.41</v>
      </c>
      <c r="DC136" s="228">
        <v>-4.41</v>
      </c>
      <c r="DD136" s="228">
        <v>49.9</v>
      </c>
      <c r="DE136" s="228">
        <v>49.97</v>
      </c>
      <c r="DF136" s="228">
        <v>-9.17</v>
      </c>
      <c r="DG136" s="228">
        <v>-7.0000000000000007E-2</v>
      </c>
      <c r="DH136" s="228">
        <v>40.340000000000003</v>
      </c>
      <c r="DI136" s="228">
        <v>45.03</v>
      </c>
      <c r="DJ136" s="228">
        <v>-4.6900000000000004</v>
      </c>
      <c r="DK136" s="228">
        <v>-4.6900000000000004</v>
      </c>
      <c r="DL136" s="228">
        <v>41.38</v>
      </c>
      <c r="DM136" s="228">
        <v>45.3</v>
      </c>
      <c r="DN136" s="228">
        <v>-3.92</v>
      </c>
      <c r="DO136" s="228">
        <v>-3.92</v>
      </c>
      <c r="DP136" s="228">
        <v>0.57999999999999996</v>
      </c>
      <c r="DQ136" s="228">
        <v>0.6</v>
      </c>
      <c r="DR136" s="228">
        <v>-0.02</v>
      </c>
      <c r="DS136" s="229">
        <v>-3.3300000000000003E-2</v>
      </c>
      <c r="DT136" s="228">
        <v>100</v>
      </c>
      <c r="DU136" s="228">
        <v>90</v>
      </c>
      <c r="DV136" s="228">
        <v>0.59</v>
      </c>
      <c r="DW136" s="228">
        <v>0.65</v>
      </c>
      <c r="DX136" s="228">
        <v>-0.06</v>
      </c>
      <c r="DY136" s="229">
        <v>-9.2299999999999993E-2</v>
      </c>
      <c r="DZ136" s="229">
        <v>3.4099999999999998E-2</v>
      </c>
      <c r="EA136" s="230">
        <v>2827500</v>
      </c>
      <c r="EB136" s="229">
        <v>5.7000000000000002E-3</v>
      </c>
      <c r="EC136" s="229">
        <v>3.4099999999999998E-2</v>
      </c>
      <c r="ED136" s="228">
        <v>0.52</v>
      </c>
      <c r="EE136" s="229">
        <v>6.0000000000000001E-3</v>
      </c>
      <c r="EF136" s="230">
        <v>2895097</v>
      </c>
      <c r="EG136" s="230">
        <v>4867523</v>
      </c>
      <c r="EH136" s="229">
        <v>-0.4052</v>
      </c>
      <c r="EI136" s="229">
        <v>0.25380000000000003</v>
      </c>
      <c r="EJ136" s="231">
        <v>13826.28</v>
      </c>
      <c r="EK136" s="231">
        <v>7468.92</v>
      </c>
      <c r="EL136" s="231">
        <v>10318.36</v>
      </c>
      <c r="EM136" s="231">
        <v>1869</v>
      </c>
      <c r="EN136" s="231">
        <v>31613.56</v>
      </c>
      <c r="EO136" s="231">
        <v>41412.04</v>
      </c>
      <c r="EP136" s="231">
        <v>-9798.48</v>
      </c>
      <c r="EQ136" s="229">
        <v>-0.2366</v>
      </c>
      <c r="ER136" s="231">
        <v>31191</v>
      </c>
      <c r="ES136" s="231">
        <v>17181</v>
      </c>
      <c r="ET136" s="231">
        <v>77674</v>
      </c>
      <c r="EU136" s="231">
        <v>154894704</v>
      </c>
      <c r="EV136" s="231">
        <v>126046</v>
      </c>
      <c r="EW136" s="231">
        <v>122248</v>
      </c>
      <c r="EX136" s="231">
        <v>3798</v>
      </c>
      <c r="EY136" s="229">
        <v>3.1099999999999999E-2</v>
      </c>
      <c r="EZ136" s="229">
        <v>0.89949999999999997</v>
      </c>
      <c r="FA136" s="227" t="s">
        <v>556</v>
      </c>
      <c r="FB136" s="161">
        <f t="shared" si="2"/>
        <v>3035500</v>
      </c>
    </row>
    <row r="137" spans="1:158" ht="17.25" thickBot="1" x14ac:dyDescent="0.3">
      <c r="A137" s="226">
        <v>46086</v>
      </c>
      <c r="B137" s="227" t="s">
        <v>168</v>
      </c>
      <c r="C137" s="227" t="s">
        <v>265</v>
      </c>
      <c r="D137" s="228">
        <v>500</v>
      </c>
      <c r="E137" s="231">
        <v>1256.3</v>
      </c>
      <c r="F137" s="231">
        <v>1250.7</v>
      </c>
      <c r="G137" s="228">
        <v>5.6</v>
      </c>
      <c r="H137" s="229">
        <v>4.4999999999999997E-3</v>
      </c>
      <c r="I137" s="231">
        <v>1250.9000000000001</v>
      </c>
      <c r="J137" s="231">
        <v>1245.3</v>
      </c>
      <c r="K137" s="228">
        <v>5.6</v>
      </c>
      <c r="L137" s="229">
        <v>4.4999999999999997E-3</v>
      </c>
      <c r="M137" s="231">
        <v>1256.3</v>
      </c>
      <c r="N137" s="231">
        <v>1250.7</v>
      </c>
      <c r="O137" s="228">
        <v>5.6</v>
      </c>
      <c r="P137" s="229">
        <v>4.4999999999999997E-3</v>
      </c>
      <c r="Q137" s="231">
        <v>1263.7</v>
      </c>
      <c r="R137" s="231">
        <v>1259.4000000000001</v>
      </c>
      <c r="S137" s="228">
        <v>4.3</v>
      </c>
      <c r="T137" s="229">
        <v>3.3999999999999998E-3</v>
      </c>
      <c r="U137" s="231">
        <v>1265</v>
      </c>
      <c r="V137" s="231">
        <v>1267.9000000000001</v>
      </c>
      <c r="W137" s="228">
        <v>-2.9</v>
      </c>
      <c r="X137" s="229">
        <v>-2.3E-3</v>
      </c>
      <c r="Y137" s="228">
        <v>5.4</v>
      </c>
      <c r="Z137" s="228">
        <v>5.4</v>
      </c>
      <c r="AA137" s="228">
        <v>0</v>
      </c>
      <c r="AB137" s="229">
        <v>4.3E-3</v>
      </c>
      <c r="AC137" s="228">
        <v>5.4</v>
      </c>
      <c r="AD137" s="228">
        <v>5.4</v>
      </c>
      <c r="AE137" s="228">
        <v>0</v>
      </c>
      <c r="AF137" s="229">
        <v>4.3E-3</v>
      </c>
      <c r="AG137" s="228">
        <v>12.8</v>
      </c>
      <c r="AH137" s="228">
        <v>14.1</v>
      </c>
      <c r="AI137" s="228">
        <v>-1.3</v>
      </c>
      <c r="AJ137" s="229">
        <v>1.0200000000000001E-2</v>
      </c>
      <c r="AK137" s="228">
        <v>14.1</v>
      </c>
      <c r="AL137" s="228">
        <v>22.6</v>
      </c>
      <c r="AM137" s="228">
        <v>-8.5</v>
      </c>
      <c r="AN137" s="229">
        <v>1.1299999999999999E-2</v>
      </c>
      <c r="AO137" s="231">
        <v>1247.1199999999999</v>
      </c>
      <c r="AP137" s="231">
        <v>1252.27</v>
      </c>
      <c r="AQ137" s="228">
        <v>0</v>
      </c>
      <c r="AR137" s="230">
        <v>1344000</v>
      </c>
      <c r="AS137" s="230">
        <v>1620000</v>
      </c>
      <c r="AT137" s="230">
        <v>-276000</v>
      </c>
      <c r="AU137" s="229">
        <v>-0.1704</v>
      </c>
      <c r="AV137" s="230">
        <v>1287000</v>
      </c>
      <c r="AW137" s="230">
        <v>1540000</v>
      </c>
      <c r="AX137" s="230">
        <v>-253000</v>
      </c>
      <c r="AY137" s="229">
        <v>-0.1643</v>
      </c>
      <c r="AZ137" s="230">
        <v>55000</v>
      </c>
      <c r="BA137" s="230">
        <v>67500</v>
      </c>
      <c r="BB137" s="230">
        <v>-12500</v>
      </c>
      <c r="BC137" s="229">
        <v>-0.1852</v>
      </c>
      <c r="BD137" s="230">
        <v>2000</v>
      </c>
      <c r="BE137" s="230">
        <v>12500</v>
      </c>
      <c r="BF137" s="230">
        <v>-10500</v>
      </c>
      <c r="BG137" s="229">
        <v>-0.84</v>
      </c>
      <c r="BH137" s="230">
        <v>2589500</v>
      </c>
      <c r="BI137" s="230">
        <v>2833500</v>
      </c>
      <c r="BJ137" s="230">
        <v>-244000</v>
      </c>
      <c r="BK137" s="229">
        <v>-8.6099999999999996E-2</v>
      </c>
      <c r="BL137" s="230">
        <v>1592000</v>
      </c>
      <c r="BM137" s="230">
        <v>1336000</v>
      </c>
      <c r="BN137" s="230">
        <v>256000</v>
      </c>
      <c r="BO137" s="229">
        <v>0.19159999999999999</v>
      </c>
      <c r="BP137" s="230">
        <v>5525500</v>
      </c>
      <c r="BQ137" s="230">
        <v>5789500</v>
      </c>
      <c r="BR137" s="230">
        <v>-264000</v>
      </c>
      <c r="BS137" s="229">
        <v>-4.5600000000000002E-2</v>
      </c>
      <c r="BT137" s="230">
        <v>954545</v>
      </c>
      <c r="BU137" s="230">
        <v>1131275</v>
      </c>
      <c r="BV137" s="230">
        <v>-176730</v>
      </c>
      <c r="BW137" s="229">
        <v>-0.15620000000000001</v>
      </c>
      <c r="BX137" s="230">
        <v>16394500</v>
      </c>
      <c r="BY137" s="230">
        <v>16513000</v>
      </c>
      <c r="BZ137" s="230">
        <v>-118500</v>
      </c>
      <c r="CA137" s="229">
        <v>-7.1999999999999998E-3</v>
      </c>
      <c r="CB137" s="230">
        <v>16258000</v>
      </c>
      <c r="CC137" s="230">
        <v>16384000</v>
      </c>
      <c r="CD137" s="230">
        <v>-126000</v>
      </c>
      <c r="CE137" s="229">
        <v>-7.7000000000000002E-3</v>
      </c>
      <c r="CF137" s="230">
        <v>115000</v>
      </c>
      <c r="CG137" s="230">
        <v>108500</v>
      </c>
      <c r="CH137" s="230">
        <v>6500</v>
      </c>
      <c r="CI137" s="229">
        <v>5.9900000000000002E-2</v>
      </c>
      <c r="CJ137" s="230">
        <v>21500</v>
      </c>
      <c r="CK137" s="230">
        <v>20500</v>
      </c>
      <c r="CL137" s="230">
        <v>1000</v>
      </c>
      <c r="CM137" s="229">
        <v>4.8800000000000003E-2</v>
      </c>
      <c r="CN137" s="230">
        <v>2697500</v>
      </c>
      <c r="CO137" s="230">
        <v>2530500</v>
      </c>
      <c r="CP137" s="230">
        <v>167000</v>
      </c>
      <c r="CQ137" s="229">
        <v>6.6000000000000003E-2</v>
      </c>
      <c r="CR137" s="230">
        <v>1451000</v>
      </c>
      <c r="CS137" s="230">
        <v>1273000</v>
      </c>
      <c r="CT137" s="230">
        <v>178000</v>
      </c>
      <c r="CU137" s="229">
        <v>0.13980000000000001</v>
      </c>
      <c r="CV137" s="230">
        <v>20543000</v>
      </c>
      <c r="CW137" s="230">
        <v>20316500</v>
      </c>
      <c r="CX137" s="230">
        <v>226500</v>
      </c>
      <c r="CY137" s="229">
        <v>1.11E-2</v>
      </c>
      <c r="CZ137" s="228">
        <v>20.45</v>
      </c>
      <c r="DA137" s="228">
        <v>22.19</v>
      </c>
      <c r="DB137" s="228">
        <v>-1.74</v>
      </c>
      <c r="DC137" s="228">
        <v>-1.74</v>
      </c>
      <c r="DD137" s="228">
        <v>23.33</v>
      </c>
      <c r="DE137" s="228">
        <v>23.38</v>
      </c>
      <c r="DF137" s="228">
        <v>-2.88</v>
      </c>
      <c r="DG137" s="228">
        <v>-0.05</v>
      </c>
      <c r="DH137" s="228">
        <v>19.559999999999999</v>
      </c>
      <c r="DI137" s="228">
        <v>21.87</v>
      </c>
      <c r="DJ137" s="228">
        <v>-2.31</v>
      </c>
      <c r="DK137" s="228">
        <v>-2.31</v>
      </c>
      <c r="DL137" s="228">
        <v>21.89</v>
      </c>
      <c r="DM137" s="228">
        <v>22.88</v>
      </c>
      <c r="DN137" s="228">
        <v>-0.99</v>
      </c>
      <c r="DO137" s="228">
        <v>-0.99</v>
      </c>
      <c r="DP137" s="228">
        <v>0.54</v>
      </c>
      <c r="DQ137" s="228">
        <v>0.5</v>
      </c>
      <c r="DR137" s="228">
        <v>0.04</v>
      </c>
      <c r="DS137" s="229">
        <v>0.08</v>
      </c>
      <c r="DT137" s="231">
        <v>1280</v>
      </c>
      <c r="DU137" s="231">
        <v>1200</v>
      </c>
      <c r="DV137" s="228">
        <v>0.61</v>
      </c>
      <c r="DW137" s="228">
        <v>0.47</v>
      </c>
      <c r="DX137" s="228">
        <v>0.14000000000000001</v>
      </c>
      <c r="DY137" s="229">
        <v>0.2979</v>
      </c>
      <c r="DZ137" s="229">
        <v>8.3000000000000001E-3</v>
      </c>
      <c r="EA137" s="230">
        <v>129000</v>
      </c>
      <c r="EB137" s="229">
        <v>5.8999999999999999E-3</v>
      </c>
      <c r="EC137" s="229">
        <v>8.3000000000000001E-3</v>
      </c>
      <c r="ED137" s="228">
        <v>5.15</v>
      </c>
      <c r="EE137" s="229">
        <v>4.1000000000000003E-3</v>
      </c>
      <c r="EF137" s="230">
        <v>522307</v>
      </c>
      <c r="EG137" s="230">
        <v>679653</v>
      </c>
      <c r="EH137" s="229">
        <v>-0.23150000000000001</v>
      </c>
      <c r="EI137" s="229">
        <v>0.54720000000000002</v>
      </c>
      <c r="EJ137" s="231">
        <v>34229.39</v>
      </c>
      <c r="EK137" s="231">
        <v>19535.91</v>
      </c>
      <c r="EL137" s="231">
        <v>16764.259999999998</v>
      </c>
      <c r="EM137" s="231">
        <v>2692</v>
      </c>
      <c r="EN137" s="231">
        <v>70529.56</v>
      </c>
      <c r="EO137" s="231">
        <v>74561.460000000006</v>
      </c>
      <c r="EP137" s="231">
        <v>-4031.9</v>
      </c>
      <c r="EQ137" s="229">
        <v>-5.4100000000000002E-2</v>
      </c>
      <c r="ER137" s="231">
        <v>35917</v>
      </c>
      <c r="ES137" s="231">
        <v>17881</v>
      </c>
      <c r="ET137" s="231">
        <v>205974</v>
      </c>
      <c r="EU137" s="231">
        <v>71801274</v>
      </c>
      <c r="EV137" s="231">
        <v>259773</v>
      </c>
      <c r="EW137" s="231">
        <v>256150</v>
      </c>
      <c r="EX137" s="231">
        <v>3623</v>
      </c>
      <c r="EY137" s="229">
        <v>1.41E-2</v>
      </c>
      <c r="EZ137" s="229">
        <v>0.28610000000000002</v>
      </c>
      <c r="FA137" s="227" t="s">
        <v>556</v>
      </c>
      <c r="FB137" s="161">
        <f t="shared" si="2"/>
        <v>136500</v>
      </c>
    </row>
    <row r="138" spans="1:158" ht="17.25" thickBot="1" x14ac:dyDescent="0.3">
      <c r="A138" s="226">
        <v>46086</v>
      </c>
      <c r="B138" s="227" t="s">
        <v>161</v>
      </c>
      <c r="C138" s="227" t="s">
        <v>585</v>
      </c>
      <c r="D138" s="228">
        <v>6400</v>
      </c>
      <c r="E138" s="228">
        <v>74.489999999999995</v>
      </c>
      <c r="F138" s="228">
        <v>72.45</v>
      </c>
      <c r="G138" s="228">
        <v>2.04</v>
      </c>
      <c r="H138" s="229">
        <v>2.8199999999999999E-2</v>
      </c>
      <c r="I138" s="228">
        <v>74.150000000000006</v>
      </c>
      <c r="J138" s="228">
        <v>72.23</v>
      </c>
      <c r="K138" s="228">
        <v>1.92</v>
      </c>
      <c r="L138" s="229">
        <v>2.6599999999999999E-2</v>
      </c>
      <c r="M138" s="228">
        <v>74.489999999999995</v>
      </c>
      <c r="N138" s="228">
        <v>72.45</v>
      </c>
      <c r="O138" s="228">
        <v>2.04</v>
      </c>
      <c r="P138" s="229">
        <v>2.8199999999999999E-2</v>
      </c>
      <c r="Q138" s="228">
        <v>75.09</v>
      </c>
      <c r="R138" s="228">
        <v>72.86</v>
      </c>
      <c r="S138" s="228">
        <v>2.23</v>
      </c>
      <c r="T138" s="229">
        <v>3.0599999999999999E-2</v>
      </c>
      <c r="U138" s="228">
        <v>75.36</v>
      </c>
      <c r="V138" s="228">
        <v>73.31</v>
      </c>
      <c r="W138" s="228">
        <v>2.0499999999999998</v>
      </c>
      <c r="X138" s="229">
        <v>2.8000000000000001E-2</v>
      </c>
      <c r="Y138" s="228">
        <v>0.34</v>
      </c>
      <c r="Z138" s="228">
        <v>0.22</v>
      </c>
      <c r="AA138" s="228">
        <v>0.12</v>
      </c>
      <c r="AB138" s="229">
        <v>4.5999999999999999E-3</v>
      </c>
      <c r="AC138" s="228">
        <v>0.34</v>
      </c>
      <c r="AD138" s="228">
        <v>0.22</v>
      </c>
      <c r="AE138" s="228">
        <v>0.12</v>
      </c>
      <c r="AF138" s="229">
        <v>4.5999999999999999E-3</v>
      </c>
      <c r="AG138" s="228">
        <v>0.94</v>
      </c>
      <c r="AH138" s="228">
        <v>0.63</v>
      </c>
      <c r="AI138" s="228">
        <v>0.31</v>
      </c>
      <c r="AJ138" s="229">
        <v>1.2699999999999999E-2</v>
      </c>
      <c r="AK138" s="228">
        <v>1.21</v>
      </c>
      <c r="AL138" s="228">
        <v>1.08</v>
      </c>
      <c r="AM138" s="228">
        <v>0.13</v>
      </c>
      <c r="AN138" s="229">
        <v>1.6299999999999999E-2</v>
      </c>
      <c r="AO138" s="228">
        <v>74.209999999999994</v>
      </c>
      <c r="AP138" s="228">
        <v>74.66</v>
      </c>
      <c r="AQ138" s="228">
        <v>0</v>
      </c>
      <c r="AR138" s="230">
        <v>15180800</v>
      </c>
      <c r="AS138" s="230">
        <v>12921600</v>
      </c>
      <c r="AT138" s="230">
        <v>2259200</v>
      </c>
      <c r="AU138" s="229">
        <v>0.17480000000000001</v>
      </c>
      <c r="AV138" s="230">
        <v>14284800</v>
      </c>
      <c r="AW138" s="230">
        <v>11520000</v>
      </c>
      <c r="AX138" s="230">
        <v>2764800</v>
      </c>
      <c r="AY138" s="229">
        <v>0.24</v>
      </c>
      <c r="AZ138" s="230">
        <v>793600</v>
      </c>
      <c r="BA138" s="230">
        <v>1299200</v>
      </c>
      <c r="BB138" s="230">
        <v>-505600</v>
      </c>
      <c r="BC138" s="229">
        <v>-0.38919999999999999</v>
      </c>
      <c r="BD138" s="230">
        <v>102400</v>
      </c>
      <c r="BE138" s="230">
        <v>102400</v>
      </c>
      <c r="BF138" s="228">
        <v>0</v>
      </c>
      <c r="BG138" s="229">
        <v>0</v>
      </c>
      <c r="BH138" s="230">
        <v>20467200</v>
      </c>
      <c r="BI138" s="230">
        <v>24691200</v>
      </c>
      <c r="BJ138" s="230">
        <v>-4224000</v>
      </c>
      <c r="BK138" s="229">
        <v>-0.1711</v>
      </c>
      <c r="BL138" s="230">
        <v>13356800</v>
      </c>
      <c r="BM138" s="230">
        <v>18016000</v>
      </c>
      <c r="BN138" s="230">
        <v>-4659200</v>
      </c>
      <c r="BO138" s="229">
        <v>-0.2586</v>
      </c>
      <c r="BP138" s="230">
        <v>49004800</v>
      </c>
      <c r="BQ138" s="230">
        <v>55628800</v>
      </c>
      <c r="BR138" s="230">
        <v>-6624000</v>
      </c>
      <c r="BS138" s="229">
        <v>-0.1191</v>
      </c>
      <c r="BT138" s="230">
        <v>16240290</v>
      </c>
      <c r="BU138" s="230">
        <v>19728663</v>
      </c>
      <c r="BV138" s="230">
        <v>-3488373</v>
      </c>
      <c r="BW138" s="229">
        <v>-0.17680000000000001</v>
      </c>
      <c r="BX138" s="230">
        <v>74246400</v>
      </c>
      <c r="BY138" s="230">
        <v>72992000</v>
      </c>
      <c r="BZ138" s="230">
        <v>1254400</v>
      </c>
      <c r="CA138" s="229">
        <v>1.72E-2</v>
      </c>
      <c r="CB138" s="230">
        <v>71379200</v>
      </c>
      <c r="CC138" s="230">
        <v>70118400</v>
      </c>
      <c r="CD138" s="230">
        <v>1260800</v>
      </c>
      <c r="CE138" s="229">
        <v>1.7999999999999999E-2</v>
      </c>
      <c r="CF138" s="230">
        <v>2662400</v>
      </c>
      <c r="CG138" s="230">
        <v>2713600</v>
      </c>
      <c r="CH138" s="230">
        <v>-51200</v>
      </c>
      <c r="CI138" s="229">
        <v>-1.89E-2</v>
      </c>
      <c r="CJ138" s="230">
        <v>204800</v>
      </c>
      <c r="CK138" s="230">
        <v>160000</v>
      </c>
      <c r="CL138" s="230">
        <v>44800</v>
      </c>
      <c r="CM138" s="229">
        <v>0.28000000000000003</v>
      </c>
      <c r="CN138" s="230">
        <v>33830400</v>
      </c>
      <c r="CO138" s="230">
        <v>35219200</v>
      </c>
      <c r="CP138" s="230">
        <v>-1388800</v>
      </c>
      <c r="CQ138" s="229">
        <v>-3.9399999999999998E-2</v>
      </c>
      <c r="CR138" s="230">
        <v>20454400</v>
      </c>
      <c r="CS138" s="230">
        <v>20064000</v>
      </c>
      <c r="CT138" s="230">
        <v>390400</v>
      </c>
      <c r="CU138" s="229">
        <v>1.95E-2</v>
      </c>
      <c r="CV138" s="230">
        <v>128531200</v>
      </c>
      <c r="CW138" s="230">
        <v>128275200</v>
      </c>
      <c r="CX138" s="230">
        <v>256000</v>
      </c>
      <c r="CY138" s="229">
        <v>2E-3</v>
      </c>
      <c r="CZ138" s="228">
        <v>29.06</v>
      </c>
      <c r="DA138" s="228">
        <v>32.21</v>
      </c>
      <c r="DB138" s="228">
        <v>-3.15</v>
      </c>
      <c r="DC138" s="228">
        <v>-3.15</v>
      </c>
      <c r="DD138" s="228">
        <v>35.549999999999997</v>
      </c>
      <c r="DE138" s="228">
        <v>35.44</v>
      </c>
      <c r="DF138" s="228">
        <v>-6.49</v>
      </c>
      <c r="DG138" s="228">
        <v>0.11</v>
      </c>
      <c r="DH138" s="228">
        <v>27.96</v>
      </c>
      <c r="DI138" s="228">
        <v>31.33</v>
      </c>
      <c r="DJ138" s="228">
        <v>-3.37</v>
      </c>
      <c r="DK138" s="228">
        <v>-3.37</v>
      </c>
      <c r="DL138" s="228">
        <v>30.74</v>
      </c>
      <c r="DM138" s="228">
        <v>33.409999999999997</v>
      </c>
      <c r="DN138" s="228">
        <v>-2.67</v>
      </c>
      <c r="DO138" s="228">
        <v>-2.67</v>
      </c>
      <c r="DP138" s="228">
        <v>0.6</v>
      </c>
      <c r="DQ138" s="228">
        <v>0.56999999999999995</v>
      </c>
      <c r="DR138" s="228">
        <v>0.03</v>
      </c>
      <c r="DS138" s="229">
        <v>5.2600000000000001E-2</v>
      </c>
      <c r="DT138" s="228">
        <v>80</v>
      </c>
      <c r="DU138" s="228">
        <v>75</v>
      </c>
      <c r="DV138" s="228">
        <v>0.65</v>
      </c>
      <c r="DW138" s="228">
        <v>0.73</v>
      </c>
      <c r="DX138" s="228">
        <v>-0.08</v>
      </c>
      <c r="DY138" s="229">
        <v>-0.1096</v>
      </c>
      <c r="DZ138" s="229">
        <v>3.8600000000000002E-2</v>
      </c>
      <c r="EA138" s="230">
        <v>2873600</v>
      </c>
      <c r="EB138" s="229">
        <v>8.0999999999999996E-3</v>
      </c>
      <c r="EC138" s="229">
        <v>3.8600000000000002E-2</v>
      </c>
      <c r="ED138" s="228">
        <v>0.45</v>
      </c>
      <c r="EE138" s="229">
        <v>6.1000000000000004E-3</v>
      </c>
      <c r="EF138" s="230">
        <v>8423277</v>
      </c>
      <c r="EG138" s="230">
        <v>10439034</v>
      </c>
      <c r="EH138" s="229">
        <v>-0.19309999999999999</v>
      </c>
      <c r="EI138" s="229">
        <v>0.51870000000000005</v>
      </c>
      <c r="EJ138" s="231">
        <v>16186.53</v>
      </c>
      <c r="EK138" s="231">
        <v>9522.2000000000007</v>
      </c>
      <c r="EL138" s="231">
        <v>11269.77</v>
      </c>
      <c r="EM138" s="231">
        <v>2054</v>
      </c>
      <c r="EN138" s="231">
        <v>36978.5</v>
      </c>
      <c r="EO138" s="231">
        <v>41493.32</v>
      </c>
      <c r="EP138" s="231">
        <v>-4514.82</v>
      </c>
      <c r="EQ138" s="229">
        <v>-0.10879999999999999</v>
      </c>
      <c r="ER138" s="231">
        <v>27048</v>
      </c>
      <c r="ES138" s="231">
        <v>14767</v>
      </c>
      <c r="ET138" s="231">
        <v>55324</v>
      </c>
      <c r="EU138" s="231">
        <v>491233252</v>
      </c>
      <c r="EV138" s="231">
        <v>97139</v>
      </c>
      <c r="EW138" s="231">
        <v>95499</v>
      </c>
      <c r="EX138" s="231">
        <v>1640</v>
      </c>
      <c r="EY138" s="229">
        <v>1.72E-2</v>
      </c>
      <c r="EZ138" s="229">
        <v>0.26169999999999999</v>
      </c>
      <c r="FA138" s="227" t="s">
        <v>555</v>
      </c>
      <c r="FB138" s="161">
        <f t="shared" si="2"/>
        <v>2867200</v>
      </c>
    </row>
    <row r="139" spans="1:158" ht="17.25" thickBot="1" x14ac:dyDescent="0.3">
      <c r="A139" s="226">
        <v>46086</v>
      </c>
      <c r="B139" s="227" t="s">
        <v>181</v>
      </c>
      <c r="C139" s="227" t="s">
        <v>266</v>
      </c>
      <c r="D139" s="228">
        <v>65</v>
      </c>
      <c r="E139" s="231">
        <v>24854.3</v>
      </c>
      <c r="F139" s="231">
        <v>24584.7</v>
      </c>
      <c r="G139" s="228">
        <v>269.60000000000002</v>
      </c>
      <c r="H139" s="229">
        <v>1.0999999999999999E-2</v>
      </c>
      <c r="I139" s="231">
        <v>24765.9</v>
      </c>
      <c r="J139" s="231">
        <v>24480.5</v>
      </c>
      <c r="K139" s="228">
        <v>285.39999999999998</v>
      </c>
      <c r="L139" s="229">
        <v>1.17E-2</v>
      </c>
      <c r="M139" s="231">
        <v>24854.3</v>
      </c>
      <c r="N139" s="231">
        <v>24584.7</v>
      </c>
      <c r="O139" s="228">
        <v>269.60000000000002</v>
      </c>
      <c r="P139" s="229">
        <v>1.0999999999999999E-2</v>
      </c>
      <c r="Q139" s="231">
        <v>25010</v>
      </c>
      <c r="R139" s="231">
        <v>24741</v>
      </c>
      <c r="S139" s="228">
        <v>269</v>
      </c>
      <c r="T139" s="229">
        <v>1.09E-2</v>
      </c>
      <c r="U139" s="231">
        <v>25118.5</v>
      </c>
      <c r="V139" s="231">
        <v>24863.599999999999</v>
      </c>
      <c r="W139" s="228">
        <v>254.9</v>
      </c>
      <c r="X139" s="229">
        <v>1.03E-2</v>
      </c>
      <c r="Y139" s="228">
        <v>88.4</v>
      </c>
      <c r="Z139" s="228">
        <v>104.2</v>
      </c>
      <c r="AA139" s="228">
        <v>-15.8</v>
      </c>
      <c r="AB139" s="229">
        <v>3.5999999999999999E-3</v>
      </c>
      <c r="AC139" s="228">
        <v>88.4</v>
      </c>
      <c r="AD139" s="228">
        <v>104.2</v>
      </c>
      <c r="AE139" s="228">
        <v>-15.8</v>
      </c>
      <c r="AF139" s="229">
        <v>3.5999999999999999E-3</v>
      </c>
      <c r="AG139" s="228">
        <v>244.1</v>
      </c>
      <c r="AH139" s="228">
        <v>260.5</v>
      </c>
      <c r="AI139" s="228">
        <v>-16.399999999999999</v>
      </c>
      <c r="AJ139" s="229">
        <v>9.9000000000000008E-3</v>
      </c>
      <c r="AK139" s="228">
        <v>352.6</v>
      </c>
      <c r="AL139" s="228">
        <v>383.1</v>
      </c>
      <c r="AM139" s="228">
        <v>-30.5</v>
      </c>
      <c r="AN139" s="229">
        <v>1.4200000000000001E-2</v>
      </c>
      <c r="AO139" s="231">
        <v>24762.82</v>
      </c>
      <c r="AP139" s="231">
        <v>24913.41</v>
      </c>
      <c r="AQ139" s="228">
        <v>0</v>
      </c>
      <c r="AR139" s="230">
        <v>8662940</v>
      </c>
      <c r="AS139" s="230">
        <v>12385685</v>
      </c>
      <c r="AT139" s="230">
        <v>-3722745</v>
      </c>
      <c r="AU139" s="229">
        <v>-0.30059999999999998</v>
      </c>
      <c r="AV139" s="230">
        <v>7632625</v>
      </c>
      <c r="AW139" s="230">
        <v>10549695</v>
      </c>
      <c r="AX139" s="230">
        <v>-2917070</v>
      </c>
      <c r="AY139" s="229">
        <v>-0.27650000000000002</v>
      </c>
      <c r="AZ139" s="230">
        <v>614120</v>
      </c>
      <c r="BA139" s="230">
        <v>1252810</v>
      </c>
      <c r="BB139" s="230">
        <v>-638690</v>
      </c>
      <c r="BC139" s="229">
        <v>-0.50980000000000003</v>
      </c>
      <c r="BD139" s="230">
        <v>416195</v>
      </c>
      <c r="BE139" s="230">
        <v>583180</v>
      </c>
      <c r="BF139" s="230">
        <v>-166985</v>
      </c>
      <c r="BG139" s="229">
        <v>-0.2863</v>
      </c>
      <c r="BH139" s="230">
        <v>2205133905</v>
      </c>
      <c r="BI139" s="230">
        <v>1932188375</v>
      </c>
      <c r="BJ139" s="230">
        <v>272945530</v>
      </c>
      <c r="BK139" s="229">
        <v>0.14130000000000001</v>
      </c>
      <c r="BL139" s="230">
        <v>1763540610</v>
      </c>
      <c r="BM139" s="230">
        <v>1476650565</v>
      </c>
      <c r="BN139" s="230">
        <v>286890045</v>
      </c>
      <c r="BO139" s="229">
        <v>0.1943</v>
      </c>
      <c r="BP139" s="230">
        <v>3977337455</v>
      </c>
      <c r="BQ139" s="230">
        <v>3421224625</v>
      </c>
      <c r="BR139" s="230">
        <v>556112830</v>
      </c>
      <c r="BS139" s="229">
        <v>0.16250000000000001</v>
      </c>
      <c r="BT139" s="228">
        <v>0</v>
      </c>
      <c r="BU139" s="228">
        <v>0</v>
      </c>
      <c r="BV139" s="228">
        <v>0</v>
      </c>
      <c r="BW139" s="229">
        <v>0</v>
      </c>
      <c r="BX139" s="230">
        <v>17869475</v>
      </c>
      <c r="BY139" s="230">
        <v>17939285</v>
      </c>
      <c r="BZ139" s="230">
        <v>-69810</v>
      </c>
      <c r="CA139" s="229">
        <v>-3.8999999999999998E-3</v>
      </c>
      <c r="CB139" s="230">
        <v>15464735</v>
      </c>
      <c r="CC139" s="230">
        <v>15695355</v>
      </c>
      <c r="CD139" s="230">
        <v>-230620</v>
      </c>
      <c r="CE139" s="229">
        <v>-1.47E-2</v>
      </c>
      <c r="CF139" s="230">
        <v>1622920</v>
      </c>
      <c r="CG139" s="230">
        <v>1547780</v>
      </c>
      <c r="CH139" s="230">
        <v>75140</v>
      </c>
      <c r="CI139" s="229">
        <v>4.8500000000000001E-2</v>
      </c>
      <c r="CJ139" s="230">
        <v>781820</v>
      </c>
      <c r="CK139" s="230">
        <v>696150</v>
      </c>
      <c r="CL139" s="230">
        <v>85670</v>
      </c>
      <c r="CM139" s="229">
        <v>0.1231</v>
      </c>
      <c r="CN139" s="230">
        <v>201919985</v>
      </c>
      <c r="CO139" s="230">
        <v>178927960</v>
      </c>
      <c r="CP139" s="230">
        <v>22992025</v>
      </c>
      <c r="CQ139" s="229">
        <v>0.1285</v>
      </c>
      <c r="CR139" s="230">
        <v>204929535</v>
      </c>
      <c r="CS139" s="230">
        <v>170146910</v>
      </c>
      <c r="CT139" s="230">
        <v>34782625</v>
      </c>
      <c r="CU139" s="229">
        <v>0.2044</v>
      </c>
      <c r="CV139" s="230">
        <v>424718995</v>
      </c>
      <c r="CW139" s="230">
        <v>367014155</v>
      </c>
      <c r="CX139" s="230">
        <v>57704840</v>
      </c>
      <c r="CY139" s="229">
        <v>0.15720000000000001</v>
      </c>
      <c r="CZ139" s="228">
        <v>17.45</v>
      </c>
      <c r="DA139" s="228">
        <v>24.9</v>
      </c>
      <c r="DB139" s="228">
        <v>-7.45</v>
      </c>
      <c r="DC139" s="228">
        <v>-7.45</v>
      </c>
      <c r="DD139" s="228">
        <v>14.61</v>
      </c>
      <c r="DE139" s="228">
        <v>14.57</v>
      </c>
      <c r="DF139" s="228">
        <v>2.84</v>
      </c>
      <c r="DG139" s="228">
        <v>0.04</v>
      </c>
      <c r="DH139" s="228">
        <v>15.84</v>
      </c>
      <c r="DI139" s="228">
        <v>22.61</v>
      </c>
      <c r="DJ139" s="228">
        <v>-6.77</v>
      </c>
      <c r="DK139" s="228">
        <v>-6.77</v>
      </c>
      <c r="DL139" s="228">
        <v>19.41</v>
      </c>
      <c r="DM139" s="228">
        <v>27.9</v>
      </c>
      <c r="DN139" s="228">
        <v>-8.49</v>
      </c>
      <c r="DO139" s="228">
        <v>-8.49</v>
      </c>
      <c r="DP139" s="228">
        <v>1.01</v>
      </c>
      <c r="DQ139" s="228">
        <v>0.95</v>
      </c>
      <c r="DR139" s="228">
        <v>0.06</v>
      </c>
      <c r="DS139" s="229">
        <v>6.3200000000000006E-2</v>
      </c>
      <c r="DT139" s="231">
        <v>26000</v>
      </c>
      <c r="DU139" s="231">
        <v>22750</v>
      </c>
      <c r="DV139" s="228">
        <v>0.8</v>
      </c>
      <c r="DW139" s="228">
        <v>0.76</v>
      </c>
      <c r="DX139" s="228">
        <v>0.04</v>
      </c>
      <c r="DY139" s="229">
        <v>5.2600000000000001E-2</v>
      </c>
      <c r="DZ139" s="229">
        <v>0.1346</v>
      </c>
      <c r="EA139" s="230">
        <v>2243930</v>
      </c>
      <c r="EB139" s="229">
        <v>6.3E-3</v>
      </c>
      <c r="EC139" s="229">
        <v>0.1346</v>
      </c>
      <c r="ED139" s="228">
        <v>150.59</v>
      </c>
      <c r="EE139" s="229">
        <v>6.1000000000000004E-3</v>
      </c>
      <c r="EF139" s="228">
        <v>0</v>
      </c>
      <c r="EG139" s="228">
        <v>0</v>
      </c>
      <c r="EH139" s="229">
        <v>0</v>
      </c>
      <c r="EI139" s="229">
        <v>0</v>
      </c>
      <c r="EJ139" s="231">
        <v>557307720.13</v>
      </c>
      <c r="EK139" s="231">
        <v>428498152.64999998</v>
      </c>
      <c r="EL139" s="231">
        <v>2147060.29</v>
      </c>
      <c r="EM139" s="231">
        <v>132084</v>
      </c>
      <c r="EN139" s="231">
        <v>987952933.07000005</v>
      </c>
      <c r="EO139" s="231">
        <v>851172351.75999999</v>
      </c>
      <c r="EP139" s="231">
        <v>136780581.31</v>
      </c>
      <c r="EQ139" s="229">
        <v>0.16070000000000001</v>
      </c>
      <c r="ER139" s="231">
        <v>52016074</v>
      </c>
      <c r="ES139" s="231">
        <v>49637399</v>
      </c>
      <c r="ET139" s="231">
        <v>4445925</v>
      </c>
      <c r="EU139" s="228">
        <v>0</v>
      </c>
      <c r="EV139" s="231">
        <v>106099398</v>
      </c>
      <c r="EW139" s="231">
        <v>91978748</v>
      </c>
      <c r="EX139" s="231">
        <v>14120650</v>
      </c>
      <c r="EY139" s="229">
        <v>0.1535</v>
      </c>
      <c r="EZ139" s="229">
        <v>0</v>
      </c>
      <c r="FA139" s="227" t="s">
        <v>556</v>
      </c>
      <c r="FB139" s="161">
        <f>BX139-CB139</f>
        <v>2404740</v>
      </c>
    </row>
    <row r="140" spans="1:158" ht="17.25" thickBot="1" x14ac:dyDescent="0.3">
      <c r="A140" s="226">
        <v>46086</v>
      </c>
      <c r="B140" s="227" t="s">
        <v>181</v>
      </c>
      <c r="C140" s="227" t="s">
        <v>566</v>
      </c>
      <c r="D140" s="228">
        <v>25</v>
      </c>
      <c r="E140" s="231">
        <v>67928.399999999994</v>
      </c>
      <c r="F140" s="231">
        <v>67008.800000000003</v>
      </c>
      <c r="G140" s="228">
        <v>919.6</v>
      </c>
      <c r="H140" s="229">
        <v>1.37E-2</v>
      </c>
      <c r="I140" s="231">
        <v>67722.2</v>
      </c>
      <c r="J140" s="231">
        <v>66799.399999999994</v>
      </c>
      <c r="K140" s="228">
        <v>922.8</v>
      </c>
      <c r="L140" s="229">
        <v>1.38E-2</v>
      </c>
      <c r="M140" s="231">
        <v>67928.399999999994</v>
      </c>
      <c r="N140" s="231">
        <v>67008.800000000003</v>
      </c>
      <c r="O140" s="228">
        <v>919.6</v>
      </c>
      <c r="P140" s="229">
        <v>1.37E-2</v>
      </c>
      <c r="Q140" s="231">
        <v>68223.399999999994</v>
      </c>
      <c r="R140" s="231">
        <v>67325.8</v>
      </c>
      <c r="S140" s="228">
        <v>897.6</v>
      </c>
      <c r="T140" s="229">
        <v>1.3299999999999999E-2</v>
      </c>
      <c r="U140" s="231">
        <v>70946.8</v>
      </c>
      <c r="V140" s="231">
        <v>70946.8</v>
      </c>
      <c r="W140" s="228">
        <v>0</v>
      </c>
      <c r="X140" s="229">
        <v>0</v>
      </c>
      <c r="Y140" s="228">
        <v>206.2</v>
      </c>
      <c r="Z140" s="228">
        <v>209.4</v>
      </c>
      <c r="AA140" s="228">
        <v>-3.2</v>
      </c>
      <c r="AB140" s="229">
        <v>3.0000000000000001E-3</v>
      </c>
      <c r="AC140" s="228">
        <v>206.2</v>
      </c>
      <c r="AD140" s="228">
        <v>209.4</v>
      </c>
      <c r="AE140" s="228">
        <v>-3.2</v>
      </c>
      <c r="AF140" s="229">
        <v>3.0000000000000001E-3</v>
      </c>
      <c r="AG140" s="228">
        <v>501.2</v>
      </c>
      <c r="AH140" s="228">
        <v>526.4</v>
      </c>
      <c r="AI140" s="228">
        <v>-25.2</v>
      </c>
      <c r="AJ140" s="229">
        <v>7.4000000000000003E-3</v>
      </c>
      <c r="AK140" s="231">
        <v>3224.6</v>
      </c>
      <c r="AL140" s="231">
        <v>4147.3999999999996</v>
      </c>
      <c r="AM140" s="228">
        <v>-922.8</v>
      </c>
      <c r="AN140" s="229">
        <v>4.7600000000000003E-2</v>
      </c>
      <c r="AO140" s="231">
        <v>67573.81</v>
      </c>
      <c r="AP140" s="231">
        <v>67823.59</v>
      </c>
      <c r="AQ140" s="228">
        <v>0</v>
      </c>
      <c r="AR140" s="230">
        <v>10025</v>
      </c>
      <c r="AS140" s="230">
        <v>11925</v>
      </c>
      <c r="AT140" s="230">
        <v>-1900</v>
      </c>
      <c r="AU140" s="229">
        <v>-0.1593</v>
      </c>
      <c r="AV140" s="230">
        <v>9050</v>
      </c>
      <c r="AW140" s="230">
        <v>10775</v>
      </c>
      <c r="AX140" s="230">
        <v>-1725</v>
      </c>
      <c r="AY140" s="229">
        <v>-0.16009999999999999</v>
      </c>
      <c r="AZ140" s="228">
        <v>975</v>
      </c>
      <c r="BA140" s="230">
        <v>1150</v>
      </c>
      <c r="BB140" s="228">
        <v>-175</v>
      </c>
      <c r="BC140" s="229">
        <v>-0.1522</v>
      </c>
      <c r="BD140" s="228">
        <v>0</v>
      </c>
      <c r="BE140" s="228">
        <v>0</v>
      </c>
      <c r="BF140" s="228">
        <v>0</v>
      </c>
      <c r="BG140" s="229">
        <v>0</v>
      </c>
      <c r="BH140" s="230">
        <v>5775</v>
      </c>
      <c r="BI140" s="230">
        <v>12775</v>
      </c>
      <c r="BJ140" s="230">
        <v>-7000</v>
      </c>
      <c r="BK140" s="229">
        <v>-0.54790000000000005</v>
      </c>
      <c r="BL140" s="230">
        <v>2525</v>
      </c>
      <c r="BM140" s="228">
        <v>700</v>
      </c>
      <c r="BN140" s="230">
        <v>1825</v>
      </c>
      <c r="BO140" s="229">
        <v>2.6071</v>
      </c>
      <c r="BP140" s="230">
        <v>18325</v>
      </c>
      <c r="BQ140" s="230">
        <v>25400</v>
      </c>
      <c r="BR140" s="230">
        <v>-7075</v>
      </c>
      <c r="BS140" s="229">
        <v>-0.27850000000000003</v>
      </c>
      <c r="BT140" s="228">
        <v>0</v>
      </c>
      <c r="BU140" s="228">
        <v>0</v>
      </c>
      <c r="BV140" s="228">
        <v>0</v>
      </c>
      <c r="BW140" s="229">
        <v>0</v>
      </c>
      <c r="BX140" s="230">
        <v>17350</v>
      </c>
      <c r="BY140" s="230">
        <v>18350</v>
      </c>
      <c r="BZ140" s="230">
        <v>-1000</v>
      </c>
      <c r="CA140" s="229">
        <v>-5.45E-2</v>
      </c>
      <c r="CB140" s="230">
        <v>15600</v>
      </c>
      <c r="CC140" s="230">
        <v>16675</v>
      </c>
      <c r="CD140" s="230">
        <v>-1075</v>
      </c>
      <c r="CE140" s="229">
        <v>-6.4500000000000002E-2</v>
      </c>
      <c r="CF140" s="230">
        <v>1725</v>
      </c>
      <c r="CG140" s="230">
        <v>1650</v>
      </c>
      <c r="CH140" s="228">
        <v>75</v>
      </c>
      <c r="CI140" s="229">
        <v>4.5499999999999999E-2</v>
      </c>
      <c r="CJ140" s="228">
        <v>25</v>
      </c>
      <c r="CK140" s="228">
        <v>25</v>
      </c>
      <c r="CL140" s="228">
        <v>0</v>
      </c>
      <c r="CM140" s="229">
        <v>0</v>
      </c>
      <c r="CN140" s="230">
        <v>7300</v>
      </c>
      <c r="CO140" s="230">
        <v>6100</v>
      </c>
      <c r="CP140" s="230">
        <v>1200</v>
      </c>
      <c r="CQ140" s="229">
        <v>0.19670000000000001</v>
      </c>
      <c r="CR140" s="230">
        <v>2850</v>
      </c>
      <c r="CS140" s="230">
        <v>1700</v>
      </c>
      <c r="CT140" s="230">
        <v>1150</v>
      </c>
      <c r="CU140" s="229">
        <v>0.67649999999999999</v>
      </c>
      <c r="CV140" s="230">
        <v>27500</v>
      </c>
      <c r="CW140" s="230">
        <v>26150</v>
      </c>
      <c r="CX140" s="230">
        <v>1350</v>
      </c>
      <c r="CY140" s="229">
        <v>5.16E-2</v>
      </c>
      <c r="CZ140" s="228">
        <v>18.420000000000002</v>
      </c>
      <c r="DA140" s="228">
        <v>20.04</v>
      </c>
      <c r="DB140" s="228">
        <v>-1.62</v>
      </c>
      <c r="DC140" s="228">
        <v>-1.62</v>
      </c>
      <c r="DD140" s="228">
        <v>20.27</v>
      </c>
      <c r="DE140" s="228">
        <v>20.239999999999998</v>
      </c>
      <c r="DF140" s="228">
        <v>-1.85</v>
      </c>
      <c r="DG140" s="228">
        <v>0.03</v>
      </c>
      <c r="DH140" s="228">
        <v>17.64</v>
      </c>
      <c r="DI140" s="228">
        <v>19.989999999999998</v>
      </c>
      <c r="DJ140" s="228">
        <v>-2.35</v>
      </c>
      <c r="DK140" s="228">
        <v>-2.35</v>
      </c>
      <c r="DL140" s="228">
        <v>20.21</v>
      </c>
      <c r="DM140" s="228">
        <v>20.89</v>
      </c>
      <c r="DN140" s="228">
        <v>-0.68</v>
      </c>
      <c r="DO140" s="228">
        <v>-0.68</v>
      </c>
      <c r="DP140" s="228">
        <v>0.39</v>
      </c>
      <c r="DQ140" s="228">
        <v>0.28000000000000003</v>
      </c>
      <c r="DR140" s="228">
        <v>0.11</v>
      </c>
      <c r="DS140" s="229">
        <v>0.39290000000000003</v>
      </c>
      <c r="DT140" s="231">
        <v>71000</v>
      </c>
      <c r="DU140" s="231">
        <v>66800</v>
      </c>
      <c r="DV140" s="228">
        <v>0.44</v>
      </c>
      <c r="DW140" s="228">
        <v>0.05</v>
      </c>
      <c r="DX140" s="228">
        <v>0.39</v>
      </c>
      <c r="DY140" s="229">
        <v>7.8</v>
      </c>
      <c r="DZ140" s="229">
        <v>0.1009</v>
      </c>
      <c r="EA140" s="230">
        <v>1675</v>
      </c>
      <c r="EB140" s="229">
        <v>4.3E-3</v>
      </c>
      <c r="EC140" s="229">
        <v>0.1009</v>
      </c>
      <c r="ED140" s="228">
        <v>249.78</v>
      </c>
      <c r="EE140" s="229">
        <v>3.7000000000000002E-3</v>
      </c>
      <c r="EF140" s="228">
        <v>0</v>
      </c>
      <c r="EG140" s="228">
        <v>0</v>
      </c>
      <c r="EH140" s="229">
        <v>0</v>
      </c>
      <c r="EI140" s="229">
        <v>0</v>
      </c>
      <c r="EJ140" s="231">
        <v>4031.14</v>
      </c>
      <c r="EK140" s="231">
        <v>1698.87</v>
      </c>
      <c r="EL140" s="231">
        <v>6776.71</v>
      </c>
      <c r="EM140" s="228">
        <v>0</v>
      </c>
      <c r="EN140" s="231">
        <v>12506.72</v>
      </c>
      <c r="EO140" s="231">
        <v>17386.63</v>
      </c>
      <c r="EP140" s="231">
        <v>-4879.91</v>
      </c>
      <c r="EQ140" s="229">
        <v>-0.28070000000000001</v>
      </c>
      <c r="ER140" s="231">
        <v>5060</v>
      </c>
      <c r="ES140" s="231">
        <v>1919</v>
      </c>
      <c r="ET140" s="231">
        <v>11791</v>
      </c>
      <c r="EU140" s="228">
        <v>0</v>
      </c>
      <c r="EV140" s="231">
        <v>18771</v>
      </c>
      <c r="EW140" s="231">
        <v>17675</v>
      </c>
      <c r="EX140" s="231">
        <v>1096</v>
      </c>
      <c r="EY140" s="229">
        <v>6.2E-2</v>
      </c>
      <c r="EZ140" s="229">
        <v>0</v>
      </c>
      <c r="FA140" s="227" t="s">
        <v>556</v>
      </c>
      <c r="FB140" s="161">
        <f>BX140-CB140</f>
        <v>1750</v>
      </c>
    </row>
    <row r="141" spans="1:158" ht="17.25" thickBot="1" x14ac:dyDescent="0.3">
      <c r="A141" s="226">
        <v>46086</v>
      </c>
      <c r="B141" s="227" t="s">
        <v>227</v>
      </c>
      <c r="C141" s="227" t="s">
        <v>267</v>
      </c>
      <c r="D141" s="228">
        <v>6750</v>
      </c>
      <c r="E141" s="228">
        <v>78.69</v>
      </c>
      <c r="F141" s="228">
        <v>76.95</v>
      </c>
      <c r="G141" s="228">
        <v>1.74</v>
      </c>
      <c r="H141" s="229">
        <v>2.2599999999999999E-2</v>
      </c>
      <c r="I141" s="228">
        <v>78.44</v>
      </c>
      <c r="J141" s="228">
        <v>76.709999999999994</v>
      </c>
      <c r="K141" s="228">
        <v>1.73</v>
      </c>
      <c r="L141" s="229">
        <v>2.2599999999999999E-2</v>
      </c>
      <c r="M141" s="228">
        <v>78.69</v>
      </c>
      <c r="N141" s="228">
        <v>76.95</v>
      </c>
      <c r="O141" s="228">
        <v>1.74</v>
      </c>
      <c r="P141" s="229">
        <v>2.2599999999999999E-2</v>
      </c>
      <c r="Q141" s="228">
        <v>79.23</v>
      </c>
      <c r="R141" s="228">
        <v>77.430000000000007</v>
      </c>
      <c r="S141" s="228">
        <v>1.8</v>
      </c>
      <c r="T141" s="229">
        <v>2.3199999999999998E-2</v>
      </c>
      <c r="U141" s="228">
        <v>79.81</v>
      </c>
      <c r="V141" s="228">
        <v>77.95</v>
      </c>
      <c r="W141" s="228">
        <v>1.86</v>
      </c>
      <c r="X141" s="229">
        <v>2.3900000000000001E-2</v>
      </c>
      <c r="Y141" s="228">
        <v>0.25</v>
      </c>
      <c r="Z141" s="228">
        <v>0.24</v>
      </c>
      <c r="AA141" s="228">
        <v>0.01</v>
      </c>
      <c r="AB141" s="229">
        <v>3.2000000000000002E-3</v>
      </c>
      <c r="AC141" s="228">
        <v>0.25</v>
      </c>
      <c r="AD141" s="228">
        <v>0.24</v>
      </c>
      <c r="AE141" s="228">
        <v>0.01</v>
      </c>
      <c r="AF141" s="229">
        <v>3.2000000000000002E-3</v>
      </c>
      <c r="AG141" s="228">
        <v>0.79</v>
      </c>
      <c r="AH141" s="228">
        <v>0.72</v>
      </c>
      <c r="AI141" s="228">
        <v>7.0000000000000007E-2</v>
      </c>
      <c r="AJ141" s="229">
        <v>1.01E-2</v>
      </c>
      <c r="AK141" s="228">
        <v>1.37</v>
      </c>
      <c r="AL141" s="228">
        <v>1.24</v>
      </c>
      <c r="AM141" s="228">
        <v>0.13</v>
      </c>
      <c r="AN141" s="229">
        <v>1.7500000000000002E-2</v>
      </c>
      <c r="AO141" s="228">
        <v>78.59</v>
      </c>
      <c r="AP141" s="228">
        <v>79.17</v>
      </c>
      <c r="AQ141" s="228">
        <v>0</v>
      </c>
      <c r="AR141" s="230">
        <v>33061500</v>
      </c>
      <c r="AS141" s="230">
        <v>35525250</v>
      </c>
      <c r="AT141" s="230">
        <v>-2463750</v>
      </c>
      <c r="AU141" s="229">
        <v>-6.9400000000000003E-2</v>
      </c>
      <c r="AV141" s="230">
        <v>30003750</v>
      </c>
      <c r="AW141" s="230">
        <v>33007500</v>
      </c>
      <c r="AX141" s="230">
        <v>-3003750</v>
      </c>
      <c r="AY141" s="229">
        <v>-9.0999999999999998E-2</v>
      </c>
      <c r="AZ141" s="230">
        <v>2625750</v>
      </c>
      <c r="BA141" s="230">
        <v>1917000</v>
      </c>
      <c r="BB141" s="230">
        <v>708750</v>
      </c>
      <c r="BC141" s="229">
        <v>0.36969999999999997</v>
      </c>
      <c r="BD141" s="230">
        <v>432000</v>
      </c>
      <c r="BE141" s="230">
        <v>600750</v>
      </c>
      <c r="BF141" s="230">
        <v>-168750</v>
      </c>
      <c r="BG141" s="229">
        <v>-0.28089999999999998</v>
      </c>
      <c r="BH141" s="230">
        <v>65711250</v>
      </c>
      <c r="BI141" s="230">
        <v>67560750</v>
      </c>
      <c r="BJ141" s="230">
        <v>-1849500</v>
      </c>
      <c r="BK141" s="229">
        <v>-2.7400000000000001E-2</v>
      </c>
      <c r="BL141" s="230">
        <v>23510250</v>
      </c>
      <c r="BM141" s="230">
        <v>32150250</v>
      </c>
      <c r="BN141" s="230">
        <v>-8640000</v>
      </c>
      <c r="BO141" s="229">
        <v>-0.26869999999999999</v>
      </c>
      <c r="BP141" s="230">
        <v>122283000</v>
      </c>
      <c r="BQ141" s="230">
        <v>135236250</v>
      </c>
      <c r="BR141" s="230">
        <v>-12953250</v>
      </c>
      <c r="BS141" s="229">
        <v>-9.5799999999999996E-2</v>
      </c>
      <c r="BT141" s="230">
        <v>23022233</v>
      </c>
      <c r="BU141" s="230">
        <v>33303298</v>
      </c>
      <c r="BV141" s="230">
        <v>-10281065</v>
      </c>
      <c r="BW141" s="229">
        <v>-0.30869999999999997</v>
      </c>
      <c r="BX141" s="230">
        <v>346126500</v>
      </c>
      <c r="BY141" s="230">
        <v>345235500</v>
      </c>
      <c r="BZ141" s="230">
        <v>891000</v>
      </c>
      <c r="CA141" s="229">
        <v>2.5999999999999999E-3</v>
      </c>
      <c r="CB141" s="230">
        <v>334739250</v>
      </c>
      <c r="CC141" s="230">
        <v>334233000</v>
      </c>
      <c r="CD141" s="230">
        <v>506250</v>
      </c>
      <c r="CE141" s="229">
        <v>1.5E-3</v>
      </c>
      <c r="CF141" s="230">
        <v>8289000</v>
      </c>
      <c r="CG141" s="230">
        <v>7998750</v>
      </c>
      <c r="CH141" s="230">
        <v>290250</v>
      </c>
      <c r="CI141" s="229">
        <v>3.6299999999999999E-2</v>
      </c>
      <c r="CJ141" s="230">
        <v>3098250</v>
      </c>
      <c r="CK141" s="230">
        <v>3003750</v>
      </c>
      <c r="CL141" s="230">
        <v>94500</v>
      </c>
      <c r="CM141" s="229">
        <v>3.15E-2</v>
      </c>
      <c r="CN141" s="230">
        <v>74736000</v>
      </c>
      <c r="CO141" s="230">
        <v>70611750</v>
      </c>
      <c r="CP141" s="230">
        <v>4124250</v>
      </c>
      <c r="CQ141" s="229">
        <v>5.8400000000000001E-2</v>
      </c>
      <c r="CR141" s="230">
        <v>42410250</v>
      </c>
      <c r="CS141" s="230">
        <v>41681250</v>
      </c>
      <c r="CT141" s="230">
        <v>729000</v>
      </c>
      <c r="CU141" s="229">
        <v>1.7500000000000002E-2</v>
      </c>
      <c r="CV141" s="230">
        <v>463272750</v>
      </c>
      <c r="CW141" s="230">
        <v>457528500</v>
      </c>
      <c r="CX141" s="230">
        <v>5744250</v>
      </c>
      <c r="CY141" s="229">
        <v>1.26E-2</v>
      </c>
      <c r="CZ141" s="228">
        <v>34.369999999999997</v>
      </c>
      <c r="DA141" s="228">
        <v>37</v>
      </c>
      <c r="DB141" s="228">
        <v>-2.63</v>
      </c>
      <c r="DC141" s="228">
        <v>-2.63</v>
      </c>
      <c r="DD141" s="228">
        <v>38.93</v>
      </c>
      <c r="DE141" s="228">
        <v>38.909999999999997</v>
      </c>
      <c r="DF141" s="228">
        <v>-4.5599999999999996</v>
      </c>
      <c r="DG141" s="228">
        <v>0.02</v>
      </c>
      <c r="DH141" s="228">
        <v>34.159999999999997</v>
      </c>
      <c r="DI141" s="228">
        <v>36.79</v>
      </c>
      <c r="DJ141" s="228">
        <v>-2.63</v>
      </c>
      <c r="DK141" s="228">
        <v>-2.63</v>
      </c>
      <c r="DL141" s="228">
        <v>34.950000000000003</v>
      </c>
      <c r="DM141" s="228">
        <v>37.450000000000003</v>
      </c>
      <c r="DN141" s="228">
        <v>-2.5</v>
      </c>
      <c r="DO141" s="228">
        <v>-2.5</v>
      </c>
      <c r="DP141" s="228">
        <v>0.56999999999999995</v>
      </c>
      <c r="DQ141" s="228">
        <v>0.59</v>
      </c>
      <c r="DR141" s="228">
        <v>-0.02</v>
      </c>
      <c r="DS141" s="229">
        <v>-3.39E-2</v>
      </c>
      <c r="DT141" s="228">
        <v>85</v>
      </c>
      <c r="DU141" s="228">
        <v>70</v>
      </c>
      <c r="DV141" s="228">
        <v>0.36</v>
      </c>
      <c r="DW141" s="228">
        <v>0.48</v>
      </c>
      <c r="DX141" s="228">
        <v>-0.12</v>
      </c>
      <c r="DY141" s="229">
        <v>-0.25</v>
      </c>
      <c r="DZ141" s="229">
        <v>3.2899999999999999E-2</v>
      </c>
      <c r="EA141" s="230">
        <v>11002500</v>
      </c>
      <c r="EB141" s="229">
        <v>6.8999999999999999E-3</v>
      </c>
      <c r="EC141" s="229">
        <v>3.2899999999999999E-2</v>
      </c>
      <c r="ED141" s="228">
        <v>0.57999999999999996</v>
      </c>
      <c r="EE141" s="229">
        <v>7.4000000000000003E-3</v>
      </c>
      <c r="EF141" s="230">
        <v>7193213</v>
      </c>
      <c r="EG141" s="230">
        <v>13220148</v>
      </c>
      <c r="EH141" s="229">
        <v>-0.45590000000000003</v>
      </c>
      <c r="EI141" s="229">
        <v>0.31240000000000001</v>
      </c>
      <c r="EJ141" s="231">
        <v>55230.62</v>
      </c>
      <c r="EK141" s="231">
        <v>17975.509999999998</v>
      </c>
      <c r="EL141" s="231">
        <v>26003.47</v>
      </c>
      <c r="EM141" s="231">
        <v>6083</v>
      </c>
      <c r="EN141" s="231">
        <v>99209.600000000006</v>
      </c>
      <c r="EO141" s="231">
        <v>109397.95</v>
      </c>
      <c r="EP141" s="231">
        <v>-10188.35</v>
      </c>
      <c r="EQ141" s="229">
        <v>-9.3100000000000002E-2</v>
      </c>
      <c r="ER141" s="231">
        <v>62883</v>
      </c>
      <c r="ES141" s="231">
        <v>32920</v>
      </c>
      <c r="ET141" s="231">
        <v>272446</v>
      </c>
      <c r="EU141" s="231">
        <v>517037525</v>
      </c>
      <c r="EV141" s="231">
        <v>368250</v>
      </c>
      <c r="EW141" s="231">
        <v>357560</v>
      </c>
      <c r="EX141" s="231">
        <v>10690</v>
      </c>
      <c r="EY141" s="229">
        <v>2.9899999999999999E-2</v>
      </c>
      <c r="EZ141" s="229">
        <v>0.89600000000000002</v>
      </c>
      <c r="FA141" s="227" t="s">
        <v>555</v>
      </c>
      <c r="FB141" s="161">
        <f>BX213-CB213</f>
        <v>241200</v>
      </c>
    </row>
    <row r="142" spans="1:158" ht="17.25" thickBot="1" x14ac:dyDescent="0.3">
      <c r="A142" s="226">
        <v>46086</v>
      </c>
      <c r="B142" s="227" t="s">
        <v>161</v>
      </c>
      <c r="C142" s="227" t="s">
        <v>268</v>
      </c>
      <c r="D142" s="228">
        <v>1500</v>
      </c>
      <c r="E142" s="228">
        <v>378.65</v>
      </c>
      <c r="F142" s="228">
        <v>366.95</v>
      </c>
      <c r="G142" s="228">
        <v>11.7</v>
      </c>
      <c r="H142" s="229">
        <v>3.1899999999999998E-2</v>
      </c>
      <c r="I142" s="228">
        <v>378.05</v>
      </c>
      <c r="J142" s="228">
        <v>365.8</v>
      </c>
      <c r="K142" s="228">
        <v>12.25</v>
      </c>
      <c r="L142" s="229">
        <v>3.3500000000000002E-2</v>
      </c>
      <c r="M142" s="228">
        <v>378.65</v>
      </c>
      <c r="N142" s="228">
        <v>366.95</v>
      </c>
      <c r="O142" s="228">
        <v>11.7</v>
      </c>
      <c r="P142" s="229">
        <v>3.1899999999999998E-2</v>
      </c>
      <c r="Q142" s="228">
        <v>381.2</v>
      </c>
      <c r="R142" s="228">
        <v>369.25</v>
      </c>
      <c r="S142" s="228">
        <v>11.95</v>
      </c>
      <c r="T142" s="229">
        <v>3.2399999999999998E-2</v>
      </c>
      <c r="U142" s="228">
        <v>383.5</v>
      </c>
      <c r="V142" s="228">
        <v>371.4</v>
      </c>
      <c r="W142" s="228">
        <v>12.1</v>
      </c>
      <c r="X142" s="229">
        <v>3.2599999999999997E-2</v>
      </c>
      <c r="Y142" s="228">
        <v>0.6</v>
      </c>
      <c r="Z142" s="228">
        <v>1.1499999999999999</v>
      </c>
      <c r="AA142" s="228">
        <v>-0.55000000000000004</v>
      </c>
      <c r="AB142" s="229">
        <v>1.6000000000000001E-3</v>
      </c>
      <c r="AC142" s="228">
        <v>0.6</v>
      </c>
      <c r="AD142" s="228">
        <v>1.1499999999999999</v>
      </c>
      <c r="AE142" s="228">
        <v>-0.55000000000000004</v>
      </c>
      <c r="AF142" s="229">
        <v>1.6000000000000001E-3</v>
      </c>
      <c r="AG142" s="228">
        <v>3.15</v>
      </c>
      <c r="AH142" s="228">
        <v>3.45</v>
      </c>
      <c r="AI142" s="228">
        <v>-0.3</v>
      </c>
      <c r="AJ142" s="229">
        <v>8.3000000000000001E-3</v>
      </c>
      <c r="AK142" s="228">
        <v>5.45</v>
      </c>
      <c r="AL142" s="228">
        <v>5.6</v>
      </c>
      <c r="AM142" s="228">
        <v>-0.15</v>
      </c>
      <c r="AN142" s="229">
        <v>1.44E-2</v>
      </c>
      <c r="AO142" s="228">
        <v>376.54</v>
      </c>
      <c r="AP142" s="228">
        <v>379.06</v>
      </c>
      <c r="AQ142" s="228">
        <v>0</v>
      </c>
      <c r="AR142" s="230">
        <v>17194500</v>
      </c>
      <c r="AS142" s="230">
        <v>13585500</v>
      </c>
      <c r="AT142" s="230">
        <v>3609000</v>
      </c>
      <c r="AU142" s="229">
        <v>0.26569999999999999</v>
      </c>
      <c r="AV142" s="230">
        <v>16470000</v>
      </c>
      <c r="AW142" s="230">
        <v>12717000</v>
      </c>
      <c r="AX142" s="230">
        <v>3753000</v>
      </c>
      <c r="AY142" s="229">
        <v>0.29509999999999997</v>
      </c>
      <c r="AZ142" s="230">
        <v>651000</v>
      </c>
      <c r="BA142" s="230">
        <v>745500</v>
      </c>
      <c r="BB142" s="230">
        <v>-94500</v>
      </c>
      <c r="BC142" s="229">
        <v>-0.1268</v>
      </c>
      <c r="BD142" s="230">
        <v>73500</v>
      </c>
      <c r="BE142" s="230">
        <v>123000</v>
      </c>
      <c r="BF142" s="230">
        <v>-49500</v>
      </c>
      <c r="BG142" s="229">
        <v>-0.40239999999999998</v>
      </c>
      <c r="BH142" s="230">
        <v>72771000</v>
      </c>
      <c r="BI142" s="230">
        <v>62182500</v>
      </c>
      <c r="BJ142" s="230">
        <v>10588500</v>
      </c>
      <c r="BK142" s="229">
        <v>0.17030000000000001</v>
      </c>
      <c r="BL142" s="230">
        <v>33763500</v>
      </c>
      <c r="BM142" s="230">
        <v>25113000</v>
      </c>
      <c r="BN142" s="230">
        <v>8650500</v>
      </c>
      <c r="BO142" s="229">
        <v>0.34449999999999997</v>
      </c>
      <c r="BP142" s="230">
        <v>123729000</v>
      </c>
      <c r="BQ142" s="230">
        <v>100881000</v>
      </c>
      <c r="BR142" s="230">
        <v>22848000</v>
      </c>
      <c r="BS142" s="229">
        <v>0.22650000000000001</v>
      </c>
      <c r="BT142" s="230">
        <v>18171650</v>
      </c>
      <c r="BU142" s="230">
        <v>11976698</v>
      </c>
      <c r="BV142" s="230">
        <v>6194952</v>
      </c>
      <c r="BW142" s="229">
        <v>0.51729999999999998</v>
      </c>
      <c r="BX142" s="230">
        <v>100033500</v>
      </c>
      <c r="BY142" s="230">
        <v>100158000</v>
      </c>
      <c r="BZ142" s="230">
        <v>-124500</v>
      </c>
      <c r="CA142" s="229">
        <v>-1.1999999999999999E-3</v>
      </c>
      <c r="CB142" s="230">
        <v>98428500</v>
      </c>
      <c r="CC142" s="230">
        <v>98655000</v>
      </c>
      <c r="CD142" s="230">
        <v>-226500</v>
      </c>
      <c r="CE142" s="229">
        <v>-2.3E-3</v>
      </c>
      <c r="CF142" s="230">
        <v>1291500</v>
      </c>
      <c r="CG142" s="230">
        <v>1206000</v>
      </c>
      <c r="CH142" s="230">
        <v>85500</v>
      </c>
      <c r="CI142" s="229">
        <v>7.0900000000000005E-2</v>
      </c>
      <c r="CJ142" s="230">
        <v>313500</v>
      </c>
      <c r="CK142" s="230">
        <v>297000</v>
      </c>
      <c r="CL142" s="230">
        <v>16500</v>
      </c>
      <c r="CM142" s="229">
        <v>5.5599999999999997E-2</v>
      </c>
      <c r="CN142" s="230">
        <v>57927000</v>
      </c>
      <c r="CO142" s="230">
        <v>52923000</v>
      </c>
      <c r="CP142" s="230">
        <v>5004000</v>
      </c>
      <c r="CQ142" s="229">
        <v>9.4600000000000004E-2</v>
      </c>
      <c r="CR142" s="230">
        <v>22398000</v>
      </c>
      <c r="CS142" s="230">
        <v>19254000</v>
      </c>
      <c r="CT142" s="230">
        <v>3144000</v>
      </c>
      <c r="CU142" s="229">
        <v>0.1633</v>
      </c>
      <c r="CV142" s="230">
        <v>180358500</v>
      </c>
      <c r="CW142" s="230">
        <v>172335000</v>
      </c>
      <c r="CX142" s="230">
        <v>8023500</v>
      </c>
      <c r="CY142" s="229">
        <v>4.6600000000000003E-2</v>
      </c>
      <c r="CZ142" s="228">
        <v>19.5</v>
      </c>
      <c r="DA142" s="228">
        <v>21.88</v>
      </c>
      <c r="DB142" s="228">
        <v>-2.38</v>
      </c>
      <c r="DC142" s="228">
        <v>-2.38</v>
      </c>
      <c r="DD142" s="228">
        <v>27.78</v>
      </c>
      <c r="DE142" s="228">
        <v>27.49</v>
      </c>
      <c r="DF142" s="228">
        <v>-8.2799999999999994</v>
      </c>
      <c r="DG142" s="228">
        <v>0.28999999999999998</v>
      </c>
      <c r="DH142" s="228">
        <v>18.57</v>
      </c>
      <c r="DI142" s="228">
        <v>21.03</v>
      </c>
      <c r="DJ142" s="228">
        <v>-2.46</v>
      </c>
      <c r="DK142" s="228">
        <v>-2.46</v>
      </c>
      <c r="DL142" s="228">
        <v>21.51</v>
      </c>
      <c r="DM142" s="228">
        <v>23.98</v>
      </c>
      <c r="DN142" s="228">
        <v>-2.4700000000000002</v>
      </c>
      <c r="DO142" s="228">
        <v>-2.4700000000000002</v>
      </c>
      <c r="DP142" s="228">
        <v>0.39</v>
      </c>
      <c r="DQ142" s="228">
        <v>0.36</v>
      </c>
      <c r="DR142" s="228">
        <v>0.03</v>
      </c>
      <c r="DS142" s="229">
        <v>8.3299999999999999E-2</v>
      </c>
      <c r="DT142" s="228">
        <v>400</v>
      </c>
      <c r="DU142" s="228">
        <v>360</v>
      </c>
      <c r="DV142" s="228">
        <v>0.46</v>
      </c>
      <c r="DW142" s="228">
        <v>0.4</v>
      </c>
      <c r="DX142" s="228">
        <v>0.06</v>
      </c>
      <c r="DY142" s="229">
        <v>0.15</v>
      </c>
      <c r="DZ142" s="229">
        <v>1.6E-2</v>
      </c>
      <c r="EA142" s="230">
        <v>1503000</v>
      </c>
      <c r="EB142" s="229">
        <v>6.7000000000000002E-3</v>
      </c>
      <c r="EC142" s="229">
        <v>1.6E-2</v>
      </c>
      <c r="ED142" s="228">
        <v>2.52</v>
      </c>
      <c r="EE142" s="229">
        <v>6.7000000000000002E-3</v>
      </c>
      <c r="EF142" s="230">
        <v>11899311</v>
      </c>
      <c r="EG142" s="230">
        <v>7148862</v>
      </c>
      <c r="EH142" s="229">
        <v>0.66449999999999998</v>
      </c>
      <c r="EI142" s="229">
        <v>0.65480000000000005</v>
      </c>
      <c r="EJ142" s="231">
        <v>284762.67</v>
      </c>
      <c r="EK142" s="231">
        <v>125452.13</v>
      </c>
      <c r="EL142" s="231">
        <v>64763.69</v>
      </c>
      <c r="EM142" s="231">
        <v>7740</v>
      </c>
      <c r="EN142" s="231">
        <v>474978.49</v>
      </c>
      <c r="EO142" s="231">
        <v>381624.91</v>
      </c>
      <c r="EP142" s="231">
        <v>93353.58</v>
      </c>
      <c r="EQ142" s="229">
        <v>0.24460000000000001</v>
      </c>
      <c r="ER142" s="231">
        <v>225385</v>
      </c>
      <c r="ES142" s="231">
        <v>81513</v>
      </c>
      <c r="ET142" s="231">
        <v>378825</v>
      </c>
      <c r="EU142" s="231">
        <v>474131988</v>
      </c>
      <c r="EV142" s="231">
        <v>685724</v>
      </c>
      <c r="EW142" s="231">
        <v>643168</v>
      </c>
      <c r="EX142" s="231">
        <v>42556</v>
      </c>
      <c r="EY142" s="229">
        <v>6.6199999999999995E-2</v>
      </c>
      <c r="EZ142" s="229">
        <v>0.38040000000000002</v>
      </c>
      <c r="FA142" s="227" t="s">
        <v>556</v>
      </c>
      <c r="FB142" s="161">
        <f t="shared" ref="FB142:FB161" si="3">BX214-CB214</f>
        <v>0</v>
      </c>
    </row>
    <row r="143" spans="1:158" ht="17.25" thickBot="1" x14ac:dyDescent="0.3">
      <c r="A143" s="226">
        <v>46086</v>
      </c>
      <c r="B143" s="227" t="s">
        <v>175</v>
      </c>
      <c r="C143" s="227" t="s">
        <v>684</v>
      </c>
      <c r="D143" s="228">
        <v>500</v>
      </c>
      <c r="E143" s="231">
        <v>1231.8</v>
      </c>
      <c r="F143" s="231">
        <v>1192.5999999999999</v>
      </c>
      <c r="G143" s="228">
        <v>39.200000000000003</v>
      </c>
      <c r="H143" s="229">
        <v>3.2899999999999999E-2</v>
      </c>
      <c r="I143" s="231">
        <v>1238.0999999999999</v>
      </c>
      <c r="J143" s="231">
        <v>1196.5</v>
      </c>
      <c r="K143" s="228">
        <v>41.6</v>
      </c>
      <c r="L143" s="229">
        <v>3.4799999999999998E-2</v>
      </c>
      <c r="M143" s="231">
        <v>1231.8</v>
      </c>
      <c r="N143" s="231">
        <v>1192.5999999999999</v>
      </c>
      <c r="O143" s="228">
        <v>39.200000000000003</v>
      </c>
      <c r="P143" s="229">
        <v>3.2899999999999999E-2</v>
      </c>
      <c r="Q143" s="231">
        <v>1227.7</v>
      </c>
      <c r="R143" s="231">
        <v>1190.5999999999999</v>
      </c>
      <c r="S143" s="228">
        <v>37.1</v>
      </c>
      <c r="T143" s="229">
        <v>3.1199999999999999E-2</v>
      </c>
      <c r="U143" s="231">
        <v>1202</v>
      </c>
      <c r="V143" s="231">
        <v>1206.2</v>
      </c>
      <c r="W143" s="228">
        <v>-4.2</v>
      </c>
      <c r="X143" s="229">
        <v>-3.5000000000000001E-3</v>
      </c>
      <c r="Y143" s="228">
        <v>-6.3</v>
      </c>
      <c r="Z143" s="228">
        <v>-3.9</v>
      </c>
      <c r="AA143" s="228">
        <v>-2.4</v>
      </c>
      <c r="AB143" s="229">
        <v>-5.1000000000000004E-3</v>
      </c>
      <c r="AC143" s="228">
        <v>-6.3</v>
      </c>
      <c r="AD143" s="228">
        <v>-3.9</v>
      </c>
      <c r="AE143" s="228">
        <v>-2.4</v>
      </c>
      <c r="AF143" s="229">
        <v>-5.1000000000000004E-3</v>
      </c>
      <c r="AG143" s="228">
        <v>-10.4</v>
      </c>
      <c r="AH143" s="228">
        <v>-5.9</v>
      </c>
      <c r="AI143" s="228">
        <v>-4.5</v>
      </c>
      <c r="AJ143" s="229">
        <v>-8.3999999999999995E-3</v>
      </c>
      <c r="AK143" s="228">
        <v>-36.1</v>
      </c>
      <c r="AL143" s="228">
        <v>9.6999999999999993</v>
      </c>
      <c r="AM143" s="228">
        <v>-45.8</v>
      </c>
      <c r="AN143" s="229">
        <v>-2.92E-2</v>
      </c>
      <c r="AO143" s="231">
        <v>1218.43</v>
      </c>
      <c r="AP143" s="231">
        <v>1209.6099999999999</v>
      </c>
      <c r="AQ143" s="228">
        <v>0</v>
      </c>
      <c r="AR143" s="230">
        <v>820500</v>
      </c>
      <c r="AS143" s="230">
        <v>1304000</v>
      </c>
      <c r="AT143" s="230">
        <v>-483500</v>
      </c>
      <c r="AU143" s="229">
        <v>-0.37080000000000002</v>
      </c>
      <c r="AV143" s="230">
        <v>727500</v>
      </c>
      <c r="AW143" s="230">
        <v>1180000</v>
      </c>
      <c r="AX143" s="230">
        <v>-452500</v>
      </c>
      <c r="AY143" s="229">
        <v>-0.38350000000000001</v>
      </c>
      <c r="AZ143" s="230">
        <v>92500</v>
      </c>
      <c r="BA143" s="230">
        <v>122500</v>
      </c>
      <c r="BB143" s="230">
        <v>-30000</v>
      </c>
      <c r="BC143" s="229">
        <v>-0.24490000000000001</v>
      </c>
      <c r="BD143" s="228">
        <v>500</v>
      </c>
      <c r="BE143" s="230">
        <v>1500</v>
      </c>
      <c r="BF143" s="230">
        <v>-1000</v>
      </c>
      <c r="BG143" s="229">
        <v>-0.66669999999999996</v>
      </c>
      <c r="BH143" s="230">
        <v>953000</v>
      </c>
      <c r="BI143" s="230">
        <v>735000</v>
      </c>
      <c r="BJ143" s="230">
        <v>218000</v>
      </c>
      <c r="BK143" s="229">
        <v>0.29659999999999997</v>
      </c>
      <c r="BL143" s="230">
        <v>200500</v>
      </c>
      <c r="BM143" s="230">
        <v>503000</v>
      </c>
      <c r="BN143" s="230">
        <v>-302500</v>
      </c>
      <c r="BO143" s="229">
        <v>-0.60140000000000005</v>
      </c>
      <c r="BP143" s="230">
        <v>1974000</v>
      </c>
      <c r="BQ143" s="230">
        <v>2542000</v>
      </c>
      <c r="BR143" s="230">
        <v>-568000</v>
      </c>
      <c r="BS143" s="229">
        <v>-0.22339999999999999</v>
      </c>
      <c r="BT143" s="230">
        <v>383558</v>
      </c>
      <c r="BU143" s="230">
        <v>774191</v>
      </c>
      <c r="BV143" s="230">
        <v>-390633</v>
      </c>
      <c r="BW143" s="229">
        <v>-0.50460000000000005</v>
      </c>
      <c r="BX143" s="230">
        <v>2074000</v>
      </c>
      <c r="BY143" s="230">
        <v>1974000</v>
      </c>
      <c r="BZ143" s="230">
        <v>100000</v>
      </c>
      <c r="CA143" s="229">
        <v>5.0700000000000002E-2</v>
      </c>
      <c r="CB143" s="230">
        <v>1948000</v>
      </c>
      <c r="CC143" s="230">
        <v>1876500</v>
      </c>
      <c r="CD143" s="230">
        <v>71500</v>
      </c>
      <c r="CE143" s="229">
        <v>3.8100000000000002E-2</v>
      </c>
      <c r="CF143" s="230">
        <v>122500</v>
      </c>
      <c r="CG143" s="230">
        <v>94500</v>
      </c>
      <c r="CH143" s="230">
        <v>28000</v>
      </c>
      <c r="CI143" s="229">
        <v>0.29630000000000001</v>
      </c>
      <c r="CJ143" s="230">
        <v>3500</v>
      </c>
      <c r="CK143" s="230">
        <v>3000</v>
      </c>
      <c r="CL143" s="228">
        <v>500</v>
      </c>
      <c r="CM143" s="229">
        <v>0.16669999999999999</v>
      </c>
      <c r="CN143" s="230">
        <v>771000</v>
      </c>
      <c r="CO143" s="230">
        <v>765000</v>
      </c>
      <c r="CP143" s="230">
        <v>6000</v>
      </c>
      <c r="CQ143" s="229">
        <v>7.7999999999999996E-3</v>
      </c>
      <c r="CR143" s="230">
        <v>502500</v>
      </c>
      <c r="CS143" s="230">
        <v>507000</v>
      </c>
      <c r="CT143" s="230">
        <v>-4500</v>
      </c>
      <c r="CU143" s="229">
        <v>-8.8999999999999999E-3</v>
      </c>
      <c r="CV143" s="230">
        <v>3347500</v>
      </c>
      <c r="CW143" s="230">
        <v>3246000</v>
      </c>
      <c r="CX143" s="230">
        <v>101500</v>
      </c>
      <c r="CY143" s="229">
        <v>3.1300000000000001E-2</v>
      </c>
      <c r="CZ143" s="228">
        <v>35.409999999999997</v>
      </c>
      <c r="DA143" s="228">
        <v>38.97</v>
      </c>
      <c r="DB143" s="228">
        <v>-3.56</v>
      </c>
      <c r="DC143" s="228">
        <v>-3.56</v>
      </c>
      <c r="DD143" s="228">
        <v>48.86</v>
      </c>
      <c r="DE143" s="228">
        <v>48.79</v>
      </c>
      <c r="DF143" s="228">
        <v>-13.45</v>
      </c>
      <c r="DG143" s="228">
        <v>7.0000000000000007E-2</v>
      </c>
      <c r="DH143" s="228">
        <v>34.53</v>
      </c>
      <c r="DI143" s="228">
        <v>38.07</v>
      </c>
      <c r="DJ143" s="228">
        <v>-3.54</v>
      </c>
      <c r="DK143" s="228">
        <v>-3.54</v>
      </c>
      <c r="DL143" s="228">
        <v>39.58</v>
      </c>
      <c r="DM143" s="228">
        <v>40.28</v>
      </c>
      <c r="DN143" s="228">
        <v>-0.7</v>
      </c>
      <c r="DO143" s="228">
        <v>-0.7</v>
      </c>
      <c r="DP143" s="228">
        <v>0.65</v>
      </c>
      <c r="DQ143" s="228">
        <v>0.66</v>
      </c>
      <c r="DR143" s="228">
        <v>-0.01</v>
      </c>
      <c r="DS143" s="229">
        <v>-1.52E-2</v>
      </c>
      <c r="DT143" s="231">
        <v>1300</v>
      </c>
      <c r="DU143" s="231">
        <v>1200</v>
      </c>
      <c r="DV143" s="228">
        <v>0.21</v>
      </c>
      <c r="DW143" s="228">
        <v>0.68</v>
      </c>
      <c r="DX143" s="228">
        <v>-0.47</v>
      </c>
      <c r="DY143" s="229">
        <v>-0.69120000000000004</v>
      </c>
      <c r="DZ143" s="229">
        <v>6.08E-2</v>
      </c>
      <c r="EA143" s="230">
        <v>97500</v>
      </c>
      <c r="EB143" s="229">
        <v>-3.3E-3</v>
      </c>
      <c r="EC143" s="229">
        <v>6.08E-2</v>
      </c>
      <c r="ED143" s="228">
        <v>-8.82</v>
      </c>
      <c r="EE143" s="229">
        <v>-7.1999999999999998E-3</v>
      </c>
      <c r="EF143" s="230">
        <v>173528</v>
      </c>
      <c r="EG143" s="230">
        <v>378593</v>
      </c>
      <c r="EH143" s="229">
        <v>-0.54169999999999996</v>
      </c>
      <c r="EI143" s="229">
        <v>0.45240000000000002</v>
      </c>
      <c r="EJ143" s="231">
        <v>12591.42</v>
      </c>
      <c r="EK143" s="231">
        <v>2336.86</v>
      </c>
      <c r="EL143" s="231">
        <v>9989</v>
      </c>
      <c r="EM143" s="231">
        <v>1965</v>
      </c>
      <c r="EN143" s="231">
        <v>24917.279999999999</v>
      </c>
      <c r="EO143" s="231">
        <v>31131.56</v>
      </c>
      <c r="EP143" s="231">
        <v>-6214.28</v>
      </c>
      <c r="EQ143" s="229">
        <v>-0.1996</v>
      </c>
      <c r="ER143" s="231">
        <v>10251</v>
      </c>
      <c r="ES143" s="231">
        <v>6112</v>
      </c>
      <c r="ET143" s="231">
        <v>25541</v>
      </c>
      <c r="EU143" s="231">
        <v>12267678</v>
      </c>
      <c r="EV143" s="231">
        <v>41904</v>
      </c>
      <c r="EW143" s="231">
        <v>39852</v>
      </c>
      <c r="EX143" s="231">
        <v>2052</v>
      </c>
      <c r="EY143" s="229">
        <v>5.1499999999999997E-2</v>
      </c>
      <c r="EZ143" s="229">
        <v>0.27289999999999998</v>
      </c>
      <c r="FA143" s="227" t="s">
        <v>555</v>
      </c>
      <c r="FB143" s="161">
        <f t="shared" si="3"/>
        <v>0</v>
      </c>
    </row>
    <row r="144" spans="1:158" ht="17.25" thickBot="1" x14ac:dyDescent="0.3">
      <c r="A144" s="226">
        <v>46086</v>
      </c>
      <c r="B144" s="227" t="s">
        <v>615</v>
      </c>
      <c r="C144" s="227" t="s">
        <v>613</v>
      </c>
      <c r="D144" s="228">
        <v>3125</v>
      </c>
      <c r="E144" s="228">
        <v>261.3</v>
      </c>
      <c r="F144" s="228">
        <v>256.25</v>
      </c>
      <c r="G144" s="228">
        <v>5.05</v>
      </c>
      <c r="H144" s="229">
        <v>1.9699999999999999E-2</v>
      </c>
      <c r="I144" s="228">
        <v>260.8</v>
      </c>
      <c r="J144" s="228">
        <v>255.7</v>
      </c>
      <c r="K144" s="228">
        <v>5.0999999999999996</v>
      </c>
      <c r="L144" s="229">
        <v>1.9900000000000001E-2</v>
      </c>
      <c r="M144" s="228">
        <v>261.3</v>
      </c>
      <c r="N144" s="228">
        <v>256.25</v>
      </c>
      <c r="O144" s="228">
        <v>5.05</v>
      </c>
      <c r="P144" s="229">
        <v>1.9699999999999999E-2</v>
      </c>
      <c r="Q144" s="228">
        <v>262.2</v>
      </c>
      <c r="R144" s="228">
        <v>257.45</v>
      </c>
      <c r="S144" s="228">
        <v>4.75</v>
      </c>
      <c r="T144" s="229">
        <v>1.8499999999999999E-2</v>
      </c>
      <c r="U144" s="228">
        <v>258.5</v>
      </c>
      <c r="V144" s="228">
        <v>258.5</v>
      </c>
      <c r="W144" s="228">
        <v>0</v>
      </c>
      <c r="X144" s="229">
        <v>0</v>
      </c>
      <c r="Y144" s="228">
        <v>0.5</v>
      </c>
      <c r="Z144" s="228">
        <v>0.55000000000000004</v>
      </c>
      <c r="AA144" s="228">
        <v>-0.05</v>
      </c>
      <c r="AB144" s="229">
        <v>1.9E-3</v>
      </c>
      <c r="AC144" s="228">
        <v>0.5</v>
      </c>
      <c r="AD144" s="228">
        <v>0.55000000000000004</v>
      </c>
      <c r="AE144" s="228">
        <v>-0.05</v>
      </c>
      <c r="AF144" s="229">
        <v>1.9E-3</v>
      </c>
      <c r="AG144" s="228">
        <v>1.4</v>
      </c>
      <c r="AH144" s="228">
        <v>1.75</v>
      </c>
      <c r="AI144" s="228">
        <v>-0.35</v>
      </c>
      <c r="AJ144" s="229">
        <v>5.4000000000000003E-3</v>
      </c>
      <c r="AK144" s="228">
        <v>-2.2999999999999998</v>
      </c>
      <c r="AL144" s="228">
        <v>2.8</v>
      </c>
      <c r="AM144" s="228">
        <v>-5.0999999999999996</v>
      </c>
      <c r="AN144" s="229">
        <v>-8.8000000000000005E-3</v>
      </c>
      <c r="AO144" s="228">
        <v>258.48</v>
      </c>
      <c r="AP144" s="228">
        <v>260.35000000000002</v>
      </c>
      <c r="AQ144" s="228">
        <v>0</v>
      </c>
      <c r="AR144" s="230">
        <v>4409375</v>
      </c>
      <c r="AS144" s="230">
        <v>5634375</v>
      </c>
      <c r="AT144" s="230">
        <v>-1225000</v>
      </c>
      <c r="AU144" s="229">
        <v>-0.21740000000000001</v>
      </c>
      <c r="AV144" s="230">
        <v>4165625</v>
      </c>
      <c r="AW144" s="230">
        <v>5343750</v>
      </c>
      <c r="AX144" s="230">
        <v>-1178125</v>
      </c>
      <c r="AY144" s="229">
        <v>-0.2205</v>
      </c>
      <c r="AZ144" s="230">
        <v>243750</v>
      </c>
      <c r="BA144" s="230">
        <v>268750</v>
      </c>
      <c r="BB144" s="230">
        <v>-25000</v>
      </c>
      <c r="BC144" s="229">
        <v>-9.2999999999999999E-2</v>
      </c>
      <c r="BD144" s="228">
        <v>0</v>
      </c>
      <c r="BE144" s="230">
        <v>21875</v>
      </c>
      <c r="BF144" s="230">
        <v>-21875</v>
      </c>
      <c r="BG144" s="229">
        <v>-1</v>
      </c>
      <c r="BH144" s="230">
        <v>4312500</v>
      </c>
      <c r="BI144" s="230">
        <v>6581250</v>
      </c>
      <c r="BJ144" s="230">
        <v>-2268750</v>
      </c>
      <c r="BK144" s="229">
        <v>-0.34470000000000001</v>
      </c>
      <c r="BL144" s="230">
        <v>1471875</v>
      </c>
      <c r="BM144" s="230">
        <v>4137500</v>
      </c>
      <c r="BN144" s="230">
        <v>-2665625</v>
      </c>
      <c r="BO144" s="229">
        <v>-0.64429999999999998</v>
      </c>
      <c r="BP144" s="230">
        <v>10193750</v>
      </c>
      <c r="BQ144" s="230">
        <v>16353125</v>
      </c>
      <c r="BR144" s="230">
        <v>-6159375</v>
      </c>
      <c r="BS144" s="229">
        <v>-0.37659999999999999</v>
      </c>
      <c r="BT144" s="230">
        <v>3369234</v>
      </c>
      <c r="BU144" s="230">
        <v>4009624</v>
      </c>
      <c r="BV144" s="230">
        <v>-640390</v>
      </c>
      <c r="BW144" s="229">
        <v>-0.15970000000000001</v>
      </c>
      <c r="BX144" s="230">
        <v>45240625</v>
      </c>
      <c r="BY144" s="230">
        <v>45353125</v>
      </c>
      <c r="BZ144" s="230">
        <v>-112500</v>
      </c>
      <c r="CA144" s="229">
        <v>-2.5000000000000001E-3</v>
      </c>
      <c r="CB144" s="230">
        <v>44703125</v>
      </c>
      <c r="CC144" s="230">
        <v>44834375</v>
      </c>
      <c r="CD144" s="230">
        <v>-131250</v>
      </c>
      <c r="CE144" s="229">
        <v>-2.8999999999999998E-3</v>
      </c>
      <c r="CF144" s="230">
        <v>515625</v>
      </c>
      <c r="CG144" s="230">
        <v>496875</v>
      </c>
      <c r="CH144" s="230">
        <v>18750</v>
      </c>
      <c r="CI144" s="229">
        <v>3.7699999999999997E-2</v>
      </c>
      <c r="CJ144" s="230">
        <v>21875</v>
      </c>
      <c r="CK144" s="230">
        <v>21875</v>
      </c>
      <c r="CL144" s="228">
        <v>0</v>
      </c>
      <c r="CM144" s="229">
        <v>0</v>
      </c>
      <c r="CN144" s="230">
        <v>7053125</v>
      </c>
      <c r="CO144" s="230">
        <v>6521875</v>
      </c>
      <c r="CP144" s="230">
        <v>531250</v>
      </c>
      <c r="CQ144" s="229">
        <v>8.1500000000000003E-2</v>
      </c>
      <c r="CR144" s="230">
        <v>4040625</v>
      </c>
      <c r="CS144" s="230">
        <v>3996875</v>
      </c>
      <c r="CT144" s="230">
        <v>43750</v>
      </c>
      <c r="CU144" s="229">
        <v>1.09E-2</v>
      </c>
      <c r="CV144" s="230">
        <v>56334375</v>
      </c>
      <c r="CW144" s="230">
        <v>55871875</v>
      </c>
      <c r="CX144" s="230">
        <v>462500</v>
      </c>
      <c r="CY144" s="229">
        <v>8.3000000000000001E-3</v>
      </c>
      <c r="CZ144" s="228">
        <v>30.68</v>
      </c>
      <c r="DA144" s="228">
        <v>34.14</v>
      </c>
      <c r="DB144" s="228">
        <v>-3.46</v>
      </c>
      <c r="DC144" s="228">
        <v>-3.46</v>
      </c>
      <c r="DD144" s="228">
        <v>35.75</v>
      </c>
      <c r="DE144" s="228">
        <v>35.729999999999997</v>
      </c>
      <c r="DF144" s="228">
        <v>-5.07</v>
      </c>
      <c r="DG144" s="228">
        <v>0.02</v>
      </c>
      <c r="DH144" s="228">
        <v>29.96</v>
      </c>
      <c r="DI144" s="228">
        <v>33.64</v>
      </c>
      <c r="DJ144" s="228">
        <v>-3.68</v>
      </c>
      <c r="DK144" s="228">
        <v>-3.68</v>
      </c>
      <c r="DL144" s="228">
        <v>32.799999999999997</v>
      </c>
      <c r="DM144" s="228">
        <v>34.94</v>
      </c>
      <c r="DN144" s="228">
        <v>-2.14</v>
      </c>
      <c r="DO144" s="228">
        <v>-2.14</v>
      </c>
      <c r="DP144" s="228">
        <v>0.56999999999999995</v>
      </c>
      <c r="DQ144" s="228">
        <v>0.61</v>
      </c>
      <c r="DR144" s="228">
        <v>-0.04</v>
      </c>
      <c r="DS144" s="229">
        <v>-6.5600000000000006E-2</v>
      </c>
      <c r="DT144" s="228">
        <v>280</v>
      </c>
      <c r="DU144" s="228">
        <v>260</v>
      </c>
      <c r="DV144" s="228">
        <v>0.34</v>
      </c>
      <c r="DW144" s="228">
        <v>0.63</v>
      </c>
      <c r="DX144" s="228">
        <v>-0.28999999999999998</v>
      </c>
      <c r="DY144" s="229">
        <v>-0.46029999999999999</v>
      </c>
      <c r="DZ144" s="229">
        <v>1.1900000000000001E-2</v>
      </c>
      <c r="EA144" s="230">
        <v>518750</v>
      </c>
      <c r="EB144" s="229">
        <v>3.3999999999999998E-3</v>
      </c>
      <c r="EC144" s="229">
        <v>1.1900000000000001E-2</v>
      </c>
      <c r="ED144" s="228">
        <v>1.87</v>
      </c>
      <c r="EE144" s="229">
        <v>7.1999999999999998E-3</v>
      </c>
      <c r="EF144" s="230">
        <v>1758924</v>
      </c>
      <c r="EG144" s="230">
        <v>2048385</v>
      </c>
      <c r="EH144" s="229">
        <v>-0.14130000000000001</v>
      </c>
      <c r="EI144" s="229">
        <v>0.52210000000000001</v>
      </c>
      <c r="EJ144" s="231">
        <v>11870.94</v>
      </c>
      <c r="EK144" s="231">
        <v>3740.62</v>
      </c>
      <c r="EL144" s="231">
        <v>11401.8</v>
      </c>
      <c r="EM144" s="231">
        <v>1815</v>
      </c>
      <c r="EN144" s="231">
        <v>27013.360000000001</v>
      </c>
      <c r="EO144" s="231">
        <v>42809.36</v>
      </c>
      <c r="EP144" s="231">
        <v>-15796</v>
      </c>
      <c r="EQ144" s="229">
        <v>-0.36899999999999999</v>
      </c>
      <c r="ER144" s="231">
        <v>19513</v>
      </c>
      <c r="ES144" s="231">
        <v>10312</v>
      </c>
      <c r="ET144" s="231">
        <v>118218</v>
      </c>
      <c r="EU144" s="231">
        <v>205483040</v>
      </c>
      <c r="EV144" s="231">
        <v>148043</v>
      </c>
      <c r="EW144" s="231">
        <v>144471</v>
      </c>
      <c r="EX144" s="231">
        <v>3572</v>
      </c>
      <c r="EY144" s="229">
        <v>2.47E-2</v>
      </c>
      <c r="EZ144" s="229">
        <v>0.2742</v>
      </c>
      <c r="FA144" s="227" t="s">
        <v>556</v>
      </c>
      <c r="FB144" s="161">
        <f t="shared" si="3"/>
        <v>0</v>
      </c>
    </row>
    <row r="145" spans="1:158" ht="17.25" thickBot="1" x14ac:dyDescent="0.3">
      <c r="A145" s="226">
        <v>46086</v>
      </c>
      <c r="B145" s="227" t="s">
        <v>206</v>
      </c>
      <c r="C145" s="227" t="s">
        <v>528</v>
      </c>
      <c r="D145" s="228">
        <v>350</v>
      </c>
      <c r="E145" s="231">
        <v>1475.1</v>
      </c>
      <c r="F145" s="231">
        <v>1436.9</v>
      </c>
      <c r="G145" s="228">
        <v>38.200000000000003</v>
      </c>
      <c r="H145" s="229">
        <v>2.6599999999999999E-2</v>
      </c>
      <c r="I145" s="231">
        <v>1482.1</v>
      </c>
      <c r="J145" s="231">
        <v>1454.4</v>
      </c>
      <c r="K145" s="228">
        <v>27.7</v>
      </c>
      <c r="L145" s="229">
        <v>1.9E-2</v>
      </c>
      <c r="M145" s="231">
        <v>1475.1</v>
      </c>
      <c r="N145" s="231">
        <v>1436.9</v>
      </c>
      <c r="O145" s="228">
        <v>38.200000000000003</v>
      </c>
      <c r="P145" s="229">
        <v>2.6599999999999999E-2</v>
      </c>
      <c r="Q145" s="231">
        <v>1459.9</v>
      </c>
      <c r="R145" s="231">
        <v>1423.6</v>
      </c>
      <c r="S145" s="228">
        <v>36.299999999999997</v>
      </c>
      <c r="T145" s="229">
        <v>2.5499999999999998E-2</v>
      </c>
      <c r="U145" s="231">
        <v>1450.1</v>
      </c>
      <c r="V145" s="231">
        <v>1418.5</v>
      </c>
      <c r="W145" s="228">
        <v>31.6</v>
      </c>
      <c r="X145" s="229">
        <v>2.23E-2</v>
      </c>
      <c r="Y145" s="228">
        <v>-7</v>
      </c>
      <c r="Z145" s="228">
        <v>-17.5</v>
      </c>
      <c r="AA145" s="228">
        <v>10.5</v>
      </c>
      <c r="AB145" s="229">
        <v>-4.7000000000000002E-3</v>
      </c>
      <c r="AC145" s="228">
        <v>-7</v>
      </c>
      <c r="AD145" s="228">
        <v>-17.5</v>
      </c>
      <c r="AE145" s="228">
        <v>10.5</v>
      </c>
      <c r="AF145" s="229">
        <v>-4.7000000000000002E-3</v>
      </c>
      <c r="AG145" s="228">
        <v>-22.2</v>
      </c>
      <c r="AH145" s="228">
        <v>-30.8</v>
      </c>
      <c r="AI145" s="228">
        <v>8.6</v>
      </c>
      <c r="AJ145" s="229">
        <v>-1.4999999999999999E-2</v>
      </c>
      <c r="AK145" s="228">
        <v>-32</v>
      </c>
      <c r="AL145" s="228">
        <v>-35.9</v>
      </c>
      <c r="AM145" s="228">
        <v>3.9</v>
      </c>
      <c r="AN145" s="229">
        <v>-2.1600000000000001E-2</v>
      </c>
      <c r="AO145" s="231">
        <v>1460.32</v>
      </c>
      <c r="AP145" s="231">
        <v>1444.94</v>
      </c>
      <c r="AQ145" s="228">
        <v>0</v>
      </c>
      <c r="AR145" s="230">
        <v>1162000</v>
      </c>
      <c r="AS145" s="230">
        <v>1260700</v>
      </c>
      <c r="AT145" s="230">
        <v>-98700</v>
      </c>
      <c r="AU145" s="229">
        <v>-7.8299999999999995E-2</v>
      </c>
      <c r="AV145" s="230">
        <v>1078700</v>
      </c>
      <c r="AW145" s="230">
        <v>1181600</v>
      </c>
      <c r="AX145" s="230">
        <v>-102900</v>
      </c>
      <c r="AY145" s="229">
        <v>-8.7099999999999997E-2</v>
      </c>
      <c r="AZ145" s="230">
        <v>82950</v>
      </c>
      <c r="BA145" s="230">
        <v>69650</v>
      </c>
      <c r="BB145" s="230">
        <v>13300</v>
      </c>
      <c r="BC145" s="229">
        <v>0.191</v>
      </c>
      <c r="BD145" s="228">
        <v>350</v>
      </c>
      <c r="BE145" s="230">
        <v>9450</v>
      </c>
      <c r="BF145" s="230">
        <v>-9100</v>
      </c>
      <c r="BG145" s="229">
        <v>-0.96299999999999997</v>
      </c>
      <c r="BH145" s="230">
        <v>991550</v>
      </c>
      <c r="BI145" s="230">
        <v>1627500</v>
      </c>
      <c r="BJ145" s="230">
        <v>-635950</v>
      </c>
      <c r="BK145" s="229">
        <v>-0.39079999999999998</v>
      </c>
      <c r="BL145" s="230">
        <v>650650</v>
      </c>
      <c r="BM145" s="230">
        <v>2501100</v>
      </c>
      <c r="BN145" s="230">
        <v>-1850450</v>
      </c>
      <c r="BO145" s="229">
        <v>-0.7399</v>
      </c>
      <c r="BP145" s="230">
        <v>2804200</v>
      </c>
      <c r="BQ145" s="230">
        <v>5389300</v>
      </c>
      <c r="BR145" s="230">
        <v>-2585100</v>
      </c>
      <c r="BS145" s="229">
        <v>-0.47970000000000002</v>
      </c>
      <c r="BT145" s="230">
        <v>1252854</v>
      </c>
      <c r="BU145" s="230">
        <v>821753</v>
      </c>
      <c r="BV145" s="230">
        <v>431101</v>
      </c>
      <c r="BW145" s="229">
        <v>0.52459999999999996</v>
      </c>
      <c r="BX145" s="230">
        <v>6367550</v>
      </c>
      <c r="BY145" s="230">
        <v>6253450</v>
      </c>
      <c r="BZ145" s="230">
        <v>114100</v>
      </c>
      <c r="CA145" s="229">
        <v>1.8200000000000001E-2</v>
      </c>
      <c r="CB145" s="230">
        <v>6239800</v>
      </c>
      <c r="CC145" s="230">
        <v>6158950</v>
      </c>
      <c r="CD145" s="230">
        <v>80850</v>
      </c>
      <c r="CE145" s="229">
        <v>1.3100000000000001E-2</v>
      </c>
      <c r="CF145" s="230">
        <v>112000</v>
      </c>
      <c r="CG145" s="230">
        <v>78400</v>
      </c>
      <c r="CH145" s="230">
        <v>33600</v>
      </c>
      <c r="CI145" s="229">
        <v>0.42859999999999998</v>
      </c>
      <c r="CJ145" s="230">
        <v>15750</v>
      </c>
      <c r="CK145" s="230">
        <v>16100</v>
      </c>
      <c r="CL145" s="228">
        <v>-350</v>
      </c>
      <c r="CM145" s="229">
        <v>-2.1700000000000001E-2</v>
      </c>
      <c r="CN145" s="230">
        <v>1036700</v>
      </c>
      <c r="CO145" s="230">
        <v>1017450</v>
      </c>
      <c r="CP145" s="230">
        <v>19250</v>
      </c>
      <c r="CQ145" s="229">
        <v>1.89E-2</v>
      </c>
      <c r="CR145" s="230">
        <v>1097950</v>
      </c>
      <c r="CS145" s="230">
        <v>1082550</v>
      </c>
      <c r="CT145" s="230">
        <v>15400</v>
      </c>
      <c r="CU145" s="229">
        <v>1.4200000000000001E-2</v>
      </c>
      <c r="CV145" s="230">
        <v>8502200</v>
      </c>
      <c r="CW145" s="230">
        <v>8353450</v>
      </c>
      <c r="CX145" s="230">
        <v>148750</v>
      </c>
      <c r="CY145" s="229">
        <v>1.78E-2</v>
      </c>
      <c r="CZ145" s="228">
        <v>29.35</v>
      </c>
      <c r="DA145" s="228">
        <v>33.36</v>
      </c>
      <c r="DB145" s="228">
        <v>-4.01</v>
      </c>
      <c r="DC145" s="228">
        <v>-4.01</v>
      </c>
      <c r="DD145" s="228">
        <v>36.520000000000003</v>
      </c>
      <c r="DE145" s="228">
        <v>36.44</v>
      </c>
      <c r="DF145" s="228">
        <v>-7.17</v>
      </c>
      <c r="DG145" s="228">
        <v>0.08</v>
      </c>
      <c r="DH145" s="228">
        <v>28.9</v>
      </c>
      <c r="DI145" s="228">
        <v>32.130000000000003</v>
      </c>
      <c r="DJ145" s="228">
        <v>-3.23</v>
      </c>
      <c r="DK145" s="228">
        <v>-3.23</v>
      </c>
      <c r="DL145" s="228">
        <v>30.04</v>
      </c>
      <c r="DM145" s="228">
        <v>34.15</v>
      </c>
      <c r="DN145" s="228">
        <v>-4.1100000000000003</v>
      </c>
      <c r="DO145" s="228">
        <v>-4.1100000000000003</v>
      </c>
      <c r="DP145" s="228">
        <v>1.06</v>
      </c>
      <c r="DQ145" s="228">
        <v>1.06</v>
      </c>
      <c r="DR145" s="228">
        <v>0</v>
      </c>
      <c r="DS145" s="229">
        <v>0</v>
      </c>
      <c r="DT145" s="231">
        <v>1600</v>
      </c>
      <c r="DU145" s="231">
        <v>1400</v>
      </c>
      <c r="DV145" s="228">
        <v>0.66</v>
      </c>
      <c r="DW145" s="228">
        <v>1.54</v>
      </c>
      <c r="DX145" s="228">
        <v>-0.88</v>
      </c>
      <c r="DY145" s="229">
        <v>-0.57140000000000002</v>
      </c>
      <c r="DZ145" s="229">
        <v>2.01E-2</v>
      </c>
      <c r="EA145" s="230">
        <v>94500</v>
      </c>
      <c r="EB145" s="229">
        <v>-1.03E-2</v>
      </c>
      <c r="EC145" s="229">
        <v>2.01E-2</v>
      </c>
      <c r="ED145" s="228">
        <v>-15.38</v>
      </c>
      <c r="EE145" s="229">
        <v>-1.0500000000000001E-2</v>
      </c>
      <c r="EF145" s="230">
        <v>756407</v>
      </c>
      <c r="EG145" s="230">
        <v>392073</v>
      </c>
      <c r="EH145" s="229">
        <v>0.92930000000000001</v>
      </c>
      <c r="EI145" s="229">
        <v>0.60370000000000001</v>
      </c>
      <c r="EJ145" s="231">
        <v>15421.87</v>
      </c>
      <c r="EK145" s="231">
        <v>9353.7800000000007</v>
      </c>
      <c r="EL145" s="231">
        <v>16956.11</v>
      </c>
      <c r="EM145" s="231">
        <v>3378</v>
      </c>
      <c r="EN145" s="231">
        <v>41731.760000000002</v>
      </c>
      <c r="EO145" s="231">
        <v>79121.37</v>
      </c>
      <c r="EP145" s="231">
        <v>-37389.61</v>
      </c>
      <c r="EQ145" s="229">
        <v>-0.47260000000000002</v>
      </c>
      <c r="ER145" s="231">
        <v>16058</v>
      </c>
      <c r="ES145" s="231">
        <v>15763</v>
      </c>
      <c r="ET145" s="231">
        <v>93907</v>
      </c>
      <c r="EU145" s="231">
        <v>17614093</v>
      </c>
      <c r="EV145" s="231">
        <v>125728</v>
      </c>
      <c r="EW145" s="231">
        <v>121130</v>
      </c>
      <c r="EX145" s="231">
        <v>4598</v>
      </c>
      <c r="EY145" s="229">
        <v>3.7999999999999999E-2</v>
      </c>
      <c r="EZ145" s="229">
        <v>0.48270000000000002</v>
      </c>
      <c r="FA145" s="227" t="s">
        <v>555</v>
      </c>
      <c r="FB145" s="161">
        <f t="shared" si="3"/>
        <v>0</v>
      </c>
    </row>
    <row r="146" spans="1:158" ht="17.25" thickBot="1" x14ac:dyDescent="0.3">
      <c r="A146" s="226">
        <v>46086</v>
      </c>
      <c r="B146" s="227" t="s">
        <v>221</v>
      </c>
      <c r="C146" s="227" t="s">
        <v>518</v>
      </c>
      <c r="D146" s="228">
        <v>75</v>
      </c>
      <c r="E146" s="231">
        <v>6789</v>
      </c>
      <c r="F146" s="231">
        <v>6825.5</v>
      </c>
      <c r="G146" s="228">
        <v>-36.5</v>
      </c>
      <c r="H146" s="229">
        <v>-5.3E-3</v>
      </c>
      <c r="I146" s="231">
        <v>6789.5</v>
      </c>
      <c r="J146" s="231">
        <v>6832</v>
      </c>
      <c r="K146" s="228">
        <v>-42.5</v>
      </c>
      <c r="L146" s="229">
        <v>-6.1999999999999998E-3</v>
      </c>
      <c r="M146" s="231">
        <v>6789</v>
      </c>
      <c r="N146" s="231">
        <v>6825.5</v>
      </c>
      <c r="O146" s="228">
        <v>-36.5</v>
      </c>
      <c r="P146" s="229">
        <v>-5.3E-3</v>
      </c>
      <c r="Q146" s="231">
        <v>6775.5</v>
      </c>
      <c r="R146" s="231">
        <v>6822</v>
      </c>
      <c r="S146" s="228">
        <v>-46.5</v>
      </c>
      <c r="T146" s="229">
        <v>-6.7999999999999996E-3</v>
      </c>
      <c r="U146" s="231">
        <v>6747</v>
      </c>
      <c r="V146" s="231">
        <v>6844</v>
      </c>
      <c r="W146" s="228">
        <v>-97</v>
      </c>
      <c r="X146" s="229">
        <v>-1.4200000000000001E-2</v>
      </c>
      <c r="Y146" s="228">
        <v>-0.5</v>
      </c>
      <c r="Z146" s="228">
        <v>-6.5</v>
      </c>
      <c r="AA146" s="228">
        <v>6</v>
      </c>
      <c r="AB146" s="229">
        <v>-1E-4</v>
      </c>
      <c r="AC146" s="228">
        <v>-0.5</v>
      </c>
      <c r="AD146" s="228">
        <v>-6.5</v>
      </c>
      <c r="AE146" s="228">
        <v>6</v>
      </c>
      <c r="AF146" s="229">
        <v>-1E-4</v>
      </c>
      <c r="AG146" s="228">
        <v>-14</v>
      </c>
      <c r="AH146" s="228">
        <v>-10</v>
      </c>
      <c r="AI146" s="228">
        <v>-4</v>
      </c>
      <c r="AJ146" s="229">
        <v>-2.0999999999999999E-3</v>
      </c>
      <c r="AK146" s="228">
        <v>-42.5</v>
      </c>
      <c r="AL146" s="228">
        <v>12</v>
      </c>
      <c r="AM146" s="228">
        <v>-54.5</v>
      </c>
      <c r="AN146" s="229">
        <v>-6.3E-3</v>
      </c>
      <c r="AO146" s="231">
        <v>6794.47</v>
      </c>
      <c r="AP146" s="231">
        <v>6767.24</v>
      </c>
      <c r="AQ146" s="228">
        <v>0</v>
      </c>
      <c r="AR146" s="230">
        <v>177000</v>
      </c>
      <c r="AS146" s="230">
        <v>233400</v>
      </c>
      <c r="AT146" s="230">
        <v>-56400</v>
      </c>
      <c r="AU146" s="229">
        <v>-0.24160000000000001</v>
      </c>
      <c r="AV146" s="230">
        <v>164700</v>
      </c>
      <c r="AW146" s="230">
        <v>223425</v>
      </c>
      <c r="AX146" s="230">
        <v>-58725</v>
      </c>
      <c r="AY146" s="229">
        <v>-0.26279999999999998</v>
      </c>
      <c r="AZ146" s="230">
        <v>10500</v>
      </c>
      <c r="BA146" s="230">
        <v>8550</v>
      </c>
      <c r="BB146" s="230">
        <v>1950</v>
      </c>
      <c r="BC146" s="229">
        <v>0.2281</v>
      </c>
      <c r="BD146" s="230">
        <v>1800</v>
      </c>
      <c r="BE146" s="230">
        <v>1425</v>
      </c>
      <c r="BF146" s="228">
        <v>375</v>
      </c>
      <c r="BG146" s="229">
        <v>0.26319999999999999</v>
      </c>
      <c r="BH146" s="230">
        <v>1122525</v>
      </c>
      <c r="BI146" s="230">
        <v>436575</v>
      </c>
      <c r="BJ146" s="230">
        <v>685950</v>
      </c>
      <c r="BK146" s="229">
        <v>1.5711999999999999</v>
      </c>
      <c r="BL146" s="230">
        <v>628350</v>
      </c>
      <c r="BM146" s="230">
        <v>442575</v>
      </c>
      <c r="BN146" s="230">
        <v>185775</v>
      </c>
      <c r="BO146" s="229">
        <v>0.41980000000000001</v>
      </c>
      <c r="BP146" s="230">
        <v>1927875</v>
      </c>
      <c r="BQ146" s="230">
        <v>1112550</v>
      </c>
      <c r="BR146" s="230">
        <v>815325</v>
      </c>
      <c r="BS146" s="229">
        <v>0.73280000000000001</v>
      </c>
      <c r="BT146" s="230">
        <v>104102</v>
      </c>
      <c r="BU146" s="230">
        <v>130271</v>
      </c>
      <c r="BV146" s="230">
        <v>-26169</v>
      </c>
      <c r="BW146" s="229">
        <v>-0.2009</v>
      </c>
      <c r="BX146" s="230">
        <v>1497150</v>
      </c>
      <c r="BY146" s="230">
        <v>1483500</v>
      </c>
      <c r="BZ146" s="230">
        <v>13650</v>
      </c>
      <c r="CA146" s="229">
        <v>9.1999999999999998E-3</v>
      </c>
      <c r="CB146" s="230">
        <v>1448775</v>
      </c>
      <c r="CC146" s="230">
        <v>1437300</v>
      </c>
      <c r="CD146" s="230">
        <v>11475</v>
      </c>
      <c r="CE146" s="229">
        <v>8.0000000000000002E-3</v>
      </c>
      <c r="CF146" s="230">
        <v>44700</v>
      </c>
      <c r="CG146" s="230">
        <v>43200</v>
      </c>
      <c r="CH146" s="230">
        <v>1500</v>
      </c>
      <c r="CI146" s="229">
        <v>3.4700000000000002E-2</v>
      </c>
      <c r="CJ146" s="230">
        <v>3675</v>
      </c>
      <c r="CK146" s="230">
        <v>3000</v>
      </c>
      <c r="CL146" s="228">
        <v>675</v>
      </c>
      <c r="CM146" s="229">
        <v>0.22500000000000001</v>
      </c>
      <c r="CN146" s="230">
        <v>414450</v>
      </c>
      <c r="CO146" s="230">
        <v>391275</v>
      </c>
      <c r="CP146" s="230">
        <v>23175</v>
      </c>
      <c r="CQ146" s="229">
        <v>5.9200000000000003E-2</v>
      </c>
      <c r="CR146" s="230">
        <v>295500</v>
      </c>
      <c r="CS146" s="230">
        <v>299475</v>
      </c>
      <c r="CT146" s="230">
        <v>-3975</v>
      </c>
      <c r="CU146" s="229">
        <v>-1.3299999999999999E-2</v>
      </c>
      <c r="CV146" s="230">
        <v>2207100</v>
      </c>
      <c r="CW146" s="230">
        <v>2174250</v>
      </c>
      <c r="CX146" s="230">
        <v>32850</v>
      </c>
      <c r="CY146" s="229">
        <v>1.5100000000000001E-2</v>
      </c>
      <c r="CZ146" s="228">
        <v>44.69</v>
      </c>
      <c r="DA146" s="228">
        <v>37.619999999999997</v>
      </c>
      <c r="DB146" s="228">
        <v>7.07</v>
      </c>
      <c r="DC146" s="228">
        <v>7.07</v>
      </c>
      <c r="DD146" s="228">
        <v>39.01</v>
      </c>
      <c r="DE146" s="228">
        <v>39.1</v>
      </c>
      <c r="DF146" s="228">
        <v>5.68</v>
      </c>
      <c r="DG146" s="228">
        <v>-0.09</v>
      </c>
      <c r="DH146" s="228">
        <v>44.98</v>
      </c>
      <c r="DI146" s="228">
        <v>35.69</v>
      </c>
      <c r="DJ146" s="228">
        <v>9.2899999999999991</v>
      </c>
      <c r="DK146" s="228">
        <v>9.2899999999999991</v>
      </c>
      <c r="DL146" s="228">
        <v>44.17</v>
      </c>
      <c r="DM146" s="228">
        <v>39.520000000000003</v>
      </c>
      <c r="DN146" s="228">
        <v>4.6500000000000004</v>
      </c>
      <c r="DO146" s="228">
        <v>4.6500000000000004</v>
      </c>
      <c r="DP146" s="228">
        <v>0.71</v>
      </c>
      <c r="DQ146" s="228">
        <v>0.77</v>
      </c>
      <c r="DR146" s="228">
        <v>-0.06</v>
      </c>
      <c r="DS146" s="229">
        <v>-7.7899999999999997E-2</v>
      </c>
      <c r="DT146" s="231">
        <v>7000</v>
      </c>
      <c r="DU146" s="231">
        <v>6500</v>
      </c>
      <c r="DV146" s="228">
        <v>0.56000000000000005</v>
      </c>
      <c r="DW146" s="228">
        <v>1.01</v>
      </c>
      <c r="DX146" s="228">
        <v>-0.45</v>
      </c>
      <c r="DY146" s="229">
        <v>-0.44550000000000001</v>
      </c>
      <c r="DZ146" s="229">
        <v>3.2300000000000002E-2</v>
      </c>
      <c r="EA146" s="230">
        <v>46200</v>
      </c>
      <c r="EB146" s="229">
        <v>-2E-3</v>
      </c>
      <c r="EC146" s="229">
        <v>3.2300000000000002E-2</v>
      </c>
      <c r="ED146" s="228">
        <v>-27.23</v>
      </c>
      <c r="EE146" s="229">
        <v>-4.0000000000000001E-3</v>
      </c>
      <c r="EF146" s="230">
        <v>43815</v>
      </c>
      <c r="EG146" s="230">
        <v>45651</v>
      </c>
      <c r="EH146" s="229">
        <v>-4.02E-2</v>
      </c>
      <c r="EI146" s="229">
        <v>0.4209</v>
      </c>
      <c r="EJ146" s="231">
        <v>95939.18</v>
      </c>
      <c r="EK146" s="231">
        <v>36470.94</v>
      </c>
      <c r="EL146" s="231">
        <v>12022.88</v>
      </c>
      <c r="EM146" s="231">
        <v>3652</v>
      </c>
      <c r="EN146" s="231">
        <v>144433</v>
      </c>
      <c r="EO146" s="231">
        <v>76986.559999999998</v>
      </c>
      <c r="EP146" s="231">
        <v>67446.44</v>
      </c>
      <c r="EQ146" s="229">
        <v>0.87609999999999999</v>
      </c>
      <c r="ER146" s="231">
        <v>29845</v>
      </c>
      <c r="ES146" s="231">
        <v>19444</v>
      </c>
      <c r="ET146" s="231">
        <v>101634</v>
      </c>
      <c r="EU146" s="231">
        <v>3582756</v>
      </c>
      <c r="EV146" s="231">
        <v>150923</v>
      </c>
      <c r="EW146" s="231">
        <v>149162</v>
      </c>
      <c r="EX146" s="231">
        <v>1761</v>
      </c>
      <c r="EY146" s="229">
        <v>1.18E-2</v>
      </c>
      <c r="EZ146" s="229">
        <v>0.61599999999999999</v>
      </c>
      <c r="FA146" s="227" t="s">
        <v>567</v>
      </c>
      <c r="FB146" s="161">
        <f t="shared" si="3"/>
        <v>0</v>
      </c>
    </row>
    <row r="147" spans="1:158" ht="17.25" thickBot="1" x14ac:dyDescent="0.3">
      <c r="A147" s="226">
        <v>46086</v>
      </c>
      <c r="B147" s="227" t="s">
        <v>193</v>
      </c>
      <c r="C147" s="227" t="s">
        <v>587</v>
      </c>
      <c r="D147" s="228">
        <v>1400</v>
      </c>
      <c r="E147" s="228">
        <v>481.25</v>
      </c>
      <c r="F147" s="228">
        <v>490.2</v>
      </c>
      <c r="G147" s="228">
        <v>-8.9499999999999993</v>
      </c>
      <c r="H147" s="229">
        <v>-1.83E-2</v>
      </c>
      <c r="I147" s="228">
        <v>479.1</v>
      </c>
      <c r="J147" s="228">
        <v>492.1</v>
      </c>
      <c r="K147" s="228">
        <v>-13</v>
      </c>
      <c r="L147" s="229">
        <v>-2.64E-2</v>
      </c>
      <c r="M147" s="228">
        <v>481.25</v>
      </c>
      <c r="N147" s="228">
        <v>490.2</v>
      </c>
      <c r="O147" s="228">
        <v>-8.9499999999999993</v>
      </c>
      <c r="P147" s="229">
        <v>-1.83E-2</v>
      </c>
      <c r="Q147" s="228">
        <v>481.25</v>
      </c>
      <c r="R147" s="228">
        <v>490.3</v>
      </c>
      <c r="S147" s="228">
        <v>-9.0500000000000007</v>
      </c>
      <c r="T147" s="229">
        <v>-1.8499999999999999E-2</v>
      </c>
      <c r="U147" s="228">
        <v>482.85</v>
      </c>
      <c r="V147" s="228">
        <v>492.15</v>
      </c>
      <c r="W147" s="228">
        <v>-9.3000000000000007</v>
      </c>
      <c r="X147" s="229">
        <v>-1.89E-2</v>
      </c>
      <c r="Y147" s="228">
        <v>2.15</v>
      </c>
      <c r="Z147" s="228">
        <v>-1.9</v>
      </c>
      <c r="AA147" s="228">
        <v>4.05</v>
      </c>
      <c r="AB147" s="229">
        <v>4.4999999999999997E-3</v>
      </c>
      <c r="AC147" s="228">
        <v>2.15</v>
      </c>
      <c r="AD147" s="228">
        <v>-1.9</v>
      </c>
      <c r="AE147" s="228">
        <v>4.05</v>
      </c>
      <c r="AF147" s="229">
        <v>4.4999999999999997E-3</v>
      </c>
      <c r="AG147" s="228">
        <v>2.15</v>
      </c>
      <c r="AH147" s="228">
        <v>-1.8</v>
      </c>
      <c r="AI147" s="228">
        <v>3.95</v>
      </c>
      <c r="AJ147" s="229">
        <v>4.4999999999999997E-3</v>
      </c>
      <c r="AK147" s="228">
        <v>3.75</v>
      </c>
      <c r="AL147" s="228">
        <v>0.05</v>
      </c>
      <c r="AM147" s="228">
        <v>3.7</v>
      </c>
      <c r="AN147" s="229">
        <v>7.7999999999999996E-3</v>
      </c>
      <c r="AO147" s="228">
        <v>490.06</v>
      </c>
      <c r="AP147" s="228">
        <v>493.5</v>
      </c>
      <c r="AQ147" s="228">
        <v>0</v>
      </c>
      <c r="AR147" s="230">
        <v>10087000</v>
      </c>
      <c r="AS147" s="230">
        <v>16732800</v>
      </c>
      <c r="AT147" s="230">
        <v>-6645800</v>
      </c>
      <c r="AU147" s="229">
        <v>-0.3972</v>
      </c>
      <c r="AV147" s="230">
        <v>9335200</v>
      </c>
      <c r="AW147" s="230">
        <v>14991200</v>
      </c>
      <c r="AX147" s="230">
        <v>-5656000</v>
      </c>
      <c r="AY147" s="229">
        <v>-0.37730000000000002</v>
      </c>
      <c r="AZ147" s="230">
        <v>707000</v>
      </c>
      <c r="BA147" s="230">
        <v>1562400</v>
      </c>
      <c r="BB147" s="230">
        <v>-855400</v>
      </c>
      <c r="BC147" s="229">
        <v>-0.54749999999999999</v>
      </c>
      <c r="BD147" s="230">
        <v>44800</v>
      </c>
      <c r="BE147" s="230">
        <v>179200</v>
      </c>
      <c r="BF147" s="230">
        <v>-134400</v>
      </c>
      <c r="BG147" s="229">
        <v>-0.75</v>
      </c>
      <c r="BH147" s="230">
        <v>28747600</v>
      </c>
      <c r="BI147" s="230">
        <v>74470200</v>
      </c>
      <c r="BJ147" s="230">
        <v>-45722600</v>
      </c>
      <c r="BK147" s="229">
        <v>-0.61399999999999999</v>
      </c>
      <c r="BL147" s="230">
        <v>8979600</v>
      </c>
      <c r="BM147" s="230">
        <v>16822400</v>
      </c>
      <c r="BN147" s="230">
        <v>-7842800</v>
      </c>
      <c r="BO147" s="229">
        <v>-0.4662</v>
      </c>
      <c r="BP147" s="230">
        <v>47814200</v>
      </c>
      <c r="BQ147" s="230">
        <v>108025400</v>
      </c>
      <c r="BR147" s="230">
        <v>-60211200</v>
      </c>
      <c r="BS147" s="229">
        <v>-0.55740000000000001</v>
      </c>
      <c r="BT147" s="230">
        <v>9614398</v>
      </c>
      <c r="BU147" s="230">
        <v>21682907</v>
      </c>
      <c r="BV147" s="230">
        <v>-12068509</v>
      </c>
      <c r="BW147" s="229">
        <v>-0.55659999999999998</v>
      </c>
      <c r="BX147" s="230">
        <v>19373200</v>
      </c>
      <c r="BY147" s="230">
        <v>20192200</v>
      </c>
      <c r="BZ147" s="230">
        <v>-819000</v>
      </c>
      <c r="CA147" s="229">
        <v>-4.0599999999999997E-2</v>
      </c>
      <c r="CB147" s="230">
        <v>18414200</v>
      </c>
      <c r="CC147" s="230">
        <v>19299000</v>
      </c>
      <c r="CD147" s="230">
        <v>-884800</v>
      </c>
      <c r="CE147" s="229">
        <v>-4.58E-2</v>
      </c>
      <c r="CF147" s="230">
        <v>880600</v>
      </c>
      <c r="CG147" s="230">
        <v>802200</v>
      </c>
      <c r="CH147" s="230">
        <v>78400</v>
      </c>
      <c r="CI147" s="229">
        <v>9.7699999999999995E-2</v>
      </c>
      <c r="CJ147" s="230">
        <v>78400</v>
      </c>
      <c r="CK147" s="230">
        <v>91000</v>
      </c>
      <c r="CL147" s="230">
        <v>-12600</v>
      </c>
      <c r="CM147" s="229">
        <v>-0.13850000000000001</v>
      </c>
      <c r="CN147" s="230">
        <v>14634200</v>
      </c>
      <c r="CO147" s="230">
        <v>14982800</v>
      </c>
      <c r="CP147" s="230">
        <v>-348600</v>
      </c>
      <c r="CQ147" s="229">
        <v>-2.3300000000000001E-2</v>
      </c>
      <c r="CR147" s="230">
        <v>7732200</v>
      </c>
      <c r="CS147" s="230">
        <v>8143800</v>
      </c>
      <c r="CT147" s="230">
        <v>-411600</v>
      </c>
      <c r="CU147" s="229">
        <v>-5.0500000000000003E-2</v>
      </c>
      <c r="CV147" s="230">
        <v>41739600</v>
      </c>
      <c r="CW147" s="230">
        <v>43318800</v>
      </c>
      <c r="CX147" s="230">
        <v>-1579200</v>
      </c>
      <c r="CY147" s="229">
        <v>-3.6499999999999998E-2</v>
      </c>
      <c r="CZ147" s="228">
        <v>39.68</v>
      </c>
      <c r="DA147" s="228">
        <v>45.67</v>
      </c>
      <c r="DB147" s="228">
        <v>-5.99</v>
      </c>
      <c r="DC147" s="228">
        <v>-5.99</v>
      </c>
      <c r="DD147" s="228">
        <v>42.35</v>
      </c>
      <c r="DE147" s="228">
        <v>42.39</v>
      </c>
      <c r="DF147" s="228">
        <v>-2.67</v>
      </c>
      <c r="DG147" s="228">
        <v>-0.04</v>
      </c>
      <c r="DH147" s="228">
        <v>39.47</v>
      </c>
      <c r="DI147" s="228">
        <v>45.83</v>
      </c>
      <c r="DJ147" s="228">
        <v>-6.36</v>
      </c>
      <c r="DK147" s="228">
        <v>-6.36</v>
      </c>
      <c r="DL147" s="228">
        <v>40.380000000000003</v>
      </c>
      <c r="DM147" s="228">
        <v>44.94</v>
      </c>
      <c r="DN147" s="228">
        <v>-4.5599999999999996</v>
      </c>
      <c r="DO147" s="228">
        <v>-4.5599999999999996</v>
      </c>
      <c r="DP147" s="228">
        <v>0.53</v>
      </c>
      <c r="DQ147" s="228">
        <v>0.54</v>
      </c>
      <c r="DR147" s="228">
        <v>-0.01</v>
      </c>
      <c r="DS147" s="229">
        <v>-1.8499999999999999E-2</v>
      </c>
      <c r="DT147" s="228">
        <v>500</v>
      </c>
      <c r="DU147" s="228">
        <v>450</v>
      </c>
      <c r="DV147" s="228">
        <v>0.31</v>
      </c>
      <c r="DW147" s="228">
        <v>0.23</v>
      </c>
      <c r="DX147" s="228">
        <v>0.08</v>
      </c>
      <c r="DY147" s="229">
        <v>0.3478</v>
      </c>
      <c r="DZ147" s="229">
        <v>4.9500000000000002E-2</v>
      </c>
      <c r="EA147" s="230">
        <v>893200</v>
      </c>
      <c r="EB147" s="229">
        <v>0</v>
      </c>
      <c r="EC147" s="229">
        <v>4.9500000000000002E-2</v>
      </c>
      <c r="ED147" s="228">
        <v>3.44</v>
      </c>
      <c r="EE147" s="229">
        <v>7.0000000000000001E-3</v>
      </c>
      <c r="EF147" s="230">
        <v>3586426</v>
      </c>
      <c r="EG147" s="230">
        <v>7340502</v>
      </c>
      <c r="EH147" s="229">
        <v>-0.51139999999999997</v>
      </c>
      <c r="EI147" s="229">
        <v>0.373</v>
      </c>
      <c r="EJ147" s="231">
        <v>152224.57</v>
      </c>
      <c r="EK147" s="231">
        <v>43559.199999999997</v>
      </c>
      <c r="EL147" s="231">
        <v>49458.13</v>
      </c>
      <c r="EM147" s="231">
        <v>8474</v>
      </c>
      <c r="EN147" s="231">
        <v>245241.9</v>
      </c>
      <c r="EO147" s="231">
        <v>562378.43999999994</v>
      </c>
      <c r="EP147" s="231">
        <v>-317136.53999999998</v>
      </c>
      <c r="EQ147" s="229">
        <v>-0.56389999999999996</v>
      </c>
      <c r="ER147" s="231">
        <v>75312</v>
      </c>
      <c r="ES147" s="231">
        <v>36082</v>
      </c>
      <c r="ET147" s="231">
        <v>93235</v>
      </c>
      <c r="EU147" s="231">
        <v>102006452</v>
      </c>
      <c r="EV147" s="231">
        <v>204629</v>
      </c>
      <c r="EW147" s="231">
        <v>214171</v>
      </c>
      <c r="EX147" s="231">
        <v>-9542</v>
      </c>
      <c r="EY147" s="229">
        <v>-4.4600000000000001E-2</v>
      </c>
      <c r="EZ147" s="229">
        <v>0.40920000000000001</v>
      </c>
      <c r="FA147" s="227" t="s">
        <v>568</v>
      </c>
      <c r="FB147" s="161">
        <f t="shared" si="3"/>
        <v>0</v>
      </c>
    </row>
    <row r="148" spans="1:158" ht="17.25" thickBot="1" x14ac:dyDescent="0.3">
      <c r="A148" s="226">
        <v>46086</v>
      </c>
      <c r="B148" s="227" t="s">
        <v>193</v>
      </c>
      <c r="C148" s="227" t="s">
        <v>269</v>
      </c>
      <c r="D148" s="228">
        <v>2250</v>
      </c>
      <c r="E148" s="228">
        <v>277.3</v>
      </c>
      <c r="F148" s="228">
        <v>277.5</v>
      </c>
      <c r="G148" s="228">
        <v>-0.2</v>
      </c>
      <c r="H148" s="229">
        <v>-6.9999999999999999E-4</v>
      </c>
      <c r="I148" s="228">
        <v>276.35000000000002</v>
      </c>
      <c r="J148" s="228">
        <v>276.95</v>
      </c>
      <c r="K148" s="228">
        <v>-0.6</v>
      </c>
      <c r="L148" s="229">
        <v>-2.2000000000000001E-3</v>
      </c>
      <c r="M148" s="228">
        <v>277.3</v>
      </c>
      <c r="N148" s="228">
        <v>277.5</v>
      </c>
      <c r="O148" s="228">
        <v>-0.2</v>
      </c>
      <c r="P148" s="229">
        <v>-6.9999999999999999E-4</v>
      </c>
      <c r="Q148" s="228">
        <v>279.35000000000002</v>
      </c>
      <c r="R148" s="228">
        <v>279.3</v>
      </c>
      <c r="S148" s="228">
        <v>0.05</v>
      </c>
      <c r="T148" s="229">
        <v>2.0000000000000001E-4</v>
      </c>
      <c r="U148" s="228">
        <v>280.95</v>
      </c>
      <c r="V148" s="228">
        <v>280.55</v>
      </c>
      <c r="W148" s="228">
        <v>0.4</v>
      </c>
      <c r="X148" s="229">
        <v>1.4E-3</v>
      </c>
      <c r="Y148" s="228">
        <v>0.95</v>
      </c>
      <c r="Z148" s="228">
        <v>0.55000000000000004</v>
      </c>
      <c r="AA148" s="228">
        <v>0.4</v>
      </c>
      <c r="AB148" s="229">
        <v>3.3999999999999998E-3</v>
      </c>
      <c r="AC148" s="228">
        <v>0.95</v>
      </c>
      <c r="AD148" s="228">
        <v>0.55000000000000004</v>
      </c>
      <c r="AE148" s="228">
        <v>0.4</v>
      </c>
      <c r="AF148" s="229">
        <v>3.3999999999999998E-3</v>
      </c>
      <c r="AG148" s="228">
        <v>3</v>
      </c>
      <c r="AH148" s="228">
        <v>2.35</v>
      </c>
      <c r="AI148" s="228">
        <v>0.65</v>
      </c>
      <c r="AJ148" s="229">
        <v>1.09E-2</v>
      </c>
      <c r="AK148" s="228">
        <v>4.5999999999999996</v>
      </c>
      <c r="AL148" s="228">
        <v>3.6</v>
      </c>
      <c r="AM148" s="228">
        <v>1</v>
      </c>
      <c r="AN148" s="229">
        <v>1.66E-2</v>
      </c>
      <c r="AO148" s="228">
        <v>281.75</v>
      </c>
      <c r="AP148" s="228">
        <v>283.74</v>
      </c>
      <c r="AQ148" s="228">
        <v>0</v>
      </c>
      <c r="AR148" s="230">
        <v>43524000</v>
      </c>
      <c r="AS148" s="230">
        <v>47328750</v>
      </c>
      <c r="AT148" s="230">
        <v>-3804750</v>
      </c>
      <c r="AU148" s="229">
        <v>-8.0399999999999999E-2</v>
      </c>
      <c r="AV148" s="230">
        <v>40792500</v>
      </c>
      <c r="AW148" s="230">
        <v>45400500</v>
      </c>
      <c r="AX148" s="230">
        <v>-4608000</v>
      </c>
      <c r="AY148" s="229">
        <v>-0.10150000000000001</v>
      </c>
      <c r="AZ148" s="230">
        <v>2380500</v>
      </c>
      <c r="BA148" s="230">
        <v>1653750</v>
      </c>
      <c r="BB148" s="230">
        <v>726750</v>
      </c>
      <c r="BC148" s="229">
        <v>0.4395</v>
      </c>
      <c r="BD148" s="230">
        <v>351000</v>
      </c>
      <c r="BE148" s="230">
        <v>274500</v>
      </c>
      <c r="BF148" s="230">
        <v>76500</v>
      </c>
      <c r="BG148" s="229">
        <v>0.2787</v>
      </c>
      <c r="BH148" s="230">
        <v>122874750</v>
      </c>
      <c r="BI148" s="230">
        <v>141527250</v>
      </c>
      <c r="BJ148" s="230">
        <v>-18652500</v>
      </c>
      <c r="BK148" s="229">
        <v>-0.1318</v>
      </c>
      <c r="BL148" s="230">
        <v>54369000</v>
      </c>
      <c r="BM148" s="230">
        <v>58887000</v>
      </c>
      <c r="BN148" s="230">
        <v>-4518000</v>
      </c>
      <c r="BO148" s="229">
        <v>-7.6700000000000004E-2</v>
      </c>
      <c r="BP148" s="230">
        <v>220767750</v>
      </c>
      <c r="BQ148" s="230">
        <v>247743000</v>
      </c>
      <c r="BR148" s="230">
        <v>-26975250</v>
      </c>
      <c r="BS148" s="229">
        <v>-0.1089</v>
      </c>
      <c r="BT148" s="230">
        <v>45551487</v>
      </c>
      <c r="BU148" s="230">
        <v>58044288</v>
      </c>
      <c r="BV148" s="230">
        <v>-12492801</v>
      </c>
      <c r="BW148" s="229">
        <v>-0.2152</v>
      </c>
      <c r="BX148" s="230">
        <v>117000000</v>
      </c>
      <c r="BY148" s="230">
        <v>122913000</v>
      </c>
      <c r="BZ148" s="230">
        <v>-5913000</v>
      </c>
      <c r="CA148" s="229">
        <v>-4.8099999999999997E-2</v>
      </c>
      <c r="CB148" s="230">
        <v>114588000</v>
      </c>
      <c r="CC148" s="230">
        <v>120336750</v>
      </c>
      <c r="CD148" s="230">
        <v>-5748750</v>
      </c>
      <c r="CE148" s="229">
        <v>-4.7800000000000002E-2</v>
      </c>
      <c r="CF148" s="230">
        <v>2070000</v>
      </c>
      <c r="CG148" s="230">
        <v>2187000</v>
      </c>
      <c r="CH148" s="230">
        <v>-117000</v>
      </c>
      <c r="CI148" s="229">
        <v>-5.3499999999999999E-2</v>
      </c>
      <c r="CJ148" s="230">
        <v>342000</v>
      </c>
      <c r="CK148" s="230">
        <v>389250</v>
      </c>
      <c r="CL148" s="230">
        <v>-47250</v>
      </c>
      <c r="CM148" s="229">
        <v>-0.12139999999999999</v>
      </c>
      <c r="CN148" s="230">
        <v>66912750</v>
      </c>
      <c r="CO148" s="230">
        <v>70188750</v>
      </c>
      <c r="CP148" s="230">
        <v>-3276000</v>
      </c>
      <c r="CQ148" s="229">
        <v>-4.6699999999999998E-2</v>
      </c>
      <c r="CR148" s="230">
        <v>33907500</v>
      </c>
      <c r="CS148" s="230">
        <v>33084000</v>
      </c>
      <c r="CT148" s="230">
        <v>823500</v>
      </c>
      <c r="CU148" s="229">
        <v>2.4899999999999999E-2</v>
      </c>
      <c r="CV148" s="230">
        <v>217820250</v>
      </c>
      <c r="CW148" s="230">
        <v>226185750</v>
      </c>
      <c r="CX148" s="230">
        <v>-8365500</v>
      </c>
      <c r="CY148" s="229">
        <v>-3.6999999999999998E-2</v>
      </c>
      <c r="CZ148" s="228">
        <v>29.85</v>
      </c>
      <c r="DA148" s="228">
        <v>34.47</v>
      </c>
      <c r="DB148" s="228">
        <v>-4.62</v>
      </c>
      <c r="DC148" s="228">
        <v>-4.62</v>
      </c>
      <c r="DD148" s="228">
        <v>32.24</v>
      </c>
      <c r="DE148" s="228">
        <v>32.32</v>
      </c>
      <c r="DF148" s="228">
        <v>-2.39</v>
      </c>
      <c r="DG148" s="228">
        <v>-0.08</v>
      </c>
      <c r="DH148" s="228">
        <v>29.82</v>
      </c>
      <c r="DI148" s="228">
        <v>34.409999999999997</v>
      </c>
      <c r="DJ148" s="228">
        <v>-4.59</v>
      </c>
      <c r="DK148" s="228">
        <v>-4.59</v>
      </c>
      <c r="DL148" s="228">
        <v>29.93</v>
      </c>
      <c r="DM148" s="228">
        <v>34.630000000000003</v>
      </c>
      <c r="DN148" s="228">
        <v>-4.7</v>
      </c>
      <c r="DO148" s="228">
        <v>-4.7</v>
      </c>
      <c r="DP148" s="228">
        <v>0.51</v>
      </c>
      <c r="DQ148" s="228">
        <v>0.47</v>
      </c>
      <c r="DR148" s="228">
        <v>0.04</v>
      </c>
      <c r="DS148" s="229">
        <v>8.5099999999999995E-2</v>
      </c>
      <c r="DT148" s="228">
        <v>300</v>
      </c>
      <c r="DU148" s="228">
        <v>265</v>
      </c>
      <c r="DV148" s="228">
        <v>0.44</v>
      </c>
      <c r="DW148" s="228">
        <v>0.42</v>
      </c>
      <c r="DX148" s="228">
        <v>0.02</v>
      </c>
      <c r="DY148" s="229">
        <v>4.7600000000000003E-2</v>
      </c>
      <c r="DZ148" s="229">
        <v>2.06E-2</v>
      </c>
      <c r="EA148" s="230">
        <v>2576250</v>
      </c>
      <c r="EB148" s="229">
        <v>7.4000000000000003E-3</v>
      </c>
      <c r="EC148" s="229">
        <v>2.06E-2</v>
      </c>
      <c r="ED148" s="228">
        <v>1.99</v>
      </c>
      <c r="EE148" s="229">
        <v>7.1000000000000004E-3</v>
      </c>
      <c r="EF148" s="230">
        <v>20318928</v>
      </c>
      <c r="EG148" s="230">
        <v>30447559</v>
      </c>
      <c r="EH148" s="229">
        <v>-0.3327</v>
      </c>
      <c r="EI148" s="229">
        <v>0.4461</v>
      </c>
      <c r="EJ148" s="231">
        <v>363188.39</v>
      </c>
      <c r="EK148" s="231">
        <v>152229.49</v>
      </c>
      <c r="EL148" s="231">
        <v>122693.1</v>
      </c>
      <c r="EM148" s="231">
        <v>15240</v>
      </c>
      <c r="EN148" s="231">
        <v>638110.98</v>
      </c>
      <c r="EO148" s="231">
        <v>717757.21</v>
      </c>
      <c r="EP148" s="231">
        <v>-79646.23</v>
      </c>
      <c r="EQ148" s="229">
        <v>-0.111</v>
      </c>
      <c r="ER148" s="231">
        <v>192120</v>
      </c>
      <c r="ES148" s="231">
        <v>90931</v>
      </c>
      <c r="ET148" s="231">
        <v>324496</v>
      </c>
      <c r="EU148" s="231">
        <v>517141211</v>
      </c>
      <c r="EV148" s="231">
        <v>607547</v>
      </c>
      <c r="EW148" s="231">
        <v>631121</v>
      </c>
      <c r="EX148" s="231">
        <v>-23574</v>
      </c>
      <c r="EY148" s="229">
        <v>-3.7400000000000003E-2</v>
      </c>
      <c r="EZ148" s="229">
        <v>0.42120000000000002</v>
      </c>
      <c r="FA148" s="227" t="s">
        <v>568</v>
      </c>
      <c r="FB148" s="161">
        <f t="shared" si="3"/>
        <v>0</v>
      </c>
    </row>
    <row r="149" spans="1:158" ht="17.25" thickBot="1" x14ac:dyDescent="0.3">
      <c r="A149" s="226">
        <v>46086</v>
      </c>
      <c r="B149" s="227" t="s">
        <v>197</v>
      </c>
      <c r="C149" s="227" t="s">
        <v>270</v>
      </c>
      <c r="D149" s="228">
        <v>15</v>
      </c>
      <c r="E149" s="231">
        <v>31680</v>
      </c>
      <c r="F149" s="231">
        <v>31130</v>
      </c>
      <c r="G149" s="228">
        <v>550</v>
      </c>
      <c r="H149" s="229">
        <v>1.77E-2</v>
      </c>
      <c r="I149" s="231">
        <v>31525</v>
      </c>
      <c r="J149" s="231">
        <v>30980</v>
      </c>
      <c r="K149" s="228">
        <v>545</v>
      </c>
      <c r="L149" s="229">
        <v>1.7600000000000001E-2</v>
      </c>
      <c r="M149" s="231">
        <v>31680</v>
      </c>
      <c r="N149" s="231">
        <v>31130</v>
      </c>
      <c r="O149" s="228">
        <v>550</v>
      </c>
      <c r="P149" s="229">
        <v>1.77E-2</v>
      </c>
      <c r="Q149" s="231">
        <v>31565</v>
      </c>
      <c r="R149" s="231">
        <v>31060</v>
      </c>
      <c r="S149" s="228">
        <v>505</v>
      </c>
      <c r="T149" s="229">
        <v>1.6299999999999999E-2</v>
      </c>
      <c r="U149" s="231">
        <v>31790</v>
      </c>
      <c r="V149" s="231">
        <v>31020</v>
      </c>
      <c r="W149" s="228">
        <v>770</v>
      </c>
      <c r="X149" s="229">
        <v>2.4799999999999999E-2</v>
      </c>
      <c r="Y149" s="228">
        <v>155</v>
      </c>
      <c r="Z149" s="228">
        <v>150</v>
      </c>
      <c r="AA149" s="228">
        <v>5</v>
      </c>
      <c r="AB149" s="229">
        <v>4.8999999999999998E-3</v>
      </c>
      <c r="AC149" s="228">
        <v>155</v>
      </c>
      <c r="AD149" s="228">
        <v>150</v>
      </c>
      <c r="AE149" s="228">
        <v>5</v>
      </c>
      <c r="AF149" s="229">
        <v>4.8999999999999998E-3</v>
      </c>
      <c r="AG149" s="228">
        <v>40</v>
      </c>
      <c r="AH149" s="228">
        <v>80</v>
      </c>
      <c r="AI149" s="228">
        <v>-40</v>
      </c>
      <c r="AJ149" s="229">
        <v>1.2999999999999999E-3</v>
      </c>
      <c r="AK149" s="228">
        <v>265</v>
      </c>
      <c r="AL149" s="228">
        <v>40</v>
      </c>
      <c r="AM149" s="228">
        <v>225</v>
      </c>
      <c r="AN149" s="229">
        <v>8.3999999999999995E-3</v>
      </c>
      <c r="AO149" s="231">
        <v>31573.68</v>
      </c>
      <c r="AP149" s="231">
        <v>31479.37</v>
      </c>
      <c r="AQ149" s="228">
        <v>0</v>
      </c>
      <c r="AR149" s="230">
        <v>50820</v>
      </c>
      <c r="AS149" s="230">
        <v>31110</v>
      </c>
      <c r="AT149" s="230">
        <v>19710</v>
      </c>
      <c r="AU149" s="229">
        <v>0.63360000000000005</v>
      </c>
      <c r="AV149" s="230">
        <v>48060</v>
      </c>
      <c r="AW149" s="230">
        <v>29760</v>
      </c>
      <c r="AX149" s="230">
        <v>18300</v>
      </c>
      <c r="AY149" s="229">
        <v>0.6149</v>
      </c>
      <c r="AZ149" s="230">
        <v>2520</v>
      </c>
      <c r="BA149" s="230">
        <v>1110</v>
      </c>
      <c r="BB149" s="230">
        <v>1410</v>
      </c>
      <c r="BC149" s="229">
        <v>1.2703</v>
      </c>
      <c r="BD149" s="228">
        <v>240</v>
      </c>
      <c r="BE149" s="228">
        <v>240</v>
      </c>
      <c r="BF149" s="228">
        <v>0</v>
      </c>
      <c r="BG149" s="229">
        <v>0</v>
      </c>
      <c r="BH149" s="230">
        <v>68340</v>
      </c>
      <c r="BI149" s="230">
        <v>148830</v>
      </c>
      <c r="BJ149" s="230">
        <v>-80490</v>
      </c>
      <c r="BK149" s="229">
        <v>-0.54079999999999995</v>
      </c>
      <c r="BL149" s="230">
        <v>25845</v>
      </c>
      <c r="BM149" s="230">
        <v>24945</v>
      </c>
      <c r="BN149" s="228">
        <v>900</v>
      </c>
      <c r="BO149" s="229">
        <v>3.61E-2</v>
      </c>
      <c r="BP149" s="230">
        <v>145005</v>
      </c>
      <c r="BQ149" s="230">
        <v>204885</v>
      </c>
      <c r="BR149" s="230">
        <v>-59880</v>
      </c>
      <c r="BS149" s="229">
        <v>-0.2923</v>
      </c>
      <c r="BT149" s="230">
        <v>32203</v>
      </c>
      <c r="BU149" s="230">
        <v>23430</v>
      </c>
      <c r="BV149" s="230">
        <v>8773</v>
      </c>
      <c r="BW149" s="229">
        <v>0.37440000000000001</v>
      </c>
      <c r="BX149" s="230">
        <v>229635</v>
      </c>
      <c r="BY149" s="230">
        <v>240330</v>
      </c>
      <c r="BZ149" s="230">
        <v>-10695</v>
      </c>
      <c r="CA149" s="229">
        <v>-4.4499999999999998E-2</v>
      </c>
      <c r="CB149" s="230">
        <v>217965</v>
      </c>
      <c r="CC149" s="230">
        <v>228975</v>
      </c>
      <c r="CD149" s="230">
        <v>-11010</v>
      </c>
      <c r="CE149" s="229">
        <v>-4.8099999999999997E-2</v>
      </c>
      <c r="CF149" s="230">
        <v>10170</v>
      </c>
      <c r="CG149" s="230">
        <v>9855</v>
      </c>
      <c r="CH149" s="228">
        <v>315</v>
      </c>
      <c r="CI149" s="229">
        <v>3.2000000000000001E-2</v>
      </c>
      <c r="CJ149" s="230">
        <v>1500</v>
      </c>
      <c r="CK149" s="230">
        <v>1500</v>
      </c>
      <c r="CL149" s="228">
        <v>0</v>
      </c>
      <c r="CM149" s="229">
        <v>0</v>
      </c>
      <c r="CN149" s="230">
        <v>82470</v>
      </c>
      <c r="CO149" s="230">
        <v>86565</v>
      </c>
      <c r="CP149" s="230">
        <v>-4095</v>
      </c>
      <c r="CQ149" s="229">
        <v>-4.7300000000000002E-2</v>
      </c>
      <c r="CR149" s="230">
        <v>46920</v>
      </c>
      <c r="CS149" s="230">
        <v>45825</v>
      </c>
      <c r="CT149" s="230">
        <v>1095</v>
      </c>
      <c r="CU149" s="229">
        <v>2.3900000000000001E-2</v>
      </c>
      <c r="CV149" s="230">
        <v>359025</v>
      </c>
      <c r="CW149" s="230">
        <v>372720</v>
      </c>
      <c r="CX149" s="230">
        <v>-13695</v>
      </c>
      <c r="CY149" s="229">
        <v>-3.6700000000000003E-2</v>
      </c>
      <c r="CZ149" s="228">
        <v>27.94</v>
      </c>
      <c r="DA149" s="228">
        <v>36.700000000000003</v>
      </c>
      <c r="DB149" s="228">
        <v>-8.76</v>
      </c>
      <c r="DC149" s="228">
        <v>-8.76</v>
      </c>
      <c r="DD149" s="228">
        <v>27.54</v>
      </c>
      <c r="DE149" s="228">
        <v>27.5</v>
      </c>
      <c r="DF149" s="228">
        <v>0.4</v>
      </c>
      <c r="DG149" s="228">
        <v>0.04</v>
      </c>
      <c r="DH149" s="228">
        <v>27.44</v>
      </c>
      <c r="DI149" s="228">
        <v>37.6</v>
      </c>
      <c r="DJ149" s="228">
        <v>-10.16</v>
      </c>
      <c r="DK149" s="228">
        <v>-10.16</v>
      </c>
      <c r="DL149" s="228">
        <v>29.25</v>
      </c>
      <c r="DM149" s="228">
        <v>31.29</v>
      </c>
      <c r="DN149" s="228">
        <v>-2.04</v>
      </c>
      <c r="DO149" s="228">
        <v>-2.04</v>
      </c>
      <c r="DP149" s="228">
        <v>0.56999999999999995</v>
      </c>
      <c r="DQ149" s="228">
        <v>0.53</v>
      </c>
      <c r="DR149" s="228">
        <v>0.04</v>
      </c>
      <c r="DS149" s="229">
        <v>7.5499999999999998E-2</v>
      </c>
      <c r="DT149" s="231">
        <v>35000</v>
      </c>
      <c r="DU149" s="231">
        <v>33000</v>
      </c>
      <c r="DV149" s="228">
        <v>0.38</v>
      </c>
      <c r="DW149" s="228">
        <v>0.17</v>
      </c>
      <c r="DX149" s="228">
        <v>0.21</v>
      </c>
      <c r="DY149" s="229">
        <v>1.2353000000000001</v>
      </c>
      <c r="DZ149" s="229">
        <v>5.0799999999999998E-2</v>
      </c>
      <c r="EA149" s="230">
        <v>11355</v>
      </c>
      <c r="EB149" s="229">
        <v>-3.5999999999999999E-3</v>
      </c>
      <c r="EC149" s="229">
        <v>5.0799999999999998E-2</v>
      </c>
      <c r="ED149" s="228">
        <v>-94.31</v>
      </c>
      <c r="EE149" s="229">
        <v>-3.0000000000000001E-3</v>
      </c>
      <c r="EF149" s="230">
        <v>17893</v>
      </c>
      <c r="EG149" s="230">
        <v>11915</v>
      </c>
      <c r="EH149" s="229">
        <v>0.50170000000000003</v>
      </c>
      <c r="EI149" s="229">
        <v>0.55559999999999998</v>
      </c>
      <c r="EJ149" s="231">
        <v>23387.21</v>
      </c>
      <c r="EK149" s="231">
        <v>7839.74</v>
      </c>
      <c r="EL149" s="231">
        <v>16043.23</v>
      </c>
      <c r="EM149" s="231">
        <v>2665</v>
      </c>
      <c r="EN149" s="231">
        <v>47270.18</v>
      </c>
      <c r="EO149" s="231">
        <v>73317.929999999993</v>
      </c>
      <c r="EP149" s="231">
        <v>-26047.75</v>
      </c>
      <c r="EQ149" s="229">
        <v>-0.3553</v>
      </c>
      <c r="ER149" s="231">
        <v>28261</v>
      </c>
      <c r="ES149" s="231">
        <v>14825</v>
      </c>
      <c r="ET149" s="231">
        <v>72738</v>
      </c>
      <c r="EU149" s="231">
        <v>955549</v>
      </c>
      <c r="EV149" s="231">
        <v>115824</v>
      </c>
      <c r="EW149" s="231">
        <v>119006</v>
      </c>
      <c r="EX149" s="231">
        <v>-3182</v>
      </c>
      <c r="EY149" s="229">
        <v>-2.6700000000000002E-2</v>
      </c>
      <c r="EZ149" s="229">
        <v>0.37569999999999998</v>
      </c>
      <c r="FA149" s="227" t="s">
        <v>556</v>
      </c>
      <c r="FB149" s="161">
        <f t="shared" si="3"/>
        <v>0</v>
      </c>
    </row>
    <row r="150" spans="1:158" ht="17.25" thickBot="1" x14ac:dyDescent="0.3">
      <c r="A150" s="226">
        <v>46086</v>
      </c>
      <c r="B150" s="227" t="s">
        <v>168</v>
      </c>
      <c r="C150" s="227" t="s">
        <v>665</v>
      </c>
      <c r="D150" s="228">
        <v>900</v>
      </c>
      <c r="E150" s="228">
        <v>501.4</v>
      </c>
      <c r="F150" s="228">
        <v>503.3</v>
      </c>
      <c r="G150" s="228">
        <v>-1.9</v>
      </c>
      <c r="H150" s="229">
        <v>-3.8E-3</v>
      </c>
      <c r="I150" s="228">
        <v>499.8</v>
      </c>
      <c r="J150" s="228">
        <v>503.4</v>
      </c>
      <c r="K150" s="228">
        <v>-3.6</v>
      </c>
      <c r="L150" s="229">
        <v>-7.1999999999999998E-3</v>
      </c>
      <c r="M150" s="228">
        <v>501.4</v>
      </c>
      <c r="N150" s="228">
        <v>503.3</v>
      </c>
      <c r="O150" s="228">
        <v>-1.9</v>
      </c>
      <c r="P150" s="229">
        <v>-3.8E-3</v>
      </c>
      <c r="Q150" s="228">
        <v>504.75</v>
      </c>
      <c r="R150" s="228">
        <v>506.05</v>
      </c>
      <c r="S150" s="228">
        <v>-1.3</v>
      </c>
      <c r="T150" s="229">
        <v>-2.5999999999999999E-3</v>
      </c>
      <c r="U150" s="228">
        <v>523.4</v>
      </c>
      <c r="V150" s="228">
        <v>523.4</v>
      </c>
      <c r="W150" s="228">
        <v>0</v>
      </c>
      <c r="X150" s="229">
        <v>0</v>
      </c>
      <c r="Y150" s="228">
        <v>1.6</v>
      </c>
      <c r="Z150" s="228">
        <v>-0.1</v>
      </c>
      <c r="AA150" s="228">
        <v>1.7</v>
      </c>
      <c r="AB150" s="229">
        <v>3.2000000000000002E-3</v>
      </c>
      <c r="AC150" s="228">
        <v>1.6</v>
      </c>
      <c r="AD150" s="228">
        <v>-0.1</v>
      </c>
      <c r="AE150" s="228">
        <v>1.7</v>
      </c>
      <c r="AF150" s="229">
        <v>3.2000000000000002E-3</v>
      </c>
      <c r="AG150" s="228">
        <v>4.95</v>
      </c>
      <c r="AH150" s="228">
        <v>2.65</v>
      </c>
      <c r="AI150" s="228">
        <v>2.2999999999999998</v>
      </c>
      <c r="AJ150" s="229">
        <v>9.9000000000000008E-3</v>
      </c>
      <c r="AK150" s="228">
        <v>23.6</v>
      </c>
      <c r="AL150" s="228">
        <v>20</v>
      </c>
      <c r="AM150" s="228">
        <v>3.6</v>
      </c>
      <c r="AN150" s="229">
        <v>4.7199999999999999E-2</v>
      </c>
      <c r="AO150" s="228">
        <v>502.38</v>
      </c>
      <c r="AP150" s="228">
        <v>505.18</v>
      </c>
      <c r="AQ150" s="228">
        <v>0</v>
      </c>
      <c r="AR150" s="230">
        <v>2472300</v>
      </c>
      <c r="AS150" s="230">
        <v>4515300</v>
      </c>
      <c r="AT150" s="230">
        <v>-2043000</v>
      </c>
      <c r="AU150" s="229">
        <v>-0.45250000000000001</v>
      </c>
      <c r="AV150" s="230">
        <v>2419200</v>
      </c>
      <c r="AW150" s="230">
        <v>4437900</v>
      </c>
      <c r="AX150" s="230">
        <v>-2018700</v>
      </c>
      <c r="AY150" s="229">
        <v>-0.45490000000000003</v>
      </c>
      <c r="AZ150" s="230">
        <v>53100</v>
      </c>
      <c r="BA150" s="230">
        <v>77400</v>
      </c>
      <c r="BB150" s="230">
        <v>-24300</v>
      </c>
      <c r="BC150" s="229">
        <v>-0.314</v>
      </c>
      <c r="BD150" s="228">
        <v>0</v>
      </c>
      <c r="BE150" s="228">
        <v>0</v>
      </c>
      <c r="BF150" s="228">
        <v>0</v>
      </c>
      <c r="BG150" s="229">
        <v>0</v>
      </c>
      <c r="BH150" s="230">
        <v>1486800</v>
      </c>
      <c r="BI150" s="230">
        <v>1933200</v>
      </c>
      <c r="BJ150" s="230">
        <v>-446400</v>
      </c>
      <c r="BK150" s="229">
        <v>-0.23089999999999999</v>
      </c>
      <c r="BL150" s="230">
        <v>498600</v>
      </c>
      <c r="BM150" s="230">
        <v>1411200</v>
      </c>
      <c r="BN150" s="230">
        <v>-912600</v>
      </c>
      <c r="BO150" s="229">
        <v>-0.64670000000000005</v>
      </c>
      <c r="BP150" s="230">
        <v>4457700</v>
      </c>
      <c r="BQ150" s="230">
        <v>7859700</v>
      </c>
      <c r="BR150" s="230">
        <v>-3402000</v>
      </c>
      <c r="BS150" s="229">
        <v>-0.43280000000000002</v>
      </c>
      <c r="BT150" s="230">
        <v>2297714</v>
      </c>
      <c r="BU150" s="230">
        <v>2392076</v>
      </c>
      <c r="BV150" s="230">
        <v>-94362</v>
      </c>
      <c r="BW150" s="229">
        <v>-3.9399999999999998E-2</v>
      </c>
      <c r="BX150" s="230">
        <v>37811700</v>
      </c>
      <c r="BY150" s="230">
        <v>37952100</v>
      </c>
      <c r="BZ150" s="230">
        <v>-140400</v>
      </c>
      <c r="CA150" s="229">
        <v>-3.7000000000000002E-3</v>
      </c>
      <c r="CB150" s="230">
        <v>37660500</v>
      </c>
      <c r="CC150" s="230">
        <v>37818000</v>
      </c>
      <c r="CD150" s="230">
        <v>-157500</v>
      </c>
      <c r="CE150" s="229">
        <v>-4.1999999999999997E-3</v>
      </c>
      <c r="CF150" s="230">
        <v>150300</v>
      </c>
      <c r="CG150" s="230">
        <v>133200</v>
      </c>
      <c r="CH150" s="230">
        <v>17100</v>
      </c>
      <c r="CI150" s="229">
        <v>0.12839999999999999</v>
      </c>
      <c r="CJ150" s="228">
        <v>900</v>
      </c>
      <c r="CK150" s="228">
        <v>900</v>
      </c>
      <c r="CL150" s="228">
        <v>0</v>
      </c>
      <c r="CM150" s="229">
        <v>0</v>
      </c>
      <c r="CN150" s="230">
        <v>2952900</v>
      </c>
      <c r="CO150" s="230">
        <v>2637000</v>
      </c>
      <c r="CP150" s="230">
        <v>315900</v>
      </c>
      <c r="CQ150" s="229">
        <v>0.1198</v>
      </c>
      <c r="CR150" s="230">
        <v>1849500</v>
      </c>
      <c r="CS150" s="230">
        <v>1890900</v>
      </c>
      <c r="CT150" s="230">
        <v>-41400</v>
      </c>
      <c r="CU150" s="229">
        <v>-2.1899999999999999E-2</v>
      </c>
      <c r="CV150" s="230">
        <v>42614100</v>
      </c>
      <c r="CW150" s="230">
        <v>42480000</v>
      </c>
      <c r="CX150" s="230">
        <v>134100</v>
      </c>
      <c r="CY150" s="229">
        <v>3.2000000000000002E-3</v>
      </c>
      <c r="CZ150" s="228">
        <v>29.08</v>
      </c>
      <c r="DA150" s="228">
        <v>31</v>
      </c>
      <c r="DB150" s="228">
        <v>-1.92</v>
      </c>
      <c r="DC150" s="228">
        <v>-1.92</v>
      </c>
      <c r="DD150" s="228">
        <v>31.96</v>
      </c>
      <c r="DE150" s="228">
        <v>32.04</v>
      </c>
      <c r="DF150" s="228">
        <v>-2.88</v>
      </c>
      <c r="DG150" s="228">
        <v>-0.08</v>
      </c>
      <c r="DH150" s="228">
        <v>28.81</v>
      </c>
      <c r="DI150" s="228">
        <v>30.72</v>
      </c>
      <c r="DJ150" s="228">
        <v>-1.91</v>
      </c>
      <c r="DK150" s="228">
        <v>-1.91</v>
      </c>
      <c r="DL150" s="228">
        <v>29.88</v>
      </c>
      <c r="DM150" s="228">
        <v>31.38</v>
      </c>
      <c r="DN150" s="228">
        <v>-1.5</v>
      </c>
      <c r="DO150" s="228">
        <v>-1.5</v>
      </c>
      <c r="DP150" s="228">
        <v>0.63</v>
      </c>
      <c r="DQ150" s="228">
        <v>0.72</v>
      </c>
      <c r="DR150" s="228">
        <v>-0.09</v>
      </c>
      <c r="DS150" s="229">
        <v>-0.125</v>
      </c>
      <c r="DT150" s="228">
        <v>550</v>
      </c>
      <c r="DU150" s="228">
        <v>510</v>
      </c>
      <c r="DV150" s="228">
        <v>0.34</v>
      </c>
      <c r="DW150" s="228">
        <v>0.73</v>
      </c>
      <c r="DX150" s="228">
        <v>-0.39</v>
      </c>
      <c r="DY150" s="229">
        <v>-0.53420000000000001</v>
      </c>
      <c r="DZ150" s="229">
        <v>4.0000000000000001E-3</v>
      </c>
      <c r="EA150" s="230">
        <v>134100</v>
      </c>
      <c r="EB150" s="229">
        <v>6.7000000000000002E-3</v>
      </c>
      <c r="EC150" s="229">
        <v>4.0000000000000001E-3</v>
      </c>
      <c r="ED150" s="228">
        <v>2.8</v>
      </c>
      <c r="EE150" s="229">
        <v>5.5999999999999999E-3</v>
      </c>
      <c r="EF150" s="230">
        <v>1223699</v>
      </c>
      <c r="EG150" s="230">
        <v>910651</v>
      </c>
      <c r="EH150" s="229">
        <v>0.34379999999999999</v>
      </c>
      <c r="EI150" s="229">
        <v>0.53259999999999996</v>
      </c>
      <c r="EJ150" s="231">
        <v>7935.23</v>
      </c>
      <c r="EK150" s="231">
        <v>2501.6799999999998</v>
      </c>
      <c r="EL150" s="231">
        <v>12421.75</v>
      </c>
      <c r="EM150" s="231">
        <v>5033</v>
      </c>
      <c r="EN150" s="231">
        <v>22858.66</v>
      </c>
      <c r="EO150" s="231">
        <v>40377.370000000003</v>
      </c>
      <c r="EP150" s="231">
        <v>-17518.71</v>
      </c>
      <c r="EQ150" s="229">
        <v>-0.43390000000000001</v>
      </c>
      <c r="ER150" s="231">
        <v>15729</v>
      </c>
      <c r="ES150" s="231">
        <v>9465</v>
      </c>
      <c r="ET150" s="231">
        <v>189593</v>
      </c>
      <c r="EU150" s="231">
        <v>50886533</v>
      </c>
      <c r="EV150" s="231">
        <v>214787</v>
      </c>
      <c r="EW150" s="231">
        <v>214721</v>
      </c>
      <c r="EX150" s="228">
        <v>66</v>
      </c>
      <c r="EY150" s="229">
        <v>2.9999999999999997E-4</v>
      </c>
      <c r="EZ150" s="229">
        <v>0.83740000000000003</v>
      </c>
      <c r="FA150" s="227" t="s">
        <v>568</v>
      </c>
      <c r="FB150" s="161">
        <f t="shared" si="3"/>
        <v>0</v>
      </c>
    </row>
    <row r="151" spans="1:158" ht="17.25" thickBot="1" x14ac:dyDescent="0.3">
      <c r="A151" s="226">
        <v>46086</v>
      </c>
      <c r="B151" s="227" t="s">
        <v>615</v>
      </c>
      <c r="C151" s="227" t="s">
        <v>575</v>
      </c>
      <c r="D151" s="228">
        <v>725</v>
      </c>
      <c r="E151" s="231">
        <v>1057.4000000000001</v>
      </c>
      <c r="F151" s="231">
        <v>1048</v>
      </c>
      <c r="G151" s="228">
        <v>9.4</v>
      </c>
      <c r="H151" s="229">
        <v>8.9999999999999993E-3</v>
      </c>
      <c r="I151" s="231">
        <v>1052.9000000000001</v>
      </c>
      <c r="J151" s="231">
        <v>1045.5</v>
      </c>
      <c r="K151" s="228">
        <v>7.4</v>
      </c>
      <c r="L151" s="229">
        <v>7.1000000000000004E-3</v>
      </c>
      <c r="M151" s="231">
        <v>1057.4000000000001</v>
      </c>
      <c r="N151" s="231">
        <v>1048</v>
      </c>
      <c r="O151" s="228">
        <v>9.4</v>
      </c>
      <c r="P151" s="229">
        <v>8.9999999999999993E-3</v>
      </c>
      <c r="Q151" s="231">
        <v>1065.2</v>
      </c>
      <c r="R151" s="231">
        <v>1054.2</v>
      </c>
      <c r="S151" s="228">
        <v>11</v>
      </c>
      <c r="T151" s="229">
        <v>1.04E-2</v>
      </c>
      <c r="U151" s="231">
        <v>1070</v>
      </c>
      <c r="V151" s="231">
        <v>1065</v>
      </c>
      <c r="W151" s="228">
        <v>5</v>
      </c>
      <c r="X151" s="229">
        <v>4.7000000000000002E-3</v>
      </c>
      <c r="Y151" s="228">
        <v>4.5</v>
      </c>
      <c r="Z151" s="228">
        <v>2.5</v>
      </c>
      <c r="AA151" s="228">
        <v>2</v>
      </c>
      <c r="AB151" s="229">
        <v>4.3E-3</v>
      </c>
      <c r="AC151" s="228">
        <v>4.5</v>
      </c>
      <c r="AD151" s="228">
        <v>2.5</v>
      </c>
      <c r="AE151" s="228">
        <v>2</v>
      </c>
      <c r="AF151" s="229">
        <v>4.3E-3</v>
      </c>
      <c r="AG151" s="228">
        <v>12.3</v>
      </c>
      <c r="AH151" s="228">
        <v>8.6999999999999993</v>
      </c>
      <c r="AI151" s="228">
        <v>3.6</v>
      </c>
      <c r="AJ151" s="229">
        <v>1.17E-2</v>
      </c>
      <c r="AK151" s="228">
        <v>17.100000000000001</v>
      </c>
      <c r="AL151" s="228">
        <v>19.5</v>
      </c>
      <c r="AM151" s="228">
        <v>-2.4</v>
      </c>
      <c r="AN151" s="229">
        <v>1.6199999999999999E-2</v>
      </c>
      <c r="AO151" s="231">
        <v>1051.97</v>
      </c>
      <c r="AP151" s="231">
        <v>1059.5999999999999</v>
      </c>
      <c r="AQ151" s="228">
        <v>0</v>
      </c>
      <c r="AR151" s="230">
        <v>4589975</v>
      </c>
      <c r="AS151" s="230">
        <v>6121900</v>
      </c>
      <c r="AT151" s="230">
        <v>-1531925</v>
      </c>
      <c r="AU151" s="229">
        <v>-0.25019999999999998</v>
      </c>
      <c r="AV151" s="230">
        <v>4440625</v>
      </c>
      <c r="AW151" s="230">
        <v>5909475</v>
      </c>
      <c r="AX151" s="230">
        <v>-1468850</v>
      </c>
      <c r="AY151" s="229">
        <v>-0.24859999999999999</v>
      </c>
      <c r="AZ151" s="230">
        <v>144275</v>
      </c>
      <c r="BA151" s="230">
        <v>193575</v>
      </c>
      <c r="BB151" s="230">
        <v>-49300</v>
      </c>
      <c r="BC151" s="229">
        <v>-0.25469999999999998</v>
      </c>
      <c r="BD151" s="230">
        <v>5075</v>
      </c>
      <c r="BE151" s="230">
        <v>18850</v>
      </c>
      <c r="BF151" s="230">
        <v>-13775</v>
      </c>
      <c r="BG151" s="229">
        <v>-0.73080000000000001</v>
      </c>
      <c r="BH151" s="230">
        <v>9318425</v>
      </c>
      <c r="BI151" s="230">
        <v>9314800</v>
      </c>
      <c r="BJ151" s="230">
        <v>3625</v>
      </c>
      <c r="BK151" s="229">
        <v>4.0000000000000002E-4</v>
      </c>
      <c r="BL151" s="230">
        <v>4243425</v>
      </c>
      <c r="BM151" s="230">
        <v>6673625</v>
      </c>
      <c r="BN151" s="230">
        <v>-2430200</v>
      </c>
      <c r="BO151" s="229">
        <v>-0.36409999999999998</v>
      </c>
      <c r="BP151" s="230">
        <v>18151825</v>
      </c>
      <c r="BQ151" s="230">
        <v>22110325</v>
      </c>
      <c r="BR151" s="230">
        <v>-3958500</v>
      </c>
      <c r="BS151" s="229">
        <v>-0.17899999999999999</v>
      </c>
      <c r="BT151" s="230">
        <v>2245898</v>
      </c>
      <c r="BU151" s="230">
        <v>4277348</v>
      </c>
      <c r="BV151" s="230">
        <v>-2031450</v>
      </c>
      <c r="BW151" s="229">
        <v>-0.47489999999999999</v>
      </c>
      <c r="BX151" s="230">
        <v>21917475</v>
      </c>
      <c r="BY151" s="230">
        <v>21352700</v>
      </c>
      <c r="BZ151" s="230">
        <v>564775</v>
      </c>
      <c r="CA151" s="229">
        <v>2.64E-2</v>
      </c>
      <c r="CB151" s="230">
        <v>21591225</v>
      </c>
      <c r="CC151" s="230">
        <v>21029350</v>
      </c>
      <c r="CD151" s="230">
        <v>561875</v>
      </c>
      <c r="CE151" s="229">
        <v>2.6700000000000002E-2</v>
      </c>
      <c r="CF151" s="230">
        <v>290725</v>
      </c>
      <c r="CG151" s="230">
        <v>290725</v>
      </c>
      <c r="CH151" s="228">
        <v>0</v>
      </c>
      <c r="CI151" s="229">
        <v>0</v>
      </c>
      <c r="CJ151" s="230">
        <v>35525</v>
      </c>
      <c r="CK151" s="230">
        <v>32625</v>
      </c>
      <c r="CL151" s="230">
        <v>2900</v>
      </c>
      <c r="CM151" s="229">
        <v>8.8900000000000007E-2</v>
      </c>
      <c r="CN151" s="230">
        <v>7755325</v>
      </c>
      <c r="CO151" s="230">
        <v>7637875</v>
      </c>
      <c r="CP151" s="230">
        <v>117450</v>
      </c>
      <c r="CQ151" s="229">
        <v>1.54E-2</v>
      </c>
      <c r="CR151" s="230">
        <v>5383850</v>
      </c>
      <c r="CS151" s="230">
        <v>5276550</v>
      </c>
      <c r="CT151" s="230">
        <v>107300</v>
      </c>
      <c r="CU151" s="229">
        <v>2.0299999999999999E-2</v>
      </c>
      <c r="CV151" s="230">
        <v>35056650</v>
      </c>
      <c r="CW151" s="230">
        <v>34267125</v>
      </c>
      <c r="CX151" s="230">
        <v>789525</v>
      </c>
      <c r="CY151" s="229">
        <v>2.3E-2</v>
      </c>
      <c r="CZ151" s="228">
        <v>37.700000000000003</v>
      </c>
      <c r="DA151" s="228">
        <v>41.22</v>
      </c>
      <c r="DB151" s="228">
        <v>-3.52</v>
      </c>
      <c r="DC151" s="228">
        <v>-3.52</v>
      </c>
      <c r="DD151" s="228">
        <v>51.12</v>
      </c>
      <c r="DE151" s="228">
        <v>51.23</v>
      </c>
      <c r="DF151" s="228">
        <v>-13.42</v>
      </c>
      <c r="DG151" s="228">
        <v>-0.11</v>
      </c>
      <c r="DH151" s="228">
        <v>36.880000000000003</v>
      </c>
      <c r="DI151" s="228">
        <v>39.83</v>
      </c>
      <c r="DJ151" s="228">
        <v>-2.95</v>
      </c>
      <c r="DK151" s="228">
        <v>-2.95</v>
      </c>
      <c r="DL151" s="228">
        <v>39.520000000000003</v>
      </c>
      <c r="DM151" s="228">
        <v>43.16</v>
      </c>
      <c r="DN151" s="228">
        <v>-3.64</v>
      </c>
      <c r="DO151" s="228">
        <v>-3.64</v>
      </c>
      <c r="DP151" s="228">
        <v>0.69</v>
      </c>
      <c r="DQ151" s="228">
        <v>0.69</v>
      </c>
      <c r="DR151" s="228">
        <v>0</v>
      </c>
      <c r="DS151" s="229">
        <v>0</v>
      </c>
      <c r="DT151" s="231">
        <v>1200</v>
      </c>
      <c r="DU151" s="231">
        <v>1000</v>
      </c>
      <c r="DV151" s="228">
        <v>0.46</v>
      </c>
      <c r="DW151" s="228">
        <v>0.72</v>
      </c>
      <c r="DX151" s="228">
        <v>-0.26</v>
      </c>
      <c r="DY151" s="229">
        <v>-0.36109999999999998</v>
      </c>
      <c r="DZ151" s="229">
        <v>1.49E-2</v>
      </c>
      <c r="EA151" s="230">
        <v>323350</v>
      </c>
      <c r="EB151" s="229">
        <v>7.4000000000000003E-3</v>
      </c>
      <c r="EC151" s="229">
        <v>1.49E-2</v>
      </c>
      <c r="ED151" s="228">
        <v>7.63</v>
      </c>
      <c r="EE151" s="229">
        <v>7.3000000000000001E-3</v>
      </c>
      <c r="EF151" s="230">
        <v>868786</v>
      </c>
      <c r="EG151" s="230">
        <v>1890245</v>
      </c>
      <c r="EH151" s="229">
        <v>-0.54039999999999999</v>
      </c>
      <c r="EI151" s="229">
        <v>0.38679999999999998</v>
      </c>
      <c r="EJ151" s="231">
        <v>106908.8</v>
      </c>
      <c r="EK151" s="231">
        <v>44689.38</v>
      </c>
      <c r="EL151" s="231">
        <v>48296.800000000003</v>
      </c>
      <c r="EM151" s="231">
        <v>8333</v>
      </c>
      <c r="EN151" s="231">
        <v>199894.98</v>
      </c>
      <c r="EO151" s="231">
        <v>239800.27</v>
      </c>
      <c r="EP151" s="231">
        <v>-39905.29</v>
      </c>
      <c r="EQ151" s="229">
        <v>-0.16639999999999999</v>
      </c>
      <c r="ER151" s="231">
        <v>91381</v>
      </c>
      <c r="ES151" s="231">
        <v>58530</v>
      </c>
      <c r="ET151" s="231">
        <v>231783</v>
      </c>
      <c r="EU151" s="231">
        <v>95799519</v>
      </c>
      <c r="EV151" s="231">
        <v>381693</v>
      </c>
      <c r="EW151" s="231">
        <v>371617</v>
      </c>
      <c r="EX151" s="231">
        <v>10076</v>
      </c>
      <c r="EY151" s="229">
        <v>2.7099999999999999E-2</v>
      </c>
      <c r="EZ151" s="229">
        <v>0.3659</v>
      </c>
      <c r="FA151" s="227" t="s">
        <v>555</v>
      </c>
      <c r="FB151" s="161">
        <f t="shared" si="3"/>
        <v>0</v>
      </c>
    </row>
    <row r="152" spans="1:158" ht="17.25" thickBot="1" x14ac:dyDescent="0.3">
      <c r="A152" s="226">
        <v>46086</v>
      </c>
      <c r="B152" s="227" t="s">
        <v>221</v>
      </c>
      <c r="C152" s="227" t="s">
        <v>529</v>
      </c>
      <c r="D152" s="228">
        <v>100</v>
      </c>
      <c r="E152" s="231">
        <v>4650.2</v>
      </c>
      <c r="F152" s="231">
        <v>4716.2</v>
      </c>
      <c r="G152" s="228">
        <v>-66</v>
      </c>
      <c r="H152" s="229">
        <v>-1.4E-2</v>
      </c>
      <c r="I152" s="231">
        <v>4641.7</v>
      </c>
      <c r="J152" s="231">
        <v>4709.1000000000004</v>
      </c>
      <c r="K152" s="228">
        <v>-67.400000000000006</v>
      </c>
      <c r="L152" s="229">
        <v>-1.43E-2</v>
      </c>
      <c r="M152" s="231">
        <v>4650.2</v>
      </c>
      <c r="N152" s="231">
        <v>4716.2</v>
      </c>
      <c r="O152" s="228">
        <v>-66</v>
      </c>
      <c r="P152" s="229">
        <v>-1.4E-2</v>
      </c>
      <c r="Q152" s="231">
        <v>4655.6000000000004</v>
      </c>
      <c r="R152" s="231">
        <v>4722.2</v>
      </c>
      <c r="S152" s="228">
        <v>-66.599999999999994</v>
      </c>
      <c r="T152" s="229">
        <v>-1.41E-2</v>
      </c>
      <c r="U152" s="231">
        <v>4669</v>
      </c>
      <c r="V152" s="231">
        <v>4744.3999999999996</v>
      </c>
      <c r="W152" s="228">
        <v>-75.400000000000006</v>
      </c>
      <c r="X152" s="229">
        <v>-1.5900000000000001E-2</v>
      </c>
      <c r="Y152" s="228">
        <v>8.5</v>
      </c>
      <c r="Z152" s="228">
        <v>7.1</v>
      </c>
      <c r="AA152" s="228">
        <v>1.4</v>
      </c>
      <c r="AB152" s="229">
        <v>1.8E-3</v>
      </c>
      <c r="AC152" s="228">
        <v>8.5</v>
      </c>
      <c r="AD152" s="228">
        <v>7.1</v>
      </c>
      <c r="AE152" s="228">
        <v>1.4</v>
      </c>
      <c r="AF152" s="229">
        <v>1.8E-3</v>
      </c>
      <c r="AG152" s="228">
        <v>13.9</v>
      </c>
      <c r="AH152" s="228">
        <v>13.1</v>
      </c>
      <c r="AI152" s="228">
        <v>0.8</v>
      </c>
      <c r="AJ152" s="229">
        <v>3.0000000000000001E-3</v>
      </c>
      <c r="AK152" s="228">
        <v>27.3</v>
      </c>
      <c r="AL152" s="228">
        <v>35.299999999999997</v>
      </c>
      <c r="AM152" s="228">
        <v>-8</v>
      </c>
      <c r="AN152" s="229">
        <v>5.8999999999999999E-3</v>
      </c>
      <c r="AO152" s="231">
        <v>4655.91</v>
      </c>
      <c r="AP152" s="231">
        <v>4669.09</v>
      </c>
      <c r="AQ152" s="228">
        <v>0</v>
      </c>
      <c r="AR152" s="230">
        <v>912000</v>
      </c>
      <c r="AS152" s="230">
        <v>1038900</v>
      </c>
      <c r="AT152" s="230">
        <v>-126900</v>
      </c>
      <c r="AU152" s="229">
        <v>-0.1221</v>
      </c>
      <c r="AV152" s="230">
        <v>837900</v>
      </c>
      <c r="AW152" s="230">
        <v>991800</v>
      </c>
      <c r="AX152" s="230">
        <v>-153900</v>
      </c>
      <c r="AY152" s="229">
        <v>-0.1552</v>
      </c>
      <c r="AZ152" s="230">
        <v>67900</v>
      </c>
      <c r="BA152" s="230">
        <v>36500</v>
      </c>
      <c r="BB152" s="230">
        <v>31400</v>
      </c>
      <c r="BC152" s="229">
        <v>0.86029999999999995</v>
      </c>
      <c r="BD152" s="230">
        <v>6200</v>
      </c>
      <c r="BE152" s="230">
        <v>10600</v>
      </c>
      <c r="BF152" s="230">
        <v>-4400</v>
      </c>
      <c r="BG152" s="229">
        <v>-0.41510000000000002</v>
      </c>
      <c r="BH152" s="230">
        <v>2370000</v>
      </c>
      <c r="BI152" s="230">
        <v>2509300</v>
      </c>
      <c r="BJ152" s="230">
        <v>-139300</v>
      </c>
      <c r="BK152" s="229">
        <v>-5.5500000000000001E-2</v>
      </c>
      <c r="BL152" s="230">
        <v>1939900</v>
      </c>
      <c r="BM152" s="230">
        <v>1526200</v>
      </c>
      <c r="BN152" s="230">
        <v>413700</v>
      </c>
      <c r="BO152" s="229">
        <v>0.27110000000000001</v>
      </c>
      <c r="BP152" s="230">
        <v>5221900</v>
      </c>
      <c r="BQ152" s="230">
        <v>5074400</v>
      </c>
      <c r="BR152" s="230">
        <v>147500</v>
      </c>
      <c r="BS152" s="229">
        <v>2.9100000000000001E-2</v>
      </c>
      <c r="BT152" s="230">
        <v>636120</v>
      </c>
      <c r="BU152" s="230">
        <v>745553</v>
      </c>
      <c r="BV152" s="230">
        <v>-109433</v>
      </c>
      <c r="BW152" s="229">
        <v>-0.14680000000000001</v>
      </c>
      <c r="BX152" s="230">
        <v>4090500</v>
      </c>
      <c r="BY152" s="230">
        <v>4067400</v>
      </c>
      <c r="BZ152" s="230">
        <v>23100</v>
      </c>
      <c r="CA152" s="229">
        <v>5.7000000000000002E-3</v>
      </c>
      <c r="CB152" s="230">
        <v>3961500</v>
      </c>
      <c r="CC152" s="230">
        <v>3943800</v>
      </c>
      <c r="CD152" s="230">
        <v>17700</v>
      </c>
      <c r="CE152" s="229">
        <v>4.4999999999999997E-3</v>
      </c>
      <c r="CF152" s="230">
        <v>116500</v>
      </c>
      <c r="CG152" s="230">
        <v>112500</v>
      </c>
      <c r="CH152" s="230">
        <v>4000</v>
      </c>
      <c r="CI152" s="229">
        <v>3.56E-2</v>
      </c>
      <c r="CJ152" s="230">
        <v>12500</v>
      </c>
      <c r="CK152" s="230">
        <v>11100</v>
      </c>
      <c r="CL152" s="230">
        <v>1400</v>
      </c>
      <c r="CM152" s="229">
        <v>0.12609999999999999</v>
      </c>
      <c r="CN152" s="230">
        <v>1783100</v>
      </c>
      <c r="CO152" s="230">
        <v>1732400</v>
      </c>
      <c r="CP152" s="230">
        <v>50700</v>
      </c>
      <c r="CQ152" s="229">
        <v>2.93E-2</v>
      </c>
      <c r="CR152" s="230">
        <v>1269500</v>
      </c>
      <c r="CS152" s="230">
        <v>1242600</v>
      </c>
      <c r="CT152" s="230">
        <v>26900</v>
      </c>
      <c r="CU152" s="229">
        <v>2.1600000000000001E-2</v>
      </c>
      <c r="CV152" s="230">
        <v>7143100</v>
      </c>
      <c r="CW152" s="230">
        <v>7042400</v>
      </c>
      <c r="CX152" s="230">
        <v>100700</v>
      </c>
      <c r="CY152" s="229">
        <v>1.43E-2</v>
      </c>
      <c r="CZ152" s="228">
        <v>41.26</v>
      </c>
      <c r="DA152" s="228">
        <v>44.72</v>
      </c>
      <c r="DB152" s="228">
        <v>-3.46</v>
      </c>
      <c r="DC152" s="228">
        <v>-3.46</v>
      </c>
      <c r="DD152" s="228">
        <v>40.43</v>
      </c>
      <c r="DE152" s="228">
        <v>40.479999999999997</v>
      </c>
      <c r="DF152" s="228">
        <v>0.83</v>
      </c>
      <c r="DG152" s="228">
        <v>-0.05</v>
      </c>
      <c r="DH152" s="228">
        <v>40.44</v>
      </c>
      <c r="DI152" s="228">
        <v>44.06</v>
      </c>
      <c r="DJ152" s="228">
        <v>-3.62</v>
      </c>
      <c r="DK152" s="228">
        <v>-3.62</v>
      </c>
      <c r="DL152" s="228">
        <v>42.26</v>
      </c>
      <c r="DM152" s="228">
        <v>45.8</v>
      </c>
      <c r="DN152" s="228">
        <v>-3.54</v>
      </c>
      <c r="DO152" s="228">
        <v>-3.54</v>
      </c>
      <c r="DP152" s="228">
        <v>0.71</v>
      </c>
      <c r="DQ152" s="228">
        <v>0.72</v>
      </c>
      <c r="DR152" s="228">
        <v>-0.01</v>
      </c>
      <c r="DS152" s="229">
        <v>-1.3899999999999999E-2</v>
      </c>
      <c r="DT152" s="231">
        <v>5000</v>
      </c>
      <c r="DU152" s="231">
        <v>5500</v>
      </c>
      <c r="DV152" s="228">
        <v>0.82</v>
      </c>
      <c r="DW152" s="228">
        <v>0.61</v>
      </c>
      <c r="DX152" s="228">
        <v>0.21</v>
      </c>
      <c r="DY152" s="229">
        <v>0.34429999999999999</v>
      </c>
      <c r="DZ152" s="229">
        <v>3.15E-2</v>
      </c>
      <c r="EA152" s="230">
        <v>123600</v>
      </c>
      <c r="EB152" s="229">
        <v>1.1999999999999999E-3</v>
      </c>
      <c r="EC152" s="229">
        <v>3.15E-2</v>
      </c>
      <c r="ED152" s="228">
        <v>13.18</v>
      </c>
      <c r="EE152" s="229">
        <v>2.8E-3</v>
      </c>
      <c r="EF152" s="230">
        <v>234919</v>
      </c>
      <c r="EG152" s="230">
        <v>300230</v>
      </c>
      <c r="EH152" s="229">
        <v>-0.2175</v>
      </c>
      <c r="EI152" s="229">
        <v>0.36930000000000002</v>
      </c>
      <c r="EJ152" s="231">
        <v>121541.54</v>
      </c>
      <c r="EK152" s="231">
        <v>89995.34</v>
      </c>
      <c r="EL152" s="231">
        <v>42472</v>
      </c>
      <c r="EM152" s="231">
        <v>12637</v>
      </c>
      <c r="EN152" s="231">
        <v>254008.88</v>
      </c>
      <c r="EO152" s="231">
        <v>250598.31</v>
      </c>
      <c r="EP152" s="231">
        <v>3410.57</v>
      </c>
      <c r="EQ152" s="229">
        <v>1.3599999999999999E-2</v>
      </c>
      <c r="ER152" s="231">
        <v>93719</v>
      </c>
      <c r="ES152" s="231">
        <v>59655</v>
      </c>
      <c r="ET152" s="231">
        <v>190225</v>
      </c>
      <c r="EU152" s="231">
        <v>15732422</v>
      </c>
      <c r="EV152" s="231">
        <v>343599</v>
      </c>
      <c r="EW152" s="231">
        <v>341986</v>
      </c>
      <c r="EX152" s="231">
        <v>1613</v>
      </c>
      <c r="EY152" s="229">
        <v>4.7000000000000002E-3</v>
      </c>
      <c r="EZ152" s="229">
        <v>0.45400000000000001</v>
      </c>
      <c r="FA152" s="227" t="s">
        <v>567</v>
      </c>
      <c r="FB152" s="161">
        <f t="shared" si="3"/>
        <v>0</v>
      </c>
    </row>
    <row r="153" spans="1:158" ht="17.25" thickBot="1" x14ac:dyDescent="0.3">
      <c r="A153" s="226">
        <v>46086</v>
      </c>
      <c r="B153" s="227" t="s">
        <v>193</v>
      </c>
      <c r="C153" s="227" t="s">
        <v>272</v>
      </c>
      <c r="D153" s="228">
        <v>1900</v>
      </c>
      <c r="E153" s="228">
        <v>292.45</v>
      </c>
      <c r="F153" s="228">
        <v>280.14999999999998</v>
      </c>
      <c r="G153" s="228">
        <v>12.3</v>
      </c>
      <c r="H153" s="229">
        <v>4.3900000000000002E-2</v>
      </c>
      <c r="I153" s="228">
        <v>293.05</v>
      </c>
      <c r="J153" s="228">
        <v>280</v>
      </c>
      <c r="K153" s="228">
        <v>13.05</v>
      </c>
      <c r="L153" s="229">
        <v>4.6600000000000003E-2</v>
      </c>
      <c r="M153" s="228">
        <v>292.45</v>
      </c>
      <c r="N153" s="228">
        <v>280.14999999999998</v>
      </c>
      <c r="O153" s="228">
        <v>12.3</v>
      </c>
      <c r="P153" s="229">
        <v>4.3900000000000002E-2</v>
      </c>
      <c r="Q153" s="228">
        <v>294.14999999999998</v>
      </c>
      <c r="R153" s="228">
        <v>281.75</v>
      </c>
      <c r="S153" s="228">
        <v>12.4</v>
      </c>
      <c r="T153" s="229">
        <v>4.3999999999999997E-2</v>
      </c>
      <c r="U153" s="228">
        <v>295.25</v>
      </c>
      <c r="V153" s="228">
        <v>283.39999999999998</v>
      </c>
      <c r="W153" s="228">
        <v>11.85</v>
      </c>
      <c r="X153" s="229">
        <v>4.1799999999999997E-2</v>
      </c>
      <c r="Y153" s="228">
        <v>-0.6</v>
      </c>
      <c r="Z153" s="228">
        <v>0.15</v>
      </c>
      <c r="AA153" s="228">
        <v>-0.75</v>
      </c>
      <c r="AB153" s="229">
        <v>-2E-3</v>
      </c>
      <c r="AC153" s="228">
        <v>-0.6</v>
      </c>
      <c r="AD153" s="228">
        <v>0.15</v>
      </c>
      <c r="AE153" s="228">
        <v>-0.75</v>
      </c>
      <c r="AF153" s="229">
        <v>-2E-3</v>
      </c>
      <c r="AG153" s="228">
        <v>1.1000000000000001</v>
      </c>
      <c r="AH153" s="228">
        <v>1.75</v>
      </c>
      <c r="AI153" s="228">
        <v>-0.65</v>
      </c>
      <c r="AJ153" s="229">
        <v>3.8E-3</v>
      </c>
      <c r="AK153" s="228">
        <v>2.2000000000000002</v>
      </c>
      <c r="AL153" s="228">
        <v>3.4</v>
      </c>
      <c r="AM153" s="228">
        <v>-1.2</v>
      </c>
      <c r="AN153" s="229">
        <v>7.4999999999999997E-3</v>
      </c>
      <c r="AO153" s="228">
        <v>287.77</v>
      </c>
      <c r="AP153" s="228">
        <v>290.16000000000003</v>
      </c>
      <c r="AQ153" s="228">
        <v>0</v>
      </c>
      <c r="AR153" s="230">
        <v>20647300</v>
      </c>
      <c r="AS153" s="230">
        <v>38659300</v>
      </c>
      <c r="AT153" s="230">
        <v>-18012000</v>
      </c>
      <c r="AU153" s="229">
        <v>-0.46589999999999998</v>
      </c>
      <c r="AV153" s="230">
        <v>19115900</v>
      </c>
      <c r="AW153" s="230">
        <v>30903500</v>
      </c>
      <c r="AX153" s="230">
        <v>-11787600</v>
      </c>
      <c r="AY153" s="229">
        <v>-0.38140000000000002</v>
      </c>
      <c r="AZ153" s="230">
        <v>1423100</v>
      </c>
      <c r="BA153" s="230">
        <v>7586700</v>
      </c>
      <c r="BB153" s="230">
        <v>-6163600</v>
      </c>
      <c r="BC153" s="229">
        <v>-0.81240000000000001</v>
      </c>
      <c r="BD153" s="230">
        <v>108300</v>
      </c>
      <c r="BE153" s="230">
        <v>169100</v>
      </c>
      <c r="BF153" s="230">
        <v>-60800</v>
      </c>
      <c r="BG153" s="229">
        <v>-0.35959999999999998</v>
      </c>
      <c r="BH153" s="230">
        <v>43853900</v>
      </c>
      <c r="BI153" s="230">
        <v>52510300</v>
      </c>
      <c r="BJ153" s="230">
        <v>-8656400</v>
      </c>
      <c r="BK153" s="229">
        <v>-0.16489999999999999</v>
      </c>
      <c r="BL153" s="230">
        <v>40063400</v>
      </c>
      <c r="BM153" s="230">
        <v>87162500</v>
      </c>
      <c r="BN153" s="230">
        <v>-47099100</v>
      </c>
      <c r="BO153" s="229">
        <v>-0.54039999999999999</v>
      </c>
      <c r="BP153" s="230">
        <v>104564600</v>
      </c>
      <c r="BQ153" s="230">
        <v>178332100</v>
      </c>
      <c r="BR153" s="230">
        <v>-73767500</v>
      </c>
      <c r="BS153" s="229">
        <v>-0.41370000000000001</v>
      </c>
      <c r="BT153" s="230">
        <v>14485677</v>
      </c>
      <c r="BU153" s="230">
        <v>21874878</v>
      </c>
      <c r="BV153" s="230">
        <v>-7389201</v>
      </c>
      <c r="BW153" s="229">
        <v>-0.33779999999999999</v>
      </c>
      <c r="BX153" s="230">
        <v>35404600</v>
      </c>
      <c r="BY153" s="230">
        <v>38780900</v>
      </c>
      <c r="BZ153" s="230">
        <v>-3376300</v>
      </c>
      <c r="CA153" s="229">
        <v>-8.7099999999999997E-2</v>
      </c>
      <c r="CB153" s="230">
        <v>31574200</v>
      </c>
      <c r="CC153" s="230">
        <v>34857400</v>
      </c>
      <c r="CD153" s="230">
        <v>-3283200</v>
      </c>
      <c r="CE153" s="229">
        <v>-9.4200000000000006E-2</v>
      </c>
      <c r="CF153" s="230">
        <v>3731600</v>
      </c>
      <c r="CG153" s="230">
        <v>3851300</v>
      </c>
      <c r="CH153" s="230">
        <v>-119700</v>
      </c>
      <c r="CI153" s="229">
        <v>-3.1099999999999999E-2</v>
      </c>
      <c r="CJ153" s="230">
        <v>98800</v>
      </c>
      <c r="CK153" s="230">
        <v>72200</v>
      </c>
      <c r="CL153" s="230">
        <v>26600</v>
      </c>
      <c r="CM153" s="229">
        <v>0.36840000000000001</v>
      </c>
      <c r="CN153" s="230">
        <v>16987900</v>
      </c>
      <c r="CO153" s="230">
        <v>15230400</v>
      </c>
      <c r="CP153" s="230">
        <v>1757500</v>
      </c>
      <c r="CQ153" s="229">
        <v>0.1154</v>
      </c>
      <c r="CR153" s="230">
        <v>18194400</v>
      </c>
      <c r="CS153" s="230">
        <v>17310900</v>
      </c>
      <c r="CT153" s="230">
        <v>883500</v>
      </c>
      <c r="CU153" s="229">
        <v>5.0999999999999997E-2</v>
      </c>
      <c r="CV153" s="230">
        <v>70586900</v>
      </c>
      <c r="CW153" s="230">
        <v>71322200</v>
      </c>
      <c r="CX153" s="230">
        <v>-735300</v>
      </c>
      <c r="CY153" s="229">
        <v>-1.03E-2</v>
      </c>
      <c r="CZ153" s="228">
        <v>37.950000000000003</v>
      </c>
      <c r="DA153" s="228">
        <v>47.68</v>
      </c>
      <c r="DB153" s="228">
        <v>-9.73</v>
      </c>
      <c r="DC153" s="228">
        <v>-9.73</v>
      </c>
      <c r="DD153" s="228">
        <v>34.909999999999997</v>
      </c>
      <c r="DE153" s="228">
        <v>34.51</v>
      </c>
      <c r="DF153" s="228">
        <v>3.04</v>
      </c>
      <c r="DG153" s="228">
        <v>0.4</v>
      </c>
      <c r="DH153" s="228">
        <v>35.270000000000003</v>
      </c>
      <c r="DI153" s="228">
        <v>43.37</v>
      </c>
      <c r="DJ153" s="228">
        <v>-8.1</v>
      </c>
      <c r="DK153" s="228">
        <v>-8.1</v>
      </c>
      <c r="DL153" s="228">
        <v>40.89</v>
      </c>
      <c r="DM153" s="228">
        <v>50.29</v>
      </c>
      <c r="DN153" s="228">
        <v>-9.4</v>
      </c>
      <c r="DO153" s="228">
        <v>-9.4</v>
      </c>
      <c r="DP153" s="228">
        <v>1.07</v>
      </c>
      <c r="DQ153" s="228">
        <v>1.1399999999999999</v>
      </c>
      <c r="DR153" s="228">
        <v>-7.0000000000000007E-2</v>
      </c>
      <c r="DS153" s="229">
        <v>-6.1400000000000003E-2</v>
      </c>
      <c r="DT153" s="228">
        <v>300</v>
      </c>
      <c r="DU153" s="228">
        <v>280</v>
      </c>
      <c r="DV153" s="228">
        <v>0.91</v>
      </c>
      <c r="DW153" s="228">
        <v>1.66</v>
      </c>
      <c r="DX153" s="228">
        <v>-0.75</v>
      </c>
      <c r="DY153" s="229">
        <v>-0.45179999999999998</v>
      </c>
      <c r="DZ153" s="229">
        <v>0.1082</v>
      </c>
      <c r="EA153" s="230">
        <v>3923500</v>
      </c>
      <c r="EB153" s="229">
        <v>5.7999999999999996E-3</v>
      </c>
      <c r="EC153" s="229">
        <v>0.1082</v>
      </c>
      <c r="ED153" s="228">
        <v>2.39</v>
      </c>
      <c r="EE153" s="229">
        <v>8.3000000000000001E-3</v>
      </c>
      <c r="EF153" s="230">
        <v>6843248</v>
      </c>
      <c r="EG153" s="230">
        <v>8230733</v>
      </c>
      <c r="EH153" s="229">
        <v>-0.1686</v>
      </c>
      <c r="EI153" s="229">
        <v>0.47239999999999999</v>
      </c>
      <c r="EJ153" s="231">
        <v>135055.88</v>
      </c>
      <c r="EK153" s="231">
        <v>113366.33</v>
      </c>
      <c r="EL153" s="231">
        <v>59452.37</v>
      </c>
      <c r="EM153" s="231">
        <v>9324</v>
      </c>
      <c r="EN153" s="231">
        <v>307874.58</v>
      </c>
      <c r="EO153" s="231">
        <v>523319.62</v>
      </c>
      <c r="EP153" s="231">
        <v>-215445.04</v>
      </c>
      <c r="EQ153" s="229">
        <v>-0.41170000000000001</v>
      </c>
      <c r="ER153" s="231">
        <v>52730</v>
      </c>
      <c r="ES153" s="231">
        <v>51625</v>
      </c>
      <c r="ET153" s="231">
        <v>103607</v>
      </c>
      <c r="EU153" s="231">
        <v>108255733</v>
      </c>
      <c r="EV153" s="231">
        <v>207962</v>
      </c>
      <c r="EW153" s="231">
        <v>205064</v>
      </c>
      <c r="EX153" s="231">
        <v>2898</v>
      </c>
      <c r="EY153" s="229">
        <v>1.41E-2</v>
      </c>
      <c r="EZ153" s="229">
        <v>0.65200000000000002</v>
      </c>
      <c r="FA153" s="227" t="s">
        <v>556</v>
      </c>
      <c r="FB153" s="161">
        <f>BX225-CB225</f>
        <v>0</v>
      </c>
    </row>
    <row r="154" spans="1:158" ht="17.25" thickBot="1" x14ac:dyDescent="0.3">
      <c r="A154" s="226">
        <v>46086</v>
      </c>
      <c r="B154" s="227" t="s">
        <v>175</v>
      </c>
      <c r="C154" s="227" t="s">
        <v>273</v>
      </c>
      <c r="D154" s="228">
        <v>1300</v>
      </c>
      <c r="E154" s="228">
        <v>414.3</v>
      </c>
      <c r="F154" s="228">
        <v>395.05</v>
      </c>
      <c r="G154" s="228">
        <v>19.25</v>
      </c>
      <c r="H154" s="229">
        <v>4.87E-2</v>
      </c>
      <c r="I154" s="228">
        <v>413.65</v>
      </c>
      <c r="J154" s="228">
        <v>396.55</v>
      </c>
      <c r="K154" s="228">
        <v>17.100000000000001</v>
      </c>
      <c r="L154" s="229">
        <v>4.3099999999999999E-2</v>
      </c>
      <c r="M154" s="228">
        <v>414.3</v>
      </c>
      <c r="N154" s="228">
        <v>395.05</v>
      </c>
      <c r="O154" s="228">
        <v>19.25</v>
      </c>
      <c r="P154" s="229">
        <v>4.87E-2</v>
      </c>
      <c r="Q154" s="228">
        <v>417</v>
      </c>
      <c r="R154" s="228">
        <v>397.6</v>
      </c>
      <c r="S154" s="228">
        <v>19.399999999999999</v>
      </c>
      <c r="T154" s="229">
        <v>4.8800000000000003E-2</v>
      </c>
      <c r="U154" s="228">
        <v>418.95</v>
      </c>
      <c r="V154" s="228">
        <v>399.75</v>
      </c>
      <c r="W154" s="228">
        <v>19.2</v>
      </c>
      <c r="X154" s="229">
        <v>4.8000000000000001E-2</v>
      </c>
      <c r="Y154" s="228">
        <v>0.65</v>
      </c>
      <c r="Z154" s="228">
        <v>-1.5</v>
      </c>
      <c r="AA154" s="228">
        <v>2.15</v>
      </c>
      <c r="AB154" s="229">
        <v>1.6000000000000001E-3</v>
      </c>
      <c r="AC154" s="228">
        <v>0.65</v>
      </c>
      <c r="AD154" s="228">
        <v>-1.5</v>
      </c>
      <c r="AE154" s="228">
        <v>2.15</v>
      </c>
      <c r="AF154" s="229">
        <v>1.6000000000000001E-3</v>
      </c>
      <c r="AG154" s="228">
        <v>3.35</v>
      </c>
      <c r="AH154" s="228">
        <v>1.05</v>
      </c>
      <c r="AI154" s="228">
        <v>2.2999999999999998</v>
      </c>
      <c r="AJ154" s="229">
        <v>8.0999999999999996E-3</v>
      </c>
      <c r="AK154" s="228">
        <v>5.3</v>
      </c>
      <c r="AL154" s="228">
        <v>3.2</v>
      </c>
      <c r="AM154" s="228">
        <v>2.1</v>
      </c>
      <c r="AN154" s="229">
        <v>1.2800000000000001E-2</v>
      </c>
      <c r="AO154" s="228">
        <v>408.58</v>
      </c>
      <c r="AP154" s="228">
        <v>411.51</v>
      </c>
      <c r="AQ154" s="228">
        <v>0</v>
      </c>
      <c r="AR154" s="230">
        <v>14606800</v>
      </c>
      <c r="AS154" s="230">
        <v>14743300</v>
      </c>
      <c r="AT154" s="230">
        <v>-136500</v>
      </c>
      <c r="AU154" s="229">
        <v>-9.2999999999999992E-3</v>
      </c>
      <c r="AV154" s="230">
        <v>13542100</v>
      </c>
      <c r="AW154" s="230">
        <v>10834200</v>
      </c>
      <c r="AX154" s="230">
        <v>2707900</v>
      </c>
      <c r="AY154" s="229">
        <v>0.24990000000000001</v>
      </c>
      <c r="AZ154" s="230">
        <v>822900</v>
      </c>
      <c r="BA154" s="230">
        <v>3061500</v>
      </c>
      <c r="BB154" s="230">
        <v>-2238600</v>
      </c>
      <c r="BC154" s="229">
        <v>-0.73119999999999996</v>
      </c>
      <c r="BD154" s="230">
        <v>241800</v>
      </c>
      <c r="BE154" s="230">
        <v>847600</v>
      </c>
      <c r="BF154" s="230">
        <v>-605800</v>
      </c>
      <c r="BG154" s="229">
        <v>-0.7147</v>
      </c>
      <c r="BH154" s="230">
        <v>38586600</v>
      </c>
      <c r="BI154" s="230">
        <v>19259500</v>
      </c>
      <c r="BJ154" s="230">
        <v>19327100</v>
      </c>
      <c r="BK154" s="229">
        <v>1.0035000000000001</v>
      </c>
      <c r="BL154" s="230">
        <v>19653400</v>
      </c>
      <c r="BM154" s="230">
        <v>11815700</v>
      </c>
      <c r="BN154" s="230">
        <v>7837700</v>
      </c>
      <c r="BO154" s="229">
        <v>0.6633</v>
      </c>
      <c r="BP154" s="230">
        <v>72846800</v>
      </c>
      <c r="BQ154" s="230">
        <v>45818500</v>
      </c>
      <c r="BR154" s="230">
        <v>27028300</v>
      </c>
      <c r="BS154" s="229">
        <v>0.58989999999999998</v>
      </c>
      <c r="BT154" s="230">
        <v>10398137</v>
      </c>
      <c r="BU154" s="230">
        <v>10904040</v>
      </c>
      <c r="BV154" s="230">
        <v>-505903</v>
      </c>
      <c r="BW154" s="229">
        <v>-4.6399999999999997E-2</v>
      </c>
      <c r="BX154" s="230">
        <v>65007800</v>
      </c>
      <c r="BY154" s="230">
        <v>64221300</v>
      </c>
      <c r="BZ154" s="230">
        <v>786500</v>
      </c>
      <c r="CA154" s="229">
        <v>1.2200000000000001E-2</v>
      </c>
      <c r="CB154" s="230">
        <v>56014400</v>
      </c>
      <c r="CC154" s="230">
        <v>55178500</v>
      </c>
      <c r="CD154" s="230">
        <v>835900</v>
      </c>
      <c r="CE154" s="229">
        <v>1.5100000000000001E-2</v>
      </c>
      <c r="CF154" s="230">
        <v>7216300</v>
      </c>
      <c r="CG154" s="230">
        <v>7203300</v>
      </c>
      <c r="CH154" s="230">
        <v>13000</v>
      </c>
      <c r="CI154" s="229">
        <v>1.8E-3</v>
      </c>
      <c r="CJ154" s="230">
        <v>1777100</v>
      </c>
      <c r="CK154" s="230">
        <v>1839500</v>
      </c>
      <c r="CL154" s="230">
        <v>-62400</v>
      </c>
      <c r="CM154" s="229">
        <v>-3.39E-2</v>
      </c>
      <c r="CN154" s="230">
        <v>29775200</v>
      </c>
      <c r="CO154" s="230">
        <v>30040400</v>
      </c>
      <c r="CP154" s="230">
        <v>-265200</v>
      </c>
      <c r="CQ154" s="229">
        <v>-8.8000000000000005E-3</v>
      </c>
      <c r="CR154" s="230">
        <v>15047500</v>
      </c>
      <c r="CS154" s="230">
        <v>14275300</v>
      </c>
      <c r="CT154" s="230">
        <v>772200</v>
      </c>
      <c r="CU154" s="229">
        <v>5.4100000000000002E-2</v>
      </c>
      <c r="CV154" s="230">
        <v>109830500</v>
      </c>
      <c r="CW154" s="230">
        <v>108537000</v>
      </c>
      <c r="CX154" s="230">
        <v>1293500</v>
      </c>
      <c r="CY154" s="229">
        <v>1.1900000000000001E-2</v>
      </c>
      <c r="CZ154" s="228">
        <v>33.19</v>
      </c>
      <c r="DA154" s="228">
        <v>36.03</v>
      </c>
      <c r="DB154" s="228">
        <v>-2.84</v>
      </c>
      <c r="DC154" s="228">
        <v>-2.84</v>
      </c>
      <c r="DD154" s="228">
        <v>41.03</v>
      </c>
      <c r="DE154" s="228">
        <v>40.619999999999997</v>
      </c>
      <c r="DF154" s="228">
        <v>-7.84</v>
      </c>
      <c r="DG154" s="228">
        <v>0.41</v>
      </c>
      <c r="DH154" s="228">
        <v>32.549999999999997</v>
      </c>
      <c r="DI154" s="228">
        <v>35.090000000000003</v>
      </c>
      <c r="DJ154" s="228">
        <v>-2.54</v>
      </c>
      <c r="DK154" s="228">
        <v>-2.54</v>
      </c>
      <c r="DL154" s="228">
        <v>34.450000000000003</v>
      </c>
      <c r="DM154" s="228">
        <v>37.57</v>
      </c>
      <c r="DN154" s="228">
        <v>-3.12</v>
      </c>
      <c r="DO154" s="228">
        <v>-3.12</v>
      </c>
      <c r="DP154" s="228">
        <v>0.51</v>
      </c>
      <c r="DQ154" s="228">
        <v>0.48</v>
      </c>
      <c r="DR154" s="228">
        <v>0.03</v>
      </c>
      <c r="DS154" s="229">
        <v>6.25E-2</v>
      </c>
      <c r="DT154" s="228">
        <v>450</v>
      </c>
      <c r="DU154" s="228">
        <v>400</v>
      </c>
      <c r="DV154" s="228">
        <v>0.51</v>
      </c>
      <c r="DW154" s="228">
        <v>0.61</v>
      </c>
      <c r="DX154" s="228">
        <v>-0.1</v>
      </c>
      <c r="DY154" s="229">
        <v>-0.16389999999999999</v>
      </c>
      <c r="DZ154" s="229">
        <v>0.13830000000000001</v>
      </c>
      <c r="EA154" s="230">
        <v>9042800</v>
      </c>
      <c r="EB154" s="229">
        <v>6.4999999999999997E-3</v>
      </c>
      <c r="EC154" s="229">
        <v>0.13830000000000001</v>
      </c>
      <c r="ED154" s="228">
        <v>2.93</v>
      </c>
      <c r="EE154" s="229">
        <v>7.1999999999999998E-3</v>
      </c>
      <c r="EF154" s="230">
        <v>4603136</v>
      </c>
      <c r="EG154" s="230">
        <v>6651938</v>
      </c>
      <c r="EH154" s="229">
        <v>-0.308</v>
      </c>
      <c r="EI154" s="229">
        <v>0.44269999999999998</v>
      </c>
      <c r="EJ154" s="231">
        <v>166469.71</v>
      </c>
      <c r="EK154" s="231">
        <v>79296.039999999994</v>
      </c>
      <c r="EL154" s="231">
        <v>59717.8</v>
      </c>
      <c r="EM154" s="231">
        <v>9450</v>
      </c>
      <c r="EN154" s="231">
        <v>305483.55</v>
      </c>
      <c r="EO154" s="231">
        <v>186240.76</v>
      </c>
      <c r="EP154" s="231">
        <v>119242.79</v>
      </c>
      <c r="EQ154" s="229">
        <v>0.64029999999999998</v>
      </c>
      <c r="ER154" s="231">
        <v>128530</v>
      </c>
      <c r="ES154" s="231">
        <v>59655</v>
      </c>
      <c r="ET154" s="231">
        <v>269605</v>
      </c>
      <c r="EU154" s="231">
        <v>217835555</v>
      </c>
      <c r="EV154" s="231">
        <v>457789</v>
      </c>
      <c r="EW154" s="231">
        <v>440042</v>
      </c>
      <c r="EX154" s="231">
        <v>17747</v>
      </c>
      <c r="EY154" s="229">
        <v>4.0300000000000002E-2</v>
      </c>
      <c r="EZ154" s="229">
        <v>0.50419999999999998</v>
      </c>
      <c r="FA154" s="227" t="s">
        <v>555</v>
      </c>
      <c r="FB154" s="161">
        <f t="shared" si="3"/>
        <v>0</v>
      </c>
    </row>
    <row r="155" spans="1:158" ht="17.25" thickBot="1" x14ac:dyDescent="0.3">
      <c r="A155" s="226">
        <v>46086</v>
      </c>
      <c r="B155" s="227" t="s">
        <v>184</v>
      </c>
      <c r="C155" s="227" t="s">
        <v>679</v>
      </c>
      <c r="D155" s="228">
        <v>950</v>
      </c>
      <c r="E155" s="228">
        <v>616.95000000000005</v>
      </c>
      <c r="F155" s="228">
        <v>595.85</v>
      </c>
      <c r="G155" s="228">
        <v>21.1</v>
      </c>
      <c r="H155" s="229">
        <v>3.5400000000000001E-2</v>
      </c>
      <c r="I155" s="228">
        <v>614.45000000000005</v>
      </c>
      <c r="J155" s="228">
        <v>592.95000000000005</v>
      </c>
      <c r="K155" s="228">
        <v>21.5</v>
      </c>
      <c r="L155" s="229">
        <v>3.6299999999999999E-2</v>
      </c>
      <c r="M155" s="228">
        <v>616.95000000000005</v>
      </c>
      <c r="N155" s="228">
        <v>595.85</v>
      </c>
      <c r="O155" s="228">
        <v>21.1</v>
      </c>
      <c r="P155" s="229">
        <v>3.5400000000000001E-2</v>
      </c>
      <c r="Q155" s="228">
        <v>619.1</v>
      </c>
      <c r="R155" s="228">
        <v>598.9</v>
      </c>
      <c r="S155" s="228">
        <v>20.2</v>
      </c>
      <c r="T155" s="229">
        <v>3.3700000000000001E-2</v>
      </c>
      <c r="U155" s="228">
        <v>603</v>
      </c>
      <c r="V155" s="228">
        <v>603</v>
      </c>
      <c r="W155" s="228">
        <v>0</v>
      </c>
      <c r="X155" s="229">
        <v>0</v>
      </c>
      <c r="Y155" s="228">
        <v>2.5</v>
      </c>
      <c r="Z155" s="228">
        <v>2.9</v>
      </c>
      <c r="AA155" s="228">
        <v>-0.4</v>
      </c>
      <c r="AB155" s="229">
        <v>4.1000000000000003E-3</v>
      </c>
      <c r="AC155" s="228">
        <v>2.5</v>
      </c>
      <c r="AD155" s="228">
        <v>2.9</v>
      </c>
      <c r="AE155" s="228">
        <v>-0.4</v>
      </c>
      <c r="AF155" s="229">
        <v>4.1000000000000003E-3</v>
      </c>
      <c r="AG155" s="228">
        <v>4.6500000000000004</v>
      </c>
      <c r="AH155" s="228">
        <v>5.95</v>
      </c>
      <c r="AI155" s="228">
        <v>-1.3</v>
      </c>
      <c r="AJ155" s="229">
        <v>7.6E-3</v>
      </c>
      <c r="AK155" s="228">
        <v>-11.45</v>
      </c>
      <c r="AL155" s="228">
        <v>10.050000000000001</v>
      </c>
      <c r="AM155" s="228">
        <v>-21.5</v>
      </c>
      <c r="AN155" s="229">
        <v>-1.8599999999999998E-2</v>
      </c>
      <c r="AO155" s="228">
        <v>604.91</v>
      </c>
      <c r="AP155" s="228">
        <v>606.09</v>
      </c>
      <c r="AQ155" s="228">
        <v>0</v>
      </c>
      <c r="AR155" s="230">
        <v>4806050</v>
      </c>
      <c r="AS155" s="230">
        <v>3830400</v>
      </c>
      <c r="AT155" s="230">
        <v>975650</v>
      </c>
      <c r="AU155" s="229">
        <v>0.25469999999999998</v>
      </c>
      <c r="AV155" s="230">
        <v>4629350</v>
      </c>
      <c r="AW155" s="230">
        <v>3722100</v>
      </c>
      <c r="AX155" s="230">
        <v>907250</v>
      </c>
      <c r="AY155" s="229">
        <v>0.2437</v>
      </c>
      <c r="AZ155" s="230">
        <v>175750</v>
      </c>
      <c r="BA155" s="230">
        <v>101650</v>
      </c>
      <c r="BB155" s="230">
        <v>74100</v>
      </c>
      <c r="BC155" s="229">
        <v>0.72899999999999998</v>
      </c>
      <c r="BD155" s="228">
        <v>950</v>
      </c>
      <c r="BE155" s="230">
        <v>6650</v>
      </c>
      <c r="BF155" s="230">
        <v>-5700</v>
      </c>
      <c r="BG155" s="229">
        <v>-0.85709999999999997</v>
      </c>
      <c r="BH155" s="230">
        <v>8645000</v>
      </c>
      <c r="BI155" s="230">
        <v>6179750</v>
      </c>
      <c r="BJ155" s="230">
        <v>2465250</v>
      </c>
      <c r="BK155" s="229">
        <v>0.39889999999999998</v>
      </c>
      <c r="BL155" s="230">
        <v>3888350</v>
      </c>
      <c r="BM155" s="230">
        <v>6051500</v>
      </c>
      <c r="BN155" s="230">
        <v>-2163150</v>
      </c>
      <c r="BO155" s="229">
        <v>-0.35749999999999998</v>
      </c>
      <c r="BP155" s="230">
        <v>17339400</v>
      </c>
      <c r="BQ155" s="230">
        <v>16061650</v>
      </c>
      <c r="BR155" s="230">
        <v>1277750</v>
      </c>
      <c r="BS155" s="229">
        <v>7.9600000000000004E-2</v>
      </c>
      <c r="BT155" s="230">
        <v>2194125</v>
      </c>
      <c r="BU155" s="230">
        <v>2917732</v>
      </c>
      <c r="BV155" s="230">
        <v>-723607</v>
      </c>
      <c r="BW155" s="229">
        <v>-0.248</v>
      </c>
      <c r="BX155" s="230">
        <v>11833200</v>
      </c>
      <c r="BY155" s="230">
        <v>11442750</v>
      </c>
      <c r="BZ155" s="230">
        <v>390450</v>
      </c>
      <c r="CA155" s="229">
        <v>3.4099999999999998E-2</v>
      </c>
      <c r="CB155" s="230">
        <v>11685950</v>
      </c>
      <c r="CC155" s="230">
        <v>11310700</v>
      </c>
      <c r="CD155" s="230">
        <v>375250</v>
      </c>
      <c r="CE155" s="229">
        <v>3.32E-2</v>
      </c>
      <c r="CF155" s="230">
        <v>135850</v>
      </c>
      <c r="CG155" s="230">
        <v>121600</v>
      </c>
      <c r="CH155" s="230">
        <v>14250</v>
      </c>
      <c r="CI155" s="229">
        <v>0.1172</v>
      </c>
      <c r="CJ155" s="230">
        <v>11400</v>
      </c>
      <c r="CK155" s="230">
        <v>10450</v>
      </c>
      <c r="CL155" s="228">
        <v>950</v>
      </c>
      <c r="CM155" s="229">
        <v>9.0899999999999995E-2</v>
      </c>
      <c r="CN155" s="230">
        <v>4012800</v>
      </c>
      <c r="CO155" s="230">
        <v>3246150</v>
      </c>
      <c r="CP155" s="230">
        <v>766650</v>
      </c>
      <c r="CQ155" s="229">
        <v>0.23619999999999999</v>
      </c>
      <c r="CR155" s="230">
        <v>3318350</v>
      </c>
      <c r="CS155" s="230">
        <v>2880400</v>
      </c>
      <c r="CT155" s="230">
        <v>437950</v>
      </c>
      <c r="CU155" s="229">
        <v>0.152</v>
      </c>
      <c r="CV155" s="230">
        <v>19164350</v>
      </c>
      <c r="CW155" s="230">
        <v>17569300</v>
      </c>
      <c r="CX155" s="230">
        <v>1595050</v>
      </c>
      <c r="CY155" s="229">
        <v>9.0800000000000006E-2</v>
      </c>
      <c r="CZ155" s="228">
        <v>38.22</v>
      </c>
      <c r="DA155" s="228">
        <v>43.07</v>
      </c>
      <c r="DB155" s="228">
        <v>-4.8499999999999996</v>
      </c>
      <c r="DC155" s="228">
        <v>-4.8499999999999996</v>
      </c>
      <c r="DD155" s="228">
        <v>61.67</v>
      </c>
      <c r="DE155" s="228">
        <v>61.64</v>
      </c>
      <c r="DF155" s="228">
        <v>-23.45</v>
      </c>
      <c r="DG155" s="228">
        <v>0.03</v>
      </c>
      <c r="DH155" s="228">
        <v>37.49</v>
      </c>
      <c r="DI155" s="228">
        <v>41.96</v>
      </c>
      <c r="DJ155" s="228">
        <v>-4.47</v>
      </c>
      <c r="DK155" s="228">
        <v>-4.47</v>
      </c>
      <c r="DL155" s="228">
        <v>39.83</v>
      </c>
      <c r="DM155" s="228">
        <v>44.2</v>
      </c>
      <c r="DN155" s="228">
        <v>-4.37</v>
      </c>
      <c r="DO155" s="228">
        <v>-4.37</v>
      </c>
      <c r="DP155" s="228">
        <v>0.83</v>
      </c>
      <c r="DQ155" s="228">
        <v>0.89</v>
      </c>
      <c r="DR155" s="228">
        <v>-0.06</v>
      </c>
      <c r="DS155" s="229">
        <v>-6.7400000000000002E-2</v>
      </c>
      <c r="DT155" s="228">
        <v>700</v>
      </c>
      <c r="DU155" s="228">
        <v>550</v>
      </c>
      <c r="DV155" s="228">
        <v>0.45</v>
      </c>
      <c r="DW155" s="228">
        <v>0.98</v>
      </c>
      <c r="DX155" s="228">
        <v>-0.53</v>
      </c>
      <c r="DY155" s="229">
        <v>-0.54079999999999995</v>
      </c>
      <c r="DZ155" s="229">
        <v>1.24E-2</v>
      </c>
      <c r="EA155" s="230">
        <v>132050</v>
      </c>
      <c r="EB155" s="229">
        <v>3.5000000000000001E-3</v>
      </c>
      <c r="EC155" s="229">
        <v>1.24E-2</v>
      </c>
      <c r="ED155" s="228">
        <v>1.18</v>
      </c>
      <c r="EE155" s="229">
        <v>2E-3</v>
      </c>
      <c r="EF155" s="230">
        <v>602141</v>
      </c>
      <c r="EG155" s="230">
        <v>898853</v>
      </c>
      <c r="EH155" s="229">
        <v>-0.3301</v>
      </c>
      <c r="EI155" s="229">
        <v>0.27439999999999998</v>
      </c>
      <c r="EJ155" s="231">
        <v>55859.040000000001</v>
      </c>
      <c r="EK155" s="231">
        <v>23092.01</v>
      </c>
      <c r="EL155" s="231">
        <v>29074.49</v>
      </c>
      <c r="EM155" s="231">
        <v>3159</v>
      </c>
      <c r="EN155" s="231">
        <v>108025.54</v>
      </c>
      <c r="EO155" s="231">
        <v>98326.05</v>
      </c>
      <c r="EP155" s="231">
        <v>9699.49</v>
      </c>
      <c r="EQ155" s="229">
        <v>9.8599999999999993E-2</v>
      </c>
      <c r="ER155" s="231">
        <v>25885</v>
      </c>
      <c r="ES155" s="231">
        <v>19042</v>
      </c>
      <c r="ET155" s="231">
        <v>73006</v>
      </c>
      <c r="EU155" s="231">
        <v>24030912</v>
      </c>
      <c r="EV155" s="231">
        <v>117933</v>
      </c>
      <c r="EW155" s="231">
        <v>105714</v>
      </c>
      <c r="EX155" s="231">
        <v>12219</v>
      </c>
      <c r="EY155" s="229">
        <v>0.11559999999999999</v>
      </c>
      <c r="EZ155" s="229">
        <v>0.79749999999999999</v>
      </c>
      <c r="FA155" s="227" t="s">
        <v>555</v>
      </c>
      <c r="FB155" s="161">
        <f t="shared" si="3"/>
        <v>0</v>
      </c>
    </row>
    <row r="156" spans="1:158" ht="17.25" thickBot="1" x14ac:dyDescent="0.3">
      <c r="A156" s="226">
        <v>46086</v>
      </c>
      <c r="B156" s="227" t="s">
        <v>206</v>
      </c>
      <c r="C156" s="227" t="s">
        <v>645</v>
      </c>
      <c r="D156" s="228">
        <v>350</v>
      </c>
      <c r="E156" s="231">
        <v>1637.3</v>
      </c>
      <c r="F156" s="231">
        <v>1617.1</v>
      </c>
      <c r="G156" s="228">
        <v>20.2</v>
      </c>
      <c r="H156" s="229">
        <v>1.2500000000000001E-2</v>
      </c>
      <c r="I156" s="231">
        <v>1633.6</v>
      </c>
      <c r="J156" s="231">
        <v>1611</v>
      </c>
      <c r="K156" s="228">
        <v>22.6</v>
      </c>
      <c r="L156" s="229">
        <v>1.4E-2</v>
      </c>
      <c r="M156" s="231">
        <v>1637.3</v>
      </c>
      <c r="N156" s="231">
        <v>1617.1</v>
      </c>
      <c r="O156" s="228">
        <v>20.2</v>
      </c>
      <c r="P156" s="229">
        <v>1.2500000000000001E-2</v>
      </c>
      <c r="Q156" s="231">
        <v>1643.8</v>
      </c>
      <c r="R156" s="231">
        <v>1627.7</v>
      </c>
      <c r="S156" s="228">
        <v>16.100000000000001</v>
      </c>
      <c r="T156" s="229">
        <v>9.9000000000000008E-3</v>
      </c>
      <c r="U156" s="231">
        <v>1662.6</v>
      </c>
      <c r="V156" s="231">
        <v>1664.5</v>
      </c>
      <c r="W156" s="228">
        <v>-1.9</v>
      </c>
      <c r="X156" s="229">
        <v>-1.1000000000000001E-3</v>
      </c>
      <c r="Y156" s="228">
        <v>3.7</v>
      </c>
      <c r="Z156" s="228">
        <v>6.1</v>
      </c>
      <c r="AA156" s="228">
        <v>-2.4</v>
      </c>
      <c r="AB156" s="229">
        <v>2.3E-3</v>
      </c>
      <c r="AC156" s="228">
        <v>3.7</v>
      </c>
      <c r="AD156" s="228">
        <v>6.1</v>
      </c>
      <c r="AE156" s="228">
        <v>-2.4</v>
      </c>
      <c r="AF156" s="229">
        <v>2.3E-3</v>
      </c>
      <c r="AG156" s="228">
        <v>10.199999999999999</v>
      </c>
      <c r="AH156" s="228">
        <v>16.7</v>
      </c>
      <c r="AI156" s="228">
        <v>-6.5</v>
      </c>
      <c r="AJ156" s="229">
        <v>6.1999999999999998E-3</v>
      </c>
      <c r="AK156" s="228">
        <v>29</v>
      </c>
      <c r="AL156" s="228">
        <v>53.5</v>
      </c>
      <c r="AM156" s="228">
        <v>-24.5</v>
      </c>
      <c r="AN156" s="229">
        <v>1.78E-2</v>
      </c>
      <c r="AO156" s="231">
        <v>1641.08</v>
      </c>
      <c r="AP156" s="231">
        <v>1653.48</v>
      </c>
      <c r="AQ156" s="228">
        <v>0</v>
      </c>
      <c r="AR156" s="230">
        <v>1520750</v>
      </c>
      <c r="AS156" s="230">
        <v>407050</v>
      </c>
      <c r="AT156" s="230">
        <v>1113700</v>
      </c>
      <c r="AU156" s="229">
        <v>2.7360000000000002</v>
      </c>
      <c r="AV156" s="230">
        <v>1275750</v>
      </c>
      <c r="AW156" s="230">
        <v>402850</v>
      </c>
      <c r="AX156" s="230">
        <v>872900</v>
      </c>
      <c r="AY156" s="229">
        <v>2.1667999999999998</v>
      </c>
      <c r="AZ156" s="230">
        <v>244650</v>
      </c>
      <c r="BA156" s="230">
        <v>4200</v>
      </c>
      <c r="BB156" s="230">
        <v>240450</v>
      </c>
      <c r="BC156" s="229">
        <v>57.25</v>
      </c>
      <c r="BD156" s="228">
        <v>350</v>
      </c>
      <c r="BE156" s="228">
        <v>0</v>
      </c>
      <c r="BF156" s="228">
        <v>350</v>
      </c>
      <c r="BG156" s="229">
        <v>0</v>
      </c>
      <c r="BH156" s="230">
        <v>3165750</v>
      </c>
      <c r="BI156" s="230">
        <v>683550</v>
      </c>
      <c r="BJ156" s="230">
        <v>2482200</v>
      </c>
      <c r="BK156" s="229">
        <v>3.6313</v>
      </c>
      <c r="BL156" s="230">
        <v>1776250</v>
      </c>
      <c r="BM156" s="230">
        <v>450800</v>
      </c>
      <c r="BN156" s="230">
        <v>1325450</v>
      </c>
      <c r="BO156" s="229">
        <v>2.9401999999999999</v>
      </c>
      <c r="BP156" s="230">
        <v>6462750</v>
      </c>
      <c r="BQ156" s="230">
        <v>1541400</v>
      </c>
      <c r="BR156" s="230">
        <v>4921350</v>
      </c>
      <c r="BS156" s="229">
        <v>3.1928000000000001</v>
      </c>
      <c r="BT156" s="230">
        <v>662910</v>
      </c>
      <c r="BU156" s="230">
        <v>418717</v>
      </c>
      <c r="BV156" s="230">
        <v>244193</v>
      </c>
      <c r="BW156" s="229">
        <v>0.58320000000000005</v>
      </c>
      <c r="BX156" s="230">
        <v>4040400</v>
      </c>
      <c r="BY156" s="230">
        <v>3984400</v>
      </c>
      <c r="BZ156" s="230">
        <v>56000</v>
      </c>
      <c r="CA156" s="229">
        <v>1.41E-2</v>
      </c>
      <c r="CB156" s="230">
        <v>4000850</v>
      </c>
      <c r="CC156" s="230">
        <v>3971100</v>
      </c>
      <c r="CD156" s="230">
        <v>29750</v>
      </c>
      <c r="CE156" s="229">
        <v>7.4999999999999997E-3</v>
      </c>
      <c r="CF156" s="230">
        <v>39200</v>
      </c>
      <c r="CG156" s="230">
        <v>12950</v>
      </c>
      <c r="CH156" s="230">
        <v>26250</v>
      </c>
      <c r="CI156" s="229">
        <v>2.0270000000000001</v>
      </c>
      <c r="CJ156" s="228">
        <v>350</v>
      </c>
      <c r="CK156" s="228">
        <v>350</v>
      </c>
      <c r="CL156" s="228">
        <v>0</v>
      </c>
      <c r="CM156" s="229">
        <v>0</v>
      </c>
      <c r="CN156" s="230">
        <v>989450</v>
      </c>
      <c r="CO156" s="230">
        <v>816550</v>
      </c>
      <c r="CP156" s="230">
        <v>172900</v>
      </c>
      <c r="CQ156" s="229">
        <v>0.2117</v>
      </c>
      <c r="CR156" s="230">
        <v>575050</v>
      </c>
      <c r="CS156" s="230">
        <v>513800</v>
      </c>
      <c r="CT156" s="230">
        <v>61250</v>
      </c>
      <c r="CU156" s="229">
        <v>0.1192</v>
      </c>
      <c r="CV156" s="230">
        <v>5604900</v>
      </c>
      <c r="CW156" s="230">
        <v>5314750</v>
      </c>
      <c r="CX156" s="230">
        <v>290150</v>
      </c>
      <c r="CY156" s="229">
        <v>5.4600000000000003E-2</v>
      </c>
      <c r="CZ156" s="228">
        <v>28.59</v>
      </c>
      <c r="DA156" s="228">
        <v>30.22</v>
      </c>
      <c r="DB156" s="228">
        <v>-1.63</v>
      </c>
      <c r="DC156" s="228">
        <v>-1.63</v>
      </c>
      <c r="DD156" s="228">
        <v>38.51</v>
      </c>
      <c r="DE156" s="228">
        <v>38.57</v>
      </c>
      <c r="DF156" s="228">
        <v>-9.92</v>
      </c>
      <c r="DG156" s="228">
        <v>-0.06</v>
      </c>
      <c r="DH156" s="228">
        <v>28.02</v>
      </c>
      <c r="DI156" s="228">
        <v>29.14</v>
      </c>
      <c r="DJ156" s="228">
        <v>-1.1200000000000001</v>
      </c>
      <c r="DK156" s="228">
        <v>-1.1200000000000001</v>
      </c>
      <c r="DL156" s="228">
        <v>29.6</v>
      </c>
      <c r="DM156" s="228">
        <v>31.86</v>
      </c>
      <c r="DN156" s="228">
        <v>-2.2599999999999998</v>
      </c>
      <c r="DO156" s="228">
        <v>-2.2599999999999998</v>
      </c>
      <c r="DP156" s="228">
        <v>0.57999999999999996</v>
      </c>
      <c r="DQ156" s="228">
        <v>0.63</v>
      </c>
      <c r="DR156" s="228">
        <v>-0.05</v>
      </c>
      <c r="DS156" s="229">
        <v>-7.9399999999999998E-2</v>
      </c>
      <c r="DT156" s="231">
        <v>1720</v>
      </c>
      <c r="DU156" s="231">
        <v>1800</v>
      </c>
      <c r="DV156" s="228">
        <v>0.56000000000000005</v>
      </c>
      <c r="DW156" s="228">
        <v>0.66</v>
      </c>
      <c r="DX156" s="228">
        <v>-0.1</v>
      </c>
      <c r="DY156" s="229">
        <v>-0.1515</v>
      </c>
      <c r="DZ156" s="229">
        <v>9.7999999999999997E-3</v>
      </c>
      <c r="EA156" s="230">
        <v>13300</v>
      </c>
      <c r="EB156" s="229">
        <v>4.0000000000000001E-3</v>
      </c>
      <c r="EC156" s="229">
        <v>9.7999999999999997E-3</v>
      </c>
      <c r="ED156" s="228">
        <v>12.4</v>
      </c>
      <c r="EE156" s="229">
        <v>7.6E-3</v>
      </c>
      <c r="EF156" s="230">
        <v>184905</v>
      </c>
      <c r="EG156" s="230">
        <v>222407</v>
      </c>
      <c r="EH156" s="229">
        <v>-0.1686</v>
      </c>
      <c r="EI156" s="229">
        <v>0.27889999999999998</v>
      </c>
      <c r="EJ156" s="231">
        <v>54351.5</v>
      </c>
      <c r="EK156" s="231">
        <v>29232.89</v>
      </c>
      <c r="EL156" s="231">
        <v>24987.09</v>
      </c>
      <c r="EM156" s="231">
        <v>1342</v>
      </c>
      <c r="EN156" s="231">
        <v>108571.48</v>
      </c>
      <c r="EO156" s="231">
        <v>25830.99</v>
      </c>
      <c r="EP156" s="231">
        <v>82740.490000000005</v>
      </c>
      <c r="EQ156" s="229">
        <v>3.2031000000000001</v>
      </c>
      <c r="ER156" s="231">
        <v>17177</v>
      </c>
      <c r="ES156" s="231">
        <v>9527</v>
      </c>
      <c r="ET156" s="231">
        <v>66156</v>
      </c>
      <c r="EU156" s="231">
        <v>19533471</v>
      </c>
      <c r="EV156" s="231">
        <v>92860</v>
      </c>
      <c r="EW156" s="231">
        <v>87184</v>
      </c>
      <c r="EX156" s="231">
        <v>5676</v>
      </c>
      <c r="EY156" s="229">
        <v>6.5100000000000005E-2</v>
      </c>
      <c r="EZ156" s="229">
        <v>0.28689999999999999</v>
      </c>
      <c r="FA156" s="227" t="s">
        <v>555</v>
      </c>
      <c r="FB156" s="161">
        <f t="shared" si="3"/>
        <v>0</v>
      </c>
    </row>
    <row r="157" spans="1:158" ht="17.25" thickBot="1" x14ac:dyDescent="0.3">
      <c r="A157" s="226">
        <v>46086</v>
      </c>
      <c r="B157" s="227" t="s">
        <v>168</v>
      </c>
      <c r="C157" s="227" t="s">
        <v>274</v>
      </c>
      <c r="D157" s="228">
        <v>500</v>
      </c>
      <c r="E157" s="231">
        <v>1446.6</v>
      </c>
      <c r="F157" s="231">
        <v>1440.8</v>
      </c>
      <c r="G157" s="228">
        <v>5.8</v>
      </c>
      <c r="H157" s="229">
        <v>4.0000000000000001E-3</v>
      </c>
      <c r="I157" s="231">
        <v>1445.9</v>
      </c>
      <c r="J157" s="231">
        <v>1439.1</v>
      </c>
      <c r="K157" s="228">
        <v>6.8</v>
      </c>
      <c r="L157" s="229">
        <v>4.7000000000000002E-3</v>
      </c>
      <c r="M157" s="231">
        <v>1446.6</v>
      </c>
      <c r="N157" s="231">
        <v>1440.8</v>
      </c>
      <c r="O157" s="228">
        <v>5.8</v>
      </c>
      <c r="P157" s="229">
        <v>4.0000000000000001E-3</v>
      </c>
      <c r="Q157" s="231">
        <v>1454.8</v>
      </c>
      <c r="R157" s="231">
        <v>1448.5</v>
      </c>
      <c r="S157" s="228">
        <v>6.3</v>
      </c>
      <c r="T157" s="229">
        <v>4.3E-3</v>
      </c>
      <c r="U157" s="231">
        <v>1441</v>
      </c>
      <c r="V157" s="231">
        <v>1461</v>
      </c>
      <c r="W157" s="228">
        <v>-20</v>
      </c>
      <c r="X157" s="229">
        <v>-1.37E-2</v>
      </c>
      <c r="Y157" s="228">
        <v>0.7</v>
      </c>
      <c r="Z157" s="228">
        <v>1.7</v>
      </c>
      <c r="AA157" s="228">
        <v>-1</v>
      </c>
      <c r="AB157" s="229">
        <v>5.0000000000000001E-4</v>
      </c>
      <c r="AC157" s="228">
        <v>0.7</v>
      </c>
      <c r="AD157" s="228">
        <v>1.7</v>
      </c>
      <c r="AE157" s="228">
        <v>-1</v>
      </c>
      <c r="AF157" s="229">
        <v>5.0000000000000001E-4</v>
      </c>
      <c r="AG157" s="228">
        <v>8.9</v>
      </c>
      <c r="AH157" s="228">
        <v>9.4</v>
      </c>
      <c r="AI157" s="228">
        <v>-0.5</v>
      </c>
      <c r="AJ157" s="229">
        <v>6.1999999999999998E-3</v>
      </c>
      <c r="AK157" s="228">
        <v>-4.9000000000000004</v>
      </c>
      <c r="AL157" s="228">
        <v>21.9</v>
      </c>
      <c r="AM157" s="228">
        <v>-26.8</v>
      </c>
      <c r="AN157" s="229">
        <v>-3.3999999999999998E-3</v>
      </c>
      <c r="AO157" s="231">
        <v>1436.65</v>
      </c>
      <c r="AP157" s="231">
        <v>1447.41</v>
      </c>
      <c r="AQ157" s="228">
        <v>0</v>
      </c>
      <c r="AR157" s="230">
        <v>1060500</v>
      </c>
      <c r="AS157" s="230">
        <v>1270000</v>
      </c>
      <c r="AT157" s="230">
        <v>-209500</v>
      </c>
      <c r="AU157" s="229">
        <v>-0.16500000000000001</v>
      </c>
      <c r="AV157" s="230">
        <v>1038500</v>
      </c>
      <c r="AW157" s="230">
        <v>1239500</v>
      </c>
      <c r="AX157" s="230">
        <v>-201000</v>
      </c>
      <c r="AY157" s="229">
        <v>-0.16220000000000001</v>
      </c>
      <c r="AZ157" s="230">
        <v>20500</v>
      </c>
      <c r="BA157" s="230">
        <v>27500</v>
      </c>
      <c r="BB157" s="230">
        <v>-7000</v>
      </c>
      <c r="BC157" s="229">
        <v>-0.2545</v>
      </c>
      <c r="BD157" s="230">
        <v>1500</v>
      </c>
      <c r="BE157" s="230">
        <v>3000</v>
      </c>
      <c r="BF157" s="230">
        <v>-1500</v>
      </c>
      <c r="BG157" s="229">
        <v>-0.5</v>
      </c>
      <c r="BH157" s="230">
        <v>1201000</v>
      </c>
      <c r="BI157" s="230">
        <v>1475500</v>
      </c>
      <c r="BJ157" s="230">
        <v>-274500</v>
      </c>
      <c r="BK157" s="229">
        <v>-0.186</v>
      </c>
      <c r="BL157" s="230">
        <v>535500</v>
      </c>
      <c r="BM157" s="230">
        <v>897000</v>
      </c>
      <c r="BN157" s="230">
        <v>-361500</v>
      </c>
      <c r="BO157" s="229">
        <v>-0.40300000000000002</v>
      </c>
      <c r="BP157" s="230">
        <v>2797000</v>
      </c>
      <c r="BQ157" s="230">
        <v>3642500</v>
      </c>
      <c r="BR157" s="230">
        <v>-845500</v>
      </c>
      <c r="BS157" s="229">
        <v>-0.2321</v>
      </c>
      <c r="BT157" s="230">
        <v>582625</v>
      </c>
      <c r="BU157" s="230">
        <v>1150718</v>
      </c>
      <c r="BV157" s="230">
        <v>-568093</v>
      </c>
      <c r="BW157" s="229">
        <v>-0.49370000000000003</v>
      </c>
      <c r="BX157" s="230">
        <v>7821000</v>
      </c>
      <c r="BY157" s="230">
        <v>7829000</v>
      </c>
      <c r="BZ157" s="230">
        <v>-8000</v>
      </c>
      <c r="CA157" s="229">
        <v>-1E-3</v>
      </c>
      <c r="CB157" s="230">
        <v>7776500</v>
      </c>
      <c r="CC157" s="230">
        <v>7784000</v>
      </c>
      <c r="CD157" s="230">
        <v>-7500</v>
      </c>
      <c r="CE157" s="229">
        <v>-1E-3</v>
      </c>
      <c r="CF157" s="230">
        <v>37500</v>
      </c>
      <c r="CG157" s="230">
        <v>37500</v>
      </c>
      <c r="CH157" s="228">
        <v>0</v>
      </c>
      <c r="CI157" s="229">
        <v>0</v>
      </c>
      <c r="CJ157" s="230">
        <v>7000</v>
      </c>
      <c r="CK157" s="230">
        <v>7500</v>
      </c>
      <c r="CL157" s="228">
        <v>-500</v>
      </c>
      <c r="CM157" s="229">
        <v>-6.6699999999999995E-2</v>
      </c>
      <c r="CN157" s="230">
        <v>1443500</v>
      </c>
      <c r="CO157" s="230">
        <v>1338500</v>
      </c>
      <c r="CP157" s="230">
        <v>105000</v>
      </c>
      <c r="CQ157" s="229">
        <v>7.8399999999999997E-2</v>
      </c>
      <c r="CR157" s="230">
        <v>747000</v>
      </c>
      <c r="CS157" s="230">
        <v>757000</v>
      </c>
      <c r="CT157" s="230">
        <v>-10000</v>
      </c>
      <c r="CU157" s="229">
        <v>-1.32E-2</v>
      </c>
      <c r="CV157" s="230">
        <v>10011500</v>
      </c>
      <c r="CW157" s="230">
        <v>9924500</v>
      </c>
      <c r="CX157" s="230">
        <v>87000</v>
      </c>
      <c r="CY157" s="229">
        <v>8.8000000000000005E-3</v>
      </c>
      <c r="CZ157" s="228">
        <v>20.94</v>
      </c>
      <c r="DA157" s="228">
        <v>23.39</v>
      </c>
      <c r="DB157" s="228">
        <v>-2.4500000000000002</v>
      </c>
      <c r="DC157" s="228">
        <v>-2.4500000000000002</v>
      </c>
      <c r="DD157" s="228">
        <v>21.4</v>
      </c>
      <c r="DE157" s="228">
        <v>21.45</v>
      </c>
      <c r="DF157" s="228">
        <v>-0.46</v>
      </c>
      <c r="DG157" s="228">
        <v>-0.05</v>
      </c>
      <c r="DH157" s="228">
        <v>20.38</v>
      </c>
      <c r="DI157" s="228">
        <v>22.55</v>
      </c>
      <c r="DJ157" s="228">
        <v>-2.17</v>
      </c>
      <c r="DK157" s="228">
        <v>-2.17</v>
      </c>
      <c r="DL157" s="228">
        <v>22.19</v>
      </c>
      <c r="DM157" s="228">
        <v>24.76</v>
      </c>
      <c r="DN157" s="228">
        <v>-2.57</v>
      </c>
      <c r="DO157" s="228">
        <v>-2.57</v>
      </c>
      <c r="DP157" s="228">
        <v>0.52</v>
      </c>
      <c r="DQ157" s="228">
        <v>0.56999999999999995</v>
      </c>
      <c r="DR157" s="228">
        <v>-0.05</v>
      </c>
      <c r="DS157" s="229">
        <v>-8.77E-2</v>
      </c>
      <c r="DT157" s="231">
        <v>1560</v>
      </c>
      <c r="DU157" s="231">
        <v>1400</v>
      </c>
      <c r="DV157" s="228">
        <v>0.45</v>
      </c>
      <c r="DW157" s="228">
        <v>0.61</v>
      </c>
      <c r="DX157" s="228">
        <v>-0.16</v>
      </c>
      <c r="DY157" s="229">
        <v>-0.26229999999999998</v>
      </c>
      <c r="DZ157" s="229">
        <v>5.7000000000000002E-3</v>
      </c>
      <c r="EA157" s="230">
        <v>45000</v>
      </c>
      <c r="EB157" s="229">
        <v>5.7000000000000002E-3</v>
      </c>
      <c r="EC157" s="229">
        <v>5.7000000000000002E-3</v>
      </c>
      <c r="ED157" s="228">
        <v>10.76</v>
      </c>
      <c r="EE157" s="229">
        <v>7.4999999999999997E-3</v>
      </c>
      <c r="EF157" s="230">
        <v>328455</v>
      </c>
      <c r="EG157" s="230">
        <v>716714</v>
      </c>
      <c r="EH157" s="229">
        <v>-0.54169999999999996</v>
      </c>
      <c r="EI157" s="229">
        <v>0.56379999999999997</v>
      </c>
      <c r="EJ157" s="231">
        <v>18153.22</v>
      </c>
      <c r="EK157" s="231">
        <v>7613.9</v>
      </c>
      <c r="EL157" s="231">
        <v>15238.06</v>
      </c>
      <c r="EM157" s="231">
        <v>2612</v>
      </c>
      <c r="EN157" s="231">
        <v>41005.18</v>
      </c>
      <c r="EO157" s="231">
        <v>53553.04</v>
      </c>
      <c r="EP157" s="231">
        <v>-12547.86</v>
      </c>
      <c r="EQ157" s="229">
        <v>-0.23430000000000001</v>
      </c>
      <c r="ER157" s="231">
        <v>22037</v>
      </c>
      <c r="ES157" s="231">
        <v>10716</v>
      </c>
      <c r="ET157" s="231">
        <v>113141</v>
      </c>
      <c r="EU157" s="231">
        <v>31214205</v>
      </c>
      <c r="EV157" s="231">
        <v>145894</v>
      </c>
      <c r="EW157" s="231">
        <v>144131</v>
      </c>
      <c r="EX157" s="231">
        <v>1763</v>
      </c>
      <c r="EY157" s="229">
        <v>1.2200000000000001E-2</v>
      </c>
      <c r="EZ157" s="229">
        <v>0.32069999999999999</v>
      </c>
      <c r="FA157" s="227" t="s">
        <v>556</v>
      </c>
      <c r="FB157" s="161">
        <f t="shared" si="3"/>
        <v>0</v>
      </c>
    </row>
    <row r="158" spans="1:158" ht="17.25" thickBot="1" x14ac:dyDescent="0.3">
      <c r="A158" s="226">
        <v>46086</v>
      </c>
      <c r="B158" s="227" t="s">
        <v>498</v>
      </c>
      <c r="C158" s="227" t="s">
        <v>483</v>
      </c>
      <c r="D158" s="228">
        <v>175</v>
      </c>
      <c r="E158" s="231">
        <v>3080.4</v>
      </c>
      <c r="F158" s="231">
        <v>3038.6</v>
      </c>
      <c r="G158" s="228">
        <v>41.8</v>
      </c>
      <c r="H158" s="229">
        <v>1.38E-2</v>
      </c>
      <c r="I158" s="231">
        <v>3089</v>
      </c>
      <c r="J158" s="231">
        <v>3063.5</v>
      </c>
      <c r="K158" s="228">
        <v>25.5</v>
      </c>
      <c r="L158" s="229">
        <v>8.3000000000000001E-3</v>
      </c>
      <c r="M158" s="231">
        <v>3080.4</v>
      </c>
      <c r="N158" s="231">
        <v>3038.6</v>
      </c>
      <c r="O158" s="228">
        <v>41.8</v>
      </c>
      <c r="P158" s="229">
        <v>1.38E-2</v>
      </c>
      <c r="Q158" s="231">
        <v>3053.7</v>
      </c>
      <c r="R158" s="231">
        <v>3004.2</v>
      </c>
      <c r="S158" s="228">
        <v>49.5</v>
      </c>
      <c r="T158" s="229">
        <v>1.6500000000000001E-2</v>
      </c>
      <c r="U158" s="231">
        <v>3025</v>
      </c>
      <c r="V158" s="231">
        <v>2993.8</v>
      </c>
      <c r="W158" s="228">
        <v>31.2</v>
      </c>
      <c r="X158" s="229">
        <v>1.04E-2</v>
      </c>
      <c r="Y158" s="228">
        <v>-8.6</v>
      </c>
      <c r="Z158" s="228">
        <v>-24.9</v>
      </c>
      <c r="AA158" s="228">
        <v>16.3</v>
      </c>
      <c r="AB158" s="229">
        <v>-2.8E-3</v>
      </c>
      <c r="AC158" s="228">
        <v>-8.6</v>
      </c>
      <c r="AD158" s="228">
        <v>-24.9</v>
      </c>
      <c r="AE158" s="228">
        <v>16.3</v>
      </c>
      <c r="AF158" s="229">
        <v>-2.8E-3</v>
      </c>
      <c r="AG158" s="228">
        <v>-35.299999999999997</v>
      </c>
      <c r="AH158" s="228">
        <v>-59.3</v>
      </c>
      <c r="AI158" s="228">
        <v>24</v>
      </c>
      <c r="AJ158" s="229">
        <v>-1.14E-2</v>
      </c>
      <c r="AK158" s="228">
        <v>-64</v>
      </c>
      <c r="AL158" s="228">
        <v>-69.7</v>
      </c>
      <c r="AM158" s="228">
        <v>5.7</v>
      </c>
      <c r="AN158" s="229">
        <v>-2.07E-2</v>
      </c>
      <c r="AO158" s="231">
        <v>3056.54</v>
      </c>
      <c r="AP158" s="231">
        <v>3021.05</v>
      </c>
      <c r="AQ158" s="228">
        <v>0</v>
      </c>
      <c r="AR158" s="230">
        <v>369075</v>
      </c>
      <c r="AS158" s="230">
        <v>440475</v>
      </c>
      <c r="AT158" s="230">
        <v>-71400</v>
      </c>
      <c r="AU158" s="229">
        <v>-0.16209999999999999</v>
      </c>
      <c r="AV158" s="230">
        <v>312550</v>
      </c>
      <c r="AW158" s="230">
        <v>414575</v>
      </c>
      <c r="AX158" s="230">
        <v>-102025</v>
      </c>
      <c r="AY158" s="229">
        <v>-0.24610000000000001</v>
      </c>
      <c r="AZ158" s="230">
        <v>56000</v>
      </c>
      <c r="BA158" s="230">
        <v>25025</v>
      </c>
      <c r="BB158" s="230">
        <v>30975</v>
      </c>
      <c r="BC158" s="229">
        <v>1.2378</v>
      </c>
      <c r="BD158" s="228">
        <v>525</v>
      </c>
      <c r="BE158" s="228">
        <v>875</v>
      </c>
      <c r="BF158" s="228">
        <v>-350</v>
      </c>
      <c r="BG158" s="229">
        <v>-0.4</v>
      </c>
      <c r="BH158" s="230">
        <v>486150</v>
      </c>
      <c r="BI158" s="230">
        <v>581350</v>
      </c>
      <c r="BJ158" s="230">
        <v>-95200</v>
      </c>
      <c r="BK158" s="229">
        <v>-0.1638</v>
      </c>
      <c r="BL158" s="230">
        <v>189175</v>
      </c>
      <c r="BM158" s="230">
        <v>394275</v>
      </c>
      <c r="BN158" s="230">
        <v>-205100</v>
      </c>
      <c r="BO158" s="229">
        <v>-0.5202</v>
      </c>
      <c r="BP158" s="230">
        <v>1044400</v>
      </c>
      <c r="BQ158" s="230">
        <v>1416100</v>
      </c>
      <c r="BR158" s="230">
        <v>-371700</v>
      </c>
      <c r="BS158" s="229">
        <v>-0.26250000000000001</v>
      </c>
      <c r="BT158" s="230">
        <v>139363</v>
      </c>
      <c r="BU158" s="230">
        <v>223683</v>
      </c>
      <c r="BV158" s="230">
        <v>-84320</v>
      </c>
      <c r="BW158" s="229">
        <v>-0.377</v>
      </c>
      <c r="BX158" s="230">
        <v>3552150</v>
      </c>
      <c r="BY158" s="230">
        <v>3567550</v>
      </c>
      <c r="BZ158" s="230">
        <v>-15400</v>
      </c>
      <c r="CA158" s="229">
        <v>-4.3E-3</v>
      </c>
      <c r="CB158" s="230">
        <v>3372425</v>
      </c>
      <c r="CC158" s="230">
        <v>3413725</v>
      </c>
      <c r="CD158" s="230">
        <v>-41300</v>
      </c>
      <c r="CE158" s="229">
        <v>-1.21E-2</v>
      </c>
      <c r="CF158" s="230">
        <v>177275</v>
      </c>
      <c r="CG158" s="230">
        <v>151725</v>
      </c>
      <c r="CH158" s="230">
        <v>25550</v>
      </c>
      <c r="CI158" s="229">
        <v>0.16839999999999999</v>
      </c>
      <c r="CJ158" s="230">
        <v>2450</v>
      </c>
      <c r="CK158" s="230">
        <v>2100</v>
      </c>
      <c r="CL158" s="228">
        <v>350</v>
      </c>
      <c r="CM158" s="229">
        <v>0.16669999999999999</v>
      </c>
      <c r="CN158" s="230">
        <v>646275</v>
      </c>
      <c r="CO158" s="230">
        <v>613900</v>
      </c>
      <c r="CP158" s="230">
        <v>32375</v>
      </c>
      <c r="CQ158" s="229">
        <v>5.2699999999999997E-2</v>
      </c>
      <c r="CR158" s="230">
        <v>413525</v>
      </c>
      <c r="CS158" s="230">
        <v>425075</v>
      </c>
      <c r="CT158" s="230">
        <v>-11550</v>
      </c>
      <c r="CU158" s="229">
        <v>-2.7199999999999998E-2</v>
      </c>
      <c r="CV158" s="230">
        <v>4611950</v>
      </c>
      <c r="CW158" s="230">
        <v>4606525</v>
      </c>
      <c r="CX158" s="230">
        <v>5425</v>
      </c>
      <c r="CY158" s="229">
        <v>1.1999999999999999E-3</v>
      </c>
      <c r="CZ158" s="228">
        <v>26.9</v>
      </c>
      <c r="DA158" s="228">
        <v>29.77</v>
      </c>
      <c r="DB158" s="228">
        <v>-2.87</v>
      </c>
      <c r="DC158" s="228">
        <v>-2.87</v>
      </c>
      <c r="DD158" s="228">
        <v>29.2</v>
      </c>
      <c r="DE158" s="228">
        <v>29.22</v>
      </c>
      <c r="DF158" s="228">
        <v>-2.2999999999999998</v>
      </c>
      <c r="DG158" s="228">
        <v>-0.02</v>
      </c>
      <c r="DH158" s="228">
        <v>26.47</v>
      </c>
      <c r="DI158" s="228">
        <v>28.88</v>
      </c>
      <c r="DJ158" s="228">
        <v>-2.41</v>
      </c>
      <c r="DK158" s="228">
        <v>-2.41</v>
      </c>
      <c r="DL158" s="228">
        <v>28.02</v>
      </c>
      <c r="DM158" s="228">
        <v>31.08</v>
      </c>
      <c r="DN158" s="228">
        <v>-3.06</v>
      </c>
      <c r="DO158" s="228">
        <v>-3.06</v>
      </c>
      <c r="DP158" s="228">
        <v>0.64</v>
      </c>
      <c r="DQ158" s="228">
        <v>0.69</v>
      </c>
      <c r="DR158" s="228">
        <v>-0.05</v>
      </c>
      <c r="DS158" s="229">
        <v>-7.2499999999999995E-2</v>
      </c>
      <c r="DT158" s="231">
        <v>3200</v>
      </c>
      <c r="DU158" s="231">
        <v>3100</v>
      </c>
      <c r="DV158" s="228">
        <v>0.39</v>
      </c>
      <c r="DW158" s="228">
        <v>0.68</v>
      </c>
      <c r="DX158" s="228">
        <v>-0.28999999999999998</v>
      </c>
      <c r="DY158" s="229">
        <v>-0.42649999999999999</v>
      </c>
      <c r="DZ158" s="229">
        <v>5.0599999999999999E-2</v>
      </c>
      <c r="EA158" s="230">
        <v>153825</v>
      </c>
      <c r="EB158" s="229">
        <v>-8.6999999999999994E-3</v>
      </c>
      <c r="EC158" s="229">
        <v>5.0599999999999999E-2</v>
      </c>
      <c r="ED158" s="228">
        <v>-35.49</v>
      </c>
      <c r="EE158" s="229">
        <v>-1.1599999999999999E-2</v>
      </c>
      <c r="EF158" s="230">
        <v>60901</v>
      </c>
      <c r="EG158" s="230">
        <v>122757</v>
      </c>
      <c r="EH158" s="229">
        <v>-0.50390000000000001</v>
      </c>
      <c r="EI158" s="229">
        <v>0.437</v>
      </c>
      <c r="EJ158" s="231">
        <v>15652.52</v>
      </c>
      <c r="EK158" s="231">
        <v>5657.35</v>
      </c>
      <c r="EL158" s="231">
        <v>11260.84</v>
      </c>
      <c r="EM158" s="231">
        <v>2351</v>
      </c>
      <c r="EN158" s="231">
        <v>32570.71</v>
      </c>
      <c r="EO158" s="231">
        <v>43766.96</v>
      </c>
      <c r="EP158" s="231">
        <v>-11196.25</v>
      </c>
      <c r="EQ158" s="229">
        <v>-0.25580000000000003</v>
      </c>
      <c r="ER158" s="231">
        <v>20764</v>
      </c>
      <c r="ES158" s="231">
        <v>12509</v>
      </c>
      <c r="ET158" s="231">
        <v>109372</v>
      </c>
      <c r="EU158" s="231">
        <v>10712372</v>
      </c>
      <c r="EV158" s="231">
        <v>142645</v>
      </c>
      <c r="EW158" s="231">
        <v>140899</v>
      </c>
      <c r="EX158" s="231">
        <v>1746</v>
      </c>
      <c r="EY158" s="229">
        <v>1.24E-2</v>
      </c>
      <c r="EZ158" s="229">
        <v>0.43049999999999999</v>
      </c>
      <c r="FA158" s="227" t="s">
        <v>556</v>
      </c>
      <c r="FB158" s="161">
        <f t="shared" si="3"/>
        <v>0</v>
      </c>
    </row>
    <row r="159" spans="1:158" ht="17.25" thickBot="1" x14ac:dyDescent="0.3">
      <c r="A159" s="226">
        <v>46086</v>
      </c>
      <c r="B159" s="227" t="s">
        <v>172</v>
      </c>
      <c r="C159" s="227" t="s">
        <v>275</v>
      </c>
      <c r="D159" s="228">
        <v>8000</v>
      </c>
      <c r="E159" s="228">
        <v>122.79</v>
      </c>
      <c r="F159" s="228">
        <v>121.98</v>
      </c>
      <c r="G159" s="228">
        <v>0.81</v>
      </c>
      <c r="H159" s="229">
        <v>6.6E-3</v>
      </c>
      <c r="I159" s="228">
        <v>122.2</v>
      </c>
      <c r="J159" s="228">
        <v>121.37</v>
      </c>
      <c r="K159" s="228">
        <v>0.83</v>
      </c>
      <c r="L159" s="229">
        <v>6.7999999999999996E-3</v>
      </c>
      <c r="M159" s="228">
        <v>122.79</v>
      </c>
      <c r="N159" s="228">
        <v>121.98</v>
      </c>
      <c r="O159" s="228">
        <v>0.81</v>
      </c>
      <c r="P159" s="229">
        <v>6.6E-3</v>
      </c>
      <c r="Q159" s="228">
        <v>123.76</v>
      </c>
      <c r="R159" s="228">
        <v>122.72</v>
      </c>
      <c r="S159" s="228">
        <v>1.04</v>
      </c>
      <c r="T159" s="229">
        <v>8.5000000000000006E-3</v>
      </c>
      <c r="U159" s="228">
        <v>123.99</v>
      </c>
      <c r="V159" s="228">
        <v>123.22</v>
      </c>
      <c r="W159" s="228">
        <v>0.77</v>
      </c>
      <c r="X159" s="229">
        <v>6.1999999999999998E-3</v>
      </c>
      <c r="Y159" s="228">
        <v>0.59</v>
      </c>
      <c r="Z159" s="228">
        <v>0.61</v>
      </c>
      <c r="AA159" s="228">
        <v>-0.02</v>
      </c>
      <c r="AB159" s="229">
        <v>4.7999999999999996E-3</v>
      </c>
      <c r="AC159" s="228">
        <v>0.59</v>
      </c>
      <c r="AD159" s="228">
        <v>0.61</v>
      </c>
      <c r="AE159" s="228">
        <v>-0.02</v>
      </c>
      <c r="AF159" s="229">
        <v>4.7999999999999996E-3</v>
      </c>
      <c r="AG159" s="228">
        <v>1.56</v>
      </c>
      <c r="AH159" s="228">
        <v>1.35</v>
      </c>
      <c r="AI159" s="228">
        <v>0.21</v>
      </c>
      <c r="AJ159" s="229">
        <v>1.2800000000000001E-2</v>
      </c>
      <c r="AK159" s="228">
        <v>1.79</v>
      </c>
      <c r="AL159" s="228">
        <v>1.85</v>
      </c>
      <c r="AM159" s="228">
        <v>-0.06</v>
      </c>
      <c r="AN159" s="229">
        <v>1.46E-2</v>
      </c>
      <c r="AO159" s="228">
        <v>122.28</v>
      </c>
      <c r="AP159" s="228">
        <v>123.23</v>
      </c>
      <c r="AQ159" s="228">
        <v>0</v>
      </c>
      <c r="AR159" s="230">
        <v>58800000</v>
      </c>
      <c r="AS159" s="230">
        <v>75432000</v>
      </c>
      <c r="AT159" s="230">
        <v>-16632000</v>
      </c>
      <c r="AU159" s="229">
        <v>-0.2205</v>
      </c>
      <c r="AV159" s="230">
        <v>52432000</v>
      </c>
      <c r="AW159" s="230">
        <v>68448000</v>
      </c>
      <c r="AX159" s="230">
        <v>-16016000</v>
      </c>
      <c r="AY159" s="229">
        <v>-0.23400000000000001</v>
      </c>
      <c r="AZ159" s="230">
        <v>4616000</v>
      </c>
      <c r="BA159" s="230">
        <v>5904000</v>
      </c>
      <c r="BB159" s="230">
        <v>-1288000</v>
      </c>
      <c r="BC159" s="229">
        <v>-0.21820000000000001</v>
      </c>
      <c r="BD159" s="230">
        <v>1752000</v>
      </c>
      <c r="BE159" s="230">
        <v>1080000</v>
      </c>
      <c r="BF159" s="230">
        <v>672000</v>
      </c>
      <c r="BG159" s="229">
        <v>0.62219999999999998</v>
      </c>
      <c r="BH159" s="230">
        <v>99984000</v>
      </c>
      <c r="BI159" s="230">
        <v>124840000</v>
      </c>
      <c r="BJ159" s="230">
        <v>-24856000</v>
      </c>
      <c r="BK159" s="229">
        <v>-0.1991</v>
      </c>
      <c r="BL159" s="230">
        <v>75776000</v>
      </c>
      <c r="BM159" s="230">
        <v>101176000</v>
      </c>
      <c r="BN159" s="230">
        <v>-25400000</v>
      </c>
      <c r="BO159" s="229">
        <v>-0.251</v>
      </c>
      <c r="BP159" s="230">
        <v>234560000</v>
      </c>
      <c r="BQ159" s="230">
        <v>301448000</v>
      </c>
      <c r="BR159" s="230">
        <v>-66888000</v>
      </c>
      <c r="BS159" s="229">
        <v>-0.22189999999999999</v>
      </c>
      <c r="BT159" s="230">
        <v>15558526</v>
      </c>
      <c r="BU159" s="230">
        <v>26450604</v>
      </c>
      <c r="BV159" s="230">
        <v>-10892078</v>
      </c>
      <c r="BW159" s="229">
        <v>-0.4118</v>
      </c>
      <c r="BX159" s="230">
        <v>253048000</v>
      </c>
      <c r="BY159" s="230">
        <v>249864000</v>
      </c>
      <c r="BZ159" s="230">
        <v>3184000</v>
      </c>
      <c r="CA159" s="229">
        <v>1.2699999999999999E-2</v>
      </c>
      <c r="CB159" s="230">
        <v>236944000</v>
      </c>
      <c r="CC159" s="230">
        <v>234992000</v>
      </c>
      <c r="CD159" s="230">
        <v>1952000</v>
      </c>
      <c r="CE159" s="229">
        <v>8.3000000000000001E-3</v>
      </c>
      <c r="CF159" s="230">
        <v>12152000</v>
      </c>
      <c r="CG159" s="230">
        <v>11096000</v>
      </c>
      <c r="CH159" s="230">
        <v>1056000</v>
      </c>
      <c r="CI159" s="229">
        <v>9.5200000000000007E-2</v>
      </c>
      <c r="CJ159" s="230">
        <v>3952000</v>
      </c>
      <c r="CK159" s="230">
        <v>3776000</v>
      </c>
      <c r="CL159" s="230">
        <v>176000</v>
      </c>
      <c r="CM159" s="229">
        <v>4.6600000000000003E-2</v>
      </c>
      <c r="CN159" s="230">
        <v>107264000</v>
      </c>
      <c r="CO159" s="230">
        <v>92624000</v>
      </c>
      <c r="CP159" s="230">
        <v>14640000</v>
      </c>
      <c r="CQ159" s="229">
        <v>0.15809999999999999</v>
      </c>
      <c r="CR159" s="230">
        <v>72128000</v>
      </c>
      <c r="CS159" s="230">
        <v>62392000</v>
      </c>
      <c r="CT159" s="230">
        <v>9736000</v>
      </c>
      <c r="CU159" s="229">
        <v>0.156</v>
      </c>
      <c r="CV159" s="230">
        <v>432440000</v>
      </c>
      <c r="CW159" s="230">
        <v>404880000</v>
      </c>
      <c r="CX159" s="230">
        <v>27560000</v>
      </c>
      <c r="CY159" s="229">
        <v>6.8099999999999994E-2</v>
      </c>
      <c r="CZ159" s="228">
        <v>31.16</v>
      </c>
      <c r="DA159" s="228">
        <v>35.03</v>
      </c>
      <c r="DB159" s="228">
        <v>-3.87</v>
      </c>
      <c r="DC159" s="228">
        <v>-3.87</v>
      </c>
      <c r="DD159" s="228">
        <v>35.159999999999997</v>
      </c>
      <c r="DE159" s="228">
        <v>35.229999999999997</v>
      </c>
      <c r="DF159" s="228">
        <v>-4</v>
      </c>
      <c r="DG159" s="228">
        <v>-7.0000000000000007E-2</v>
      </c>
      <c r="DH159" s="228">
        <v>30.9</v>
      </c>
      <c r="DI159" s="228">
        <v>34.35</v>
      </c>
      <c r="DJ159" s="228">
        <v>-3.45</v>
      </c>
      <c r="DK159" s="228">
        <v>-3.45</v>
      </c>
      <c r="DL159" s="228">
        <v>31.5</v>
      </c>
      <c r="DM159" s="228">
        <v>35.869999999999997</v>
      </c>
      <c r="DN159" s="228">
        <v>-4.37</v>
      </c>
      <c r="DO159" s="228">
        <v>-4.37</v>
      </c>
      <c r="DP159" s="228">
        <v>0.67</v>
      </c>
      <c r="DQ159" s="228">
        <v>0.67</v>
      </c>
      <c r="DR159" s="228">
        <v>0</v>
      </c>
      <c r="DS159" s="229">
        <v>0</v>
      </c>
      <c r="DT159" s="228">
        <v>130</v>
      </c>
      <c r="DU159" s="228">
        <v>120</v>
      </c>
      <c r="DV159" s="228">
        <v>0.76</v>
      </c>
      <c r="DW159" s="228">
        <v>0.81</v>
      </c>
      <c r="DX159" s="228">
        <v>-0.05</v>
      </c>
      <c r="DY159" s="229">
        <v>-6.1699999999999998E-2</v>
      </c>
      <c r="DZ159" s="229">
        <v>6.3600000000000004E-2</v>
      </c>
      <c r="EA159" s="230">
        <v>14872000</v>
      </c>
      <c r="EB159" s="229">
        <v>7.9000000000000008E-3</v>
      </c>
      <c r="EC159" s="229">
        <v>6.3600000000000004E-2</v>
      </c>
      <c r="ED159" s="228">
        <v>0.95</v>
      </c>
      <c r="EE159" s="229">
        <v>7.7999999999999996E-3</v>
      </c>
      <c r="EF159" s="230">
        <v>6423757</v>
      </c>
      <c r="EG159" s="230">
        <v>12375980</v>
      </c>
      <c r="EH159" s="229">
        <v>-0.48089999999999999</v>
      </c>
      <c r="EI159" s="229">
        <v>0.41289999999999999</v>
      </c>
      <c r="EJ159" s="231">
        <v>130706.71</v>
      </c>
      <c r="EK159" s="231">
        <v>92272.63</v>
      </c>
      <c r="EL159" s="231">
        <v>71960.98</v>
      </c>
      <c r="EM159" s="231">
        <v>7813</v>
      </c>
      <c r="EN159" s="231">
        <v>294940.32</v>
      </c>
      <c r="EO159" s="231">
        <v>383880.17</v>
      </c>
      <c r="EP159" s="231">
        <v>-88939.85</v>
      </c>
      <c r="EQ159" s="229">
        <v>-0.23169999999999999</v>
      </c>
      <c r="ER159" s="231">
        <v>141469</v>
      </c>
      <c r="ES159" s="231">
        <v>88256</v>
      </c>
      <c r="ET159" s="231">
        <v>310883</v>
      </c>
      <c r="EU159" s="231">
        <v>515822637</v>
      </c>
      <c r="EV159" s="231">
        <v>540608</v>
      </c>
      <c r="EW159" s="231">
        <v>504956</v>
      </c>
      <c r="EX159" s="231">
        <v>35652</v>
      </c>
      <c r="EY159" s="229">
        <v>7.0599999999999996E-2</v>
      </c>
      <c r="EZ159" s="229">
        <v>0.83840000000000003</v>
      </c>
      <c r="FA159" s="227" t="s">
        <v>555</v>
      </c>
      <c r="FB159" s="161">
        <f t="shared" si="3"/>
        <v>0</v>
      </c>
    </row>
    <row r="160" spans="1:158" ht="17.25" thickBot="1" x14ac:dyDescent="0.3">
      <c r="A160" s="226">
        <v>46086</v>
      </c>
      <c r="B160" s="227" t="s">
        <v>175</v>
      </c>
      <c r="C160" s="227" t="s">
        <v>669</v>
      </c>
      <c r="D160" s="228">
        <v>650</v>
      </c>
      <c r="E160" s="228">
        <v>795.35</v>
      </c>
      <c r="F160" s="228">
        <v>786.3</v>
      </c>
      <c r="G160" s="228">
        <v>9.0500000000000007</v>
      </c>
      <c r="H160" s="229">
        <v>1.15E-2</v>
      </c>
      <c r="I160" s="228">
        <v>790.65</v>
      </c>
      <c r="J160" s="228">
        <v>783.15</v>
      </c>
      <c r="K160" s="228">
        <v>7.5</v>
      </c>
      <c r="L160" s="229">
        <v>9.5999999999999992E-3</v>
      </c>
      <c r="M160" s="228">
        <v>795.35</v>
      </c>
      <c r="N160" s="228">
        <v>786.3</v>
      </c>
      <c r="O160" s="228">
        <v>9.0500000000000007</v>
      </c>
      <c r="P160" s="229">
        <v>1.15E-2</v>
      </c>
      <c r="Q160" s="228">
        <v>801</v>
      </c>
      <c r="R160" s="228">
        <v>791.55</v>
      </c>
      <c r="S160" s="228">
        <v>9.4499999999999993</v>
      </c>
      <c r="T160" s="229">
        <v>1.1900000000000001E-2</v>
      </c>
      <c r="U160" s="228">
        <v>805</v>
      </c>
      <c r="V160" s="228">
        <v>806.5</v>
      </c>
      <c r="W160" s="228">
        <v>-1.5</v>
      </c>
      <c r="X160" s="229">
        <v>-1.9E-3</v>
      </c>
      <c r="Y160" s="228">
        <v>4.7</v>
      </c>
      <c r="Z160" s="228">
        <v>3.15</v>
      </c>
      <c r="AA160" s="228">
        <v>1.55</v>
      </c>
      <c r="AB160" s="229">
        <v>5.8999999999999999E-3</v>
      </c>
      <c r="AC160" s="228">
        <v>4.7</v>
      </c>
      <c r="AD160" s="228">
        <v>3.15</v>
      </c>
      <c r="AE160" s="228">
        <v>1.55</v>
      </c>
      <c r="AF160" s="229">
        <v>5.8999999999999999E-3</v>
      </c>
      <c r="AG160" s="228">
        <v>10.35</v>
      </c>
      <c r="AH160" s="228">
        <v>8.4</v>
      </c>
      <c r="AI160" s="228">
        <v>1.95</v>
      </c>
      <c r="AJ160" s="229">
        <v>1.3100000000000001E-2</v>
      </c>
      <c r="AK160" s="228">
        <v>14.35</v>
      </c>
      <c r="AL160" s="228">
        <v>23.35</v>
      </c>
      <c r="AM160" s="228">
        <v>-9</v>
      </c>
      <c r="AN160" s="229">
        <v>1.8100000000000002E-2</v>
      </c>
      <c r="AO160" s="228">
        <v>789.82</v>
      </c>
      <c r="AP160" s="228">
        <v>792.6</v>
      </c>
      <c r="AQ160" s="228">
        <v>0</v>
      </c>
      <c r="AR160" s="230">
        <v>1764100</v>
      </c>
      <c r="AS160" s="230">
        <v>2163200</v>
      </c>
      <c r="AT160" s="230">
        <v>-399100</v>
      </c>
      <c r="AU160" s="229">
        <v>-0.1845</v>
      </c>
      <c r="AV160" s="230">
        <v>1695200</v>
      </c>
      <c r="AW160" s="230">
        <v>1964300</v>
      </c>
      <c r="AX160" s="230">
        <v>-269100</v>
      </c>
      <c r="AY160" s="229">
        <v>-0.13700000000000001</v>
      </c>
      <c r="AZ160" s="230">
        <v>67600</v>
      </c>
      <c r="BA160" s="230">
        <v>182650</v>
      </c>
      <c r="BB160" s="230">
        <v>-115050</v>
      </c>
      <c r="BC160" s="229">
        <v>-0.62990000000000002</v>
      </c>
      <c r="BD160" s="230">
        <v>1300</v>
      </c>
      <c r="BE160" s="230">
        <v>16250</v>
      </c>
      <c r="BF160" s="230">
        <v>-14950</v>
      </c>
      <c r="BG160" s="229">
        <v>-0.92</v>
      </c>
      <c r="BH160" s="230">
        <v>1153100</v>
      </c>
      <c r="BI160" s="230">
        <v>2197650</v>
      </c>
      <c r="BJ160" s="230">
        <v>-1044550</v>
      </c>
      <c r="BK160" s="229">
        <v>-0.4753</v>
      </c>
      <c r="BL160" s="230">
        <v>881400</v>
      </c>
      <c r="BM160" s="230">
        <v>1614600</v>
      </c>
      <c r="BN160" s="230">
        <v>-733200</v>
      </c>
      <c r="BO160" s="229">
        <v>-0.4541</v>
      </c>
      <c r="BP160" s="230">
        <v>3798600</v>
      </c>
      <c r="BQ160" s="230">
        <v>5975450</v>
      </c>
      <c r="BR160" s="230">
        <v>-2176850</v>
      </c>
      <c r="BS160" s="229">
        <v>-0.36430000000000001</v>
      </c>
      <c r="BT160" s="230">
        <v>886947</v>
      </c>
      <c r="BU160" s="230">
        <v>813433</v>
      </c>
      <c r="BV160" s="230">
        <v>73514</v>
      </c>
      <c r="BW160" s="229">
        <v>9.0399999999999994E-2</v>
      </c>
      <c r="BX160" s="230">
        <v>13165750</v>
      </c>
      <c r="BY160" s="230">
        <v>12850500</v>
      </c>
      <c r="BZ160" s="230">
        <v>315250</v>
      </c>
      <c r="CA160" s="229">
        <v>2.4500000000000001E-2</v>
      </c>
      <c r="CB160" s="230">
        <v>12948000</v>
      </c>
      <c r="CC160" s="230">
        <v>12644450</v>
      </c>
      <c r="CD160" s="230">
        <v>303550</v>
      </c>
      <c r="CE160" s="229">
        <v>2.4E-2</v>
      </c>
      <c r="CF160" s="230">
        <v>200850</v>
      </c>
      <c r="CG160" s="230">
        <v>189150</v>
      </c>
      <c r="CH160" s="230">
        <v>11700</v>
      </c>
      <c r="CI160" s="229">
        <v>6.1899999999999997E-2</v>
      </c>
      <c r="CJ160" s="230">
        <v>16900</v>
      </c>
      <c r="CK160" s="230">
        <v>16900</v>
      </c>
      <c r="CL160" s="228">
        <v>0</v>
      </c>
      <c r="CM160" s="229">
        <v>0</v>
      </c>
      <c r="CN160" s="230">
        <v>1680900</v>
      </c>
      <c r="CO160" s="230">
        <v>1512550</v>
      </c>
      <c r="CP160" s="230">
        <v>168350</v>
      </c>
      <c r="CQ160" s="229">
        <v>0.1113</v>
      </c>
      <c r="CR160" s="230">
        <v>1255800</v>
      </c>
      <c r="CS160" s="230">
        <v>1217450</v>
      </c>
      <c r="CT160" s="230">
        <v>38350</v>
      </c>
      <c r="CU160" s="229">
        <v>3.15E-2</v>
      </c>
      <c r="CV160" s="230">
        <v>16102450</v>
      </c>
      <c r="CW160" s="230">
        <v>15580500</v>
      </c>
      <c r="CX160" s="230">
        <v>521950</v>
      </c>
      <c r="CY160" s="229">
        <v>3.3500000000000002E-2</v>
      </c>
      <c r="CZ160" s="228">
        <v>30.61</v>
      </c>
      <c r="DA160" s="228">
        <v>32.979999999999997</v>
      </c>
      <c r="DB160" s="228">
        <v>-2.37</v>
      </c>
      <c r="DC160" s="228">
        <v>-2.37</v>
      </c>
      <c r="DD160" s="228">
        <v>45.22</v>
      </c>
      <c r="DE160" s="228">
        <v>45.31</v>
      </c>
      <c r="DF160" s="228">
        <v>-14.61</v>
      </c>
      <c r="DG160" s="228">
        <v>-0.09</v>
      </c>
      <c r="DH160" s="228">
        <v>29.05</v>
      </c>
      <c r="DI160" s="228">
        <v>32.79</v>
      </c>
      <c r="DJ160" s="228">
        <v>-3.74</v>
      </c>
      <c r="DK160" s="228">
        <v>-3.74</v>
      </c>
      <c r="DL160" s="228">
        <v>32.659999999999997</v>
      </c>
      <c r="DM160" s="228">
        <v>33.24</v>
      </c>
      <c r="DN160" s="228">
        <v>-0.57999999999999996</v>
      </c>
      <c r="DO160" s="228">
        <v>-0.57999999999999996</v>
      </c>
      <c r="DP160" s="228">
        <v>0.75</v>
      </c>
      <c r="DQ160" s="228">
        <v>0.8</v>
      </c>
      <c r="DR160" s="228">
        <v>-0.05</v>
      </c>
      <c r="DS160" s="229">
        <v>-6.25E-2</v>
      </c>
      <c r="DT160" s="228">
        <v>860</v>
      </c>
      <c r="DU160" s="228">
        <v>800</v>
      </c>
      <c r="DV160" s="228">
        <v>0.76</v>
      </c>
      <c r="DW160" s="228">
        <v>0.73</v>
      </c>
      <c r="DX160" s="228">
        <v>0.03</v>
      </c>
      <c r="DY160" s="229">
        <v>4.1099999999999998E-2</v>
      </c>
      <c r="DZ160" s="229">
        <v>1.6500000000000001E-2</v>
      </c>
      <c r="EA160" s="230">
        <v>206050</v>
      </c>
      <c r="EB160" s="229">
        <v>7.1000000000000004E-3</v>
      </c>
      <c r="EC160" s="229">
        <v>1.6500000000000001E-2</v>
      </c>
      <c r="ED160" s="228">
        <v>2.78</v>
      </c>
      <c r="EE160" s="229">
        <v>3.5000000000000001E-3</v>
      </c>
      <c r="EF160" s="230">
        <v>450240</v>
      </c>
      <c r="EG160" s="230">
        <v>321147</v>
      </c>
      <c r="EH160" s="229">
        <v>0.40200000000000002</v>
      </c>
      <c r="EI160" s="229">
        <v>0.50760000000000005</v>
      </c>
      <c r="EJ160" s="231">
        <v>9753.15</v>
      </c>
      <c r="EK160" s="231">
        <v>6931.32</v>
      </c>
      <c r="EL160" s="231">
        <v>13935.25</v>
      </c>
      <c r="EM160" s="231">
        <v>2562</v>
      </c>
      <c r="EN160" s="231">
        <v>30619.72</v>
      </c>
      <c r="EO160" s="231">
        <v>49177.9</v>
      </c>
      <c r="EP160" s="231">
        <v>-18558.18</v>
      </c>
      <c r="EQ160" s="229">
        <v>-0.37740000000000001</v>
      </c>
      <c r="ER160" s="231">
        <v>14500</v>
      </c>
      <c r="ES160" s="231">
        <v>10130</v>
      </c>
      <c r="ET160" s="231">
        <v>104727</v>
      </c>
      <c r="EU160" s="231">
        <v>28118603</v>
      </c>
      <c r="EV160" s="231">
        <v>129357</v>
      </c>
      <c r="EW160" s="231">
        <v>124002</v>
      </c>
      <c r="EX160" s="231">
        <v>5355</v>
      </c>
      <c r="EY160" s="229">
        <v>4.3200000000000002E-2</v>
      </c>
      <c r="EZ160" s="229">
        <v>0.57269999999999999</v>
      </c>
      <c r="FA160" s="227" t="s">
        <v>555</v>
      </c>
      <c r="FB160" s="161">
        <f t="shared" si="3"/>
        <v>0</v>
      </c>
    </row>
    <row r="161" spans="1:158" ht="17.25" thickBot="1" x14ac:dyDescent="0.3">
      <c r="A161" s="226">
        <v>46086</v>
      </c>
      <c r="B161" s="227" t="s">
        <v>615</v>
      </c>
      <c r="C161" s="227" t="s">
        <v>573</v>
      </c>
      <c r="D161" s="228">
        <v>350</v>
      </c>
      <c r="E161" s="231">
        <v>1478.8</v>
      </c>
      <c r="F161" s="231">
        <v>1483</v>
      </c>
      <c r="G161" s="228">
        <v>-4.2</v>
      </c>
      <c r="H161" s="229">
        <v>-2.8E-3</v>
      </c>
      <c r="I161" s="231">
        <v>1472.8</v>
      </c>
      <c r="J161" s="231">
        <v>1480</v>
      </c>
      <c r="K161" s="228">
        <v>-7.2</v>
      </c>
      <c r="L161" s="229">
        <v>-4.8999999999999998E-3</v>
      </c>
      <c r="M161" s="231">
        <v>1478.8</v>
      </c>
      <c r="N161" s="231">
        <v>1483</v>
      </c>
      <c r="O161" s="228">
        <v>-4.2</v>
      </c>
      <c r="P161" s="229">
        <v>-2.8E-3</v>
      </c>
      <c r="Q161" s="231">
        <v>1488.2</v>
      </c>
      <c r="R161" s="231">
        <v>1491.3</v>
      </c>
      <c r="S161" s="228">
        <v>-3.1</v>
      </c>
      <c r="T161" s="229">
        <v>-2.0999999999999999E-3</v>
      </c>
      <c r="U161" s="231">
        <v>1485</v>
      </c>
      <c r="V161" s="231">
        <v>1505.6</v>
      </c>
      <c r="W161" s="228">
        <v>-20.6</v>
      </c>
      <c r="X161" s="229">
        <v>-1.37E-2</v>
      </c>
      <c r="Y161" s="228">
        <v>6</v>
      </c>
      <c r="Z161" s="228">
        <v>3</v>
      </c>
      <c r="AA161" s="228">
        <v>3</v>
      </c>
      <c r="AB161" s="229">
        <v>4.1000000000000003E-3</v>
      </c>
      <c r="AC161" s="228">
        <v>6</v>
      </c>
      <c r="AD161" s="228">
        <v>3</v>
      </c>
      <c r="AE161" s="228">
        <v>3</v>
      </c>
      <c r="AF161" s="229">
        <v>4.1000000000000003E-3</v>
      </c>
      <c r="AG161" s="228">
        <v>15.4</v>
      </c>
      <c r="AH161" s="228">
        <v>11.3</v>
      </c>
      <c r="AI161" s="228">
        <v>4.0999999999999996</v>
      </c>
      <c r="AJ161" s="229">
        <v>1.0500000000000001E-2</v>
      </c>
      <c r="AK161" s="228">
        <v>12.2</v>
      </c>
      <c r="AL161" s="228">
        <v>25.6</v>
      </c>
      <c r="AM161" s="228">
        <v>-13.4</v>
      </c>
      <c r="AN161" s="229">
        <v>8.3000000000000001E-3</v>
      </c>
      <c r="AO161" s="231">
        <v>1475.99</v>
      </c>
      <c r="AP161" s="231">
        <v>1486.06</v>
      </c>
      <c r="AQ161" s="228">
        <v>0</v>
      </c>
      <c r="AR161" s="230">
        <v>1391600</v>
      </c>
      <c r="AS161" s="230">
        <v>1615250</v>
      </c>
      <c r="AT161" s="230">
        <v>-223650</v>
      </c>
      <c r="AU161" s="229">
        <v>-0.13850000000000001</v>
      </c>
      <c r="AV161" s="230">
        <v>1352750</v>
      </c>
      <c r="AW161" s="230">
        <v>1583750</v>
      </c>
      <c r="AX161" s="230">
        <v>-231000</v>
      </c>
      <c r="AY161" s="229">
        <v>-0.1459</v>
      </c>
      <c r="AZ161" s="230">
        <v>37100</v>
      </c>
      <c r="BA161" s="230">
        <v>29750</v>
      </c>
      <c r="BB161" s="230">
        <v>7350</v>
      </c>
      <c r="BC161" s="229">
        <v>0.24709999999999999</v>
      </c>
      <c r="BD161" s="230">
        <v>1750</v>
      </c>
      <c r="BE161" s="230">
        <v>1750</v>
      </c>
      <c r="BF161" s="228">
        <v>0</v>
      </c>
      <c r="BG161" s="229">
        <v>0</v>
      </c>
      <c r="BH161" s="230">
        <v>1357300</v>
      </c>
      <c r="BI161" s="230">
        <v>1744050</v>
      </c>
      <c r="BJ161" s="230">
        <v>-386750</v>
      </c>
      <c r="BK161" s="229">
        <v>-0.2218</v>
      </c>
      <c r="BL161" s="230">
        <v>688100</v>
      </c>
      <c r="BM161" s="230">
        <v>1157800</v>
      </c>
      <c r="BN161" s="230">
        <v>-469700</v>
      </c>
      <c r="BO161" s="229">
        <v>-0.40570000000000001</v>
      </c>
      <c r="BP161" s="230">
        <v>3437000</v>
      </c>
      <c r="BQ161" s="230">
        <v>4517100</v>
      </c>
      <c r="BR161" s="230">
        <v>-1080100</v>
      </c>
      <c r="BS161" s="229">
        <v>-0.23910000000000001</v>
      </c>
      <c r="BT161" s="230">
        <v>1008535</v>
      </c>
      <c r="BU161" s="230">
        <v>1525765</v>
      </c>
      <c r="BV161" s="230">
        <v>-517230</v>
      </c>
      <c r="BW161" s="229">
        <v>-0.33900000000000002</v>
      </c>
      <c r="BX161" s="230">
        <v>8417500</v>
      </c>
      <c r="BY161" s="230">
        <v>8585150</v>
      </c>
      <c r="BZ161" s="230">
        <v>-167650</v>
      </c>
      <c r="CA161" s="229">
        <v>-1.95E-2</v>
      </c>
      <c r="CB161" s="230">
        <v>8312850</v>
      </c>
      <c r="CC161" s="230">
        <v>8485400</v>
      </c>
      <c r="CD161" s="230">
        <v>-172550</v>
      </c>
      <c r="CE161" s="229">
        <v>-2.0299999999999999E-2</v>
      </c>
      <c r="CF161" s="230">
        <v>101150</v>
      </c>
      <c r="CG161" s="230">
        <v>96950</v>
      </c>
      <c r="CH161" s="230">
        <v>4200</v>
      </c>
      <c r="CI161" s="229">
        <v>4.3299999999999998E-2</v>
      </c>
      <c r="CJ161" s="230">
        <v>3500</v>
      </c>
      <c r="CK161" s="230">
        <v>2800</v>
      </c>
      <c r="CL161" s="228">
        <v>700</v>
      </c>
      <c r="CM161" s="229">
        <v>0.25</v>
      </c>
      <c r="CN161" s="230">
        <v>1812300</v>
      </c>
      <c r="CO161" s="230">
        <v>1746500</v>
      </c>
      <c r="CP161" s="230">
        <v>65800</v>
      </c>
      <c r="CQ161" s="229">
        <v>3.7699999999999997E-2</v>
      </c>
      <c r="CR161" s="230">
        <v>1438150</v>
      </c>
      <c r="CS161" s="230">
        <v>1315650</v>
      </c>
      <c r="CT161" s="230">
        <v>122500</v>
      </c>
      <c r="CU161" s="229">
        <v>9.3100000000000002E-2</v>
      </c>
      <c r="CV161" s="230">
        <v>11667950</v>
      </c>
      <c r="CW161" s="230">
        <v>11647300</v>
      </c>
      <c r="CX161" s="230">
        <v>20650</v>
      </c>
      <c r="CY161" s="229">
        <v>1.8E-3</v>
      </c>
      <c r="CZ161" s="228">
        <v>37.950000000000003</v>
      </c>
      <c r="DA161" s="228">
        <v>40.46</v>
      </c>
      <c r="DB161" s="228">
        <v>-2.5099999999999998</v>
      </c>
      <c r="DC161" s="228">
        <v>-2.5099999999999998</v>
      </c>
      <c r="DD161" s="228">
        <v>46.25</v>
      </c>
      <c r="DE161" s="228">
        <v>46.36</v>
      </c>
      <c r="DF161" s="228">
        <v>-8.3000000000000007</v>
      </c>
      <c r="DG161" s="228">
        <v>-0.11</v>
      </c>
      <c r="DH161" s="228">
        <v>37.450000000000003</v>
      </c>
      <c r="DI161" s="228">
        <v>39.590000000000003</v>
      </c>
      <c r="DJ161" s="228">
        <v>-2.14</v>
      </c>
      <c r="DK161" s="228">
        <v>-2.14</v>
      </c>
      <c r="DL161" s="228">
        <v>38.950000000000003</v>
      </c>
      <c r="DM161" s="228">
        <v>41.76</v>
      </c>
      <c r="DN161" s="228">
        <v>-2.81</v>
      </c>
      <c r="DO161" s="228">
        <v>-2.81</v>
      </c>
      <c r="DP161" s="228">
        <v>0.79</v>
      </c>
      <c r="DQ161" s="228">
        <v>0.75</v>
      </c>
      <c r="DR161" s="228">
        <v>0.04</v>
      </c>
      <c r="DS161" s="229">
        <v>5.33E-2</v>
      </c>
      <c r="DT161" s="231">
        <v>1500</v>
      </c>
      <c r="DU161" s="231">
        <v>1500</v>
      </c>
      <c r="DV161" s="228">
        <v>0.51</v>
      </c>
      <c r="DW161" s="228">
        <v>0.66</v>
      </c>
      <c r="DX161" s="228">
        <v>-0.15</v>
      </c>
      <c r="DY161" s="229">
        <v>-0.2273</v>
      </c>
      <c r="DZ161" s="229">
        <v>1.24E-2</v>
      </c>
      <c r="EA161" s="230">
        <v>99750</v>
      </c>
      <c r="EB161" s="229">
        <v>6.4000000000000003E-3</v>
      </c>
      <c r="EC161" s="229">
        <v>1.24E-2</v>
      </c>
      <c r="ED161" s="228">
        <v>10.07</v>
      </c>
      <c r="EE161" s="229">
        <v>6.7999999999999996E-3</v>
      </c>
      <c r="EF161" s="230">
        <v>517824</v>
      </c>
      <c r="EG161" s="230">
        <v>946125</v>
      </c>
      <c r="EH161" s="229">
        <v>-0.45269999999999999</v>
      </c>
      <c r="EI161" s="229">
        <v>0.51339999999999997</v>
      </c>
      <c r="EJ161" s="231">
        <v>21490.07</v>
      </c>
      <c r="EK161" s="231">
        <v>10342.98</v>
      </c>
      <c r="EL161" s="231">
        <v>20543.919999999998</v>
      </c>
      <c r="EM161" s="231">
        <v>3712</v>
      </c>
      <c r="EN161" s="231">
        <v>52376.97</v>
      </c>
      <c r="EO161" s="231">
        <v>68609.289999999994</v>
      </c>
      <c r="EP161" s="231">
        <v>-16232.32</v>
      </c>
      <c r="EQ161" s="229">
        <v>-0.2366</v>
      </c>
      <c r="ER161" s="231">
        <v>28759</v>
      </c>
      <c r="ES161" s="231">
        <v>21538</v>
      </c>
      <c r="ET161" s="231">
        <v>124488</v>
      </c>
      <c r="EU161" s="231">
        <v>60642005</v>
      </c>
      <c r="EV161" s="231">
        <v>174785</v>
      </c>
      <c r="EW161" s="231">
        <v>174755</v>
      </c>
      <c r="EX161" s="228">
        <v>30</v>
      </c>
      <c r="EY161" s="229">
        <v>2.0000000000000001E-4</v>
      </c>
      <c r="EZ161" s="229">
        <v>0.19239999999999999</v>
      </c>
      <c r="FA161" s="227" t="s">
        <v>568</v>
      </c>
      <c r="FB161" s="161">
        <f t="shared" si="3"/>
        <v>0</v>
      </c>
    </row>
    <row r="162" spans="1:158" ht="17.25" thickBot="1" x14ac:dyDescent="0.3">
      <c r="A162" s="226">
        <v>46086</v>
      </c>
      <c r="B162" s="227" t="s">
        <v>184</v>
      </c>
      <c r="C162" s="227" t="s">
        <v>519</v>
      </c>
      <c r="D162" s="228">
        <v>125</v>
      </c>
      <c r="E162" s="231">
        <v>8575.5</v>
      </c>
      <c r="F162" s="231">
        <v>8317.5</v>
      </c>
      <c r="G162" s="228">
        <v>258</v>
      </c>
      <c r="H162" s="229">
        <v>3.1E-2</v>
      </c>
      <c r="I162" s="231">
        <v>8564</v>
      </c>
      <c r="J162" s="231">
        <v>8284</v>
      </c>
      <c r="K162" s="228">
        <v>280</v>
      </c>
      <c r="L162" s="229">
        <v>3.3799999999999997E-2</v>
      </c>
      <c r="M162" s="231">
        <v>8575.5</v>
      </c>
      <c r="N162" s="231">
        <v>8317.5</v>
      </c>
      <c r="O162" s="228">
        <v>258</v>
      </c>
      <c r="P162" s="229">
        <v>3.1E-2</v>
      </c>
      <c r="Q162" s="231">
        <v>8617.5</v>
      </c>
      <c r="R162" s="231">
        <v>8362.5</v>
      </c>
      <c r="S162" s="228">
        <v>255</v>
      </c>
      <c r="T162" s="229">
        <v>3.0499999999999999E-2</v>
      </c>
      <c r="U162" s="231">
        <v>8660</v>
      </c>
      <c r="V162" s="231">
        <v>8410</v>
      </c>
      <c r="W162" s="228">
        <v>250</v>
      </c>
      <c r="X162" s="229">
        <v>2.9700000000000001E-2</v>
      </c>
      <c r="Y162" s="228">
        <v>11.5</v>
      </c>
      <c r="Z162" s="228">
        <v>33.5</v>
      </c>
      <c r="AA162" s="228">
        <v>-22</v>
      </c>
      <c r="AB162" s="229">
        <v>1.2999999999999999E-3</v>
      </c>
      <c r="AC162" s="228">
        <v>11.5</v>
      </c>
      <c r="AD162" s="228">
        <v>33.5</v>
      </c>
      <c r="AE162" s="228">
        <v>-22</v>
      </c>
      <c r="AF162" s="229">
        <v>1.2999999999999999E-3</v>
      </c>
      <c r="AG162" s="228">
        <v>53.5</v>
      </c>
      <c r="AH162" s="228">
        <v>78.5</v>
      </c>
      <c r="AI162" s="228">
        <v>-25</v>
      </c>
      <c r="AJ162" s="229">
        <v>6.1999999999999998E-3</v>
      </c>
      <c r="AK162" s="228">
        <v>96</v>
      </c>
      <c r="AL162" s="228">
        <v>126</v>
      </c>
      <c r="AM162" s="228">
        <v>-30</v>
      </c>
      <c r="AN162" s="229">
        <v>1.12E-2</v>
      </c>
      <c r="AO162" s="231">
        <v>8423.08</v>
      </c>
      <c r="AP162" s="231">
        <v>8482.02</v>
      </c>
      <c r="AQ162" s="228">
        <v>0</v>
      </c>
      <c r="AR162" s="230">
        <v>1181250</v>
      </c>
      <c r="AS162" s="230">
        <v>914125</v>
      </c>
      <c r="AT162" s="230">
        <v>267125</v>
      </c>
      <c r="AU162" s="229">
        <v>0.29220000000000002</v>
      </c>
      <c r="AV162" s="230">
        <v>1119125</v>
      </c>
      <c r="AW162" s="230">
        <v>873500</v>
      </c>
      <c r="AX162" s="230">
        <v>245625</v>
      </c>
      <c r="AY162" s="229">
        <v>0.28120000000000001</v>
      </c>
      <c r="AZ162" s="230">
        <v>54375</v>
      </c>
      <c r="BA162" s="230">
        <v>33625</v>
      </c>
      <c r="BB162" s="230">
        <v>20750</v>
      </c>
      <c r="BC162" s="229">
        <v>0.61709999999999998</v>
      </c>
      <c r="BD162" s="230">
        <v>7750</v>
      </c>
      <c r="BE162" s="230">
        <v>7000</v>
      </c>
      <c r="BF162" s="228">
        <v>750</v>
      </c>
      <c r="BG162" s="229">
        <v>0.1071</v>
      </c>
      <c r="BH162" s="230">
        <v>2248000</v>
      </c>
      <c r="BI162" s="230">
        <v>1838375</v>
      </c>
      <c r="BJ162" s="230">
        <v>409625</v>
      </c>
      <c r="BK162" s="229">
        <v>0.2228</v>
      </c>
      <c r="BL162" s="230">
        <v>2025125</v>
      </c>
      <c r="BM162" s="230">
        <v>3737625</v>
      </c>
      <c r="BN162" s="230">
        <v>-1712500</v>
      </c>
      <c r="BO162" s="229">
        <v>-0.4582</v>
      </c>
      <c r="BP162" s="230">
        <v>5454375</v>
      </c>
      <c r="BQ162" s="230">
        <v>6490125</v>
      </c>
      <c r="BR162" s="230">
        <v>-1035750</v>
      </c>
      <c r="BS162" s="229">
        <v>-0.15959999999999999</v>
      </c>
      <c r="BT162" s="230">
        <v>517170</v>
      </c>
      <c r="BU162" s="230">
        <v>499416</v>
      </c>
      <c r="BV162" s="230">
        <v>17754</v>
      </c>
      <c r="BW162" s="229">
        <v>3.5499999999999997E-2</v>
      </c>
      <c r="BX162" s="230">
        <v>2292750</v>
      </c>
      <c r="BY162" s="230">
        <v>2325625</v>
      </c>
      <c r="BZ162" s="230">
        <v>-32875</v>
      </c>
      <c r="CA162" s="229">
        <v>-1.41E-2</v>
      </c>
      <c r="CB162" s="230">
        <v>2206375</v>
      </c>
      <c r="CC162" s="230">
        <v>2249500</v>
      </c>
      <c r="CD162" s="230">
        <v>-43125</v>
      </c>
      <c r="CE162" s="229">
        <v>-1.9199999999999998E-2</v>
      </c>
      <c r="CF162" s="230">
        <v>78500</v>
      </c>
      <c r="CG162" s="230">
        <v>67875</v>
      </c>
      <c r="CH162" s="230">
        <v>10625</v>
      </c>
      <c r="CI162" s="229">
        <v>0.1565</v>
      </c>
      <c r="CJ162" s="230">
        <v>7875</v>
      </c>
      <c r="CK162" s="230">
        <v>8250</v>
      </c>
      <c r="CL162" s="228">
        <v>-375</v>
      </c>
      <c r="CM162" s="229">
        <v>-4.5499999999999999E-2</v>
      </c>
      <c r="CN162" s="230">
        <v>1127500</v>
      </c>
      <c r="CO162" s="230">
        <v>1020000</v>
      </c>
      <c r="CP162" s="230">
        <v>107500</v>
      </c>
      <c r="CQ162" s="229">
        <v>0.10539999999999999</v>
      </c>
      <c r="CR162" s="230">
        <v>1206750</v>
      </c>
      <c r="CS162" s="230">
        <v>1109000</v>
      </c>
      <c r="CT162" s="230">
        <v>97750</v>
      </c>
      <c r="CU162" s="229">
        <v>8.8099999999999998E-2</v>
      </c>
      <c r="CV162" s="230">
        <v>4627000</v>
      </c>
      <c r="CW162" s="230">
        <v>4454625</v>
      </c>
      <c r="CX162" s="230">
        <v>172375</v>
      </c>
      <c r="CY162" s="229">
        <v>3.8699999999999998E-2</v>
      </c>
      <c r="CZ162" s="228">
        <v>33.58</v>
      </c>
      <c r="DA162" s="228">
        <v>35.229999999999997</v>
      </c>
      <c r="DB162" s="228">
        <v>-1.65</v>
      </c>
      <c r="DC162" s="228">
        <v>-1.65</v>
      </c>
      <c r="DD162" s="228">
        <v>39.36</v>
      </c>
      <c r="DE162" s="228">
        <v>39.21</v>
      </c>
      <c r="DF162" s="228">
        <v>-5.78</v>
      </c>
      <c r="DG162" s="228">
        <v>0.15</v>
      </c>
      <c r="DH162" s="228">
        <v>30.24</v>
      </c>
      <c r="DI162" s="228">
        <v>30.94</v>
      </c>
      <c r="DJ162" s="228">
        <v>-0.7</v>
      </c>
      <c r="DK162" s="228">
        <v>-0.7</v>
      </c>
      <c r="DL162" s="228">
        <v>37.28</v>
      </c>
      <c r="DM162" s="228">
        <v>37.340000000000003</v>
      </c>
      <c r="DN162" s="228">
        <v>-0.06</v>
      </c>
      <c r="DO162" s="228">
        <v>-0.06</v>
      </c>
      <c r="DP162" s="228">
        <v>1.07</v>
      </c>
      <c r="DQ162" s="228">
        <v>1.0900000000000001</v>
      </c>
      <c r="DR162" s="228">
        <v>-0.02</v>
      </c>
      <c r="DS162" s="229">
        <v>-1.83E-2</v>
      </c>
      <c r="DT162" s="231">
        <v>9000</v>
      </c>
      <c r="DU162" s="231">
        <v>7600</v>
      </c>
      <c r="DV162" s="228">
        <v>0.9</v>
      </c>
      <c r="DW162" s="228">
        <v>2.0299999999999998</v>
      </c>
      <c r="DX162" s="228">
        <v>-1.1299999999999999</v>
      </c>
      <c r="DY162" s="229">
        <v>-0.55669999999999997</v>
      </c>
      <c r="DZ162" s="229">
        <v>3.7699999999999997E-2</v>
      </c>
      <c r="EA162" s="230">
        <v>76125</v>
      </c>
      <c r="EB162" s="229">
        <v>4.8999999999999998E-3</v>
      </c>
      <c r="EC162" s="229">
        <v>3.7699999999999997E-2</v>
      </c>
      <c r="ED162" s="228">
        <v>58.94</v>
      </c>
      <c r="EE162" s="229">
        <v>7.0000000000000001E-3</v>
      </c>
      <c r="EF162" s="230">
        <v>298673</v>
      </c>
      <c r="EG162" s="230">
        <v>251072</v>
      </c>
      <c r="EH162" s="229">
        <v>0.18959999999999999</v>
      </c>
      <c r="EI162" s="229">
        <v>0.57750000000000001</v>
      </c>
      <c r="EJ162" s="231">
        <v>201298.75</v>
      </c>
      <c r="EK162" s="231">
        <v>160700.16</v>
      </c>
      <c r="EL162" s="231">
        <v>99534.46</v>
      </c>
      <c r="EM162" s="231">
        <v>7369</v>
      </c>
      <c r="EN162" s="231">
        <v>461533.37</v>
      </c>
      <c r="EO162" s="231">
        <v>534492.31999999995</v>
      </c>
      <c r="EP162" s="231">
        <v>-72958.95</v>
      </c>
      <c r="EQ162" s="229">
        <v>-0.13650000000000001</v>
      </c>
      <c r="ER162" s="231">
        <v>97191</v>
      </c>
      <c r="ES162" s="231">
        <v>94364</v>
      </c>
      <c r="ET162" s="231">
        <v>196654</v>
      </c>
      <c r="EU162" s="231">
        <v>8688405</v>
      </c>
      <c r="EV162" s="231">
        <v>388210</v>
      </c>
      <c r="EW162" s="231">
        <v>367164</v>
      </c>
      <c r="EX162" s="231">
        <v>21046</v>
      </c>
      <c r="EY162" s="229">
        <v>5.7299999999999997E-2</v>
      </c>
      <c r="EZ162" s="229">
        <v>0.53249999999999997</v>
      </c>
      <c r="FA162" s="227" t="s">
        <v>556</v>
      </c>
      <c r="FB162" s="161">
        <f t="shared" ref="FB162:FB194" si="4">BX226-CB226</f>
        <v>0</v>
      </c>
    </row>
    <row r="163" spans="1:158" ht="17.25" thickBot="1" x14ac:dyDescent="0.3">
      <c r="A163" s="226">
        <v>46086</v>
      </c>
      <c r="B163" s="227" t="s">
        <v>161</v>
      </c>
      <c r="C163" s="227" t="s">
        <v>276</v>
      </c>
      <c r="D163" s="228">
        <v>1900</v>
      </c>
      <c r="E163" s="228">
        <v>299.89999999999998</v>
      </c>
      <c r="F163" s="228">
        <v>293.10000000000002</v>
      </c>
      <c r="G163" s="228">
        <v>6.8</v>
      </c>
      <c r="H163" s="229">
        <v>2.3199999999999998E-2</v>
      </c>
      <c r="I163" s="228">
        <v>299.45</v>
      </c>
      <c r="J163" s="228">
        <v>291.95</v>
      </c>
      <c r="K163" s="228">
        <v>7.5</v>
      </c>
      <c r="L163" s="229">
        <v>2.5700000000000001E-2</v>
      </c>
      <c r="M163" s="228">
        <v>299.89999999999998</v>
      </c>
      <c r="N163" s="228">
        <v>293.10000000000002</v>
      </c>
      <c r="O163" s="228">
        <v>6.8</v>
      </c>
      <c r="P163" s="229">
        <v>2.3199999999999998E-2</v>
      </c>
      <c r="Q163" s="228">
        <v>301.60000000000002</v>
      </c>
      <c r="R163" s="228">
        <v>294.60000000000002</v>
      </c>
      <c r="S163" s="228">
        <v>7</v>
      </c>
      <c r="T163" s="229">
        <v>2.3800000000000002E-2</v>
      </c>
      <c r="U163" s="228">
        <v>304.05</v>
      </c>
      <c r="V163" s="228">
        <v>296.10000000000002</v>
      </c>
      <c r="W163" s="228">
        <v>7.95</v>
      </c>
      <c r="X163" s="229">
        <v>2.6800000000000001E-2</v>
      </c>
      <c r="Y163" s="228">
        <v>0.45</v>
      </c>
      <c r="Z163" s="228">
        <v>1.1499999999999999</v>
      </c>
      <c r="AA163" s="228">
        <v>-0.7</v>
      </c>
      <c r="AB163" s="229">
        <v>1.5E-3</v>
      </c>
      <c r="AC163" s="228">
        <v>0.45</v>
      </c>
      <c r="AD163" s="228">
        <v>1.1499999999999999</v>
      </c>
      <c r="AE163" s="228">
        <v>-0.7</v>
      </c>
      <c r="AF163" s="229">
        <v>1.5E-3</v>
      </c>
      <c r="AG163" s="228">
        <v>2.15</v>
      </c>
      <c r="AH163" s="228">
        <v>2.65</v>
      </c>
      <c r="AI163" s="228">
        <v>-0.5</v>
      </c>
      <c r="AJ163" s="229">
        <v>7.1999999999999998E-3</v>
      </c>
      <c r="AK163" s="228">
        <v>4.5999999999999996</v>
      </c>
      <c r="AL163" s="228">
        <v>4.1500000000000004</v>
      </c>
      <c r="AM163" s="228">
        <v>0.45</v>
      </c>
      <c r="AN163" s="229">
        <v>1.54E-2</v>
      </c>
      <c r="AO163" s="228">
        <v>298.2</v>
      </c>
      <c r="AP163" s="228">
        <v>299.94</v>
      </c>
      <c r="AQ163" s="228">
        <v>0</v>
      </c>
      <c r="AR163" s="230">
        <v>10773000</v>
      </c>
      <c r="AS163" s="230">
        <v>10328400</v>
      </c>
      <c r="AT163" s="230">
        <v>444600</v>
      </c>
      <c r="AU163" s="229">
        <v>4.2999999999999997E-2</v>
      </c>
      <c r="AV163" s="230">
        <v>10246700</v>
      </c>
      <c r="AW163" s="230">
        <v>9895200</v>
      </c>
      <c r="AX163" s="230">
        <v>351500</v>
      </c>
      <c r="AY163" s="229">
        <v>3.5499999999999997E-2</v>
      </c>
      <c r="AZ163" s="230">
        <v>456000</v>
      </c>
      <c r="BA163" s="230">
        <v>397100</v>
      </c>
      <c r="BB163" s="230">
        <v>58900</v>
      </c>
      <c r="BC163" s="229">
        <v>0.14829999999999999</v>
      </c>
      <c r="BD163" s="230">
        <v>70300</v>
      </c>
      <c r="BE163" s="230">
        <v>36100</v>
      </c>
      <c r="BF163" s="230">
        <v>34200</v>
      </c>
      <c r="BG163" s="229">
        <v>0.94740000000000002</v>
      </c>
      <c r="BH163" s="230">
        <v>37933500</v>
      </c>
      <c r="BI163" s="230">
        <v>35452100</v>
      </c>
      <c r="BJ163" s="230">
        <v>2481400</v>
      </c>
      <c r="BK163" s="229">
        <v>7.0000000000000007E-2</v>
      </c>
      <c r="BL163" s="230">
        <v>16032200</v>
      </c>
      <c r="BM163" s="230">
        <v>22623300</v>
      </c>
      <c r="BN163" s="230">
        <v>-6591100</v>
      </c>
      <c r="BO163" s="229">
        <v>-0.2913</v>
      </c>
      <c r="BP163" s="230">
        <v>64738700</v>
      </c>
      <c r="BQ163" s="230">
        <v>68403800</v>
      </c>
      <c r="BR163" s="230">
        <v>-3665100</v>
      </c>
      <c r="BS163" s="229">
        <v>-5.3600000000000002E-2</v>
      </c>
      <c r="BT163" s="230">
        <v>20348125</v>
      </c>
      <c r="BU163" s="230">
        <v>30718274</v>
      </c>
      <c r="BV163" s="230">
        <v>-10370149</v>
      </c>
      <c r="BW163" s="229">
        <v>-0.33760000000000001</v>
      </c>
      <c r="BX163" s="230">
        <v>80938100</v>
      </c>
      <c r="BY163" s="230">
        <v>82454300</v>
      </c>
      <c r="BZ163" s="230">
        <v>-1516200</v>
      </c>
      <c r="CA163" s="229">
        <v>-1.84E-2</v>
      </c>
      <c r="CB163" s="230">
        <v>79551100</v>
      </c>
      <c r="CC163" s="230">
        <v>81211700</v>
      </c>
      <c r="CD163" s="230">
        <v>-1660600</v>
      </c>
      <c r="CE163" s="229">
        <v>-2.0400000000000001E-2</v>
      </c>
      <c r="CF163" s="230">
        <v>1191300</v>
      </c>
      <c r="CG163" s="230">
        <v>1090600</v>
      </c>
      <c r="CH163" s="230">
        <v>100700</v>
      </c>
      <c r="CI163" s="229">
        <v>9.2299999999999993E-2</v>
      </c>
      <c r="CJ163" s="230">
        <v>195700</v>
      </c>
      <c r="CK163" s="230">
        <v>152000</v>
      </c>
      <c r="CL163" s="230">
        <v>43700</v>
      </c>
      <c r="CM163" s="229">
        <v>0.28749999999999998</v>
      </c>
      <c r="CN163" s="230">
        <v>37150700</v>
      </c>
      <c r="CO163" s="230">
        <v>34561000</v>
      </c>
      <c r="CP163" s="230">
        <v>2589700</v>
      </c>
      <c r="CQ163" s="229">
        <v>7.4899999999999994E-2</v>
      </c>
      <c r="CR163" s="230">
        <v>15616100</v>
      </c>
      <c r="CS163" s="230">
        <v>15315900</v>
      </c>
      <c r="CT163" s="230">
        <v>300200</v>
      </c>
      <c r="CU163" s="229">
        <v>1.9599999999999999E-2</v>
      </c>
      <c r="CV163" s="230">
        <v>133704900</v>
      </c>
      <c r="CW163" s="230">
        <v>132331200</v>
      </c>
      <c r="CX163" s="230">
        <v>1373700</v>
      </c>
      <c r="CY163" s="229">
        <v>1.04E-2</v>
      </c>
      <c r="CZ163" s="228">
        <v>22.04</v>
      </c>
      <c r="DA163" s="228">
        <v>24.69</v>
      </c>
      <c r="DB163" s="228">
        <v>-2.65</v>
      </c>
      <c r="DC163" s="228">
        <v>-2.65</v>
      </c>
      <c r="DD163" s="228">
        <v>29.66</v>
      </c>
      <c r="DE163" s="228">
        <v>29.54</v>
      </c>
      <c r="DF163" s="228">
        <v>-7.62</v>
      </c>
      <c r="DG163" s="228">
        <v>0.12</v>
      </c>
      <c r="DH163" s="228">
        <v>21.26</v>
      </c>
      <c r="DI163" s="228">
        <v>24.09</v>
      </c>
      <c r="DJ163" s="228">
        <v>-2.83</v>
      </c>
      <c r="DK163" s="228">
        <v>-2.83</v>
      </c>
      <c r="DL163" s="228">
        <v>23.88</v>
      </c>
      <c r="DM163" s="228">
        <v>25.62</v>
      </c>
      <c r="DN163" s="228">
        <v>-1.74</v>
      </c>
      <c r="DO163" s="228">
        <v>-1.74</v>
      </c>
      <c r="DP163" s="228">
        <v>0.42</v>
      </c>
      <c r="DQ163" s="228">
        <v>0.44</v>
      </c>
      <c r="DR163" s="228">
        <v>-0.02</v>
      </c>
      <c r="DS163" s="229">
        <v>-4.5499999999999999E-2</v>
      </c>
      <c r="DT163" s="228">
        <v>310</v>
      </c>
      <c r="DU163" s="228">
        <v>300</v>
      </c>
      <c r="DV163" s="228">
        <v>0.42</v>
      </c>
      <c r="DW163" s="228">
        <v>0.64</v>
      </c>
      <c r="DX163" s="228">
        <v>-0.22</v>
      </c>
      <c r="DY163" s="229">
        <v>-0.34379999999999999</v>
      </c>
      <c r="DZ163" s="229">
        <v>1.7100000000000001E-2</v>
      </c>
      <c r="EA163" s="230">
        <v>1242600</v>
      </c>
      <c r="EB163" s="229">
        <v>5.7000000000000002E-3</v>
      </c>
      <c r="EC163" s="229">
        <v>1.7100000000000001E-2</v>
      </c>
      <c r="ED163" s="228">
        <v>1.74</v>
      </c>
      <c r="EE163" s="229">
        <v>5.7999999999999996E-3</v>
      </c>
      <c r="EF163" s="230">
        <v>13725558</v>
      </c>
      <c r="EG163" s="230">
        <v>21831582</v>
      </c>
      <c r="EH163" s="229">
        <v>-0.37130000000000002</v>
      </c>
      <c r="EI163" s="229">
        <v>0.67449999999999999</v>
      </c>
      <c r="EJ163" s="231">
        <v>118558.7</v>
      </c>
      <c r="EK163" s="231">
        <v>46388.72</v>
      </c>
      <c r="EL163" s="231">
        <v>32135.63</v>
      </c>
      <c r="EM163" s="231">
        <v>6127</v>
      </c>
      <c r="EN163" s="231">
        <v>197083.05</v>
      </c>
      <c r="EO163" s="231">
        <v>205228.3</v>
      </c>
      <c r="EP163" s="231">
        <v>-8145.25</v>
      </c>
      <c r="EQ163" s="229">
        <v>-3.9699999999999999E-2</v>
      </c>
      <c r="ER163" s="231">
        <v>115840</v>
      </c>
      <c r="ES163" s="231">
        <v>45082</v>
      </c>
      <c r="ET163" s="231">
        <v>242762</v>
      </c>
      <c r="EU163" s="231">
        <v>678857930</v>
      </c>
      <c r="EV163" s="231">
        <v>403684</v>
      </c>
      <c r="EW163" s="231">
        <v>393624</v>
      </c>
      <c r="EX163" s="231">
        <v>10060</v>
      </c>
      <c r="EY163" s="229">
        <v>2.5600000000000001E-2</v>
      </c>
      <c r="EZ163" s="229">
        <v>0.19700000000000001</v>
      </c>
      <c r="FA163" s="227" t="s">
        <v>556</v>
      </c>
      <c r="FB163" s="161">
        <f t="shared" si="4"/>
        <v>0</v>
      </c>
    </row>
    <row r="164" spans="1:158" ht="17.25" thickBot="1" x14ac:dyDescent="0.3">
      <c r="A164" s="226">
        <v>46086</v>
      </c>
      <c r="B164" s="227" t="s">
        <v>184</v>
      </c>
      <c r="C164" s="227" t="s">
        <v>686</v>
      </c>
      <c r="D164" s="228">
        <v>50</v>
      </c>
      <c r="E164" s="231">
        <v>25390</v>
      </c>
      <c r="F164" s="231">
        <v>24600</v>
      </c>
      <c r="G164" s="228">
        <v>790</v>
      </c>
      <c r="H164" s="229">
        <v>3.2099999999999997E-2</v>
      </c>
      <c r="I164" s="231">
        <v>25305</v>
      </c>
      <c r="J164" s="231">
        <v>24500</v>
      </c>
      <c r="K164" s="228">
        <v>805</v>
      </c>
      <c r="L164" s="229">
        <v>3.2899999999999999E-2</v>
      </c>
      <c r="M164" s="231">
        <v>25390</v>
      </c>
      <c r="N164" s="231">
        <v>24600</v>
      </c>
      <c r="O164" s="228">
        <v>790</v>
      </c>
      <c r="P164" s="229">
        <v>3.2099999999999997E-2</v>
      </c>
      <c r="Q164" s="231">
        <v>25455</v>
      </c>
      <c r="R164" s="231">
        <v>24660</v>
      </c>
      <c r="S164" s="228">
        <v>795</v>
      </c>
      <c r="T164" s="229">
        <v>3.2199999999999999E-2</v>
      </c>
      <c r="U164" s="231">
        <v>25590</v>
      </c>
      <c r="V164" s="231">
        <v>24735</v>
      </c>
      <c r="W164" s="228">
        <v>855</v>
      </c>
      <c r="X164" s="229">
        <v>3.4599999999999999E-2</v>
      </c>
      <c r="Y164" s="228">
        <v>85</v>
      </c>
      <c r="Z164" s="228">
        <v>100</v>
      </c>
      <c r="AA164" s="228">
        <v>-15</v>
      </c>
      <c r="AB164" s="229">
        <v>3.3999999999999998E-3</v>
      </c>
      <c r="AC164" s="228">
        <v>85</v>
      </c>
      <c r="AD164" s="228">
        <v>100</v>
      </c>
      <c r="AE164" s="228">
        <v>-15</v>
      </c>
      <c r="AF164" s="229">
        <v>3.3999999999999998E-3</v>
      </c>
      <c r="AG164" s="228">
        <v>150</v>
      </c>
      <c r="AH164" s="228">
        <v>160</v>
      </c>
      <c r="AI164" s="228">
        <v>-10</v>
      </c>
      <c r="AJ164" s="229">
        <v>5.8999999999999999E-3</v>
      </c>
      <c r="AK164" s="228">
        <v>285</v>
      </c>
      <c r="AL164" s="228">
        <v>235</v>
      </c>
      <c r="AM164" s="228">
        <v>50</v>
      </c>
      <c r="AN164" s="229">
        <v>1.1299999999999999E-2</v>
      </c>
      <c r="AO164" s="231">
        <v>25291.74</v>
      </c>
      <c r="AP164" s="231">
        <v>25392</v>
      </c>
      <c r="AQ164" s="228">
        <v>0</v>
      </c>
      <c r="AR164" s="230">
        <v>127400</v>
      </c>
      <c r="AS164" s="230">
        <v>141850</v>
      </c>
      <c r="AT164" s="230">
        <v>-14450</v>
      </c>
      <c r="AU164" s="229">
        <v>-0.1019</v>
      </c>
      <c r="AV164" s="230">
        <v>120450</v>
      </c>
      <c r="AW164" s="230">
        <v>134100</v>
      </c>
      <c r="AX164" s="230">
        <v>-13650</v>
      </c>
      <c r="AY164" s="229">
        <v>-0.1018</v>
      </c>
      <c r="AZ164" s="230">
        <v>6250</v>
      </c>
      <c r="BA164" s="230">
        <v>6800</v>
      </c>
      <c r="BB164" s="228">
        <v>-550</v>
      </c>
      <c r="BC164" s="229">
        <v>-8.09E-2</v>
      </c>
      <c r="BD164" s="228">
        <v>700</v>
      </c>
      <c r="BE164" s="228">
        <v>950</v>
      </c>
      <c r="BF164" s="228">
        <v>-250</v>
      </c>
      <c r="BG164" s="229">
        <v>-0.26319999999999999</v>
      </c>
      <c r="BH164" s="230">
        <v>360250</v>
      </c>
      <c r="BI164" s="230">
        <v>197100</v>
      </c>
      <c r="BJ164" s="230">
        <v>163150</v>
      </c>
      <c r="BK164" s="229">
        <v>0.82779999999999998</v>
      </c>
      <c r="BL164" s="230">
        <v>136400</v>
      </c>
      <c r="BM164" s="230">
        <v>207700</v>
      </c>
      <c r="BN164" s="230">
        <v>-71300</v>
      </c>
      <c r="BO164" s="229">
        <v>-0.34329999999999999</v>
      </c>
      <c r="BP164" s="230">
        <v>624050</v>
      </c>
      <c r="BQ164" s="230">
        <v>546650</v>
      </c>
      <c r="BR164" s="230">
        <v>77400</v>
      </c>
      <c r="BS164" s="229">
        <v>0.1416</v>
      </c>
      <c r="BT164" s="230">
        <v>123330</v>
      </c>
      <c r="BU164" s="230">
        <v>166843</v>
      </c>
      <c r="BV164" s="230">
        <v>-43513</v>
      </c>
      <c r="BW164" s="229">
        <v>-0.26079999999999998</v>
      </c>
      <c r="BX164" s="230">
        <v>280850</v>
      </c>
      <c r="BY164" s="230">
        <v>268550</v>
      </c>
      <c r="BZ164" s="230">
        <v>12300</v>
      </c>
      <c r="CA164" s="229">
        <v>4.58E-2</v>
      </c>
      <c r="CB164" s="230">
        <v>267650</v>
      </c>
      <c r="CC164" s="230">
        <v>256050</v>
      </c>
      <c r="CD164" s="230">
        <v>11600</v>
      </c>
      <c r="CE164" s="229">
        <v>4.53E-2</v>
      </c>
      <c r="CF164" s="230">
        <v>11000</v>
      </c>
      <c r="CG164" s="230">
        <v>10700</v>
      </c>
      <c r="CH164" s="228">
        <v>300</v>
      </c>
      <c r="CI164" s="229">
        <v>2.8000000000000001E-2</v>
      </c>
      <c r="CJ164" s="230">
        <v>2200</v>
      </c>
      <c r="CK164" s="230">
        <v>1800</v>
      </c>
      <c r="CL164" s="228">
        <v>400</v>
      </c>
      <c r="CM164" s="229">
        <v>0.22220000000000001</v>
      </c>
      <c r="CN164" s="230">
        <v>160450</v>
      </c>
      <c r="CO164" s="230">
        <v>142950</v>
      </c>
      <c r="CP164" s="230">
        <v>17500</v>
      </c>
      <c r="CQ164" s="229">
        <v>0.12239999999999999</v>
      </c>
      <c r="CR164" s="230">
        <v>146800</v>
      </c>
      <c r="CS164" s="230">
        <v>130900</v>
      </c>
      <c r="CT164" s="230">
        <v>15900</v>
      </c>
      <c r="CU164" s="229">
        <v>0.1215</v>
      </c>
      <c r="CV164" s="230">
        <v>588100</v>
      </c>
      <c r="CW164" s="230">
        <v>542400</v>
      </c>
      <c r="CX164" s="230">
        <v>45700</v>
      </c>
      <c r="CY164" s="229">
        <v>8.43E-2</v>
      </c>
      <c r="CZ164" s="228">
        <v>39.53</v>
      </c>
      <c r="DA164" s="228">
        <v>43.63</v>
      </c>
      <c r="DB164" s="228">
        <v>-4.0999999999999996</v>
      </c>
      <c r="DC164" s="228">
        <v>-4.0999999999999996</v>
      </c>
      <c r="DD164" s="228">
        <v>59</v>
      </c>
      <c r="DE164" s="228">
        <v>58.99</v>
      </c>
      <c r="DF164" s="228">
        <v>-19.47</v>
      </c>
      <c r="DG164" s="228">
        <v>0.01</v>
      </c>
      <c r="DH164" s="228">
        <v>38.590000000000003</v>
      </c>
      <c r="DI164" s="228">
        <v>41.72</v>
      </c>
      <c r="DJ164" s="228">
        <v>-3.13</v>
      </c>
      <c r="DK164" s="228">
        <v>-3.13</v>
      </c>
      <c r="DL164" s="228">
        <v>42.02</v>
      </c>
      <c r="DM164" s="228">
        <v>45.44</v>
      </c>
      <c r="DN164" s="228">
        <v>-3.42</v>
      </c>
      <c r="DO164" s="228">
        <v>-3.42</v>
      </c>
      <c r="DP164" s="228">
        <v>0.91</v>
      </c>
      <c r="DQ164" s="228">
        <v>0.92</v>
      </c>
      <c r="DR164" s="228">
        <v>-0.01</v>
      </c>
      <c r="DS164" s="229">
        <v>-1.09E-2</v>
      </c>
      <c r="DT164" s="231">
        <v>26000</v>
      </c>
      <c r="DU164" s="231">
        <v>25000</v>
      </c>
      <c r="DV164" s="228">
        <v>0.38</v>
      </c>
      <c r="DW164" s="228">
        <v>1.05</v>
      </c>
      <c r="DX164" s="228">
        <v>-0.67</v>
      </c>
      <c r="DY164" s="229">
        <v>-0.6381</v>
      </c>
      <c r="DZ164" s="229">
        <v>4.7E-2</v>
      </c>
      <c r="EA164" s="230">
        <v>12500</v>
      </c>
      <c r="EB164" s="229">
        <v>2.5999999999999999E-3</v>
      </c>
      <c r="EC164" s="229">
        <v>4.7E-2</v>
      </c>
      <c r="ED164" s="228">
        <v>100.26</v>
      </c>
      <c r="EE164" s="229">
        <v>4.0000000000000001E-3</v>
      </c>
      <c r="EF164" s="230">
        <v>39154</v>
      </c>
      <c r="EG164" s="230">
        <v>65742</v>
      </c>
      <c r="EH164" s="229">
        <v>-0.40439999999999998</v>
      </c>
      <c r="EI164" s="229">
        <v>0.3175</v>
      </c>
      <c r="EJ164" s="231">
        <v>98220.41</v>
      </c>
      <c r="EK164" s="231">
        <v>32879.5</v>
      </c>
      <c r="EL164" s="231">
        <v>32228.15</v>
      </c>
      <c r="EM164" s="231">
        <v>2083</v>
      </c>
      <c r="EN164" s="231">
        <v>163328.06</v>
      </c>
      <c r="EO164" s="231">
        <v>136661.35</v>
      </c>
      <c r="EP164" s="231">
        <v>26666.71</v>
      </c>
      <c r="EQ164" s="229">
        <v>0.1951</v>
      </c>
      <c r="ER164" s="231">
        <v>40982</v>
      </c>
      <c r="ES164" s="231">
        <v>33611</v>
      </c>
      <c r="ET164" s="231">
        <v>71319</v>
      </c>
      <c r="EU164" s="231">
        <v>1917916</v>
      </c>
      <c r="EV164" s="231">
        <v>145913</v>
      </c>
      <c r="EW164" s="231">
        <v>132092</v>
      </c>
      <c r="EX164" s="231">
        <v>13821</v>
      </c>
      <c r="EY164" s="229">
        <v>0.1046</v>
      </c>
      <c r="EZ164" s="229">
        <v>0.30659999999999998</v>
      </c>
      <c r="FA164" s="227" t="s">
        <v>555</v>
      </c>
      <c r="FB164" s="161">
        <f t="shared" si="4"/>
        <v>0</v>
      </c>
    </row>
    <row r="165" spans="1:158" ht="17.25" thickBot="1" x14ac:dyDescent="0.3">
      <c r="A165" s="226">
        <v>46086</v>
      </c>
      <c r="B165" s="227" t="s">
        <v>170</v>
      </c>
      <c r="C165" s="227" t="s">
        <v>677</v>
      </c>
      <c r="D165" s="228">
        <v>2625</v>
      </c>
      <c r="E165" s="228">
        <v>153.93</v>
      </c>
      <c r="F165" s="228">
        <v>152.66999999999999</v>
      </c>
      <c r="G165" s="228">
        <v>1.26</v>
      </c>
      <c r="H165" s="229">
        <v>8.3000000000000001E-3</v>
      </c>
      <c r="I165" s="228">
        <v>153.30000000000001</v>
      </c>
      <c r="J165" s="228">
        <v>152.31</v>
      </c>
      <c r="K165" s="228">
        <v>0.99</v>
      </c>
      <c r="L165" s="229">
        <v>6.4999999999999997E-3</v>
      </c>
      <c r="M165" s="228">
        <v>153.93</v>
      </c>
      <c r="N165" s="228">
        <v>152.66999999999999</v>
      </c>
      <c r="O165" s="228">
        <v>1.26</v>
      </c>
      <c r="P165" s="229">
        <v>8.3000000000000001E-3</v>
      </c>
      <c r="Q165" s="228">
        <v>153.06</v>
      </c>
      <c r="R165" s="228">
        <v>152.13</v>
      </c>
      <c r="S165" s="228">
        <v>0.93</v>
      </c>
      <c r="T165" s="229">
        <v>6.1000000000000004E-3</v>
      </c>
      <c r="U165" s="228">
        <v>0</v>
      </c>
      <c r="V165" s="228">
        <v>0</v>
      </c>
      <c r="W165" s="228">
        <v>0</v>
      </c>
      <c r="X165" s="229">
        <v>0</v>
      </c>
      <c r="Y165" s="228">
        <v>0.63</v>
      </c>
      <c r="Z165" s="228">
        <v>0.36</v>
      </c>
      <c r="AA165" s="228">
        <v>0.27</v>
      </c>
      <c r="AB165" s="229">
        <v>4.1000000000000003E-3</v>
      </c>
      <c r="AC165" s="228">
        <v>0.63</v>
      </c>
      <c r="AD165" s="228">
        <v>0.36</v>
      </c>
      <c r="AE165" s="228">
        <v>0.27</v>
      </c>
      <c r="AF165" s="229">
        <v>4.1000000000000003E-3</v>
      </c>
      <c r="AG165" s="228">
        <v>-0.24</v>
      </c>
      <c r="AH165" s="228">
        <v>-0.18</v>
      </c>
      <c r="AI165" s="228">
        <v>-0.06</v>
      </c>
      <c r="AJ165" s="229">
        <v>-1.6000000000000001E-3</v>
      </c>
      <c r="AK165" s="228">
        <v>0</v>
      </c>
      <c r="AL165" s="228">
        <v>0</v>
      </c>
      <c r="AM165" s="228">
        <v>0</v>
      </c>
      <c r="AN165" s="229">
        <v>0</v>
      </c>
      <c r="AO165" s="228">
        <v>153.16999999999999</v>
      </c>
      <c r="AP165" s="228">
        <v>152.62</v>
      </c>
      <c r="AQ165" s="228">
        <v>0</v>
      </c>
      <c r="AR165" s="230">
        <v>2596125</v>
      </c>
      <c r="AS165" s="230">
        <v>2606625</v>
      </c>
      <c r="AT165" s="230">
        <v>-10500</v>
      </c>
      <c r="AU165" s="229">
        <v>-4.0000000000000001E-3</v>
      </c>
      <c r="AV165" s="230">
        <v>2005500</v>
      </c>
      <c r="AW165" s="230">
        <v>2268000</v>
      </c>
      <c r="AX165" s="230">
        <v>-262500</v>
      </c>
      <c r="AY165" s="229">
        <v>-0.1157</v>
      </c>
      <c r="AZ165" s="230">
        <v>590625</v>
      </c>
      <c r="BA165" s="230">
        <v>338625</v>
      </c>
      <c r="BB165" s="230">
        <v>252000</v>
      </c>
      <c r="BC165" s="229">
        <v>0.74419999999999997</v>
      </c>
      <c r="BD165" s="228">
        <v>0</v>
      </c>
      <c r="BE165" s="228">
        <v>0</v>
      </c>
      <c r="BF165" s="228">
        <v>0</v>
      </c>
      <c r="BG165" s="229">
        <v>0</v>
      </c>
      <c r="BH165" s="230">
        <v>2819250</v>
      </c>
      <c r="BI165" s="230">
        <v>3677625</v>
      </c>
      <c r="BJ165" s="230">
        <v>-858375</v>
      </c>
      <c r="BK165" s="229">
        <v>-0.2334</v>
      </c>
      <c r="BL165" s="230">
        <v>766500</v>
      </c>
      <c r="BM165" s="230">
        <v>1659000</v>
      </c>
      <c r="BN165" s="230">
        <v>-892500</v>
      </c>
      <c r="BO165" s="229">
        <v>-0.53800000000000003</v>
      </c>
      <c r="BP165" s="230">
        <v>6181875</v>
      </c>
      <c r="BQ165" s="230">
        <v>7943250</v>
      </c>
      <c r="BR165" s="230">
        <v>-1761375</v>
      </c>
      <c r="BS165" s="229">
        <v>-0.22170000000000001</v>
      </c>
      <c r="BT165" s="230">
        <v>1319574</v>
      </c>
      <c r="BU165" s="230">
        <v>3290462</v>
      </c>
      <c r="BV165" s="230">
        <v>-1970888</v>
      </c>
      <c r="BW165" s="229">
        <v>-0.59899999999999998</v>
      </c>
      <c r="BX165" s="230">
        <v>17647875</v>
      </c>
      <c r="BY165" s="230">
        <v>17860500</v>
      </c>
      <c r="BZ165" s="230">
        <v>-212625</v>
      </c>
      <c r="CA165" s="229">
        <v>-1.1900000000000001E-2</v>
      </c>
      <c r="CB165" s="230">
        <v>16209375</v>
      </c>
      <c r="CC165" s="230">
        <v>16448250</v>
      </c>
      <c r="CD165" s="230">
        <v>-238875</v>
      </c>
      <c r="CE165" s="229">
        <v>-1.4500000000000001E-2</v>
      </c>
      <c r="CF165" s="230">
        <v>1438500</v>
      </c>
      <c r="CG165" s="230">
        <v>1412250</v>
      </c>
      <c r="CH165" s="230">
        <v>26250</v>
      </c>
      <c r="CI165" s="229">
        <v>1.8599999999999998E-2</v>
      </c>
      <c r="CJ165" s="228">
        <v>0</v>
      </c>
      <c r="CK165" s="228">
        <v>0</v>
      </c>
      <c r="CL165" s="228">
        <v>0</v>
      </c>
      <c r="CM165" s="229">
        <v>0</v>
      </c>
      <c r="CN165" s="230">
        <v>6347250</v>
      </c>
      <c r="CO165" s="230">
        <v>6008625</v>
      </c>
      <c r="CP165" s="230">
        <v>338625</v>
      </c>
      <c r="CQ165" s="229">
        <v>5.6399999999999999E-2</v>
      </c>
      <c r="CR165" s="230">
        <v>3858750</v>
      </c>
      <c r="CS165" s="230">
        <v>3782625</v>
      </c>
      <c r="CT165" s="230">
        <v>76125</v>
      </c>
      <c r="CU165" s="229">
        <v>2.01E-2</v>
      </c>
      <c r="CV165" s="230">
        <v>27853875</v>
      </c>
      <c r="CW165" s="230">
        <v>27651750</v>
      </c>
      <c r="CX165" s="230">
        <v>202125</v>
      </c>
      <c r="CY165" s="229">
        <v>7.3000000000000001E-3</v>
      </c>
      <c r="CZ165" s="228">
        <v>34.67</v>
      </c>
      <c r="DA165" s="228">
        <v>38.119999999999997</v>
      </c>
      <c r="DB165" s="228">
        <v>-3.45</v>
      </c>
      <c r="DC165" s="228">
        <v>-3.45</v>
      </c>
      <c r="DD165" s="228">
        <v>41.91</v>
      </c>
      <c r="DE165" s="228">
        <v>42</v>
      </c>
      <c r="DF165" s="228">
        <v>-7.24</v>
      </c>
      <c r="DG165" s="228">
        <v>-0.09</v>
      </c>
      <c r="DH165" s="228">
        <v>33.85</v>
      </c>
      <c r="DI165" s="228">
        <v>38.08</v>
      </c>
      <c r="DJ165" s="228">
        <v>-4.2300000000000004</v>
      </c>
      <c r="DK165" s="228">
        <v>-4.2300000000000004</v>
      </c>
      <c r="DL165" s="228">
        <v>37.71</v>
      </c>
      <c r="DM165" s="228">
        <v>38.21</v>
      </c>
      <c r="DN165" s="228">
        <v>-0.5</v>
      </c>
      <c r="DO165" s="228">
        <v>-0.5</v>
      </c>
      <c r="DP165" s="228">
        <v>0.61</v>
      </c>
      <c r="DQ165" s="228">
        <v>0.63</v>
      </c>
      <c r="DR165" s="228">
        <v>-0.02</v>
      </c>
      <c r="DS165" s="229">
        <v>-3.1699999999999999E-2</v>
      </c>
      <c r="DT165" s="228">
        <v>170</v>
      </c>
      <c r="DU165" s="228">
        <v>150</v>
      </c>
      <c r="DV165" s="228">
        <v>0.27</v>
      </c>
      <c r="DW165" s="228">
        <v>0.45</v>
      </c>
      <c r="DX165" s="228">
        <v>-0.18</v>
      </c>
      <c r="DY165" s="229">
        <v>-0.4</v>
      </c>
      <c r="DZ165" s="229">
        <v>8.1500000000000003E-2</v>
      </c>
      <c r="EA165" s="230">
        <v>1412250</v>
      </c>
      <c r="EB165" s="229">
        <v>-5.7000000000000002E-3</v>
      </c>
      <c r="EC165" s="229">
        <v>8.1500000000000003E-2</v>
      </c>
      <c r="ED165" s="228">
        <v>-0.55000000000000004</v>
      </c>
      <c r="EE165" s="229">
        <v>-3.5999999999999999E-3</v>
      </c>
      <c r="EF165" s="230">
        <v>499837</v>
      </c>
      <c r="EG165" s="230">
        <v>2108353</v>
      </c>
      <c r="EH165" s="229">
        <v>-0.76290000000000002</v>
      </c>
      <c r="EI165" s="229">
        <v>0.37880000000000003</v>
      </c>
      <c r="EJ165" s="231">
        <v>4644.5200000000004</v>
      </c>
      <c r="EK165" s="231">
        <v>1167.3599999999999</v>
      </c>
      <c r="EL165" s="231">
        <v>3973.18</v>
      </c>
      <c r="EM165" s="231">
        <v>1433</v>
      </c>
      <c r="EN165" s="231">
        <v>9785.06</v>
      </c>
      <c r="EO165" s="231">
        <v>12609.74</v>
      </c>
      <c r="EP165" s="231">
        <v>-2824.68</v>
      </c>
      <c r="EQ165" s="229">
        <v>-0.224</v>
      </c>
      <c r="ER165" s="231">
        <v>10653</v>
      </c>
      <c r="ES165" s="231">
        <v>6093</v>
      </c>
      <c r="ET165" s="231">
        <v>27153</v>
      </c>
      <c r="EU165" s="231">
        <v>107697729</v>
      </c>
      <c r="EV165" s="231">
        <v>43898</v>
      </c>
      <c r="EW165" s="231">
        <v>43369</v>
      </c>
      <c r="EX165" s="228">
        <v>529</v>
      </c>
      <c r="EY165" s="229">
        <v>1.2200000000000001E-2</v>
      </c>
      <c r="EZ165" s="229">
        <v>0.2586</v>
      </c>
      <c r="FA165" s="227" t="s">
        <v>556</v>
      </c>
      <c r="FB165" s="161">
        <f t="shared" si="4"/>
        <v>0</v>
      </c>
    </row>
    <row r="166" spans="1:158" ht="17.25" thickBot="1" x14ac:dyDescent="0.3">
      <c r="A166" s="226">
        <v>46086</v>
      </c>
      <c r="B166" s="227" t="s">
        <v>184</v>
      </c>
      <c r="C166" s="227" t="s">
        <v>689</v>
      </c>
      <c r="D166" s="228">
        <v>575</v>
      </c>
      <c r="E166" s="228">
        <v>719.85</v>
      </c>
      <c r="F166" s="228">
        <v>709.6</v>
      </c>
      <c r="G166" s="228">
        <v>10.25</v>
      </c>
      <c r="H166" s="229">
        <v>1.44E-2</v>
      </c>
      <c r="I166" s="228">
        <v>720.1</v>
      </c>
      <c r="J166" s="228">
        <v>706.2</v>
      </c>
      <c r="K166" s="228">
        <v>13.9</v>
      </c>
      <c r="L166" s="229">
        <v>1.9699999999999999E-2</v>
      </c>
      <c r="M166" s="228">
        <v>719.85</v>
      </c>
      <c r="N166" s="228">
        <v>709.6</v>
      </c>
      <c r="O166" s="228">
        <v>10.25</v>
      </c>
      <c r="P166" s="229">
        <v>1.44E-2</v>
      </c>
      <c r="Q166" s="228">
        <v>721.05</v>
      </c>
      <c r="R166" s="228">
        <v>709.5</v>
      </c>
      <c r="S166" s="228">
        <v>11.55</v>
      </c>
      <c r="T166" s="229">
        <v>1.6299999999999999E-2</v>
      </c>
      <c r="U166" s="228">
        <v>714</v>
      </c>
      <c r="V166" s="228">
        <v>710</v>
      </c>
      <c r="W166" s="228">
        <v>4</v>
      </c>
      <c r="X166" s="229">
        <v>5.5999999999999999E-3</v>
      </c>
      <c r="Y166" s="228">
        <v>-0.25</v>
      </c>
      <c r="Z166" s="228">
        <v>3.4</v>
      </c>
      <c r="AA166" s="228">
        <v>-3.65</v>
      </c>
      <c r="AB166" s="229">
        <v>-2.9999999999999997E-4</v>
      </c>
      <c r="AC166" s="228">
        <v>-0.25</v>
      </c>
      <c r="AD166" s="228">
        <v>3.4</v>
      </c>
      <c r="AE166" s="228">
        <v>-3.65</v>
      </c>
      <c r="AF166" s="229">
        <v>-2.9999999999999997E-4</v>
      </c>
      <c r="AG166" s="228">
        <v>0.95</v>
      </c>
      <c r="AH166" s="228">
        <v>3.3</v>
      </c>
      <c r="AI166" s="228">
        <v>-2.35</v>
      </c>
      <c r="AJ166" s="229">
        <v>1.2999999999999999E-3</v>
      </c>
      <c r="AK166" s="228">
        <v>-6.1</v>
      </c>
      <c r="AL166" s="228">
        <v>3.8</v>
      </c>
      <c r="AM166" s="228">
        <v>-9.9</v>
      </c>
      <c r="AN166" s="229">
        <v>-8.5000000000000006E-3</v>
      </c>
      <c r="AO166" s="228">
        <v>713.81</v>
      </c>
      <c r="AP166" s="228">
        <v>716.08</v>
      </c>
      <c r="AQ166" s="228">
        <v>0</v>
      </c>
      <c r="AR166" s="230">
        <v>2570825</v>
      </c>
      <c r="AS166" s="230">
        <v>1252350</v>
      </c>
      <c r="AT166" s="230">
        <v>1318475</v>
      </c>
      <c r="AU166" s="229">
        <v>1.0528</v>
      </c>
      <c r="AV166" s="230">
        <v>2473650</v>
      </c>
      <c r="AW166" s="230">
        <v>1160925</v>
      </c>
      <c r="AX166" s="230">
        <v>1312725</v>
      </c>
      <c r="AY166" s="229">
        <v>1.1308</v>
      </c>
      <c r="AZ166" s="230">
        <v>89125</v>
      </c>
      <c r="BA166" s="230">
        <v>85100</v>
      </c>
      <c r="BB166" s="230">
        <v>4025</v>
      </c>
      <c r="BC166" s="229">
        <v>4.7300000000000002E-2</v>
      </c>
      <c r="BD166" s="230">
        <v>8050</v>
      </c>
      <c r="BE166" s="230">
        <v>6325</v>
      </c>
      <c r="BF166" s="230">
        <v>1725</v>
      </c>
      <c r="BG166" s="229">
        <v>0.2727</v>
      </c>
      <c r="BH166" s="230">
        <v>2678925</v>
      </c>
      <c r="BI166" s="230">
        <v>2023425</v>
      </c>
      <c r="BJ166" s="230">
        <v>655500</v>
      </c>
      <c r="BK166" s="229">
        <v>0.32400000000000001</v>
      </c>
      <c r="BL166" s="230">
        <v>1707750</v>
      </c>
      <c r="BM166" s="230">
        <v>1263275</v>
      </c>
      <c r="BN166" s="230">
        <v>444475</v>
      </c>
      <c r="BO166" s="229">
        <v>0.3518</v>
      </c>
      <c r="BP166" s="230">
        <v>6957500</v>
      </c>
      <c r="BQ166" s="230">
        <v>4539050</v>
      </c>
      <c r="BR166" s="230">
        <v>2418450</v>
      </c>
      <c r="BS166" s="229">
        <v>0.53280000000000005</v>
      </c>
      <c r="BT166" s="230">
        <v>1135214</v>
      </c>
      <c r="BU166" s="230">
        <v>945565</v>
      </c>
      <c r="BV166" s="230">
        <v>189649</v>
      </c>
      <c r="BW166" s="229">
        <v>0.2006</v>
      </c>
      <c r="BX166" s="230">
        <v>7826900</v>
      </c>
      <c r="BY166" s="230">
        <v>7907975</v>
      </c>
      <c r="BZ166" s="230">
        <v>-81075</v>
      </c>
      <c r="CA166" s="229">
        <v>-1.03E-2</v>
      </c>
      <c r="CB166" s="230">
        <v>7687175</v>
      </c>
      <c r="CC166" s="230">
        <v>7775150</v>
      </c>
      <c r="CD166" s="230">
        <v>-87975</v>
      </c>
      <c r="CE166" s="229">
        <v>-1.1299999999999999E-2</v>
      </c>
      <c r="CF166" s="230">
        <v>125925</v>
      </c>
      <c r="CG166" s="230">
        <v>116725</v>
      </c>
      <c r="CH166" s="230">
        <v>9200</v>
      </c>
      <c r="CI166" s="229">
        <v>7.8799999999999995E-2</v>
      </c>
      <c r="CJ166" s="230">
        <v>13800</v>
      </c>
      <c r="CK166" s="230">
        <v>16100</v>
      </c>
      <c r="CL166" s="230">
        <v>-2300</v>
      </c>
      <c r="CM166" s="229">
        <v>-0.1429</v>
      </c>
      <c r="CN166" s="230">
        <v>3817425</v>
      </c>
      <c r="CO166" s="230">
        <v>3634000</v>
      </c>
      <c r="CP166" s="230">
        <v>183425</v>
      </c>
      <c r="CQ166" s="229">
        <v>5.0500000000000003E-2</v>
      </c>
      <c r="CR166" s="230">
        <v>3736925</v>
      </c>
      <c r="CS166" s="230">
        <v>3543725</v>
      </c>
      <c r="CT166" s="230">
        <v>193200</v>
      </c>
      <c r="CU166" s="229">
        <v>5.45E-2</v>
      </c>
      <c r="CV166" s="230">
        <v>15381250</v>
      </c>
      <c r="CW166" s="230">
        <v>15085700</v>
      </c>
      <c r="CX166" s="230">
        <v>295550</v>
      </c>
      <c r="CY166" s="229">
        <v>1.9599999999999999E-2</v>
      </c>
      <c r="CZ166" s="228">
        <v>43.28</v>
      </c>
      <c r="DA166" s="228">
        <v>45.99</v>
      </c>
      <c r="DB166" s="228">
        <v>-2.71</v>
      </c>
      <c r="DC166" s="228">
        <v>-2.71</v>
      </c>
      <c r="DD166" s="228">
        <v>48.26</v>
      </c>
      <c r="DE166" s="228">
        <v>48.34</v>
      </c>
      <c r="DF166" s="228">
        <v>-4.9800000000000004</v>
      </c>
      <c r="DG166" s="228">
        <v>-0.08</v>
      </c>
      <c r="DH166" s="228">
        <v>41.91</v>
      </c>
      <c r="DI166" s="228">
        <v>44.27</v>
      </c>
      <c r="DJ166" s="228">
        <v>-2.36</v>
      </c>
      <c r="DK166" s="228">
        <v>-2.36</v>
      </c>
      <c r="DL166" s="228">
        <v>45.44</v>
      </c>
      <c r="DM166" s="228">
        <v>48.73</v>
      </c>
      <c r="DN166" s="228">
        <v>-3.29</v>
      </c>
      <c r="DO166" s="228">
        <v>-3.29</v>
      </c>
      <c r="DP166" s="228">
        <v>0.98</v>
      </c>
      <c r="DQ166" s="228">
        <v>0.98</v>
      </c>
      <c r="DR166" s="228">
        <v>0</v>
      </c>
      <c r="DS166" s="229">
        <v>0</v>
      </c>
      <c r="DT166" s="228">
        <v>900</v>
      </c>
      <c r="DU166" s="228">
        <v>600</v>
      </c>
      <c r="DV166" s="228">
        <v>0.64</v>
      </c>
      <c r="DW166" s="228">
        <v>0.62</v>
      </c>
      <c r="DX166" s="228">
        <v>0.02</v>
      </c>
      <c r="DY166" s="229">
        <v>3.2300000000000002E-2</v>
      </c>
      <c r="DZ166" s="229">
        <v>1.7899999999999999E-2</v>
      </c>
      <c r="EA166" s="230">
        <v>132825</v>
      </c>
      <c r="EB166" s="229">
        <v>1.6999999999999999E-3</v>
      </c>
      <c r="EC166" s="229">
        <v>1.7899999999999999E-2</v>
      </c>
      <c r="ED166" s="228">
        <v>2.27</v>
      </c>
      <c r="EE166" s="229">
        <v>3.2000000000000002E-3</v>
      </c>
      <c r="EF166" s="230">
        <v>320579</v>
      </c>
      <c r="EG166" s="230">
        <v>234797</v>
      </c>
      <c r="EH166" s="229">
        <v>0.36530000000000001</v>
      </c>
      <c r="EI166" s="229">
        <v>0.28239999999999998</v>
      </c>
      <c r="EJ166" s="231">
        <v>20484.37</v>
      </c>
      <c r="EK166" s="231">
        <v>12150.69</v>
      </c>
      <c r="EL166" s="231">
        <v>18352.89</v>
      </c>
      <c r="EM166" s="231">
        <v>4366</v>
      </c>
      <c r="EN166" s="231">
        <v>50987.95</v>
      </c>
      <c r="EO166" s="231">
        <v>33333.919999999998</v>
      </c>
      <c r="EP166" s="231">
        <v>17654.03</v>
      </c>
      <c r="EQ166" s="229">
        <v>0.52959999999999996</v>
      </c>
      <c r="ER166" s="231">
        <v>29866</v>
      </c>
      <c r="ES166" s="231">
        <v>25339</v>
      </c>
      <c r="ET166" s="231">
        <v>56343</v>
      </c>
      <c r="EU166" s="231">
        <v>23923093</v>
      </c>
      <c r="EV166" s="231">
        <v>111547</v>
      </c>
      <c r="EW166" s="231">
        <v>108628</v>
      </c>
      <c r="EX166" s="231">
        <v>2919</v>
      </c>
      <c r="EY166" s="229">
        <v>2.69E-2</v>
      </c>
      <c r="EZ166" s="229">
        <v>0.64290000000000003</v>
      </c>
      <c r="FA166" s="227" t="s">
        <v>556</v>
      </c>
      <c r="FB166" s="161">
        <f t="shared" si="4"/>
        <v>0</v>
      </c>
    </row>
    <row r="167" spans="1:158" ht="17.25" thickBot="1" x14ac:dyDescent="0.3">
      <c r="A167" s="226">
        <v>46086</v>
      </c>
      <c r="B167" s="227" t="s">
        <v>206</v>
      </c>
      <c r="C167" s="227" t="s">
        <v>605</v>
      </c>
      <c r="D167" s="228">
        <v>450</v>
      </c>
      <c r="E167" s="231">
        <v>1380.1</v>
      </c>
      <c r="F167" s="231">
        <v>1353.6</v>
      </c>
      <c r="G167" s="228">
        <v>26.5</v>
      </c>
      <c r="H167" s="229">
        <v>1.9599999999999999E-2</v>
      </c>
      <c r="I167" s="231">
        <v>1375.6</v>
      </c>
      <c r="J167" s="231">
        <v>1350.8</v>
      </c>
      <c r="K167" s="228">
        <v>24.8</v>
      </c>
      <c r="L167" s="229">
        <v>1.84E-2</v>
      </c>
      <c r="M167" s="231">
        <v>1380.1</v>
      </c>
      <c r="N167" s="231">
        <v>1353.6</v>
      </c>
      <c r="O167" s="228">
        <v>26.5</v>
      </c>
      <c r="P167" s="229">
        <v>1.9599999999999999E-2</v>
      </c>
      <c r="Q167" s="231">
        <v>1387.1</v>
      </c>
      <c r="R167" s="231">
        <v>1361.4</v>
      </c>
      <c r="S167" s="228">
        <v>25.7</v>
      </c>
      <c r="T167" s="229">
        <v>1.89E-2</v>
      </c>
      <c r="U167" s="228">
        <v>0</v>
      </c>
      <c r="V167" s="228">
        <v>0</v>
      </c>
      <c r="W167" s="228">
        <v>0</v>
      </c>
      <c r="X167" s="229">
        <v>0</v>
      </c>
      <c r="Y167" s="228">
        <v>4.5</v>
      </c>
      <c r="Z167" s="228">
        <v>2.8</v>
      </c>
      <c r="AA167" s="228">
        <v>1.7</v>
      </c>
      <c r="AB167" s="229">
        <v>3.3E-3</v>
      </c>
      <c r="AC167" s="228">
        <v>4.5</v>
      </c>
      <c r="AD167" s="228">
        <v>2.8</v>
      </c>
      <c r="AE167" s="228">
        <v>1.7</v>
      </c>
      <c r="AF167" s="229">
        <v>3.3E-3</v>
      </c>
      <c r="AG167" s="228">
        <v>11.5</v>
      </c>
      <c r="AH167" s="228">
        <v>10.6</v>
      </c>
      <c r="AI167" s="228">
        <v>0.9</v>
      </c>
      <c r="AJ167" s="229">
        <v>8.3999999999999995E-3</v>
      </c>
      <c r="AK167" s="228">
        <v>0</v>
      </c>
      <c r="AL167" s="228">
        <v>0</v>
      </c>
      <c r="AM167" s="228">
        <v>0</v>
      </c>
      <c r="AN167" s="229">
        <v>0</v>
      </c>
      <c r="AO167" s="231">
        <v>1375.18</v>
      </c>
      <c r="AP167" s="231">
        <v>1383.17</v>
      </c>
      <c r="AQ167" s="228">
        <v>0</v>
      </c>
      <c r="AR167" s="230">
        <v>862200</v>
      </c>
      <c r="AS167" s="230">
        <v>1118250</v>
      </c>
      <c r="AT167" s="230">
        <v>-256050</v>
      </c>
      <c r="AU167" s="229">
        <v>-0.22900000000000001</v>
      </c>
      <c r="AV167" s="230">
        <v>841050</v>
      </c>
      <c r="AW167" s="230">
        <v>1036350</v>
      </c>
      <c r="AX167" s="230">
        <v>-195300</v>
      </c>
      <c r="AY167" s="229">
        <v>-0.18840000000000001</v>
      </c>
      <c r="AZ167" s="230">
        <v>21150</v>
      </c>
      <c r="BA167" s="230">
        <v>81900</v>
      </c>
      <c r="BB167" s="230">
        <v>-60750</v>
      </c>
      <c r="BC167" s="229">
        <v>-0.74180000000000001</v>
      </c>
      <c r="BD167" s="228">
        <v>0</v>
      </c>
      <c r="BE167" s="228">
        <v>0</v>
      </c>
      <c r="BF167" s="228">
        <v>0</v>
      </c>
      <c r="BG167" s="229">
        <v>0</v>
      </c>
      <c r="BH167" s="230">
        <v>1145700</v>
      </c>
      <c r="BI167" s="230">
        <v>752400</v>
      </c>
      <c r="BJ167" s="230">
        <v>393300</v>
      </c>
      <c r="BK167" s="229">
        <v>0.52270000000000005</v>
      </c>
      <c r="BL167" s="230">
        <v>486000</v>
      </c>
      <c r="BM167" s="230">
        <v>1151550</v>
      </c>
      <c r="BN167" s="230">
        <v>-665550</v>
      </c>
      <c r="BO167" s="229">
        <v>-0.57799999999999996</v>
      </c>
      <c r="BP167" s="230">
        <v>2493900</v>
      </c>
      <c r="BQ167" s="230">
        <v>3022200</v>
      </c>
      <c r="BR167" s="230">
        <v>-528300</v>
      </c>
      <c r="BS167" s="229">
        <v>-0.17480000000000001</v>
      </c>
      <c r="BT167" s="230">
        <v>373060</v>
      </c>
      <c r="BU167" s="230">
        <v>882142</v>
      </c>
      <c r="BV167" s="230">
        <v>-509082</v>
      </c>
      <c r="BW167" s="229">
        <v>-0.57709999999999995</v>
      </c>
      <c r="BX167" s="230">
        <v>4722750</v>
      </c>
      <c r="BY167" s="230">
        <v>4714200</v>
      </c>
      <c r="BZ167" s="230">
        <v>8550</v>
      </c>
      <c r="CA167" s="229">
        <v>1.8E-3</v>
      </c>
      <c r="CB167" s="230">
        <v>4664700</v>
      </c>
      <c r="CC167" s="230">
        <v>4656150</v>
      </c>
      <c r="CD167" s="230">
        <v>8550</v>
      </c>
      <c r="CE167" s="229">
        <v>1.8E-3</v>
      </c>
      <c r="CF167" s="230">
        <v>58050</v>
      </c>
      <c r="CG167" s="230">
        <v>58050</v>
      </c>
      <c r="CH167" s="228">
        <v>0</v>
      </c>
      <c r="CI167" s="229">
        <v>0</v>
      </c>
      <c r="CJ167" s="228">
        <v>0</v>
      </c>
      <c r="CK167" s="228">
        <v>0</v>
      </c>
      <c r="CL167" s="228">
        <v>0</v>
      </c>
      <c r="CM167" s="229">
        <v>0</v>
      </c>
      <c r="CN167" s="230">
        <v>949050</v>
      </c>
      <c r="CO167" s="230">
        <v>997200</v>
      </c>
      <c r="CP167" s="230">
        <v>-48150</v>
      </c>
      <c r="CQ167" s="229">
        <v>-4.8300000000000003E-2</v>
      </c>
      <c r="CR167" s="230">
        <v>1033200</v>
      </c>
      <c r="CS167" s="230">
        <v>1034100</v>
      </c>
      <c r="CT167" s="228">
        <v>-900</v>
      </c>
      <c r="CU167" s="229">
        <v>-8.9999999999999998E-4</v>
      </c>
      <c r="CV167" s="230">
        <v>6705000</v>
      </c>
      <c r="CW167" s="230">
        <v>6745500</v>
      </c>
      <c r="CX167" s="230">
        <v>-40500</v>
      </c>
      <c r="CY167" s="229">
        <v>-6.0000000000000001E-3</v>
      </c>
      <c r="CZ167" s="228">
        <v>35.86</v>
      </c>
      <c r="DA167" s="228">
        <v>39.5</v>
      </c>
      <c r="DB167" s="228">
        <v>-3.64</v>
      </c>
      <c r="DC167" s="228">
        <v>-3.64</v>
      </c>
      <c r="DD167" s="228">
        <v>43.06</v>
      </c>
      <c r="DE167" s="228">
        <v>43.09</v>
      </c>
      <c r="DF167" s="228">
        <v>-7.2</v>
      </c>
      <c r="DG167" s="228">
        <v>-0.03</v>
      </c>
      <c r="DH167" s="228">
        <v>35.11</v>
      </c>
      <c r="DI167" s="228">
        <v>37.450000000000003</v>
      </c>
      <c r="DJ167" s="228">
        <v>-2.34</v>
      </c>
      <c r="DK167" s="228">
        <v>-2.34</v>
      </c>
      <c r="DL167" s="228">
        <v>37.64</v>
      </c>
      <c r="DM167" s="228">
        <v>40.840000000000003</v>
      </c>
      <c r="DN167" s="228">
        <v>-3.2</v>
      </c>
      <c r="DO167" s="228">
        <v>-3.2</v>
      </c>
      <c r="DP167" s="228">
        <v>1.0900000000000001</v>
      </c>
      <c r="DQ167" s="228">
        <v>1.04</v>
      </c>
      <c r="DR167" s="228">
        <v>0.05</v>
      </c>
      <c r="DS167" s="229">
        <v>4.8099999999999997E-2</v>
      </c>
      <c r="DT167" s="231">
        <v>1500</v>
      </c>
      <c r="DU167" s="231">
        <v>1300</v>
      </c>
      <c r="DV167" s="228">
        <v>0.42</v>
      </c>
      <c r="DW167" s="228">
        <v>1.53</v>
      </c>
      <c r="DX167" s="228">
        <v>-1.1100000000000001</v>
      </c>
      <c r="DY167" s="229">
        <v>-0.72550000000000003</v>
      </c>
      <c r="DZ167" s="229">
        <v>1.23E-2</v>
      </c>
      <c r="EA167" s="230">
        <v>58050</v>
      </c>
      <c r="EB167" s="229">
        <v>5.1000000000000004E-3</v>
      </c>
      <c r="EC167" s="229">
        <v>1.23E-2</v>
      </c>
      <c r="ED167" s="228">
        <v>7.99</v>
      </c>
      <c r="EE167" s="229">
        <v>5.7999999999999996E-3</v>
      </c>
      <c r="EF167" s="230">
        <v>168445</v>
      </c>
      <c r="EG167" s="230">
        <v>412646</v>
      </c>
      <c r="EH167" s="229">
        <v>-0.59179999999999999</v>
      </c>
      <c r="EI167" s="229">
        <v>0.45150000000000001</v>
      </c>
      <c r="EJ167" s="231">
        <v>17089.12</v>
      </c>
      <c r="EK167" s="231">
        <v>6542.18</v>
      </c>
      <c r="EL167" s="231">
        <v>11858.5</v>
      </c>
      <c r="EM167" s="231">
        <v>2257</v>
      </c>
      <c r="EN167" s="231">
        <v>35489.800000000003</v>
      </c>
      <c r="EO167" s="231">
        <v>41782.800000000003</v>
      </c>
      <c r="EP167" s="231">
        <v>-6293</v>
      </c>
      <c r="EQ167" s="229">
        <v>-0.15060000000000001</v>
      </c>
      <c r="ER167" s="231">
        <v>14445</v>
      </c>
      <c r="ES167" s="231">
        <v>14066</v>
      </c>
      <c r="ET167" s="231">
        <v>65183</v>
      </c>
      <c r="EU167" s="231">
        <v>22697169</v>
      </c>
      <c r="EV167" s="231">
        <v>93693</v>
      </c>
      <c r="EW167" s="231">
        <v>93196</v>
      </c>
      <c r="EX167" s="228">
        <v>497</v>
      </c>
      <c r="EY167" s="229">
        <v>5.3E-3</v>
      </c>
      <c r="EZ167" s="229">
        <v>0.2954</v>
      </c>
      <c r="FA167" s="227" t="s">
        <v>555</v>
      </c>
      <c r="FB167" s="161">
        <f t="shared" si="4"/>
        <v>0</v>
      </c>
    </row>
    <row r="168" spans="1:158" ht="17.25" thickBot="1" x14ac:dyDescent="0.3">
      <c r="A168" s="226">
        <v>46086</v>
      </c>
      <c r="B168" s="227" t="s">
        <v>172</v>
      </c>
      <c r="C168" s="227" t="s">
        <v>279</v>
      </c>
      <c r="D168" s="228">
        <v>3175</v>
      </c>
      <c r="E168" s="228">
        <v>311.64999999999998</v>
      </c>
      <c r="F168" s="228">
        <v>307.7</v>
      </c>
      <c r="G168" s="228">
        <v>3.95</v>
      </c>
      <c r="H168" s="229">
        <v>1.2800000000000001E-2</v>
      </c>
      <c r="I168" s="228">
        <v>310.10000000000002</v>
      </c>
      <c r="J168" s="228">
        <v>306.05</v>
      </c>
      <c r="K168" s="228">
        <v>4.05</v>
      </c>
      <c r="L168" s="229">
        <v>1.32E-2</v>
      </c>
      <c r="M168" s="228">
        <v>311.64999999999998</v>
      </c>
      <c r="N168" s="228">
        <v>307.7</v>
      </c>
      <c r="O168" s="228">
        <v>3.95</v>
      </c>
      <c r="P168" s="229">
        <v>1.2800000000000001E-2</v>
      </c>
      <c r="Q168" s="228">
        <v>313.45</v>
      </c>
      <c r="R168" s="228">
        <v>309.60000000000002</v>
      </c>
      <c r="S168" s="228">
        <v>3.85</v>
      </c>
      <c r="T168" s="229">
        <v>1.24E-2</v>
      </c>
      <c r="U168" s="228">
        <v>316</v>
      </c>
      <c r="V168" s="228">
        <v>310.3</v>
      </c>
      <c r="W168" s="228">
        <v>5.7</v>
      </c>
      <c r="X168" s="229">
        <v>1.84E-2</v>
      </c>
      <c r="Y168" s="228">
        <v>1.55</v>
      </c>
      <c r="Z168" s="228">
        <v>1.65</v>
      </c>
      <c r="AA168" s="228">
        <v>-0.1</v>
      </c>
      <c r="AB168" s="229">
        <v>5.0000000000000001E-3</v>
      </c>
      <c r="AC168" s="228">
        <v>1.55</v>
      </c>
      <c r="AD168" s="228">
        <v>1.65</v>
      </c>
      <c r="AE168" s="228">
        <v>-0.1</v>
      </c>
      <c r="AF168" s="229">
        <v>5.0000000000000001E-3</v>
      </c>
      <c r="AG168" s="228">
        <v>3.35</v>
      </c>
      <c r="AH168" s="228">
        <v>3.55</v>
      </c>
      <c r="AI168" s="228">
        <v>-0.2</v>
      </c>
      <c r="AJ168" s="229">
        <v>1.0800000000000001E-2</v>
      </c>
      <c r="AK168" s="228">
        <v>5.9</v>
      </c>
      <c r="AL168" s="228">
        <v>4.25</v>
      </c>
      <c r="AM168" s="228">
        <v>1.65</v>
      </c>
      <c r="AN168" s="229">
        <v>1.9E-2</v>
      </c>
      <c r="AO168" s="228">
        <v>311.77999999999997</v>
      </c>
      <c r="AP168" s="228">
        <v>313.5</v>
      </c>
      <c r="AQ168" s="228">
        <v>0</v>
      </c>
      <c r="AR168" s="230">
        <v>15449550</v>
      </c>
      <c r="AS168" s="230">
        <v>19399250</v>
      </c>
      <c r="AT168" s="230">
        <v>-3949700</v>
      </c>
      <c r="AU168" s="229">
        <v>-0.2036</v>
      </c>
      <c r="AV168" s="230">
        <v>14893925</v>
      </c>
      <c r="AW168" s="230">
        <v>18357850</v>
      </c>
      <c r="AX168" s="230">
        <v>-3463925</v>
      </c>
      <c r="AY168" s="229">
        <v>-0.18870000000000001</v>
      </c>
      <c r="AZ168" s="230">
        <v>533400</v>
      </c>
      <c r="BA168" s="230">
        <v>965200</v>
      </c>
      <c r="BB168" s="230">
        <v>-431800</v>
      </c>
      <c r="BC168" s="229">
        <v>-0.44740000000000002</v>
      </c>
      <c r="BD168" s="230">
        <v>22225</v>
      </c>
      <c r="BE168" s="230">
        <v>76200</v>
      </c>
      <c r="BF168" s="230">
        <v>-53975</v>
      </c>
      <c r="BG168" s="229">
        <v>-0.70830000000000004</v>
      </c>
      <c r="BH168" s="230">
        <v>18945225</v>
      </c>
      <c r="BI168" s="230">
        <v>31178500</v>
      </c>
      <c r="BJ168" s="230">
        <v>-12233275</v>
      </c>
      <c r="BK168" s="229">
        <v>-0.39240000000000003</v>
      </c>
      <c r="BL168" s="230">
        <v>8928100</v>
      </c>
      <c r="BM168" s="230">
        <v>25542875</v>
      </c>
      <c r="BN168" s="230">
        <v>-16614775</v>
      </c>
      <c r="BO168" s="229">
        <v>-0.65049999999999997</v>
      </c>
      <c r="BP168" s="230">
        <v>43322875</v>
      </c>
      <c r="BQ168" s="230">
        <v>76120625</v>
      </c>
      <c r="BR168" s="230">
        <v>-32797750</v>
      </c>
      <c r="BS168" s="229">
        <v>-0.43090000000000001</v>
      </c>
      <c r="BT168" s="230">
        <v>7584265</v>
      </c>
      <c r="BU168" s="230">
        <v>7088718</v>
      </c>
      <c r="BV168" s="230">
        <v>495547</v>
      </c>
      <c r="BW168" s="229">
        <v>6.9900000000000004E-2</v>
      </c>
      <c r="BX168" s="230">
        <v>63500000</v>
      </c>
      <c r="BY168" s="230">
        <v>62598300</v>
      </c>
      <c r="BZ168" s="230">
        <v>901700</v>
      </c>
      <c r="CA168" s="229">
        <v>1.44E-2</v>
      </c>
      <c r="CB168" s="230">
        <v>62401450</v>
      </c>
      <c r="CC168" s="230">
        <v>61598175</v>
      </c>
      <c r="CD168" s="230">
        <v>803275</v>
      </c>
      <c r="CE168" s="229">
        <v>1.2999999999999999E-2</v>
      </c>
      <c r="CF168" s="230">
        <v>1012825</v>
      </c>
      <c r="CG168" s="230">
        <v>901700</v>
      </c>
      <c r="CH168" s="230">
        <v>111125</v>
      </c>
      <c r="CI168" s="229">
        <v>0.1232</v>
      </c>
      <c r="CJ168" s="230">
        <v>85725</v>
      </c>
      <c r="CK168" s="230">
        <v>98425</v>
      </c>
      <c r="CL168" s="230">
        <v>-12700</v>
      </c>
      <c r="CM168" s="229">
        <v>-0.129</v>
      </c>
      <c r="CN168" s="230">
        <v>19932650</v>
      </c>
      <c r="CO168" s="230">
        <v>19386550</v>
      </c>
      <c r="CP168" s="230">
        <v>546100</v>
      </c>
      <c r="CQ168" s="229">
        <v>2.8199999999999999E-2</v>
      </c>
      <c r="CR168" s="230">
        <v>16694150</v>
      </c>
      <c r="CS168" s="230">
        <v>16360775</v>
      </c>
      <c r="CT168" s="230">
        <v>333375</v>
      </c>
      <c r="CU168" s="229">
        <v>2.0400000000000001E-2</v>
      </c>
      <c r="CV168" s="230">
        <v>100126800</v>
      </c>
      <c r="CW168" s="230">
        <v>98345625</v>
      </c>
      <c r="CX168" s="230">
        <v>1781175</v>
      </c>
      <c r="CY168" s="229">
        <v>1.8100000000000002E-2</v>
      </c>
      <c r="CZ168" s="228">
        <v>32.369999999999997</v>
      </c>
      <c r="DA168" s="228">
        <v>34.22</v>
      </c>
      <c r="DB168" s="228">
        <v>-1.85</v>
      </c>
      <c r="DC168" s="228">
        <v>-1.85</v>
      </c>
      <c r="DD168" s="228">
        <v>42.86</v>
      </c>
      <c r="DE168" s="228">
        <v>42.93</v>
      </c>
      <c r="DF168" s="228">
        <v>-10.49</v>
      </c>
      <c r="DG168" s="228">
        <v>-7.0000000000000007E-2</v>
      </c>
      <c r="DH168" s="228">
        <v>32.51</v>
      </c>
      <c r="DI168" s="228">
        <v>34.4</v>
      </c>
      <c r="DJ168" s="228">
        <v>-1.89</v>
      </c>
      <c r="DK168" s="228">
        <v>-1.89</v>
      </c>
      <c r="DL168" s="228">
        <v>32.06</v>
      </c>
      <c r="DM168" s="228">
        <v>34.01</v>
      </c>
      <c r="DN168" s="228">
        <v>-1.95</v>
      </c>
      <c r="DO168" s="228">
        <v>-1.95</v>
      </c>
      <c r="DP168" s="228">
        <v>0.84</v>
      </c>
      <c r="DQ168" s="228">
        <v>0.84</v>
      </c>
      <c r="DR168" s="228">
        <v>0</v>
      </c>
      <c r="DS168" s="229">
        <v>0</v>
      </c>
      <c r="DT168" s="228">
        <v>340</v>
      </c>
      <c r="DU168" s="228">
        <v>300</v>
      </c>
      <c r="DV168" s="228">
        <v>0.47</v>
      </c>
      <c r="DW168" s="228">
        <v>0.82</v>
      </c>
      <c r="DX168" s="228">
        <v>-0.35</v>
      </c>
      <c r="DY168" s="229">
        <v>-0.42680000000000001</v>
      </c>
      <c r="DZ168" s="229">
        <v>1.7299999999999999E-2</v>
      </c>
      <c r="EA168" s="230">
        <v>1000125</v>
      </c>
      <c r="EB168" s="229">
        <v>5.7999999999999996E-3</v>
      </c>
      <c r="EC168" s="229">
        <v>1.7299999999999999E-2</v>
      </c>
      <c r="ED168" s="228">
        <v>1.72</v>
      </c>
      <c r="EE168" s="229">
        <v>5.4999999999999997E-3</v>
      </c>
      <c r="EF168" s="230">
        <v>4138956</v>
      </c>
      <c r="EG168" s="230">
        <v>3181828</v>
      </c>
      <c r="EH168" s="229">
        <v>0.30080000000000001</v>
      </c>
      <c r="EI168" s="229">
        <v>0.54569999999999996</v>
      </c>
      <c r="EJ168" s="231">
        <v>62979.39</v>
      </c>
      <c r="EK168" s="231">
        <v>27801.65</v>
      </c>
      <c r="EL168" s="231">
        <v>48179.21</v>
      </c>
      <c r="EM168" s="231">
        <v>4550</v>
      </c>
      <c r="EN168" s="231">
        <v>138960.25</v>
      </c>
      <c r="EO168" s="231">
        <v>241427.24</v>
      </c>
      <c r="EP168" s="231">
        <v>-102466.99</v>
      </c>
      <c r="EQ168" s="229">
        <v>-0.4244</v>
      </c>
      <c r="ER168" s="231">
        <v>66315</v>
      </c>
      <c r="ES168" s="231">
        <v>50257</v>
      </c>
      <c r="ET168" s="231">
        <v>197920</v>
      </c>
      <c r="EU168" s="231">
        <v>91953095</v>
      </c>
      <c r="EV168" s="231">
        <v>314492</v>
      </c>
      <c r="EW168" s="231">
        <v>306437</v>
      </c>
      <c r="EX168" s="231">
        <v>8055</v>
      </c>
      <c r="EY168" s="229">
        <v>2.63E-2</v>
      </c>
      <c r="EZ168" s="229">
        <v>1.0889</v>
      </c>
      <c r="FA168" s="227" t="s">
        <v>555</v>
      </c>
      <c r="FB168" s="161">
        <f t="shared" si="4"/>
        <v>0</v>
      </c>
    </row>
    <row r="169" spans="1:158" ht="17.25" thickBot="1" x14ac:dyDescent="0.3">
      <c r="A169" s="226">
        <v>46086</v>
      </c>
      <c r="B169" s="227" t="s">
        <v>175</v>
      </c>
      <c r="C169" s="227" t="s">
        <v>280</v>
      </c>
      <c r="D169" s="228">
        <v>1400</v>
      </c>
      <c r="E169" s="228">
        <v>342.2</v>
      </c>
      <c r="F169" s="228">
        <v>327.7</v>
      </c>
      <c r="G169" s="228">
        <v>14.5</v>
      </c>
      <c r="H169" s="229">
        <v>4.4200000000000003E-2</v>
      </c>
      <c r="I169" s="228">
        <v>341.85</v>
      </c>
      <c r="J169" s="228">
        <v>328.75</v>
      </c>
      <c r="K169" s="228">
        <v>13.1</v>
      </c>
      <c r="L169" s="229">
        <v>3.9800000000000002E-2</v>
      </c>
      <c r="M169" s="228">
        <v>342.2</v>
      </c>
      <c r="N169" s="228">
        <v>327.7</v>
      </c>
      <c r="O169" s="228">
        <v>14.5</v>
      </c>
      <c r="P169" s="229">
        <v>4.4200000000000003E-2</v>
      </c>
      <c r="Q169" s="228">
        <v>344.3</v>
      </c>
      <c r="R169" s="228">
        <v>329.8</v>
      </c>
      <c r="S169" s="228">
        <v>14.5</v>
      </c>
      <c r="T169" s="229">
        <v>4.3999999999999997E-2</v>
      </c>
      <c r="U169" s="228">
        <v>345.55</v>
      </c>
      <c r="V169" s="228">
        <v>331.3</v>
      </c>
      <c r="W169" s="228">
        <v>14.25</v>
      </c>
      <c r="X169" s="229">
        <v>4.2999999999999997E-2</v>
      </c>
      <c r="Y169" s="228">
        <v>0.35</v>
      </c>
      <c r="Z169" s="228">
        <v>-1.05</v>
      </c>
      <c r="AA169" s="228">
        <v>1.4</v>
      </c>
      <c r="AB169" s="229">
        <v>1E-3</v>
      </c>
      <c r="AC169" s="228">
        <v>0.35</v>
      </c>
      <c r="AD169" s="228">
        <v>-1.05</v>
      </c>
      <c r="AE169" s="228">
        <v>1.4</v>
      </c>
      <c r="AF169" s="229">
        <v>1E-3</v>
      </c>
      <c r="AG169" s="228">
        <v>2.4500000000000002</v>
      </c>
      <c r="AH169" s="228">
        <v>1.05</v>
      </c>
      <c r="AI169" s="228">
        <v>1.4</v>
      </c>
      <c r="AJ169" s="229">
        <v>7.1999999999999998E-3</v>
      </c>
      <c r="AK169" s="228">
        <v>3.7</v>
      </c>
      <c r="AL169" s="228">
        <v>2.5499999999999998</v>
      </c>
      <c r="AM169" s="228">
        <v>1.1499999999999999</v>
      </c>
      <c r="AN169" s="229">
        <v>1.0800000000000001E-2</v>
      </c>
      <c r="AO169" s="228">
        <v>338.11</v>
      </c>
      <c r="AP169" s="228">
        <v>339.35</v>
      </c>
      <c r="AQ169" s="228">
        <v>0</v>
      </c>
      <c r="AR169" s="230">
        <v>19815600</v>
      </c>
      <c r="AS169" s="230">
        <v>17248000</v>
      </c>
      <c r="AT169" s="230">
        <v>2567600</v>
      </c>
      <c r="AU169" s="229">
        <v>0.1489</v>
      </c>
      <c r="AV169" s="230">
        <v>17861200</v>
      </c>
      <c r="AW169" s="230">
        <v>13818000</v>
      </c>
      <c r="AX169" s="230">
        <v>4043200</v>
      </c>
      <c r="AY169" s="229">
        <v>0.29260000000000003</v>
      </c>
      <c r="AZ169" s="230">
        <v>1720600</v>
      </c>
      <c r="BA169" s="230">
        <v>3005800</v>
      </c>
      <c r="BB169" s="230">
        <v>-1285200</v>
      </c>
      <c r="BC169" s="229">
        <v>-0.42759999999999998</v>
      </c>
      <c r="BD169" s="230">
        <v>233800</v>
      </c>
      <c r="BE169" s="230">
        <v>424200</v>
      </c>
      <c r="BF169" s="230">
        <v>-190400</v>
      </c>
      <c r="BG169" s="229">
        <v>-0.44879999999999998</v>
      </c>
      <c r="BH169" s="230">
        <v>38544800</v>
      </c>
      <c r="BI169" s="230">
        <v>29702400</v>
      </c>
      <c r="BJ169" s="230">
        <v>8842400</v>
      </c>
      <c r="BK169" s="229">
        <v>0.29770000000000002</v>
      </c>
      <c r="BL169" s="230">
        <v>26686800</v>
      </c>
      <c r="BM169" s="230">
        <v>18375000</v>
      </c>
      <c r="BN169" s="230">
        <v>8311800</v>
      </c>
      <c r="BO169" s="229">
        <v>0.45229999999999998</v>
      </c>
      <c r="BP169" s="230">
        <v>85047200</v>
      </c>
      <c r="BQ169" s="230">
        <v>65325400</v>
      </c>
      <c r="BR169" s="230">
        <v>19721800</v>
      </c>
      <c r="BS169" s="229">
        <v>0.3019</v>
      </c>
      <c r="BT169" s="230">
        <v>12148061</v>
      </c>
      <c r="BU169" s="230">
        <v>11805156</v>
      </c>
      <c r="BV169" s="230">
        <v>342905</v>
      </c>
      <c r="BW169" s="229">
        <v>2.9000000000000001E-2</v>
      </c>
      <c r="BX169" s="230">
        <v>78972600</v>
      </c>
      <c r="BY169" s="230">
        <v>78908200</v>
      </c>
      <c r="BZ169" s="230">
        <v>64400</v>
      </c>
      <c r="CA169" s="229">
        <v>8.0000000000000004E-4</v>
      </c>
      <c r="CB169" s="230">
        <v>72947000</v>
      </c>
      <c r="CC169" s="230">
        <v>72816800</v>
      </c>
      <c r="CD169" s="230">
        <v>130200</v>
      </c>
      <c r="CE169" s="229">
        <v>1.8E-3</v>
      </c>
      <c r="CF169" s="230">
        <v>5684000</v>
      </c>
      <c r="CG169" s="230">
        <v>5769400</v>
      </c>
      <c r="CH169" s="230">
        <v>-85400</v>
      </c>
      <c r="CI169" s="229">
        <v>-1.4800000000000001E-2</v>
      </c>
      <c r="CJ169" s="230">
        <v>341600</v>
      </c>
      <c r="CK169" s="230">
        <v>322000</v>
      </c>
      <c r="CL169" s="230">
        <v>19600</v>
      </c>
      <c r="CM169" s="229">
        <v>6.0900000000000003E-2</v>
      </c>
      <c r="CN169" s="230">
        <v>25757200</v>
      </c>
      <c r="CO169" s="230">
        <v>25142600</v>
      </c>
      <c r="CP169" s="230">
        <v>614600</v>
      </c>
      <c r="CQ169" s="229">
        <v>2.4400000000000002E-2</v>
      </c>
      <c r="CR169" s="230">
        <v>29122800</v>
      </c>
      <c r="CS169" s="230">
        <v>26244400</v>
      </c>
      <c r="CT169" s="230">
        <v>2878400</v>
      </c>
      <c r="CU169" s="229">
        <v>0.10970000000000001</v>
      </c>
      <c r="CV169" s="230">
        <v>133852600</v>
      </c>
      <c r="CW169" s="230">
        <v>130295200</v>
      </c>
      <c r="CX169" s="230">
        <v>3557400</v>
      </c>
      <c r="CY169" s="229">
        <v>2.7300000000000001E-2</v>
      </c>
      <c r="CZ169" s="228">
        <v>33.340000000000003</v>
      </c>
      <c r="DA169" s="228">
        <v>36.17</v>
      </c>
      <c r="DB169" s="228">
        <v>-2.83</v>
      </c>
      <c r="DC169" s="228">
        <v>-2.83</v>
      </c>
      <c r="DD169" s="228">
        <v>41.17</v>
      </c>
      <c r="DE169" s="228">
        <v>40.85</v>
      </c>
      <c r="DF169" s="228">
        <v>-7.83</v>
      </c>
      <c r="DG169" s="228">
        <v>0.32</v>
      </c>
      <c r="DH169" s="228">
        <v>31.77</v>
      </c>
      <c r="DI169" s="228">
        <v>35.69</v>
      </c>
      <c r="DJ169" s="228">
        <v>-3.92</v>
      </c>
      <c r="DK169" s="228">
        <v>-3.92</v>
      </c>
      <c r="DL169" s="228">
        <v>35.6</v>
      </c>
      <c r="DM169" s="228">
        <v>36.94</v>
      </c>
      <c r="DN169" s="228">
        <v>-1.34</v>
      </c>
      <c r="DO169" s="228">
        <v>-1.34</v>
      </c>
      <c r="DP169" s="228">
        <v>1.1299999999999999</v>
      </c>
      <c r="DQ169" s="228">
        <v>1.04</v>
      </c>
      <c r="DR169" s="228">
        <v>0.09</v>
      </c>
      <c r="DS169" s="229">
        <v>8.6499999999999994E-2</v>
      </c>
      <c r="DT169" s="228">
        <v>350</v>
      </c>
      <c r="DU169" s="228">
        <v>320</v>
      </c>
      <c r="DV169" s="228">
        <v>0.69</v>
      </c>
      <c r="DW169" s="228">
        <v>0.62</v>
      </c>
      <c r="DX169" s="228">
        <v>7.0000000000000007E-2</v>
      </c>
      <c r="DY169" s="229">
        <v>0.1129</v>
      </c>
      <c r="DZ169" s="229">
        <v>7.6300000000000007E-2</v>
      </c>
      <c r="EA169" s="230">
        <v>6091400</v>
      </c>
      <c r="EB169" s="229">
        <v>6.1000000000000004E-3</v>
      </c>
      <c r="EC169" s="229">
        <v>7.6300000000000007E-2</v>
      </c>
      <c r="ED169" s="228">
        <v>1.24</v>
      </c>
      <c r="EE169" s="229">
        <v>3.7000000000000002E-3</v>
      </c>
      <c r="EF169" s="230">
        <v>5194893</v>
      </c>
      <c r="EG169" s="230">
        <v>6323293</v>
      </c>
      <c r="EH169" s="229">
        <v>-0.17849999999999999</v>
      </c>
      <c r="EI169" s="229">
        <v>0.42759999999999998</v>
      </c>
      <c r="EJ169" s="231">
        <v>138814.84</v>
      </c>
      <c r="EK169" s="231">
        <v>89799.96</v>
      </c>
      <c r="EL169" s="231">
        <v>67024.740000000005</v>
      </c>
      <c r="EM169" s="231">
        <v>8216</v>
      </c>
      <c r="EN169" s="231">
        <v>295639.53999999998</v>
      </c>
      <c r="EO169" s="231">
        <v>225398.43</v>
      </c>
      <c r="EP169" s="231">
        <v>70241.11</v>
      </c>
      <c r="EQ169" s="229">
        <v>0.31159999999999999</v>
      </c>
      <c r="ER169" s="231">
        <v>94658</v>
      </c>
      <c r="ES169" s="231">
        <v>99986</v>
      </c>
      <c r="ET169" s="231">
        <v>270375</v>
      </c>
      <c r="EU169" s="231">
        <v>187084550</v>
      </c>
      <c r="EV169" s="231">
        <v>465019</v>
      </c>
      <c r="EW169" s="231">
        <v>441760</v>
      </c>
      <c r="EX169" s="231">
        <v>23259</v>
      </c>
      <c r="EY169" s="229">
        <v>5.2699999999999997E-2</v>
      </c>
      <c r="EZ169" s="229">
        <v>0.71550000000000002</v>
      </c>
      <c r="FA169" s="227" t="s">
        <v>555</v>
      </c>
      <c r="FB169" s="161">
        <f t="shared" si="4"/>
        <v>0</v>
      </c>
    </row>
    <row r="170" spans="1:158" ht="17.25" thickBot="1" x14ac:dyDescent="0.3">
      <c r="A170" s="226">
        <v>46086</v>
      </c>
      <c r="B170" s="227" t="s">
        <v>193</v>
      </c>
      <c r="C170" s="227" t="s">
        <v>281</v>
      </c>
      <c r="D170" s="228">
        <v>500</v>
      </c>
      <c r="E170" s="231">
        <v>1393</v>
      </c>
      <c r="F170" s="231">
        <v>1349.5</v>
      </c>
      <c r="G170" s="228">
        <v>43.5</v>
      </c>
      <c r="H170" s="229">
        <v>3.2199999999999999E-2</v>
      </c>
      <c r="I170" s="231">
        <v>1389.4</v>
      </c>
      <c r="J170" s="231">
        <v>1345</v>
      </c>
      <c r="K170" s="228">
        <v>44.4</v>
      </c>
      <c r="L170" s="229">
        <v>3.3000000000000002E-2</v>
      </c>
      <c r="M170" s="231">
        <v>1393</v>
      </c>
      <c r="N170" s="231">
        <v>1349.5</v>
      </c>
      <c r="O170" s="228">
        <v>43.5</v>
      </c>
      <c r="P170" s="229">
        <v>3.2199999999999999E-2</v>
      </c>
      <c r="Q170" s="231">
        <v>1401.8</v>
      </c>
      <c r="R170" s="231">
        <v>1358.9</v>
      </c>
      <c r="S170" s="228">
        <v>42.9</v>
      </c>
      <c r="T170" s="229">
        <v>3.1600000000000003E-2</v>
      </c>
      <c r="U170" s="231">
        <v>1409.4</v>
      </c>
      <c r="V170" s="231">
        <v>1365.8</v>
      </c>
      <c r="W170" s="228">
        <v>43.6</v>
      </c>
      <c r="X170" s="229">
        <v>3.1899999999999998E-2</v>
      </c>
      <c r="Y170" s="228">
        <v>3.6</v>
      </c>
      <c r="Z170" s="228">
        <v>4.5</v>
      </c>
      <c r="AA170" s="228">
        <v>-0.9</v>
      </c>
      <c r="AB170" s="229">
        <v>2.5999999999999999E-3</v>
      </c>
      <c r="AC170" s="228">
        <v>3.6</v>
      </c>
      <c r="AD170" s="228">
        <v>4.5</v>
      </c>
      <c r="AE170" s="228">
        <v>-0.9</v>
      </c>
      <c r="AF170" s="229">
        <v>2.5999999999999999E-3</v>
      </c>
      <c r="AG170" s="228">
        <v>12.4</v>
      </c>
      <c r="AH170" s="228">
        <v>13.9</v>
      </c>
      <c r="AI170" s="228">
        <v>-1.5</v>
      </c>
      <c r="AJ170" s="229">
        <v>8.8999999999999999E-3</v>
      </c>
      <c r="AK170" s="228">
        <v>20</v>
      </c>
      <c r="AL170" s="228">
        <v>20.8</v>
      </c>
      <c r="AM170" s="228">
        <v>-0.8</v>
      </c>
      <c r="AN170" s="229">
        <v>1.44E-2</v>
      </c>
      <c r="AO170" s="231">
        <v>1385.74</v>
      </c>
      <c r="AP170" s="231">
        <v>1396.06</v>
      </c>
      <c r="AQ170" s="228">
        <v>0</v>
      </c>
      <c r="AR170" s="230">
        <v>20497000</v>
      </c>
      <c r="AS170" s="230">
        <v>20489500</v>
      </c>
      <c r="AT170" s="230">
        <v>7500</v>
      </c>
      <c r="AU170" s="229">
        <v>4.0000000000000002E-4</v>
      </c>
      <c r="AV170" s="230">
        <v>18854500</v>
      </c>
      <c r="AW170" s="230">
        <v>18941500</v>
      </c>
      <c r="AX170" s="230">
        <v>-87000</v>
      </c>
      <c r="AY170" s="229">
        <v>-4.5999999999999999E-3</v>
      </c>
      <c r="AZ170" s="230">
        <v>1369000</v>
      </c>
      <c r="BA170" s="230">
        <v>1170500</v>
      </c>
      <c r="BB170" s="230">
        <v>198500</v>
      </c>
      <c r="BC170" s="229">
        <v>0.1696</v>
      </c>
      <c r="BD170" s="230">
        <v>273500</v>
      </c>
      <c r="BE170" s="230">
        <v>377500</v>
      </c>
      <c r="BF170" s="230">
        <v>-104000</v>
      </c>
      <c r="BG170" s="229">
        <v>-0.27550000000000002</v>
      </c>
      <c r="BH170" s="230">
        <v>84149500</v>
      </c>
      <c r="BI170" s="230">
        <v>85455000</v>
      </c>
      <c r="BJ170" s="230">
        <v>-1305500</v>
      </c>
      <c r="BK170" s="229">
        <v>-1.5299999999999999E-2</v>
      </c>
      <c r="BL170" s="230">
        <v>63822500</v>
      </c>
      <c r="BM170" s="230">
        <v>67401000</v>
      </c>
      <c r="BN170" s="230">
        <v>-3578500</v>
      </c>
      <c r="BO170" s="229">
        <v>-5.3100000000000001E-2</v>
      </c>
      <c r="BP170" s="230">
        <v>168469000</v>
      </c>
      <c r="BQ170" s="230">
        <v>173345500</v>
      </c>
      <c r="BR170" s="230">
        <v>-4876500</v>
      </c>
      <c r="BS170" s="229">
        <v>-2.81E-2</v>
      </c>
      <c r="BT170" s="230">
        <v>27471029</v>
      </c>
      <c r="BU170" s="230">
        <v>34254754</v>
      </c>
      <c r="BV170" s="230">
        <v>-6783725</v>
      </c>
      <c r="BW170" s="229">
        <v>-0.19800000000000001</v>
      </c>
      <c r="BX170" s="230">
        <v>111390500</v>
      </c>
      <c r="BY170" s="230">
        <v>112415000</v>
      </c>
      <c r="BZ170" s="230">
        <v>-1024500</v>
      </c>
      <c r="CA170" s="229">
        <v>-9.1000000000000004E-3</v>
      </c>
      <c r="CB170" s="230">
        <v>106606000</v>
      </c>
      <c r="CC170" s="230">
        <v>107745500</v>
      </c>
      <c r="CD170" s="230">
        <v>-1139500</v>
      </c>
      <c r="CE170" s="229">
        <v>-1.06E-2</v>
      </c>
      <c r="CF170" s="230">
        <v>3908000</v>
      </c>
      <c r="CG170" s="230">
        <v>3808000</v>
      </c>
      <c r="CH170" s="230">
        <v>100000</v>
      </c>
      <c r="CI170" s="229">
        <v>2.63E-2</v>
      </c>
      <c r="CJ170" s="230">
        <v>876500</v>
      </c>
      <c r="CK170" s="230">
        <v>861500</v>
      </c>
      <c r="CL170" s="230">
        <v>15000</v>
      </c>
      <c r="CM170" s="229">
        <v>1.7399999999999999E-2</v>
      </c>
      <c r="CN170" s="230">
        <v>43368000</v>
      </c>
      <c r="CO170" s="230">
        <v>44359000</v>
      </c>
      <c r="CP170" s="230">
        <v>-991000</v>
      </c>
      <c r="CQ170" s="229">
        <v>-2.23E-2</v>
      </c>
      <c r="CR170" s="230">
        <v>31652500</v>
      </c>
      <c r="CS170" s="230">
        <v>30572000</v>
      </c>
      <c r="CT170" s="230">
        <v>1080500</v>
      </c>
      <c r="CU170" s="229">
        <v>3.5299999999999998E-2</v>
      </c>
      <c r="CV170" s="230">
        <v>186411000</v>
      </c>
      <c r="CW170" s="230">
        <v>187346000</v>
      </c>
      <c r="CX170" s="230">
        <v>-935000</v>
      </c>
      <c r="CY170" s="229">
        <v>-5.0000000000000001E-3</v>
      </c>
      <c r="CZ170" s="228">
        <v>23.69</v>
      </c>
      <c r="DA170" s="228">
        <v>28.2</v>
      </c>
      <c r="DB170" s="228">
        <v>-4.51</v>
      </c>
      <c r="DC170" s="228">
        <v>-4.51</v>
      </c>
      <c r="DD170" s="228">
        <v>25.19</v>
      </c>
      <c r="DE170" s="228">
        <v>24.86</v>
      </c>
      <c r="DF170" s="228">
        <v>-1.5</v>
      </c>
      <c r="DG170" s="228">
        <v>0.33</v>
      </c>
      <c r="DH170" s="228">
        <v>22.38</v>
      </c>
      <c r="DI170" s="228">
        <v>26.81</v>
      </c>
      <c r="DJ170" s="228">
        <v>-4.43</v>
      </c>
      <c r="DK170" s="228">
        <v>-4.43</v>
      </c>
      <c r="DL170" s="228">
        <v>25.42</v>
      </c>
      <c r="DM170" s="228">
        <v>29.96</v>
      </c>
      <c r="DN170" s="228">
        <v>-4.54</v>
      </c>
      <c r="DO170" s="228">
        <v>-4.54</v>
      </c>
      <c r="DP170" s="228">
        <v>0.73</v>
      </c>
      <c r="DQ170" s="228">
        <v>0.69</v>
      </c>
      <c r="DR170" s="228">
        <v>0.04</v>
      </c>
      <c r="DS170" s="229">
        <v>5.8000000000000003E-2</v>
      </c>
      <c r="DT170" s="231">
        <v>1500</v>
      </c>
      <c r="DU170" s="231">
        <v>1300</v>
      </c>
      <c r="DV170" s="228">
        <v>0.76</v>
      </c>
      <c r="DW170" s="228">
        <v>0.79</v>
      </c>
      <c r="DX170" s="228">
        <v>-0.03</v>
      </c>
      <c r="DY170" s="229">
        <v>-3.7999999999999999E-2</v>
      </c>
      <c r="DZ170" s="229">
        <v>4.2999999999999997E-2</v>
      </c>
      <c r="EA170" s="230">
        <v>4669500</v>
      </c>
      <c r="EB170" s="229">
        <v>6.3E-3</v>
      </c>
      <c r="EC170" s="229">
        <v>4.2999999999999997E-2</v>
      </c>
      <c r="ED170" s="228">
        <v>10.32</v>
      </c>
      <c r="EE170" s="229">
        <v>7.4000000000000003E-3</v>
      </c>
      <c r="EF170" s="230">
        <v>13027027</v>
      </c>
      <c r="EG170" s="230">
        <v>21709311</v>
      </c>
      <c r="EH170" s="229">
        <v>-0.39989999999999998</v>
      </c>
      <c r="EI170" s="229">
        <v>0.47420000000000001</v>
      </c>
      <c r="EJ170" s="231">
        <v>1218774.1100000001</v>
      </c>
      <c r="EK170" s="231">
        <v>865150.19</v>
      </c>
      <c r="EL170" s="231">
        <v>284223.49</v>
      </c>
      <c r="EM170" s="231">
        <v>29604</v>
      </c>
      <c r="EN170" s="231">
        <v>2368147.79</v>
      </c>
      <c r="EO170" s="231">
        <v>2383534.42</v>
      </c>
      <c r="EP170" s="231">
        <v>-15386.63</v>
      </c>
      <c r="EQ170" s="229">
        <v>-6.4999999999999997E-3</v>
      </c>
      <c r="ER170" s="231">
        <v>632565</v>
      </c>
      <c r="ES170" s="231">
        <v>438441</v>
      </c>
      <c r="ET170" s="231">
        <v>1552157</v>
      </c>
      <c r="EU170" s="231">
        <v>664266681</v>
      </c>
      <c r="EV170" s="231">
        <v>2623163</v>
      </c>
      <c r="EW170" s="231">
        <v>2585087</v>
      </c>
      <c r="EX170" s="231">
        <v>38076</v>
      </c>
      <c r="EY170" s="229">
        <v>1.47E-2</v>
      </c>
      <c r="EZ170" s="229">
        <v>0.28060000000000002</v>
      </c>
      <c r="FA170" s="227" t="s">
        <v>556</v>
      </c>
      <c r="FB170" s="161">
        <f t="shared" si="4"/>
        <v>0</v>
      </c>
    </row>
    <row r="171" spans="1:158" ht="17.25" thickBot="1" x14ac:dyDescent="0.3">
      <c r="A171" s="226">
        <v>46086</v>
      </c>
      <c r="B171" s="227" t="s">
        <v>215</v>
      </c>
      <c r="C171" s="227" t="s">
        <v>674</v>
      </c>
      <c r="D171" s="228">
        <v>1525</v>
      </c>
      <c r="E171" s="228">
        <v>275.5</v>
      </c>
      <c r="F171" s="228">
        <v>271.05</v>
      </c>
      <c r="G171" s="228">
        <v>4.45</v>
      </c>
      <c r="H171" s="229">
        <v>1.6400000000000001E-2</v>
      </c>
      <c r="I171" s="228">
        <v>279.25</v>
      </c>
      <c r="J171" s="228">
        <v>282.05</v>
      </c>
      <c r="K171" s="228">
        <v>-2.8</v>
      </c>
      <c r="L171" s="229">
        <v>-9.9000000000000008E-3</v>
      </c>
      <c r="M171" s="228">
        <v>275.5</v>
      </c>
      <c r="N171" s="228">
        <v>271.05</v>
      </c>
      <c r="O171" s="228">
        <v>4.45</v>
      </c>
      <c r="P171" s="229">
        <v>1.6400000000000001E-2</v>
      </c>
      <c r="Q171" s="228">
        <v>267.89999999999998</v>
      </c>
      <c r="R171" s="228">
        <v>263.89999999999998</v>
      </c>
      <c r="S171" s="228">
        <v>4</v>
      </c>
      <c r="T171" s="229">
        <v>1.52E-2</v>
      </c>
      <c r="U171" s="228">
        <v>267.14999999999998</v>
      </c>
      <c r="V171" s="228">
        <v>259.89999999999998</v>
      </c>
      <c r="W171" s="228">
        <v>7.25</v>
      </c>
      <c r="X171" s="229">
        <v>2.7900000000000001E-2</v>
      </c>
      <c r="Y171" s="228">
        <v>-3.75</v>
      </c>
      <c r="Z171" s="228">
        <v>-11</v>
      </c>
      <c r="AA171" s="228">
        <v>7.25</v>
      </c>
      <c r="AB171" s="229">
        <v>-1.34E-2</v>
      </c>
      <c r="AC171" s="228">
        <v>-3.75</v>
      </c>
      <c r="AD171" s="228">
        <v>-11</v>
      </c>
      <c r="AE171" s="228">
        <v>7.25</v>
      </c>
      <c r="AF171" s="229">
        <v>-1.34E-2</v>
      </c>
      <c r="AG171" s="228">
        <v>-11.35</v>
      </c>
      <c r="AH171" s="228">
        <v>-18.149999999999999</v>
      </c>
      <c r="AI171" s="228">
        <v>6.8</v>
      </c>
      <c r="AJ171" s="229">
        <v>-4.0599999999999997E-2</v>
      </c>
      <c r="AK171" s="228">
        <v>-12.1</v>
      </c>
      <c r="AL171" s="228">
        <v>-22.15</v>
      </c>
      <c r="AM171" s="228">
        <v>10.050000000000001</v>
      </c>
      <c r="AN171" s="229">
        <v>-4.3299999999999998E-2</v>
      </c>
      <c r="AO171" s="228">
        <v>271.12</v>
      </c>
      <c r="AP171" s="228">
        <v>263.25</v>
      </c>
      <c r="AQ171" s="228">
        <v>0</v>
      </c>
      <c r="AR171" s="230">
        <v>13796675</v>
      </c>
      <c r="AS171" s="230">
        <v>8059625</v>
      </c>
      <c r="AT171" s="230">
        <v>5737050</v>
      </c>
      <c r="AU171" s="229">
        <v>0.71179999999999999</v>
      </c>
      <c r="AV171" s="230">
        <v>9053925</v>
      </c>
      <c r="AW171" s="230">
        <v>6420250</v>
      </c>
      <c r="AX171" s="230">
        <v>2633675</v>
      </c>
      <c r="AY171" s="229">
        <v>0.41020000000000001</v>
      </c>
      <c r="AZ171" s="230">
        <v>3458700</v>
      </c>
      <c r="BA171" s="230">
        <v>1416725</v>
      </c>
      <c r="BB171" s="230">
        <v>2041975</v>
      </c>
      <c r="BC171" s="229">
        <v>1.4413</v>
      </c>
      <c r="BD171" s="230">
        <v>1284050</v>
      </c>
      <c r="BE171" s="230">
        <v>222650</v>
      </c>
      <c r="BF171" s="230">
        <v>1061400</v>
      </c>
      <c r="BG171" s="229">
        <v>4.7671000000000001</v>
      </c>
      <c r="BH171" s="230">
        <v>35123800</v>
      </c>
      <c r="BI171" s="230">
        <v>26551775</v>
      </c>
      <c r="BJ171" s="230">
        <v>8572025</v>
      </c>
      <c r="BK171" s="229">
        <v>0.32279999999999998</v>
      </c>
      <c r="BL171" s="230">
        <v>8065725</v>
      </c>
      <c r="BM171" s="230">
        <v>10202250</v>
      </c>
      <c r="BN171" s="230">
        <v>-2136525</v>
      </c>
      <c r="BO171" s="229">
        <v>-0.2094</v>
      </c>
      <c r="BP171" s="230">
        <v>56986200</v>
      </c>
      <c r="BQ171" s="230">
        <v>44813650</v>
      </c>
      <c r="BR171" s="230">
        <v>12172550</v>
      </c>
      <c r="BS171" s="229">
        <v>0.27160000000000001</v>
      </c>
      <c r="BT171" s="230">
        <v>9343291</v>
      </c>
      <c r="BU171" s="230">
        <v>10687753</v>
      </c>
      <c r="BV171" s="230">
        <v>-1344462</v>
      </c>
      <c r="BW171" s="229">
        <v>-0.1258</v>
      </c>
      <c r="BX171" s="230">
        <v>63372900</v>
      </c>
      <c r="BY171" s="230">
        <v>64062200</v>
      </c>
      <c r="BZ171" s="230">
        <v>-689300</v>
      </c>
      <c r="CA171" s="229">
        <v>-1.0800000000000001E-2</v>
      </c>
      <c r="CB171" s="230">
        <v>56466175</v>
      </c>
      <c r="CC171" s="230">
        <v>57504700</v>
      </c>
      <c r="CD171" s="230">
        <v>-1038525</v>
      </c>
      <c r="CE171" s="229">
        <v>-1.8100000000000002E-2</v>
      </c>
      <c r="CF171" s="230">
        <v>6311975</v>
      </c>
      <c r="CG171" s="230">
        <v>6228100</v>
      </c>
      <c r="CH171" s="230">
        <v>83875</v>
      </c>
      <c r="CI171" s="229">
        <v>1.35E-2</v>
      </c>
      <c r="CJ171" s="230">
        <v>594750</v>
      </c>
      <c r="CK171" s="230">
        <v>329400</v>
      </c>
      <c r="CL171" s="230">
        <v>265350</v>
      </c>
      <c r="CM171" s="229">
        <v>0.80559999999999998</v>
      </c>
      <c r="CN171" s="230">
        <v>30051650</v>
      </c>
      <c r="CO171" s="230">
        <v>28153025</v>
      </c>
      <c r="CP171" s="230">
        <v>1898625</v>
      </c>
      <c r="CQ171" s="229">
        <v>6.7400000000000002E-2</v>
      </c>
      <c r="CR171" s="230">
        <v>14861125</v>
      </c>
      <c r="CS171" s="230">
        <v>14780300</v>
      </c>
      <c r="CT171" s="230">
        <v>80825</v>
      </c>
      <c r="CU171" s="229">
        <v>5.4999999999999997E-3</v>
      </c>
      <c r="CV171" s="230">
        <v>108285675</v>
      </c>
      <c r="CW171" s="230">
        <v>106995525</v>
      </c>
      <c r="CX171" s="230">
        <v>1290150</v>
      </c>
      <c r="CY171" s="229">
        <v>1.21E-2</v>
      </c>
      <c r="CZ171" s="228">
        <v>45.07</v>
      </c>
      <c r="DA171" s="228">
        <v>50.19</v>
      </c>
      <c r="DB171" s="228">
        <v>-5.12</v>
      </c>
      <c r="DC171" s="228">
        <v>-5.12</v>
      </c>
      <c r="DD171" s="228">
        <v>58.03</v>
      </c>
      <c r="DE171" s="228">
        <v>58.13</v>
      </c>
      <c r="DF171" s="228">
        <v>-12.96</v>
      </c>
      <c r="DG171" s="228">
        <v>-0.1</v>
      </c>
      <c r="DH171" s="228">
        <v>44.92</v>
      </c>
      <c r="DI171" s="228">
        <v>49.74</v>
      </c>
      <c r="DJ171" s="228">
        <v>-4.82</v>
      </c>
      <c r="DK171" s="228">
        <v>-4.82</v>
      </c>
      <c r="DL171" s="228">
        <v>45.73</v>
      </c>
      <c r="DM171" s="228">
        <v>51.36</v>
      </c>
      <c r="DN171" s="228">
        <v>-5.63</v>
      </c>
      <c r="DO171" s="228">
        <v>-5.63</v>
      </c>
      <c r="DP171" s="228">
        <v>0.49</v>
      </c>
      <c r="DQ171" s="228">
        <v>0.52</v>
      </c>
      <c r="DR171" s="228">
        <v>-0.03</v>
      </c>
      <c r="DS171" s="229">
        <v>-5.7700000000000001E-2</v>
      </c>
      <c r="DT171" s="228">
        <v>320</v>
      </c>
      <c r="DU171" s="228">
        <v>280</v>
      </c>
      <c r="DV171" s="228">
        <v>0.23</v>
      </c>
      <c r="DW171" s="228">
        <v>0.38</v>
      </c>
      <c r="DX171" s="228">
        <v>-0.15</v>
      </c>
      <c r="DY171" s="229">
        <v>-0.3947</v>
      </c>
      <c r="DZ171" s="229">
        <v>0.109</v>
      </c>
      <c r="EA171" s="230">
        <v>6557500</v>
      </c>
      <c r="EB171" s="229">
        <v>-2.76E-2</v>
      </c>
      <c r="EC171" s="229">
        <v>0.109</v>
      </c>
      <c r="ED171" s="228">
        <v>-7.87</v>
      </c>
      <c r="EE171" s="229">
        <v>-2.9000000000000001E-2</v>
      </c>
      <c r="EF171" s="230">
        <v>2309722</v>
      </c>
      <c r="EG171" s="230">
        <v>3461639</v>
      </c>
      <c r="EH171" s="229">
        <v>-0.33279999999999998</v>
      </c>
      <c r="EI171" s="229">
        <v>0.2472</v>
      </c>
      <c r="EJ171" s="231">
        <v>108299.63</v>
      </c>
      <c r="EK171" s="231">
        <v>22764.47</v>
      </c>
      <c r="EL171" s="231">
        <v>37001.53</v>
      </c>
      <c r="EM171" s="231">
        <v>6094</v>
      </c>
      <c r="EN171" s="231">
        <v>168065.63</v>
      </c>
      <c r="EO171" s="231">
        <v>133096.13</v>
      </c>
      <c r="EP171" s="231">
        <v>34969.5</v>
      </c>
      <c r="EQ171" s="229">
        <v>0.26269999999999999</v>
      </c>
      <c r="ER171" s="231">
        <v>95974</v>
      </c>
      <c r="ES171" s="231">
        <v>43280</v>
      </c>
      <c r="ET171" s="231">
        <v>174063</v>
      </c>
      <c r="EU171" s="231">
        <v>84941460</v>
      </c>
      <c r="EV171" s="231">
        <v>313317</v>
      </c>
      <c r="EW171" s="231">
        <v>306356</v>
      </c>
      <c r="EX171" s="231">
        <v>6961</v>
      </c>
      <c r="EY171" s="229">
        <v>2.2700000000000001E-2</v>
      </c>
      <c r="EZ171" s="229">
        <v>1.2747999999999999</v>
      </c>
      <c r="FA171" s="227" t="s">
        <v>556</v>
      </c>
      <c r="FB171" s="161">
        <f t="shared" si="4"/>
        <v>0</v>
      </c>
    </row>
    <row r="172" spans="1:158" ht="17.25" thickBot="1" x14ac:dyDescent="0.3">
      <c r="A172" s="226">
        <v>46086</v>
      </c>
      <c r="B172" s="227" t="s">
        <v>227</v>
      </c>
      <c r="C172" s="227" t="s">
        <v>282</v>
      </c>
      <c r="D172" s="228">
        <v>4700</v>
      </c>
      <c r="E172" s="228">
        <v>157.69</v>
      </c>
      <c r="F172" s="228">
        <v>156.61000000000001</v>
      </c>
      <c r="G172" s="228">
        <v>1.08</v>
      </c>
      <c r="H172" s="229">
        <v>6.8999999999999999E-3</v>
      </c>
      <c r="I172" s="228">
        <v>156.15</v>
      </c>
      <c r="J172" s="228">
        <v>155.62</v>
      </c>
      <c r="K172" s="228">
        <v>0.53</v>
      </c>
      <c r="L172" s="229">
        <v>3.3999999999999998E-3</v>
      </c>
      <c r="M172" s="228">
        <v>157.69</v>
      </c>
      <c r="N172" s="228">
        <v>156.61000000000001</v>
      </c>
      <c r="O172" s="228">
        <v>1.08</v>
      </c>
      <c r="P172" s="229">
        <v>6.8999999999999999E-3</v>
      </c>
      <c r="Q172" s="228">
        <v>159.44999999999999</v>
      </c>
      <c r="R172" s="228">
        <v>157.29</v>
      </c>
      <c r="S172" s="228">
        <v>2.16</v>
      </c>
      <c r="T172" s="229">
        <v>1.37E-2</v>
      </c>
      <c r="U172" s="228">
        <v>159.91</v>
      </c>
      <c r="V172" s="228">
        <v>157.44999999999999</v>
      </c>
      <c r="W172" s="228">
        <v>2.46</v>
      </c>
      <c r="X172" s="229">
        <v>1.5599999999999999E-2</v>
      </c>
      <c r="Y172" s="228">
        <v>1.54</v>
      </c>
      <c r="Z172" s="228">
        <v>0.99</v>
      </c>
      <c r="AA172" s="228">
        <v>0.55000000000000004</v>
      </c>
      <c r="AB172" s="229">
        <v>9.9000000000000008E-3</v>
      </c>
      <c r="AC172" s="228">
        <v>1.54</v>
      </c>
      <c r="AD172" s="228">
        <v>0.99</v>
      </c>
      <c r="AE172" s="228">
        <v>0.55000000000000004</v>
      </c>
      <c r="AF172" s="229">
        <v>9.9000000000000008E-3</v>
      </c>
      <c r="AG172" s="228">
        <v>3.3</v>
      </c>
      <c r="AH172" s="228">
        <v>1.67</v>
      </c>
      <c r="AI172" s="228">
        <v>1.63</v>
      </c>
      <c r="AJ172" s="229">
        <v>2.1100000000000001E-2</v>
      </c>
      <c r="AK172" s="228">
        <v>3.76</v>
      </c>
      <c r="AL172" s="228">
        <v>1.83</v>
      </c>
      <c r="AM172" s="228">
        <v>1.93</v>
      </c>
      <c r="AN172" s="229">
        <v>2.41E-2</v>
      </c>
      <c r="AO172" s="228">
        <v>158.15</v>
      </c>
      <c r="AP172" s="228">
        <v>159.96</v>
      </c>
      <c r="AQ172" s="228">
        <v>0</v>
      </c>
      <c r="AR172" s="230">
        <v>4023200</v>
      </c>
      <c r="AS172" s="230">
        <v>47253800</v>
      </c>
      <c r="AT172" s="230">
        <v>-43230600</v>
      </c>
      <c r="AU172" s="229">
        <v>-0.91490000000000005</v>
      </c>
      <c r="AV172" s="230">
        <v>3736500</v>
      </c>
      <c r="AW172" s="230">
        <v>43968500</v>
      </c>
      <c r="AX172" s="230">
        <v>-40232000</v>
      </c>
      <c r="AY172" s="229">
        <v>-0.91500000000000004</v>
      </c>
      <c r="AZ172" s="230">
        <v>267900</v>
      </c>
      <c r="BA172" s="230">
        <v>2848200</v>
      </c>
      <c r="BB172" s="230">
        <v>-2580300</v>
      </c>
      <c r="BC172" s="229">
        <v>-0.90590000000000004</v>
      </c>
      <c r="BD172" s="230">
        <v>18800</v>
      </c>
      <c r="BE172" s="230">
        <v>437100</v>
      </c>
      <c r="BF172" s="230">
        <v>-418300</v>
      </c>
      <c r="BG172" s="229">
        <v>-0.95699999999999996</v>
      </c>
      <c r="BH172" s="230">
        <v>2185500</v>
      </c>
      <c r="BI172" s="230">
        <v>40034600</v>
      </c>
      <c r="BJ172" s="230">
        <v>-37849100</v>
      </c>
      <c r="BK172" s="229">
        <v>-0.94540000000000002</v>
      </c>
      <c r="BL172" s="230">
        <v>808400</v>
      </c>
      <c r="BM172" s="230">
        <v>39846600</v>
      </c>
      <c r="BN172" s="230">
        <v>-39038200</v>
      </c>
      <c r="BO172" s="229">
        <v>-0.97970000000000002</v>
      </c>
      <c r="BP172" s="230">
        <v>7017100</v>
      </c>
      <c r="BQ172" s="230">
        <v>127135000</v>
      </c>
      <c r="BR172" s="230">
        <v>-120117900</v>
      </c>
      <c r="BS172" s="229">
        <v>-0.94479999999999997</v>
      </c>
      <c r="BT172" s="230">
        <v>23701051</v>
      </c>
      <c r="BU172" s="230">
        <v>42329497</v>
      </c>
      <c r="BV172" s="230">
        <v>-18628446</v>
      </c>
      <c r="BW172" s="229">
        <v>-0.44009999999999999</v>
      </c>
      <c r="BX172" s="230">
        <v>213041600</v>
      </c>
      <c r="BY172" s="230">
        <v>215739400</v>
      </c>
      <c r="BZ172" s="230">
        <v>-2697800</v>
      </c>
      <c r="CA172" s="229">
        <v>-1.2500000000000001E-2</v>
      </c>
      <c r="CB172" s="230">
        <v>180000600</v>
      </c>
      <c r="CC172" s="230">
        <v>182510400</v>
      </c>
      <c r="CD172" s="230">
        <v>-2509800</v>
      </c>
      <c r="CE172" s="229">
        <v>-1.38E-2</v>
      </c>
      <c r="CF172" s="230">
        <v>32444100</v>
      </c>
      <c r="CG172" s="230">
        <v>32622700</v>
      </c>
      <c r="CH172" s="230">
        <v>-178600</v>
      </c>
      <c r="CI172" s="229">
        <v>-5.4999999999999997E-3</v>
      </c>
      <c r="CJ172" s="230">
        <v>596900</v>
      </c>
      <c r="CK172" s="230">
        <v>606300</v>
      </c>
      <c r="CL172" s="230">
        <v>-9400</v>
      </c>
      <c r="CM172" s="229">
        <v>-1.55E-2</v>
      </c>
      <c r="CN172" s="230">
        <v>22945400</v>
      </c>
      <c r="CO172" s="230">
        <v>23471800</v>
      </c>
      <c r="CP172" s="230">
        <v>-526400</v>
      </c>
      <c r="CQ172" s="229">
        <v>-2.24E-2</v>
      </c>
      <c r="CR172" s="230">
        <v>15350200</v>
      </c>
      <c r="CS172" s="230">
        <v>15557000</v>
      </c>
      <c r="CT172" s="230">
        <v>-206800</v>
      </c>
      <c r="CU172" s="229">
        <v>-1.3299999999999999E-2</v>
      </c>
      <c r="CV172" s="230">
        <v>251337200</v>
      </c>
      <c r="CW172" s="230">
        <v>254768200</v>
      </c>
      <c r="CX172" s="230">
        <v>-3431000</v>
      </c>
      <c r="CY172" s="229">
        <v>-1.35E-2</v>
      </c>
      <c r="CZ172" s="228">
        <v>29.96</v>
      </c>
      <c r="DA172" s="228">
        <v>39.9</v>
      </c>
      <c r="DB172" s="228">
        <v>-9.94</v>
      </c>
      <c r="DC172" s="228">
        <v>-9.94</v>
      </c>
      <c r="DD172" s="228">
        <v>43.19</v>
      </c>
      <c r="DE172" s="228">
        <v>43.29</v>
      </c>
      <c r="DF172" s="228">
        <v>-13.23</v>
      </c>
      <c r="DG172" s="228">
        <v>-0.1</v>
      </c>
      <c r="DH172" s="228">
        <v>30.97</v>
      </c>
      <c r="DI172" s="228">
        <v>38.22</v>
      </c>
      <c r="DJ172" s="228">
        <v>-7.25</v>
      </c>
      <c r="DK172" s="228">
        <v>-7.25</v>
      </c>
      <c r="DL172" s="228">
        <v>27.22</v>
      </c>
      <c r="DM172" s="228">
        <v>41.58</v>
      </c>
      <c r="DN172" s="228">
        <v>-14.36</v>
      </c>
      <c r="DO172" s="228">
        <v>-14.36</v>
      </c>
      <c r="DP172" s="228">
        <v>0.67</v>
      </c>
      <c r="DQ172" s="228">
        <v>0.66</v>
      </c>
      <c r="DR172" s="228">
        <v>0.01</v>
      </c>
      <c r="DS172" s="229">
        <v>1.52E-2</v>
      </c>
      <c r="DT172" s="228">
        <v>170</v>
      </c>
      <c r="DU172" s="228">
        <v>160</v>
      </c>
      <c r="DV172" s="228">
        <v>0.37</v>
      </c>
      <c r="DW172" s="228">
        <v>1</v>
      </c>
      <c r="DX172" s="228">
        <v>-0.63</v>
      </c>
      <c r="DY172" s="229">
        <v>-0.63</v>
      </c>
      <c r="DZ172" s="229">
        <v>0.15509999999999999</v>
      </c>
      <c r="EA172" s="230">
        <v>33229000</v>
      </c>
      <c r="EB172" s="229">
        <v>1.12E-2</v>
      </c>
      <c r="EC172" s="229">
        <v>0.15509999999999999</v>
      </c>
      <c r="ED172" s="228">
        <v>1.81</v>
      </c>
      <c r="EE172" s="229">
        <v>1.14E-2</v>
      </c>
      <c r="EF172" s="230">
        <v>8414676</v>
      </c>
      <c r="EG172" s="230">
        <v>14527612</v>
      </c>
      <c r="EH172" s="229">
        <v>-0.42080000000000001</v>
      </c>
      <c r="EI172" s="229">
        <v>0.35499999999999998</v>
      </c>
      <c r="EJ172" s="231">
        <v>3744.97</v>
      </c>
      <c r="EK172" s="231">
        <v>1240.97</v>
      </c>
      <c r="EL172" s="231">
        <v>6368.09</v>
      </c>
      <c r="EM172" s="231">
        <v>10219</v>
      </c>
      <c r="EN172" s="231">
        <v>11354.03</v>
      </c>
      <c r="EO172" s="231">
        <v>203806.58</v>
      </c>
      <c r="EP172" s="231">
        <v>-192452.55</v>
      </c>
      <c r="EQ172" s="229">
        <v>-0.94430000000000003</v>
      </c>
      <c r="ER172" s="231">
        <v>38643</v>
      </c>
      <c r="ES172" s="231">
        <v>24180</v>
      </c>
      <c r="ET172" s="231">
        <v>336530</v>
      </c>
      <c r="EU172" s="231">
        <v>216861410</v>
      </c>
      <c r="EV172" s="231">
        <v>399353</v>
      </c>
      <c r="EW172" s="231">
        <v>402114</v>
      </c>
      <c r="EX172" s="231">
        <v>-2761</v>
      </c>
      <c r="EY172" s="229">
        <v>-6.8999999999999999E-3</v>
      </c>
      <c r="EZ172" s="229">
        <v>1.159</v>
      </c>
      <c r="FA172" s="227" t="s">
        <v>556</v>
      </c>
      <c r="FB172" s="161">
        <f t="shared" si="4"/>
        <v>0</v>
      </c>
    </row>
    <row r="173" spans="1:158" ht="17.25" thickBot="1" x14ac:dyDescent="0.3">
      <c r="A173" s="226">
        <v>46086</v>
      </c>
      <c r="B173" s="227" t="s">
        <v>175</v>
      </c>
      <c r="C173" s="227" t="s">
        <v>685</v>
      </c>
      <c r="D173" s="228">
        <v>4300</v>
      </c>
      <c r="E173" s="228">
        <v>145.79</v>
      </c>
      <c r="F173" s="228">
        <v>142.44</v>
      </c>
      <c r="G173" s="228">
        <v>3.35</v>
      </c>
      <c r="H173" s="229">
        <v>2.35E-2</v>
      </c>
      <c r="I173" s="228">
        <v>145.21</v>
      </c>
      <c r="J173" s="228">
        <v>142.25</v>
      </c>
      <c r="K173" s="228">
        <v>2.96</v>
      </c>
      <c r="L173" s="229">
        <v>2.0799999999999999E-2</v>
      </c>
      <c r="M173" s="228">
        <v>145.79</v>
      </c>
      <c r="N173" s="228">
        <v>142.44</v>
      </c>
      <c r="O173" s="228">
        <v>3.35</v>
      </c>
      <c r="P173" s="229">
        <v>2.35E-2</v>
      </c>
      <c r="Q173" s="228">
        <v>145.07</v>
      </c>
      <c r="R173" s="228">
        <v>143.91</v>
      </c>
      <c r="S173" s="228">
        <v>1.1599999999999999</v>
      </c>
      <c r="T173" s="229">
        <v>8.0999999999999996E-3</v>
      </c>
      <c r="U173" s="228">
        <v>152.19</v>
      </c>
      <c r="V173" s="228">
        <v>152.19</v>
      </c>
      <c r="W173" s="228">
        <v>0</v>
      </c>
      <c r="X173" s="229">
        <v>0</v>
      </c>
      <c r="Y173" s="228">
        <v>0.57999999999999996</v>
      </c>
      <c r="Z173" s="228">
        <v>0.19</v>
      </c>
      <c r="AA173" s="228">
        <v>0.39</v>
      </c>
      <c r="AB173" s="229">
        <v>4.0000000000000001E-3</v>
      </c>
      <c r="AC173" s="228">
        <v>0.57999999999999996</v>
      </c>
      <c r="AD173" s="228">
        <v>0.19</v>
      </c>
      <c r="AE173" s="228">
        <v>0.39</v>
      </c>
      <c r="AF173" s="229">
        <v>4.0000000000000001E-3</v>
      </c>
      <c r="AG173" s="228">
        <v>-0.14000000000000001</v>
      </c>
      <c r="AH173" s="228">
        <v>1.66</v>
      </c>
      <c r="AI173" s="228">
        <v>-1.8</v>
      </c>
      <c r="AJ173" s="229">
        <v>-1E-3</v>
      </c>
      <c r="AK173" s="228">
        <v>6.98</v>
      </c>
      <c r="AL173" s="228">
        <v>9.94</v>
      </c>
      <c r="AM173" s="228">
        <v>-2.96</v>
      </c>
      <c r="AN173" s="229">
        <v>4.8099999999999997E-2</v>
      </c>
      <c r="AO173" s="228">
        <v>144.88999999999999</v>
      </c>
      <c r="AP173" s="228">
        <v>144.53</v>
      </c>
      <c r="AQ173" s="228">
        <v>0</v>
      </c>
      <c r="AR173" s="230">
        <v>262300</v>
      </c>
      <c r="AS173" s="230">
        <v>2481100</v>
      </c>
      <c r="AT173" s="230">
        <v>-2218800</v>
      </c>
      <c r="AU173" s="229">
        <v>-0.89429999999999998</v>
      </c>
      <c r="AV173" s="230">
        <v>253700</v>
      </c>
      <c r="AW173" s="230">
        <v>2468200</v>
      </c>
      <c r="AX173" s="230">
        <v>-2214500</v>
      </c>
      <c r="AY173" s="229">
        <v>-0.8972</v>
      </c>
      <c r="AZ173" s="230">
        <v>8600</v>
      </c>
      <c r="BA173" s="230">
        <v>12900</v>
      </c>
      <c r="BB173" s="230">
        <v>-4300</v>
      </c>
      <c r="BC173" s="229">
        <v>-0.33329999999999999</v>
      </c>
      <c r="BD173" s="228">
        <v>0</v>
      </c>
      <c r="BE173" s="228">
        <v>0</v>
      </c>
      <c r="BF173" s="228">
        <v>0</v>
      </c>
      <c r="BG173" s="229">
        <v>0</v>
      </c>
      <c r="BH173" s="230">
        <v>172000</v>
      </c>
      <c r="BI173" s="230">
        <v>258000</v>
      </c>
      <c r="BJ173" s="230">
        <v>-86000</v>
      </c>
      <c r="BK173" s="229">
        <v>-0.33329999999999999</v>
      </c>
      <c r="BL173" s="230">
        <v>4300</v>
      </c>
      <c r="BM173" s="230">
        <v>98900</v>
      </c>
      <c r="BN173" s="230">
        <v>-94600</v>
      </c>
      <c r="BO173" s="229">
        <v>-0.95650000000000002</v>
      </c>
      <c r="BP173" s="230">
        <v>438600</v>
      </c>
      <c r="BQ173" s="230">
        <v>2838000</v>
      </c>
      <c r="BR173" s="230">
        <v>-2399400</v>
      </c>
      <c r="BS173" s="229">
        <v>-0.84550000000000003</v>
      </c>
      <c r="BT173" s="230">
        <v>4954592</v>
      </c>
      <c r="BU173" s="230">
        <v>11951715</v>
      </c>
      <c r="BV173" s="230">
        <v>-6997123</v>
      </c>
      <c r="BW173" s="229">
        <v>-0.58540000000000003</v>
      </c>
      <c r="BX173" s="230">
        <v>113382400</v>
      </c>
      <c r="BY173" s="230">
        <v>113601700</v>
      </c>
      <c r="BZ173" s="230">
        <v>-219300</v>
      </c>
      <c r="CA173" s="229">
        <v>-1.9E-3</v>
      </c>
      <c r="CB173" s="230">
        <v>108699700</v>
      </c>
      <c r="CC173" s="230">
        <v>108914700</v>
      </c>
      <c r="CD173" s="230">
        <v>-215000</v>
      </c>
      <c r="CE173" s="229">
        <v>-2E-3</v>
      </c>
      <c r="CF173" s="230">
        <v>4502100</v>
      </c>
      <c r="CG173" s="230">
        <v>4506400</v>
      </c>
      <c r="CH173" s="230">
        <v>-4300</v>
      </c>
      <c r="CI173" s="229">
        <v>-1E-3</v>
      </c>
      <c r="CJ173" s="230">
        <v>180600</v>
      </c>
      <c r="CK173" s="230">
        <v>180600</v>
      </c>
      <c r="CL173" s="228">
        <v>0</v>
      </c>
      <c r="CM173" s="229">
        <v>0</v>
      </c>
      <c r="CN173" s="230">
        <v>23340400</v>
      </c>
      <c r="CO173" s="230">
        <v>23383400</v>
      </c>
      <c r="CP173" s="230">
        <v>-43000</v>
      </c>
      <c r="CQ173" s="229">
        <v>-1.8E-3</v>
      </c>
      <c r="CR173" s="230">
        <v>10212500</v>
      </c>
      <c r="CS173" s="230">
        <v>10208200</v>
      </c>
      <c r="CT173" s="230">
        <v>4300</v>
      </c>
      <c r="CU173" s="229">
        <v>4.0000000000000002E-4</v>
      </c>
      <c r="CV173" s="230">
        <v>146935300</v>
      </c>
      <c r="CW173" s="230">
        <v>147193300</v>
      </c>
      <c r="CX173" s="230">
        <v>-258000</v>
      </c>
      <c r="CY173" s="229">
        <v>-1.8E-3</v>
      </c>
      <c r="CZ173" s="228">
        <v>39.200000000000003</v>
      </c>
      <c r="DA173" s="228">
        <v>44.74</v>
      </c>
      <c r="DB173" s="228">
        <v>-5.54</v>
      </c>
      <c r="DC173" s="228">
        <v>-5.54</v>
      </c>
      <c r="DD173" s="228">
        <v>53.82</v>
      </c>
      <c r="DE173" s="228">
        <v>53.86</v>
      </c>
      <c r="DF173" s="228">
        <v>-14.62</v>
      </c>
      <c r="DG173" s="228">
        <v>-0.04</v>
      </c>
      <c r="DH173" s="228">
        <v>39.020000000000003</v>
      </c>
      <c r="DI173" s="228">
        <v>45.81</v>
      </c>
      <c r="DJ173" s="228">
        <v>-6.79</v>
      </c>
      <c r="DK173" s="228">
        <v>-6.79</v>
      </c>
      <c r="DL173" s="228">
        <v>46.42</v>
      </c>
      <c r="DM173" s="228">
        <v>41.97</v>
      </c>
      <c r="DN173" s="228">
        <v>4.45</v>
      </c>
      <c r="DO173" s="228">
        <v>4.45</v>
      </c>
      <c r="DP173" s="228">
        <v>0.44</v>
      </c>
      <c r="DQ173" s="228">
        <v>0.44</v>
      </c>
      <c r="DR173" s="228">
        <v>0</v>
      </c>
      <c r="DS173" s="229">
        <v>0</v>
      </c>
      <c r="DT173" s="228">
        <v>160</v>
      </c>
      <c r="DU173" s="228">
        <v>140</v>
      </c>
      <c r="DV173" s="228">
        <v>0.03</v>
      </c>
      <c r="DW173" s="228">
        <v>0.38</v>
      </c>
      <c r="DX173" s="228">
        <v>-0.35</v>
      </c>
      <c r="DY173" s="229">
        <v>-0.92110000000000003</v>
      </c>
      <c r="DZ173" s="229">
        <v>4.1300000000000003E-2</v>
      </c>
      <c r="EA173" s="230">
        <v>4687000</v>
      </c>
      <c r="EB173" s="229">
        <v>-4.8999999999999998E-3</v>
      </c>
      <c r="EC173" s="229">
        <v>4.1300000000000003E-2</v>
      </c>
      <c r="ED173" s="228">
        <v>-0.36</v>
      </c>
      <c r="EE173" s="229">
        <v>-2.5000000000000001E-3</v>
      </c>
      <c r="EF173" s="230">
        <v>2535312</v>
      </c>
      <c r="EG173" s="230">
        <v>5665718</v>
      </c>
      <c r="EH173" s="229">
        <v>-0.55249999999999999</v>
      </c>
      <c r="EI173" s="229">
        <v>0.51170000000000004</v>
      </c>
      <c r="EJ173" s="228">
        <v>282.08</v>
      </c>
      <c r="EK173" s="228">
        <v>6.06</v>
      </c>
      <c r="EL173" s="228">
        <v>380.02</v>
      </c>
      <c r="EM173" s="228">
        <v>534</v>
      </c>
      <c r="EN173" s="228">
        <v>668.16</v>
      </c>
      <c r="EO173" s="231">
        <v>4093.96</v>
      </c>
      <c r="EP173" s="231">
        <v>-3425.8</v>
      </c>
      <c r="EQ173" s="229">
        <v>-0.83679999999999999</v>
      </c>
      <c r="ER173" s="231">
        <v>37791</v>
      </c>
      <c r="ES173" s="231">
        <v>15090</v>
      </c>
      <c r="ET173" s="231">
        <v>165279</v>
      </c>
      <c r="EU173" s="231">
        <v>122326971</v>
      </c>
      <c r="EV173" s="231">
        <v>218160</v>
      </c>
      <c r="EW173" s="231">
        <v>214843</v>
      </c>
      <c r="EX173" s="231">
        <v>3317</v>
      </c>
      <c r="EY173" s="229">
        <v>1.54E-2</v>
      </c>
      <c r="EZ173" s="229">
        <v>1.2012</v>
      </c>
      <c r="FA173" s="227" t="s">
        <v>556</v>
      </c>
      <c r="FB173" s="161">
        <f t="shared" si="4"/>
        <v>0</v>
      </c>
    </row>
    <row r="174" spans="1:158" ht="17.25" thickBot="1" x14ac:dyDescent="0.3">
      <c r="A174" s="226">
        <v>46086</v>
      </c>
      <c r="B174" s="227" t="s">
        <v>175</v>
      </c>
      <c r="C174" s="227" t="s">
        <v>536</v>
      </c>
      <c r="D174" s="228">
        <v>800</v>
      </c>
      <c r="E174" s="228">
        <v>731.5</v>
      </c>
      <c r="F174" s="228">
        <v>725.45</v>
      </c>
      <c r="G174" s="228">
        <v>6.05</v>
      </c>
      <c r="H174" s="229">
        <v>8.3000000000000001E-3</v>
      </c>
      <c r="I174" s="228">
        <v>730.55</v>
      </c>
      <c r="J174" s="228">
        <v>726.6</v>
      </c>
      <c r="K174" s="228">
        <v>3.95</v>
      </c>
      <c r="L174" s="229">
        <v>5.4000000000000003E-3</v>
      </c>
      <c r="M174" s="228">
        <v>731.5</v>
      </c>
      <c r="N174" s="228">
        <v>725.45</v>
      </c>
      <c r="O174" s="228">
        <v>6.05</v>
      </c>
      <c r="P174" s="229">
        <v>8.3000000000000001E-3</v>
      </c>
      <c r="Q174" s="228">
        <v>720.95</v>
      </c>
      <c r="R174" s="228">
        <v>715.3</v>
      </c>
      <c r="S174" s="228">
        <v>5.65</v>
      </c>
      <c r="T174" s="229">
        <v>7.9000000000000008E-3</v>
      </c>
      <c r="U174" s="228">
        <v>714.7</v>
      </c>
      <c r="V174" s="228">
        <v>704.65</v>
      </c>
      <c r="W174" s="228">
        <v>10.050000000000001</v>
      </c>
      <c r="X174" s="229">
        <v>1.43E-2</v>
      </c>
      <c r="Y174" s="228">
        <v>0.95</v>
      </c>
      <c r="Z174" s="228">
        <v>-1.1499999999999999</v>
      </c>
      <c r="AA174" s="228">
        <v>2.1</v>
      </c>
      <c r="AB174" s="229">
        <v>1.2999999999999999E-3</v>
      </c>
      <c r="AC174" s="228">
        <v>0.95</v>
      </c>
      <c r="AD174" s="228">
        <v>-1.1499999999999999</v>
      </c>
      <c r="AE174" s="228">
        <v>2.1</v>
      </c>
      <c r="AF174" s="229">
        <v>1.2999999999999999E-3</v>
      </c>
      <c r="AG174" s="228">
        <v>-9.6</v>
      </c>
      <c r="AH174" s="228">
        <v>-11.3</v>
      </c>
      <c r="AI174" s="228">
        <v>1.7</v>
      </c>
      <c r="AJ174" s="229">
        <v>-1.3100000000000001E-2</v>
      </c>
      <c r="AK174" s="228">
        <v>-15.85</v>
      </c>
      <c r="AL174" s="228">
        <v>-21.95</v>
      </c>
      <c r="AM174" s="228">
        <v>6.1</v>
      </c>
      <c r="AN174" s="229">
        <v>-2.1700000000000001E-2</v>
      </c>
      <c r="AO174" s="228">
        <v>726.19</v>
      </c>
      <c r="AP174" s="228">
        <v>714.97</v>
      </c>
      <c r="AQ174" s="228">
        <v>0</v>
      </c>
      <c r="AR174" s="230">
        <v>3128000</v>
      </c>
      <c r="AS174" s="230">
        <v>3612000</v>
      </c>
      <c r="AT174" s="230">
        <v>-484000</v>
      </c>
      <c r="AU174" s="229">
        <v>-0.13400000000000001</v>
      </c>
      <c r="AV174" s="230">
        <v>2778400</v>
      </c>
      <c r="AW174" s="230">
        <v>3248000</v>
      </c>
      <c r="AX174" s="230">
        <v>-469600</v>
      </c>
      <c r="AY174" s="229">
        <v>-0.14460000000000001</v>
      </c>
      <c r="AZ174" s="230">
        <v>332800</v>
      </c>
      <c r="BA174" s="230">
        <v>336800</v>
      </c>
      <c r="BB174" s="230">
        <v>-4000</v>
      </c>
      <c r="BC174" s="229">
        <v>-1.1900000000000001E-2</v>
      </c>
      <c r="BD174" s="230">
        <v>16800</v>
      </c>
      <c r="BE174" s="230">
        <v>27200</v>
      </c>
      <c r="BF174" s="230">
        <v>-10400</v>
      </c>
      <c r="BG174" s="229">
        <v>-0.38240000000000002</v>
      </c>
      <c r="BH174" s="230">
        <v>4092000</v>
      </c>
      <c r="BI174" s="230">
        <v>5309600</v>
      </c>
      <c r="BJ174" s="230">
        <v>-1217600</v>
      </c>
      <c r="BK174" s="229">
        <v>-0.2293</v>
      </c>
      <c r="BL174" s="230">
        <v>2137600</v>
      </c>
      <c r="BM174" s="230">
        <v>4757600</v>
      </c>
      <c r="BN174" s="230">
        <v>-2620000</v>
      </c>
      <c r="BO174" s="229">
        <v>-0.55069999999999997</v>
      </c>
      <c r="BP174" s="230">
        <v>9357600</v>
      </c>
      <c r="BQ174" s="230">
        <v>13679200</v>
      </c>
      <c r="BR174" s="230">
        <v>-4321600</v>
      </c>
      <c r="BS174" s="229">
        <v>-0.31590000000000001</v>
      </c>
      <c r="BT174" s="230">
        <v>2156100</v>
      </c>
      <c r="BU174" s="230">
        <v>1142936</v>
      </c>
      <c r="BV174" s="230">
        <v>1013164</v>
      </c>
      <c r="BW174" s="229">
        <v>0.88649999999999995</v>
      </c>
      <c r="BX174" s="230">
        <v>23583200</v>
      </c>
      <c r="BY174" s="230">
        <v>24041600</v>
      </c>
      <c r="BZ174" s="230">
        <v>-458400</v>
      </c>
      <c r="CA174" s="229">
        <v>-1.9099999999999999E-2</v>
      </c>
      <c r="CB174" s="230">
        <v>21705600</v>
      </c>
      <c r="CC174" s="230">
        <v>22194400</v>
      </c>
      <c r="CD174" s="230">
        <v>-488800</v>
      </c>
      <c r="CE174" s="229">
        <v>-2.1999999999999999E-2</v>
      </c>
      <c r="CF174" s="230">
        <v>1753600</v>
      </c>
      <c r="CG174" s="230">
        <v>1732800</v>
      </c>
      <c r="CH174" s="230">
        <v>20800</v>
      </c>
      <c r="CI174" s="229">
        <v>1.2E-2</v>
      </c>
      <c r="CJ174" s="230">
        <v>124000</v>
      </c>
      <c r="CK174" s="230">
        <v>114400</v>
      </c>
      <c r="CL174" s="230">
        <v>9600</v>
      </c>
      <c r="CM174" s="229">
        <v>8.3900000000000002E-2</v>
      </c>
      <c r="CN174" s="230">
        <v>6852000</v>
      </c>
      <c r="CO174" s="230">
        <v>6553600</v>
      </c>
      <c r="CP174" s="230">
        <v>298400</v>
      </c>
      <c r="CQ174" s="229">
        <v>4.5499999999999999E-2</v>
      </c>
      <c r="CR174" s="230">
        <v>4466400</v>
      </c>
      <c r="CS174" s="230">
        <v>4406400</v>
      </c>
      <c r="CT174" s="230">
        <v>60000</v>
      </c>
      <c r="CU174" s="229">
        <v>1.3599999999999999E-2</v>
      </c>
      <c r="CV174" s="230">
        <v>34901600</v>
      </c>
      <c r="CW174" s="230">
        <v>35001600</v>
      </c>
      <c r="CX174" s="230">
        <v>-100000</v>
      </c>
      <c r="CY174" s="229">
        <v>-2.8999999999999998E-3</v>
      </c>
      <c r="CZ174" s="228">
        <v>27.18</v>
      </c>
      <c r="DA174" s="228">
        <v>29.3</v>
      </c>
      <c r="DB174" s="228">
        <v>-2.12</v>
      </c>
      <c r="DC174" s="228">
        <v>-2.12</v>
      </c>
      <c r="DD174" s="228">
        <v>29.58</v>
      </c>
      <c r="DE174" s="228">
        <v>29.64</v>
      </c>
      <c r="DF174" s="228">
        <v>-2.4</v>
      </c>
      <c r="DG174" s="228">
        <v>-0.06</v>
      </c>
      <c r="DH174" s="228">
        <v>26.5</v>
      </c>
      <c r="DI174" s="228">
        <v>29.09</v>
      </c>
      <c r="DJ174" s="228">
        <v>-2.59</v>
      </c>
      <c r="DK174" s="228">
        <v>-2.59</v>
      </c>
      <c r="DL174" s="228">
        <v>28.48</v>
      </c>
      <c r="DM174" s="228">
        <v>29.55</v>
      </c>
      <c r="DN174" s="228">
        <v>-1.07</v>
      </c>
      <c r="DO174" s="228">
        <v>-1.07</v>
      </c>
      <c r="DP174" s="228">
        <v>0.65</v>
      </c>
      <c r="DQ174" s="228">
        <v>0.67</v>
      </c>
      <c r="DR174" s="228">
        <v>-0.02</v>
      </c>
      <c r="DS174" s="229">
        <v>-2.9899999999999999E-2</v>
      </c>
      <c r="DT174" s="228">
        <v>800</v>
      </c>
      <c r="DU174" s="228">
        <v>700</v>
      </c>
      <c r="DV174" s="228">
        <v>0.52</v>
      </c>
      <c r="DW174" s="228">
        <v>0.9</v>
      </c>
      <c r="DX174" s="228">
        <v>-0.38</v>
      </c>
      <c r="DY174" s="229">
        <v>-0.42220000000000002</v>
      </c>
      <c r="DZ174" s="229">
        <v>7.9600000000000004E-2</v>
      </c>
      <c r="EA174" s="230">
        <v>1847200</v>
      </c>
      <c r="EB174" s="229">
        <v>-1.44E-2</v>
      </c>
      <c r="EC174" s="229">
        <v>7.9600000000000004E-2</v>
      </c>
      <c r="ED174" s="228">
        <v>-11.22</v>
      </c>
      <c r="EE174" s="229">
        <v>-1.55E-2</v>
      </c>
      <c r="EF174" s="230">
        <v>1342948</v>
      </c>
      <c r="EG174" s="230">
        <v>572303</v>
      </c>
      <c r="EH174" s="229">
        <v>1.3466</v>
      </c>
      <c r="EI174" s="229">
        <v>0.62290000000000001</v>
      </c>
      <c r="EJ174" s="231">
        <v>32000.47</v>
      </c>
      <c r="EK174" s="231">
        <v>15129.51</v>
      </c>
      <c r="EL174" s="231">
        <v>22675.06</v>
      </c>
      <c r="EM174" s="231">
        <v>5739</v>
      </c>
      <c r="EN174" s="231">
        <v>69805.039999999994</v>
      </c>
      <c r="EO174" s="231">
        <v>102244.64</v>
      </c>
      <c r="EP174" s="231">
        <v>-32439.599999999999</v>
      </c>
      <c r="EQ174" s="229">
        <v>-0.31730000000000003</v>
      </c>
      <c r="ER174" s="231">
        <v>55576</v>
      </c>
      <c r="ES174" s="231">
        <v>32724</v>
      </c>
      <c r="ET174" s="231">
        <v>172305</v>
      </c>
      <c r="EU174" s="231">
        <v>44836888</v>
      </c>
      <c r="EV174" s="231">
        <v>260605</v>
      </c>
      <c r="EW174" s="231">
        <v>259849</v>
      </c>
      <c r="EX174" s="228">
        <v>756</v>
      </c>
      <c r="EY174" s="229">
        <v>2.8999999999999998E-3</v>
      </c>
      <c r="EZ174" s="229">
        <v>0.77839999999999998</v>
      </c>
      <c r="FA174" s="227" t="s">
        <v>556</v>
      </c>
      <c r="FB174" s="161">
        <f t="shared" si="4"/>
        <v>0</v>
      </c>
    </row>
    <row r="175" spans="1:158" ht="17.25" thickBot="1" x14ac:dyDescent="0.3">
      <c r="A175" s="226">
        <v>46086</v>
      </c>
      <c r="B175" s="227" t="s">
        <v>175</v>
      </c>
      <c r="C175" s="227" t="s">
        <v>462</v>
      </c>
      <c r="D175" s="228">
        <v>375</v>
      </c>
      <c r="E175" s="231">
        <v>1946.2</v>
      </c>
      <c r="F175" s="231">
        <v>1936.5</v>
      </c>
      <c r="G175" s="228">
        <v>9.6999999999999993</v>
      </c>
      <c r="H175" s="229">
        <v>5.0000000000000001E-3</v>
      </c>
      <c r="I175" s="231">
        <v>1945</v>
      </c>
      <c r="J175" s="231">
        <v>1930.6</v>
      </c>
      <c r="K175" s="228">
        <v>14.4</v>
      </c>
      <c r="L175" s="229">
        <v>7.4999999999999997E-3</v>
      </c>
      <c r="M175" s="231">
        <v>1946.2</v>
      </c>
      <c r="N175" s="231">
        <v>1936.5</v>
      </c>
      <c r="O175" s="228">
        <v>9.6999999999999993</v>
      </c>
      <c r="P175" s="229">
        <v>5.0000000000000001E-3</v>
      </c>
      <c r="Q175" s="231">
        <v>1957.9</v>
      </c>
      <c r="R175" s="231">
        <v>1949.3</v>
      </c>
      <c r="S175" s="228">
        <v>8.6</v>
      </c>
      <c r="T175" s="229">
        <v>4.4000000000000003E-3</v>
      </c>
      <c r="U175" s="231">
        <v>1956</v>
      </c>
      <c r="V175" s="231">
        <v>1959.6</v>
      </c>
      <c r="W175" s="228">
        <v>-3.6</v>
      </c>
      <c r="X175" s="229">
        <v>-1.8E-3</v>
      </c>
      <c r="Y175" s="228">
        <v>1.2</v>
      </c>
      <c r="Z175" s="228">
        <v>5.9</v>
      </c>
      <c r="AA175" s="228">
        <v>-4.7</v>
      </c>
      <c r="AB175" s="229">
        <v>5.9999999999999995E-4</v>
      </c>
      <c r="AC175" s="228">
        <v>1.2</v>
      </c>
      <c r="AD175" s="228">
        <v>5.9</v>
      </c>
      <c r="AE175" s="228">
        <v>-4.7</v>
      </c>
      <c r="AF175" s="229">
        <v>5.9999999999999995E-4</v>
      </c>
      <c r="AG175" s="228">
        <v>12.9</v>
      </c>
      <c r="AH175" s="228">
        <v>18.7</v>
      </c>
      <c r="AI175" s="228">
        <v>-5.8</v>
      </c>
      <c r="AJ175" s="229">
        <v>6.6E-3</v>
      </c>
      <c r="AK175" s="228">
        <v>11</v>
      </c>
      <c r="AL175" s="228">
        <v>29</v>
      </c>
      <c r="AM175" s="228">
        <v>-18</v>
      </c>
      <c r="AN175" s="229">
        <v>5.7000000000000002E-3</v>
      </c>
      <c r="AO175" s="231">
        <v>1933.78</v>
      </c>
      <c r="AP175" s="231">
        <v>1944.78</v>
      </c>
      <c r="AQ175" s="228">
        <v>0</v>
      </c>
      <c r="AR175" s="230">
        <v>1473375</v>
      </c>
      <c r="AS175" s="230">
        <v>1440000</v>
      </c>
      <c r="AT175" s="230">
        <v>33375</v>
      </c>
      <c r="AU175" s="229">
        <v>2.3199999999999998E-2</v>
      </c>
      <c r="AV175" s="230">
        <v>1386000</v>
      </c>
      <c r="AW175" s="230">
        <v>1346625</v>
      </c>
      <c r="AX175" s="230">
        <v>39375</v>
      </c>
      <c r="AY175" s="229">
        <v>2.92E-2</v>
      </c>
      <c r="AZ175" s="230">
        <v>69375</v>
      </c>
      <c r="BA175" s="230">
        <v>69375</v>
      </c>
      <c r="BB175" s="228">
        <v>0</v>
      </c>
      <c r="BC175" s="229">
        <v>0</v>
      </c>
      <c r="BD175" s="230">
        <v>18000</v>
      </c>
      <c r="BE175" s="230">
        <v>24000</v>
      </c>
      <c r="BF175" s="230">
        <v>-6000</v>
      </c>
      <c r="BG175" s="229">
        <v>-0.25</v>
      </c>
      <c r="BH175" s="230">
        <v>4232250</v>
      </c>
      <c r="BI175" s="230">
        <v>2965500</v>
      </c>
      <c r="BJ175" s="230">
        <v>1266750</v>
      </c>
      <c r="BK175" s="229">
        <v>0.42720000000000002</v>
      </c>
      <c r="BL175" s="230">
        <v>2167500</v>
      </c>
      <c r="BM175" s="230">
        <v>2386875</v>
      </c>
      <c r="BN175" s="230">
        <v>-219375</v>
      </c>
      <c r="BO175" s="229">
        <v>-9.1899999999999996E-2</v>
      </c>
      <c r="BP175" s="230">
        <v>7873125</v>
      </c>
      <c r="BQ175" s="230">
        <v>6792375</v>
      </c>
      <c r="BR175" s="230">
        <v>1080750</v>
      </c>
      <c r="BS175" s="229">
        <v>0.15909999999999999</v>
      </c>
      <c r="BT175" s="230">
        <v>1983417</v>
      </c>
      <c r="BU175" s="230">
        <v>982967</v>
      </c>
      <c r="BV175" s="230">
        <v>1000450</v>
      </c>
      <c r="BW175" s="229">
        <v>1.0178</v>
      </c>
      <c r="BX175" s="230">
        <v>8929875</v>
      </c>
      <c r="BY175" s="230">
        <v>8771625</v>
      </c>
      <c r="BZ175" s="230">
        <v>158250</v>
      </c>
      <c r="CA175" s="229">
        <v>1.7999999999999999E-2</v>
      </c>
      <c r="CB175" s="230">
        <v>8846625</v>
      </c>
      <c r="CC175" s="230">
        <v>8693625</v>
      </c>
      <c r="CD175" s="230">
        <v>153000</v>
      </c>
      <c r="CE175" s="229">
        <v>1.7600000000000001E-2</v>
      </c>
      <c r="CF175" s="230">
        <v>66375</v>
      </c>
      <c r="CG175" s="230">
        <v>63375</v>
      </c>
      <c r="CH175" s="230">
        <v>3000</v>
      </c>
      <c r="CI175" s="229">
        <v>4.7300000000000002E-2</v>
      </c>
      <c r="CJ175" s="230">
        <v>16875</v>
      </c>
      <c r="CK175" s="230">
        <v>14625</v>
      </c>
      <c r="CL175" s="230">
        <v>2250</v>
      </c>
      <c r="CM175" s="229">
        <v>0.15379999999999999</v>
      </c>
      <c r="CN175" s="230">
        <v>3034875</v>
      </c>
      <c r="CO175" s="230">
        <v>2597625</v>
      </c>
      <c r="CP175" s="230">
        <v>437250</v>
      </c>
      <c r="CQ175" s="229">
        <v>0.16830000000000001</v>
      </c>
      <c r="CR175" s="230">
        <v>1260000</v>
      </c>
      <c r="CS175" s="230">
        <v>1161375</v>
      </c>
      <c r="CT175" s="230">
        <v>98625</v>
      </c>
      <c r="CU175" s="229">
        <v>8.4900000000000003E-2</v>
      </c>
      <c r="CV175" s="230">
        <v>13224750</v>
      </c>
      <c r="CW175" s="230">
        <v>12530625</v>
      </c>
      <c r="CX175" s="230">
        <v>694125</v>
      </c>
      <c r="CY175" s="229">
        <v>5.5399999999999998E-2</v>
      </c>
      <c r="CZ175" s="228">
        <v>23.87</v>
      </c>
      <c r="DA175" s="228">
        <v>25.8</v>
      </c>
      <c r="DB175" s="228">
        <v>-1.93</v>
      </c>
      <c r="DC175" s="228">
        <v>-1.93</v>
      </c>
      <c r="DD175" s="228">
        <v>24.42</v>
      </c>
      <c r="DE175" s="228">
        <v>24.46</v>
      </c>
      <c r="DF175" s="228">
        <v>-0.55000000000000004</v>
      </c>
      <c r="DG175" s="228">
        <v>-0.04</v>
      </c>
      <c r="DH175" s="228">
        <v>23.32</v>
      </c>
      <c r="DI175" s="228">
        <v>25.52</v>
      </c>
      <c r="DJ175" s="228">
        <v>-2.2000000000000002</v>
      </c>
      <c r="DK175" s="228">
        <v>-2.2000000000000002</v>
      </c>
      <c r="DL175" s="228">
        <v>24.96</v>
      </c>
      <c r="DM175" s="228">
        <v>26.16</v>
      </c>
      <c r="DN175" s="228">
        <v>-1.2</v>
      </c>
      <c r="DO175" s="228">
        <v>-1.2</v>
      </c>
      <c r="DP175" s="228">
        <v>0.42</v>
      </c>
      <c r="DQ175" s="228">
        <v>0.45</v>
      </c>
      <c r="DR175" s="228">
        <v>-0.03</v>
      </c>
      <c r="DS175" s="229">
        <v>-6.6699999999999995E-2</v>
      </c>
      <c r="DT175" s="231">
        <v>2100</v>
      </c>
      <c r="DU175" s="231">
        <v>1920</v>
      </c>
      <c r="DV175" s="228">
        <v>0.51</v>
      </c>
      <c r="DW175" s="228">
        <v>0.8</v>
      </c>
      <c r="DX175" s="228">
        <v>-0.28999999999999998</v>
      </c>
      <c r="DY175" s="229">
        <v>-0.36249999999999999</v>
      </c>
      <c r="DZ175" s="229">
        <v>9.2999999999999992E-3</v>
      </c>
      <c r="EA175" s="230">
        <v>78000</v>
      </c>
      <c r="EB175" s="229">
        <v>6.0000000000000001E-3</v>
      </c>
      <c r="EC175" s="229">
        <v>9.2999999999999992E-3</v>
      </c>
      <c r="ED175" s="228">
        <v>11</v>
      </c>
      <c r="EE175" s="229">
        <v>5.7000000000000002E-3</v>
      </c>
      <c r="EF175" s="230">
        <v>1299601</v>
      </c>
      <c r="EG175" s="230">
        <v>585454</v>
      </c>
      <c r="EH175" s="229">
        <v>1.2198</v>
      </c>
      <c r="EI175" s="229">
        <v>0.6552</v>
      </c>
      <c r="EJ175" s="231">
        <v>86936.75</v>
      </c>
      <c r="EK175" s="231">
        <v>42101.34</v>
      </c>
      <c r="EL175" s="231">
        <v>28502.75</v>
      </c>
      <c r="EM175" s="231">
        <v>2849</v>
      </c>
      <c r="EN175" s="231">
        <v>157540.84</v>
      </c>
      <c r="EO175" s="231">
        <v>137110.81</v>
      </c>
      <c r="EP175" s="231">
        <v>20430.03</v>
      </c>
      <c r="EQ175" s="229">
        <v>0.14899999999999999</v>
      </c>
      <c r="ER175" s="231">
        <v>64506</v>
      </c>
      <c r="ES175" s="231">
        <v>24347</v>
      </c>
      <c r="ET175" s="231">
        <v>173803</v>
      </c>
      <c r="EU175" s="231">
        <v>44756800</v>
      </c>
      <c r="EV175" s="231">
        <v>262655</v>
      </c>
      <c r="EW175" s="231">
        <v>248273</v>
      </c>
      <c r="EX175" s="231">
        <v>14382</v>
      </c>
      <c r="EY175" s="229">
        <v>5.79E-2</v>
      </c>
      <c r="EZ175" s="229">
        <v>0.29549999999999998</v>
      </c>
      <c r="FA175" s="227" t="s">
        <v>555</v>
      </c>
      <c r="FB175" s="161">
        <f t="shared" si="4"/>
        <v>0</v>
      </c>
    </row>
    <row r="176" spans="1:158" ht="17.25" thickBot="1" x14ac:dyDescent="0.3">
      <c r="A176" s="226">
        <v>46086</v>
      </c>
      <c r="B176" s="227" t="s">
        <v>172</v>
      </c>
      <c r="C176" s="227" t="s">
        <v>283</v>
      </c>
      <c r="D176" s="228">
        <v>750</v>
      </c>
      <c r="E176" s="231">
        <v>1174.5</v>
      </c>
      <c r="F176" s="231">
        <v>1179.8</v>
      </c>
      <c r="G176" s="228">
        <v>-5.3</v>
      </c>
      <c r="H176" s="229">
        <v>-4.4999999999999997E-3</v>
      </c>
      <c r="I176" s="231">
        <v>1169.5</v>
      </c>
      <c r="J176" s="231">
        <v>1174.5</v>
      </c>
      <c r="K176" s="228">
        <v>-5</v>
      </c>
      <c r="L176" s="229">
        <v>-4.3E-3</v>
      </c>
      <c r="M176" s="231">
        <v>1174.5</v>
      </c>
      <c r="N176" s="231">
        <v>1179.8</v>
      </c>
      <c r="O176" s="228">
        <v>-5.3</v>
      </c>
      <c r="P176" s="229">
        <v>-4.4999999999999997E-3</v>
      </c>
      <c r="Q176" s="231">
        <v>1182</v>
      </c>
      <c r="R176" s="231">
        <v>1186.9000000000001</v>
      </c>
      <c r="S176" s="228">
        <v>-4.9000000000000004</v>
      </c>
      <c r="T176" s="229">
        <v>-4.1000000000000003E-3</v>
      </c>
      <c r="U176" s="231">
        <v>1176</v>
      </c>
      <c r="V176" s="231">
        <v>1182.5999999999999</v>
      </c>
      <c r="W176" s="228">
        <v>-6.6</v>
      </c>
      <c r="X176" s="229">
        <v>-5.5999999999999999E-3</v>
      </c>
      <c r="Y176" s="228">
        <v>5</v>
      </c>
      <c r="Z176" s="228">
        <v>5.3</v>
      </c>
      <c r="AA176" s="228">
        <v>-0.3</v>
      </c>
      <c r="AB176" s="229">
        <v>4.3E-3</v>
      </c>
      <c r="AC176" s="228">
        <v>5</v>
      </c>
      <c r="AD176" s="228">
        <v>5.3</v>
      </c>
      <c r="AE176" s="228">
        <v>-0.3</v>
      </c>
      <c r="AF176" s="229">
        <v>4.3E-3</v>
      </c>
      <c r="AG176" s="228">
        <v>12.5</v>
      </c>
      <c r="AH176" s="228">
        <v>12.4</v>
      </c>
      <c r="AI176" s="228">
        <v>0.1</v>
      </c>
      <c r="AJ176" s="229">
        <v>1.0699999999999999E-2</v>
      </c>
      <c r="AK176" s="228">
        <v>6.5</v>
      </c>
      <c r="AL176" s="228">
        <v>8.1</v>
      </c>
      <c r="AM176" s="228">
        <v>-1.6</v>
      </c>
      <c r="AN176" s="229">
        <v>5.5999999999999999E-3</v>
      </c>
      <c r="AO176" s="231">
        <v>1170.45</v>
      </c>
      <c r="AP176" s="231">
        <v>1177.47</v>
      </c>
      <c r="AQ176" s="228">
        <v>0</v>
      </c>
      <c r="AR176" s="230">
        <v>20752500</v>
      </c>
      <c r="AS176" s="230">
        <v>21896250</v>
      </c>
      <c r="AT176" s="230">
        <v>-1143750</v>
      </c>
      <c r="AU176" s="229">
        <v>-5.2200000000000003E-2</v>
      </c>
      <c r="AV176" s="230">
        <v>18984750</v>
      </c>
      <c r="AW176" s="230">
        <v>20563500</v>
      </c>
      <c r="AX176" s="230">
        <v>-1578750</v>
      </c>
      <c r="AY176" s="229">
        <v>-7.6799999999999993E-2</v>
      </c>
      <c r="AZ176" s="230">
        <v>1437750</v>
      </c>
      <c r="BA176" s="230">
        <v>1176000</v>
      </c>
      <c r="BB176" s="230">
        <v>261750</v>
      </c>
      <c r="BC176" s="229">
        <v>0.22259999999999999</v>
      </c>
      <c r="BD176" s="230">
        <v>330000</v>
      </c>
      <c r="BE176" s="230">
        <v>156750</v>
      </c>
      <c r="BF176" s="230">
        <v>173250</v>
      </c>
      <c r="BG176" s="229">
        <v>1.1052999999999999</v>
      </c>
      <c r="BH176" s="230">
        <v>66978750</v>
      </c>
      <c r="BI176" s="230">
        <v>68717250</v>
      </c>
      <c r="BJ176" s="230">
        <v>-1738500</v>
      </c>
      <c r="BK176" s="229">
        <v>-2.53E-2</v>
      </c>
      <c r="BL176" s="230">
        <v>52922250</v>
      </c>
      <c r="BM176" s="230">
        <v>81958500</v>
      </c>
      <c r="BN176" s="230">
        <v>-29036250</v>
      </c>
      <c r="BO176" s="229">
        <v>-0.3543</v>
      </c>
      <c r="BP176" s="230">
        <v>140653500</v>
      </c>
      <c r="BQ176" s="230">
        <v>172572000</v>
      </c>
      <c r="BR176" s="230">
        <v>-31918500</v>
      </c>
      <c r="BS176" s="229">
        <v>-0.185</v>
      </c>
      <c r="BT176" s="230">
        <v>23421326</v>
      </c>
      <c r="BU176" s="230">
        <v>14751365</v>
      </c>
      <c r="BV176" s="230">
        <v>8669961</v>
      </c>
      <c r="BW176" s="229">
        <v>0.5877</v>
      </c>
      <c r="BX176" s="230">
        <v>60741750</v>
      </c>
      <c r="BY176" s="230">
        <v>57603000</v>
      </c>
      <c r="BZ176" s="230">
        <v>3138750</v>
      </c>
      <c r="CA176" s="229">
        <v>5.45E-2</v>
      </c>
      <c r="CB176" s="230">
        <v>58007250</v>
      </c>
      <c r="CC176" s="230">
        <v>55345500</v>
      </c>
      <c r="CD176" s="230">
        <v>2661750</v>
      </c>
      <c r="CE176" s="229">
        <v>4.8099999999999997E-2</v>
      </c>
      <c r="CF176" s="230">
        <v>2386500</v>
      </c>
      <c r="CG176" s="230">
        <v>2016750</v>
      </c>
      <c r="CH176" s="230">
        <v>369750</v>
      </c>
      <c r="CI176" s="229">
        <v>0.18329999999999999</v>
      </c>
      <c r="CJ176" s="230">
        <v>348000</v>
      </c>
      <c r="CK176" s="230">
        <v>240750</v>
      </c>
      <c r="CL176" s="230">
        <v>107250</v>
      </c>
      <c r="CM176" s="229">
        <v>0.44550000000000001</v>
      </c>
      <c r="CN176" s="230">
        <v>37584000</v>
      </c>
      <c r="CO176" s="230">
        <v>33957750</v>
      </c>
      <c r="CP176" s="230">
        <v>3626250</v>
      </c>
      <c r="CQ176" s="229">
        <v>0.10680000000000001</v>
      </c>
      <c r="CR176" s="230">
        <v>30155250</v>
      </c>
      <c r="CS176" s="230">
        <v>31882500</v>
      </c>
      <c r="CT176" s="230">
        <v>-1727250</v>
      </c>
      <c r="CU176" s="229">
        <v>-5.4199999999999998E-2</v>
      </c>
      <c r="CV176" s="230">
        <v>128481000</v>
      </c>
      <c r="CW176" s="230">
        <v>123443250</v>
      </c>
      <c r="CX176" s="230">
        <v>5037750</v>
      </c>
      <c r="CY176" s="229">
        <v>4.0800000000000003E-2</v>
      </c>
      <c r="CZ176" s="228">
        <v>22.78</v>
      </c>
      <c r="DA176" s="228">
        <v>25.37</v>
      </c>
      <c r="DB176" s="228">
        <v>-2.59</v>
      </c>
      <c r="DC176" s="228">
        <v>-2.59</v>
      </c>
      <c r="DD176" s="228">
        <v>26.82</v>
      </c>
      <c r="DE176" s="228">
        <v>26.88</v>
      </c>
      <c r="DF176" s="228">
        <v>-4.04</v>
      </c>
      <c r="DG176" s="228">
        <v>-0.06</v>
      </c>
      <c r="DH176" s="228">
        <v>22.14</v>
      </c>
      <c r="DI176" s="228">
        <v>23.72</v>
      </c>
      <c r="DJ176" s="228">
        <v>-1.58</v>
      </c>
      <c r="DK176" s="228">
        <v>-1.58</v>
      </c>
      <c r="DL176" s="228">
        <v>23.59</v>
      </c>
      <c r="DM176" s="228">
        <v>26.75</v>
      </c>
      <c r="DN176" s="228">
        <v>-3.16</v>
      </c>
      <c r="DO176" s="228">
        <v>-3.16</v>
      </c>
      <c r="DP176" s="228">
        <v>0.8</v>
      </c>
      <c r="DQ176" s="228">
        <v>0.94</v>
      </c>
      <c r="DR176" s="228">
        <v>-0.14000000000000001</v>
      </c>
      <c r="DS176" s="229">
        <v>-0.1489</v>
      </c>
      <c r="DT176" s="231">
        <v>1200</v>
      </c>
      <c r="DU176" s="231">
        <v>1100</v>
      </c>
      <c r="DV176" s="228">
        <v>0.79</v>
      </c>
      <c r="DW176" s="228">
        <v>1.19</v>
      </c>
      <c r="DX176" s="228">
        <v>-0.4</v>
      </c>
      <c r="DY176" s="229">
        <v>-0.33610000000000001</v>
      </c>
      <c r="DZ176" s="229">
        <v>4.4999999999999998E-2</v>
      </c>
      <c r="EA176" s="230">
        <v>2257500</v>
      </c>
      <c r="EB176" s="229">
        <v>6.4000000000000003E-3</v>
      </c>
      <c r="EC176" s="229">
        <v>4.4999999999999998E-2</v>
      </c>
      <c r="ED176" s="228">
        <v>7.02</v>
      </c>
      <c r="EE176" s="229">
        <v>6.0000000000000001E-3</v>
      </c>
      <c r="EF176" s="230">
        <v>14643760</v>
      </c>
      <c r="EG176" s="230">
        <v>8906315</v>
      </c>
      <c r="EH176" s="229">
        <v>0.64419999999999999</v>
      </c>
      <c r="EI176" s="229">
        <v>0.62519999999999998</v>
      </c>
      <c r="EJ176" s="231">
        <v>822112.75</v>
      </c>
      <c r="EK176" s="231">
        <v>611228.43000000005</v>
      </c>
      <c r="EL176" s="231">
        <v>243007.38</v>
      </c>
      <c r="EM176" s="231">
        <v>24018</v>
      </c>
      <c r="EN176" s="231">
        <v>1676348.56</v>
      </c>
      <c r="EO176" s="231">
        <v>2051682.79</v>
      </c>
      <c r="EP176" s="231">
        <v>-375334.23</v>
      </c>
      <c r="EQ176" s="229">
        <v>-0.18290000000000001</v>
      </c>
      <c r="ER176" s="231">
        <v>462912</v>
      </c>
      <c r="ES176" s="231">
        <v>339053</v>
      </c>
      <c r="ET176" s="231">
        <v>713596</v>
      </c>
      <c r="EU176" s="231">
        <v>436949195</v>
      </c>
      <c r="EV176" s="231">
        <v>1515561</v>
      </c>
      <c r="EW176" s="231">
        <v>1458212</v>
      </c>
      <c r="EX176" s="231">
        <v>57349</v>
      </c>
      <c r="EY176" s="229">
        <v>3.9300000000000002E-2</v>
      </c>
      <c r="EZ176" s="229">
        <v>0.29399999999999998</v>
      </c>
      <c r="FA176" s="227" t="s">
        <v>567</v>
      </c>
      <c r="FB176" s="161">
        <f t="shared" si="4"/>
        <v>0</v>
      </c>
    </row>
    <row r="177" spans="1:158" ht="17.25" thickBot="1" x14ac:dyDescent="0.3">
      <c r="A177" s="226">
        <v>46086</v>
      </c>
      <c r="B177" s="227" t="s">
        <v>157</v>
      </c>
      <c r="C177" s="227" t="s">
        <v>284</v>
      </c>
      <c r="D177" s="228">
        <v>25</v>
      </c>
      <c r="E177" s="231">
        <v>25175</v>
      </c>
      <c r="F177" s="231">
        <v>25010</v>
      </c>
      <c r="G177" s="228">
        <v>165</v>
      </c>
      <c r="H177" s="229">
        <v>6.6E-3</v>
      </c>
      <c r="I177" s="231">
        <v>25200</v>
      </c>
      <c r="J177" s="231">
        <v>25355</v>
      </c>
      <c r="K177" s="228">
        <v>-155</v>
      </c>
      <c r="L177" s="229">
        <v>-6.1000000000000004E-3</v>
      </c>
      <c r="M177" s="231">
        <v>25175</v>
      </c>
      <c r="N177" s="231">
        <v>25010</v>
      </c>
      <c r="O177" s="228">
        <v>165</v>
      </c>
      <c r="P177" s="229">
        <v>6.6E-3</v>
      </c>
      <c r="Q177" s="231">
        <v>24990</v>
      </c>
      <c r="R177" s="231">
        <v>24790</v>
      </c>
      <c r="S177" s="228">
        <v>200</v>
      </c>
      <c r="T177" s="229">
        <v>8.0999999999999996E-3</v>
      </c>
      <c r="U177" s="231">
        <v>24560</v>
      </c>
      <c r="V177" s="231">
        <v>24885</v>
      </c>
      <c r="W177" s="228">
        <v>-325</v>
      </c>
      <c r="X177" s="229">
        <v>-1.3100000000000001E-2</v>
      </c>
      <c r="Y177" s="228">
        <v>-25</v>
      </c>
      <c r="Z177" s="228">
        <v>-345</v>
      </c>
      <c r="AA177" s="228">
        <v>320</v>
      </c>
      <c r="AB177" s="229">
        <v>-1E-3</v>
      </c>
      <c r="AC177" s="228">
        <v>-25</v>
      </c>
      <c r="AD177" s="228">
        <v>-345</v>
      </c>
      <c r="AE177" s="228">
        <v>320</v>
      </c>
      <c r="AF177" s="229">
        <v>-1E-3</v>
      </c>
      <c r="AG177" s="228">
        <v>-210</v>
      </c>
      <c r="AH177" s="228">
        <v>-565</v>
      </c>
      <c r="AI177" s="228">
        <v>355</v>
      </c>
      <c r="AJ177" s="229">
        <v>-8.3000000000000001E-3</v>
      </c>
      <c r="AK177" s="228">
        <v>-640</v>
      </c>
      <c r="AL177" s="228">
        <v>-470</v>
      </c>
      <c r="AM177" s="228">
        <v>-170</v>
      </c>
      <c r="AN177" s="229">
        <v>-2.5399999999999999E-2</v>
      </c>
      <c r="AO177" s="231">
        <v>24948.17</v>
      </c>
      <c r="AP177" s="231">
        <v>24745.45</v>
      </c>
      <c r="AQ177" s="228">
        <v>0</v>
      </c>
      <c r="AR177" s="230">
        <v>60950</v>
      </c>
      <c r="AS177" s="230">
        <v>52700</v>
      </c>
      <c r="AT177" s="230">
        <v>8250</v>
      </c>
      <c r="AU177" s="229">
        <v>0.1565</v>
      </c>
      <c r="AV177" s="230">
        <v>56700</v>
      </c>
      <c r="AW177" s="230">
        <v>49825</v>
      </c>
      <c r="AX177" s="230">
        <v>6875</v>
      </c>
      <c r="AY177" s="229">
        <v>0.13800000000000001</v>
      </c>
      <c r="AZ177" s="230">
        <v>4125</v>
      </c>
      <c r="BA177" s="230">
        <v>2800</v>
      </c>
      <c r="BB177" s="230">
        <v>1325</v>
      </c>
      <c r="BC177" s="229">
        <v>0.47320000000000001</v>
      </c>
      <c r="BD177" s="228">
        <v>125</v>
      </c>
      <c r="BE177" s="228">
        <v>75</v>
      </c>
      <c r="BF177" s="228">
        <v>50</v>
      </c>
      <c r="BG177" s="229">
        <v>0.66669999999999996</v>
      </c>
      <c r="BH177" s="230">
        <v>73150</v>
      </c>
      <c r="BI177" s="230">
        <v>73300</v>
      </c>
      <c r="BJ177" s="228">
        <v>-150</v>
      </c>
      <c r="BK177" s="229">
        <v>-2E-3</v>
      </c>
      <c r="BL177" s="230">
        <v>28000</v>
      </c>
      <c r="BM177" s="230">
        <v>38075</v>
      </c>
      <c r="BN177" s="230">
        <v>-10075</v>
      </c>
      <c r="BO177" s="229">
        <v>-0.2646</v>
      </c>
      <c r="BP177" s="230">
        <v>162100</v>
      </c>
      <c r="BQ177" s="230">
        <v>164075</v>
      </c>
      <c r="BR177" s="230">
        <v>-1975</v>
      </c>
      <c r="BS177" s="229">
        <v>-1.2E-2</v>
      </c>
      <c r="BT177" s="230">
        <v>39390</v>
      </c>
      <c r="BU177" s="230">
        <v>38243</v>
      </c>
      <c r="BV177" s="230">
        <v>1147</v>
      </c>
      <c r="BW177" s="229">
        <v>0.03</v>
      </c>
      <c r="BX177" s="230">
        <v>347600</v>
      </c>
      <c r="BY177" s="230">
        <v>346525</v>
      </c>
      <c r="BZ177" s="230">
        <v>1075</v>
      </c>
      <c r="CA177" s="229">
        <v>3.0999999999999999E-3</v>
      </c>
      <c r="CB177" s="230">
        <v>332700</v>
      </c>
      <c r="CC177" s="230">
        <v>332900</v>
      </c>
      <c r="CD177" s="228">
        <v>-200</v>
      </c>
      <c r="CE177" s="229">
        <v>-5.9999999999999995E-4</v>
      </c>
      <c r="CF177" s="230">
        <v>14400</v>
      </c>
      <c r="CG177" s="230">
        <v>13125</v>
      </c>
      <c r="CH177" s="230">
        <v>1275</v>
      </c>
      <c r="CI177" s="229">
        <v>9.7100000000000006E-2</v>
      </c>
      <c r="CJ177" s="228">
        <v>500</v>
      </c>
      <c r="CK177" s="228">
        <v>500</v>
      </c>
      <c r="CL177" s="228">
        <v>0</v>
      </c>
      <c r="CM177" s="229">
        <v>0</v>
      </c>
      <c r="CN177" s="230">
        <v>60150</v>
      </c>
      <c r="CO177" s="230">
        <v>54650</v>
      </c>
      <c r="CP177" s="230">
        <v>5500</v>
      </c>
      <c r="CQ177" s="229">
        <v>0.10059999999999999</v>
      </c>
      <c r="CR177" s="230">
        <v>36875</v>
      </c>
      <c r="CS177" s="230">
        <v>37075</v>
      </c>
      <c r="CT177" s="228">
        <v>-200</v>
      </c>
      <c r="CU177" s="229">
        <v>-5.4000000000000003E-3</v>
      </c>
      <c r="CV177" s="230">
        <v>444625</v>
      </c>
      <c r="CW177" s="230">
        <v>438250</v>
      </c>
      <c r="CX177" s="230">
        <v>6375</v>
      </c>
      <c r="CY177" s="229">
        <v>1.4500000000000001E-2</v>
      </c>
      <c r="CZ177" s="228">
        <v>24.61</v>
      </c>
      <c r="DA177" s="228">
        <v>26.66</v>
      </c>
      <c r="DB177" s="228">
        <v>-2.0499999999999998</v>
      </c>
      <c r="DC177" s="228">
        <v>-2.0499999999999998</v>
      </c>
      <c r="DD177" s="228">
        <v>24.74</v>
      </c>
      <c r="DE177" s="228">
        <v>24.79</v>
      </c>
      <c r="DF177" s="228">
        <v>-0.13</v>
      </c>
      <c r="DG177" s="228">
        <v>-0.05</v>
      </c>
      <c r="DH177" s="228">
        <v>24.43</v>
      </c>
      <c r="DI177" s="228">
        <v>27.06</v>
      </c>
      <c r="DJ177" s="228">
        <v>-2.63</v>
      </c>
      <c r="DK177" s="228">
        <v>-2.63</v>
      </c>
      <c r="DL177" s="228">
        <v>25.09</v>
      </c>
      <c r="DM177" s="228">
        <v>25.88</v>
      </c>
      <c r="DN177" s="228">
        <v>-0.79</v>
      </c>
      <c r="DO177" s="228">
        <v>-0.79</v>
      </c>
      <c r="DP177" s="228">
        <v>0.61</v>
      </c>
      <c r="DQ177" s="228">
        <v>0.68</v>
      </c>
      <c r="DR177" s="228">
        <v>-7.0000000000000007E-2</v>
      </c>
      <c r="DS177" s="229">
        <v>-0.10290000000000001</v>
      </c>
      <c r="DT177" s="231">
        <v>27000</v>
      </c>
      <c r="DU177" s="231">
        <v>26000</v>
      </c>
      <c r="DV177" s="228">
        <v>0.38</v>
      </c>
      <c r="DW177" s="228">
        <v>0.52</v>
      </c>
      <c r="DX177" s="228">
        <v>-0.14000000000000001</v>
      </c>
      <c r="DY177" s="229">
        <v>-0.26919999999999999</v>
      </c>
      <c r="DZ177" s="229">
        <v>4.2900000000000001E-2</v>
      </c>
      <c r="EA177" s="230">
        <v>13625</v>
      </c>
      <c r="EB177" s="229">
        <v>-7.3000000000000001E-3</v>
      </c>
      <c r="EC177" s="229">
        <v>4.2900000000000001E-2</v>
      </c>
      <c r="ED177" s="228">
        <v>-202.72</v>
      </c>
      <c r="EE177" s="229">
        <v>-8.0999999999999996E-3</v>
      </c>
      <c r="EF177" s="230">
        <v>19029</v>
      </c>
      <c r="EG177" s="230">
        <v>20777</v>
      </c>
      <c r="EH177" s="229">
        <v>-8.4099999999999994E-2</v>
      </c>
      <c r="EI177" s="229">
        <v>0.48309999999999997</v>
      </c>
      <c r="EJ177" s="231">
        <v>19360.75</v>
      </c>
      <c r="EK177" s="231">
        <v>7058.26</v>
      </c>
      <c r="EL177" s="231">
        <v>15196.97</v>
      </c>
      <c r="EM177" s="231">
        <v>1922</v>
      </c>
      <c r="EN177" s="231">
        <v>41615.980000000003</v>
      </c>
      <c r="EO177" s="231">
        <v>42603.63</v>
      </c>
      <c r="EP177" s="228">
        <v>-987.65</v>
      </c>
      <c r="EQ177" s="229">
        <v>-2.3199999999999998E-2</v>
      </c>
      <c r="ER177" s="231">
        <v>16225</v>
      </c>
      <c r="ES177" s="231">
        <v>9417</v>
      </c>
      <c r="ET177" s="231">
        <v>87479</v>
      </c>
      <c r="EU177" s="231">
        <v>1568093</v>
      </c>
      <c r="EV177" s="231">
        <v>113121</v>
      </c>
      <c r="EW177" s="231">
        <v>110906</v>
      </c>
      <c r="EX177" s="231">
        <v>2215</v>
      </c>
      <c r="EY177" s="229">
        <v>0.02</v>
      </c>
      <c r="EZ177" s="229">
        <v>0.28349999999999997</v>
      </c>
      <c r="FA177" s="227" t="s">
        <v>555</v>
      </c>
      <c r="FB177" s="161">
        <f t="shared" si="4"/>
        <v>0</v>
      </c>
    </row>
    <row r="178" spans="1:158" ht="17.25" thickBot="1" x14ac:dyDescent="0.3">
      <c r="A178" s="226">
        <v>46086</v>
      </c>
      <c r="B178" s="227" t="s">
        <v>175</v>
      </c>
      <c r="C178" s="227" t="s">
        <v>562</v>
      </c>
      <c r="D178" s="228">
        <v>825</v>
      </c>
      <c r="E178" s="231">
        <v>1041.2</v>
      </c>
      <c r="F178" s="231">
        <v>1012.7</v>
      </c>
      <c r="G178" s="228">
        <v>28.5</v>
      </c>
      <c r="H178" s="229">
        <v>2.81E-2</v>
      </c>
      <c r="I178" s="231">
        <v>1039.5</v>
      </c>
      <c r="J178" s="231">
        <v>1010</v>
      </c>
      <c r="K178" s="228">
        <v>29.5</v>
      </c>
      <c r="L178" s="229">
        <v>2.92E-2</v>
      </c>
      <c r="M178" s="231">
        <v>1041.2</v>
      </c>
      <c r="N178" s="231">
        <v>1012.7</v>
      </c>
      <c r="O178" s="228">
        <v>28.5</v>
      </c>
      <c r="P178" s="229">
        <v>2.81E-2</v>
      </c>
      <c r="Q178" s="231">
        <v>1048</v>
      </c>
      <c r="R178" s="231">
        <v>1018.6</v>
      </c>
      <c r="S178" s="228">
        <v>29.4</v>
      </c>
      <c r="T178" s="229">
        <v>2.8899999999999999E-2</v>
      </c>
      <c r="U178" s="231">
        <v>1051.5999999999999</v>
      </c>
      <c r="V178" s="231">
        <v>1023.1</v>
      </c>
      <c r="W178" s="228">
        <v>28.5</v>
      </c>
      <c r="X178" s="229">
        <v>2.7900000000000001E-2</v>
      </c>
      <c r="Y178" s="228">
        <v>1.7</v>
      </c>
      <c r="Z178" s="228">
        <v>2.7</v>
      </c>
      <c r="AA178" s="228">
        <v>-1</v>
      </c>
      <c r="AB178" s="229">
        <v>1.6000000000000001E-3</v>
      </c>
      <c r="AC178" s="228">
        <v>1.7</v>
      </c>
      <c r="AD178" s="228">
        <v>2.7</v>
      </c>
      <c r="AE178" s="228">
        <v>-1</v>
      </c>
      <c r="AF178" s="229">
        <v>1.6000000000000001E-3</v>
      </c>
      <c r="AG178" s="228">
        <v>8.5</v>
      </c>
      <c r="AH178" s="228">
        <v>8.6</v>
      </c>
      <c r="AI178" s="228">
        <v>-0.1</v>
      </c>
      <c r="AJ178" s="229">
        <v>8.2000000000000007E-3</v>
      </c>
      <c r="AK178" s="228">
        <v>12.1</v>
      </c>
      <c r="AL178" s="228">
        <v>13.1</v>
      </c>
      <c r="AM178" s="228">
        <v>-1</v>
      </c>
      <c r="AN178" s="229">
        <v>1.1599999999999999E-2</v>
      </c>
      <c r="AO178" s="231">
        <v>1034.28</v>
      </c>
      <c r="AP178" s="231">
        <v>1040.8599999999999</v>
      </c>
      <c r="AQ178" s="228">
        <v>0</v>
      </c>
      <c r="AR178" s="230">
        <v>7254225</v>
      </c>
      <c r="AS178" s="230">
        <v>9713550</v>
      </c>
      <c r="AT178" s="230">
        <v>-2459325</v>
      </c>
      <c r="AU178" s="229">
        <v>-0.25319999999999998</v>
      </c>
      <c r="AV178" s="230">
        <v>6895350</v>
      </c>
      <c r="AW178" s="230">
        <v>9360450</v>
      </c>
      <c r="AX178" s="230">
        <v>-2465100</v>
      </c>
      <c r="AY178" s="229">
        <v>-0.26340000000000002</v>
      </c>
      <c r="AZ178" s="230">
        <v>309375</v>
      </c>
      <c r="BA178" s="230">
        <v>289575</v>
      </c>
      <c r="BB178" s="230">
        <v>19800</v>
      </c>
      <c r="BC178" s="229">
        <v>6.8400000000000002E-2</v>
      </c>
      <c r="BD178" s="230">
        <v>49500</v>
      </c>
      <c r="BE178" s="230">
        <v>63525</v>
      </c>
      <c r="BF178" s="230">
        <v>-14025</v>
      </c>
      <c r="BG178" s="229">
        <v>-0.2208</v>
      </c>
      <c r="BH178" s="230">
        <v>12472350</v>
      </c>
      <c r="BI178" s="230">
        <v>16377900</v>
      </c>
      <c r="BJ178" s="230">
        <v>-3905550</v>
      </c>
      <c r="BK178" s="229">
        <v>-0.23849999999999999</v>
      </c>
      <c r="BL178" s="230">
        <v>8088300</v>
      </c>
      <c r="BM178" s="230">
        <v>14284050</v>
      </c>
      <c r="BN178" s="230">
        <v>-6195750</v>
      </c>
      <c r="BO178" s="229">
        <v>-0.43380000000000002</v>
      </c>
      <c r="BP178" s="230">
        <v>27814875</v>
      </c>
      <c r="BQ178" s="230">
        <v>40375500</v>
      </c>
      <c r="BR178" s="230">
        <v>-12560625</v>
      </c>
      <c r="BS178" s="229">
        <v>-0.31109999999999999</v>
      </c>
      <c r="BT178" s="230">
        <v>5220147</v>
      </c>
      <c r="BU178" s="230">
        <v>9634101</v>
      </c>
      <c r="BV178" s="230">
        <v>-4413954</v>
      </c>
      <c r="BW178" s="229">
        <v>-0.4582</v>
      </c>
      <c r="BX178" s="230">
        <v>34792725</v>
      </c>
      <c r="BY178" s="230">
        <v>35077350</v>
      </c>
      <c r="BZ178" s="230">
        <v>-284625</v>
      </c>
      <c r="CA178" s="229">
        <v>-8.0999999999999996E-3</v>
      </c>
      <c r="CB178" s="230">
        <v>34140150</v>
      </c>
      <c r="CC178" s="230">
        <v>34448700</v>
      </c>
      <c r="CD178" s="230">
        <v>-308550</v>
      </c>
      <c r="CE178" s="229">
        <v>-8.9999999999999993E-3</v>
      </c>
      <c r="CF178" s="230">
        <v>518925</v>
      </c>
      <c r="CG178" s="230">
        <v>499125</v>
      </c>
      <c r="CH178" s="230">
        <v>19800</v>
      </c>
      <c r="CI178" s="229">
        <v>3.9699999999999999E-2</v>
      </c>
      <c r="CJ178" s="230">
        <v>133650</v>
      </c>
      <c r="CK178" s="230">
        <v>129525</v>
      </c>
      <c r="CL178" s="230">
        <v>4125</v>
      </c>
      <c r="CM178" s="229">
        <v>3.1800000000000002E-2</v>
      </c>
      <c r="CN178" s="230">
        <v>8481000</v>
      </c>
      <c r="CO178" s="230">
        <v>8371275</v>
      </c>
      <c r="CP178" s="230">
        <v>109725</v>
      </c>
      <c r="CQ178" s="229">
        <v>1.3100000000000001E-2</v>
      </c>
      <c r="CR178" s="230">
        <v>7163475</v>
      </c>
      <c r="CS178" s="230">
        <v>6759225</v>
      </c>
      <c r="CT178" s="230">
        <v>404250</v>
      </c>
      <c r="CU178" s="229">
        <v>5.9799999999999999E-2</v>
      </c>
      <c r="CV178" s="230">
        <v>50437200</v>
      </c>
      <c r="CW178" s="230">
        <v>50207850</v>
      </c>
      <c r="CX178" s="230">
        <v>229350</v>
      </c>
      <c r="CY178" s="229">
        <v>4.5999999999999999E-3</v>
      </c>
      <c r="CZ178" s="228">
        <v>32.799999999999997</v>
      </c>
      <c r="DA178" s="228">
        <v>37</v>
      </c>
      <c r="DB178" s="228">
        <v>-4.2</v>
      </c>
      <c r="DC178" s="228">
        <v>-4.2</v>
      </c>
      <c r="DD178" s="228">
        <v>38.89</v>
      </c>
      <c r="DE178" s="228">
        <v>38.79</v>
      </c>
      <c r="DF178" s="228">
        <v>-6.09</v>
      </c>
      <c r="DG178" s="228">
        <v>0.1</v>
      </c>
      <c r="DH178" s="228">
        <v>32.229999999999997</v>
      </c>
      <c r="DI178" s="228">
        <v>36.14</v>
      </c>
      <c r="DJ178" s="228">
        <v>-3.91</v>
      </c>
      <c r="DK178" s="228">
        <v>-3.91</v>
      </c>
      <c r="DL178" s="228">
        <v>33.67</v>
      </c>
      <c r="DM178" s="228">
        <v>37.99</v>
      </c>
      <c r="DN178" s="228">
        <v>-4.32</v>
      </c>
      <c r="DO178" s="228">
        <v>-4.32</v>
      </c>
      <c r="DP178" s="228">
        <v>0.84</v>
      </c>
      <c r="DQ178" s="228">
        <v>0.81</v>
      </c>
      <c r="DR178" s="228">
        <v>0.03</v>
      </c>
      <c r="DS178" s="229">
        <v>3.6999999999999998E-2</v>
      </c>
      <c r="DT178" s="231">
        <v>1100</v>
      </c>
      <c r="DU178" s="231">
        <v>1000</v>
      </c>
      <c r="DV178" s="228">
        <v>0.65</v>
      </c>
      <c r="DW178" s="228">
        <v>0.87</v>
      </c>
      <c r="DX178" s="228">
        <v>-0.22</v>
      </c>
      <c r="DY178" s="229">
        <v>-0.25290000000000001</v>
      </c>
      <c r="DZ178" s="229">
        <v>1.8800000000000001E-2</v>
      </c>
      <c r="EA178" s="230">
        <v>628650</v>
      </c>
      <c r="EB178" s="229">
        <v>6.4999999999999997E-3</v>
      </c>
      <c r="EC178" s="229">
        <v>1.8800000000000001E-2</v>
      </c>
      <c r="ED178" s="228">
        <v>6.58</v>
      </c>
      <c r="EE178" s="229">
        <v>6.4000000000000003E-3</v>
      </c>
      <c r="EF178" s="230">
        <v>2775844</v>
      </c>
      <c r="EG178" s="230">
        <v>5485909</v>
      </c>
      <c r="EH178" s="229">
        <v>-0.49399999999999999</v>
      </c>
      <c r="EI178" s="229">
        <v>0.53180000000000005</v>
      </c>
      <c r="EJ178" s="231">
        <v>136564.54999999999</v>
      </c>
      <c r="EK178" s="231">
        <v>82886.84</v>
      </c>
      <c r="EL178" s="231">
        <v>75054.899999999994</v>
      </c>
      <c r="EM178" s="231">
        <v>9213</v>
      </c>
      <c r="EN178" s="231">
        <v>294506.28999999998</v>
      </c>
      <c r="EO178" s="231">
        <v>421837.63</v>
      </c>
      <c r="EP178" s="231">
        <v>-127331.34</v>
      </c>
      <c r="EQ178" s="229">
        <v>-0.30180000000000001</v>
      </c>
      <c r="ER178" s="231">
        <v>92966</v>
      </c>
      <c r="ES178" s="231">
        <v>72375</v>
      </c>
      <c r="ET178" s="231">
        <v>362311</v>
      </c>
      <c r="EU178" s="231">
        <v>210513975</v>
      </c>
      <c r="EV178" s="231">
        <v>527652</v>
      </c>
      <c r="EW178" s="231">
        <v>515461</v>
      </c>
      <c r="EX178" s="231">
        <v>12191</v>
      </c>
      <c r="EY178" s="229">
        <v>2.3699999999999999E-2</v>
      </c>
      <c r="EZ178" s="229">
        <v>0.23960000000000001</v>
      </c>
      <c r="FA178" s="227" t="s">
        <v>556</v>
      </c>
      <c r="FB178" s="161">
        <f t="shared" si="4"/>
        <v>0</v>
      </c>
    </row>
    <row r="179" spans="1:158" ht="17.25" thickBot="1" x14ac:dyDescent="0.3">
      <c r="A179" s="226">
        <v>46086</v>
      </c>
      <c r="B179" s="227" t="s">
        <v>184</v>
      </c>
      <c r="C179" s="227" t="s">
        <v>285</v>
      </c>
      <c r="D179" s="228">
        <v>175</v>
      </c>
      <c r="E179" s="231">
        <v>3230.6</v>
      </c>
      <c r="F179" s="231">
        <v>3175.8</v>
      </c>
      <c r="G179" s="228">
        <v>54.8</v>
      </c>
      <c r="H179" s="229">
        <v>1.7299999999999999E-2</v>
      </c>
      <c r="I179" s="231">
        <v>3215.7</v>
      </c>
      <c r="J179" s="231">
        <v>3161</v>
      </c>
      <c r="K179" s="228">
        <v>54.7</v>
      </c>
      <c r="L179" s="229">
        <v>1.7299999999999999E-2</v>
      </c>
      <c r="M179" s="231">
        <v>3230.6</v>
      </c>
      <c r="N179" s="231">
        <v>3175.8</v>
      </c>
      <c r="O179" s="228">
        <v>54.8</v>
      </c>
      <c r="P179" s="229">
        <v>1.7299999999999999E-2</v>
      </c>
      <c r="Q179" s="231">
        <v>3243.7</v>
      </c>
      <c r="R179" s="231">
        <v>3187.1</v>
      </c>
      <c r="S179" s="228">
        <v>56.6</v>
      </c>
      <c r="T179" s="229">
        <v>1.78E-2</v>
      </c>
      <c r="U179" s="231">
        <v>3263</v>
      </c>
      <c r="V179" s="231">
        <v>3197.9</v>
      </c>
      <c r="W179" s="228">
        <v>65.099999999999994</v>
      </c>
      <c r="X179" s="229">
        <v>2.0400000000000001E-2</v>
      </c>
      <c r="Y179" s="228">
        <v>14.9</v>
      </c>
      <c r="Z179" s="228">
        <v>14.8</v>
      </c>
      <c r="AA179" s="228">
        <v>0.1</v>
      </c>
      <c r="AB179" s="229">
        <v>4.5999999999999999E-3</v>
      </c>
      <c r="AC179" s="228">
        <v>14.9</v>
      </c>
      <c r="AD179" s="228">
        <v>14.8</v>
      </c>
      <c r="AE179" s="228">
        <v>0.1</v>
      </c>
      <c r="AF179" s="229">
        <v>4.5999999999999999E-3</v>
      </c>
      <c r="AG179" s="228">
        <v>28</v>
      </c>
      <c r="AH179" s="228">
        <v>26.1</v>
      </c>
      <c r="AI179" s="228">
        <v>1.9</v>
      </c>
      <c r="AJ179" s="229">
        <v>8.6999999999999994E-3</v>
      </c>
      <c r="AK179" s="228">
        <v>47.3</v>
      </c>
      <c r="AL179" s="228">
        <v>36.9</v>
      </c>
      <c r="AM179" s="228">
        <v>10.4</v>
      </c>
      <c r="AN179" s="229">
        <v>1.47E-2</v>
      </c>
      <c r="AO179" s="231">
        <v>3214.74</v>
      </c>
      <c r="AP179" s="231">
        <v>3226.3</v>
      </c>
      <c r="AQ179" s="228">
        <v>0</v>
      </c>
      <c r="AR179" s="230">
        <v>459550</v>
      </c>
      <c r="AS179" s="230">
        <v>651000</v>
      </c>
      <c r="AT179" s="230">
        <v>-191450</v>
      </c>
      <c r="AU179" s="229">
        <v>-0.29409999999999997</v>
      </c>
      <c r="AV179" s="230">
        <v>434000</v>
      </c>
      <c r="AW179" s="230">
        <v>617225</v>
      </c>
      <c r="AX179" s="230">
        <v>-183225</v>
      </c>
      <c r="AY179" s="229">
        <v>-0.2969</v>
      </c>
      <c r="AZ179" s="230">
        <v>22925</v>
      </c>
      <c r="BA179" s="230">
        <v>30975</v>
      </c>
      <c r="BB179" s="230">
        <v>-8050</v>
      </c>
      <c r="BC179" s="229">
        <v>-0.25990000000000002</v>
      </c>
      <c r="BD179" s="230">
        <v>2625</v>
      </c>
      <c r="BE179" s="230">
        <v>2800</v>
      </c>
      <c r="BF179" s="228">
        <v>-175</v>
      </c>
      <c r="BG179" s="229">
        <v>-6.25E-2</v>
      </c>
      <c r="BH179" s="230">
        <v>1843975</v>
      </c>
      <c r="BI179" s="230">
        <v>2256975</v>
      </c>
      <c r="BJ179" s="230">
        <v>-413000</v>
      </c>
      <c r="BK179" s="229">
        <v>-0.183</v>
      </c>
      <c r="BL179" s="230">
        <v>674100</v>
      </c>
      <c r="BM179" s="230">
        <v>1525650</v>
      </c>
      <c r="BN179" s="230">
        <v>-851550</v>
      </c>
      <c r="BO179" s="229">
        <v>-0.55820000000000003</v>
      </c>
      <c r="BP179" s="230">
        <v>2977625</v>
      </c>
      <c r="BQ179" s="230">
        <v>4433625</v>
      </c>
      <c r="BR179" s="230">
        <v>-1456000</v>
      </c>
      <c r="BS179" s="229">
        <v>-0.32840000000000003</v>
      </c>
      <c r="BT179" s="230">
        <v>287869</v>
      </c>
      <c r="BU179" s="230">
        <v>445559</v>
      </c>
      <c r="BV179" s="230">
        <v>-157690</v>
      </c>
      <c r="BW179" s="229">
        <v>-0.35389999999999999</v>
      </c>
      <c r="BX179" s="230">
        <v>2423050</v>
      </c>
      <c r="BY179" s="230">
        <v>2419025</v>
      </c>
      <c r="BZ179" s="230">
        <v>4025</v>
      </c>
      <c r="CA179" s="229">
        <v>1.6999999999999999E-3</v>
      </c>
      <c r="CB179" s="230">
        <v>2376150</v>
      </c>
      <c r="CC179" s="230">
        <v>2373700</v>
      </c>
      <c r="CD179" s="230">
        <v>2450</v>
      </c>
      <c r="CE179" s="229">
        <v>1E-3</v>
      </c>
      <c r="CF179" s="230">
        <v>42350</v>
      </c>
      <c r="CG179" s="230">
        <v>41125</v>
      </c>
      <c r="CH179" s="230">
        <v>1225</v>
      </c>
      <c r="CI179" s="229">
        <v>2.98E-2</v>
      </c>
      <c r="CJ179" s="230">
        <v>4550</v>
      </c>
      <c r="CK179" s="230">
        <v>4200</v>
      </c>
      <c r="CL179" s="228">
        <v>350</v>
      </c>
      <c r="CM179" s="229">
        <v>8.3299999999999999E-2</v>
      </c>
      <c r="CN179" s="230">
        <v>1491000</v>
      </c>
      <c r="CO179" s="230">
        <v>1484175</v>
      </c>
      <c r="CP179" s="230">
        <v>6825</v>
      </c>
      <c r="CQ179" s="229">
        <v>4.5999999999999999E-3</v>
      </c>
      <c r="CR179" s="230">
        <v>746550</v>
      </c>
      <c r="CS179" s="230">
        <v>776825</v>
      </c>
      <c r="CT179" s="230">
        <v>-30275</v>
      </c>
      <c r="CU179" s="229">
        <v>-3.9E-2</v>
      </c>
      <c r="CV179" s="230">
        <v>4660600</v>
      </c>
      <c r="CW179" s="230">
        <v>4680025</v>
      </c>
      <c r="CX179" s="230">
        <v>-19425</v>
      </c>
      <c r="CY179" s="229">
        <v>-4.1999999999999997E-3</v>
      </c>
      <c r="CZ179" s="228">
        <v>33.67</v>
      </c>
      <c r="DA179" s="228">
        <v>38.03</v>
      </c>
      <c r="DB179" s="228">
        <v>-4.3600000000000003</v>
      </c>
      <c r="DC179" s="228">
        <v>-4.3600000000000003</v>
      </c>
      <c r="DD179" s="228">
        <v>38.659999999999997</v>
      </c>
      <c r="DE179" s="228">
        <v>38.68</v>
      </c>
      <c r="DF179" s="228">
        <v>-4.99</v>
      </c>
      <c r="DG179" s="228">
        <v>-0.02</v>
      </c>
      <c r="DH179" s="228">
        <v>32.71</v>
      </c>
      <c r="DI179" s="228">
        <v>37.229999999999997</v>
      </c>
      <c r="DJ179" s="228">
        <v>-4.5199999999999996</v>
      </c>
      <c r="DK179" s="228">
        <v>-4.5199999999999996</v>
      </c>
      <c r="DL179" s="228">
        <v>36.299999999999997</v>
      </c>
      <c r="DM179" s="228">
        <v>39.22</v>
      </c>
      <c r="DN179" s="228">
        <v>-2.92</v>
      </c>
      <c r="DO179" s="228">
        <v>-2.92</v>
      </c>
      <c r="DP179" s="228">
        <v>0.5</v>
      </c>
      <c r="DQ179" s="228">
        <v>0.52</v>
      </c>
      <c r="DR179" s="228">
        <v>-0.02</v>
      </c>
      <c r="DS179" s="229">
        <v>-3.85E-2</v>
      </c>
      <c r="DT179" s="231">
        <v>3500</v>
      </c>
      <c r="DU179" s="231">
        <v>3400</v>
      </c>
      <c r="DV179" s="228">
        <v>0.37</v>
      </c>
      <c r="DW179" s="228">
        <v>0.68</v>
      </c>
      <c r="DX179" s="228">
        <v>-0.31</v>
      </c>
      <c r="DY179" s="229">
        <v>-0.45590000000000003</v>
      </c>
      <c r="DZ179" s="229">
        <v>1.9400000000000001E-2</v>
      </c>
      <c r="EA179" s="230">
        <v>45325</v>
      </c>
      <c r="EB179" s="229">
        <v>4.1000000000000003E-3</v>
      </c>
      <c r="EC179" s="229">
        <v>1.9400000000000001E-2</v>
      </c>
      <c r="ED179" s="228">
        <v>11.56</v>
      </c>
      <c r="EE179" s="229">
        <v>3.5999999999999999E-3</v>
      </c>
      <c r="EF179" s="230">
        <v>91869</v>
      </c>
      <c r="EG179" s="230">
        <v>182001</v>
      </c>
      <c r="EH179" s="229">
        <v>-0.49519999999999997</v>
      </c>
      <c r="EI179" s="229">
        <v>0.31909999999999999</v>
      </c>
      <c r="EJ179" s="231">
        <v>63831</v>
      </c>
      <c r="EK179" s="231">
        <v>20718.560000000001</v>
      </c>
      <c r="EL179" s="231">
        <v>14776.88</v>
      </c>
      <c r="EM179" s="231">
        <v>4760</v>
      </c>
      <c r="EN179" s="231">
        <v>99326.44</v>
      </c>
      <c r="EO179" s="231">
        <v>147664.35999999999</v>
      </c>
      <c r="EP179" s="231">
        <v>-48337.919999999998</v>
      </c>
      <c r="EQ179" s="229">
        <v>-0.32729999999999998</v>
      </c>
      <c r="ER179" s="231">
        <v>52175</v>
      </c>
      <c r="ES179" s="231">
        <v>23565</v>
      </c>
      <c r="ET179" s="231">
        <v>78286</v>
      </c>
      <c r="EU179" s="231">
        <v>13354588</v>
      </c>
      <c r="EV179" s="231">
        <v>154025</v>
      </c>
      <c r="EW179" s="231">
        <v>153240</v>
      </c>
      <c r="EX179" s="228">
        <v>785</v>
      </c>
      <c r="EY179" s="229">
        <v>5.1000000000000004E-3</v>
      </c>
      <c r="EZ179" s="229">
        <v>0.34899999999999998</v>
      </c>
      <c r="FA179" s="227" t="s">
        <v>555</v>
      </c>
      <c r="FB179" s="161">
        <f t="shared" si="4"/>
        <v>0</v>
      </c>
    </row>
    <row r="180" spans="1:158" ht="17.25" thickBot="1" x14ac:dyDescent="0.3">
      <c r="A180" s="226">
        <v>46086</v>
      </c>
      <c r="B180" s="227" t="s">
        <v>498</v>
      </c>
      <c r="C180" s="227" t="s">
        <v>646</v>
      </c>
      <c r="D180" s="228">
        <v>50</v>
      </c>
      <c r="E180" s="231">
        <v>14729</v>
      </c>
      <c r="F180" s="231">
        <v>14550</v>
      </c>
      <c r="G180" s="228">
        <v>179</v>
      </c>
      <c r="H180" s="229">
        <v>1.23E-2</v>
      </c>
      <c r="I180" s="231">
        <v>14671</v>
      </c>
      <c r="J180" s="231">
        <v>14523</v>
      </c>
      <c r="K180" s="228">
        <v>148</v>
      </c>
      <c r="L180" s="229">
        <v>1.0200000000000001E-2</v>
      </c>
      <c r="M180" s="231">
        <v>14729</v>
      </c>
      <c r="N180" s="231">
        <v>14550</v>
      </c>
      <c r="O180" s="228">
        <v>179</v>
      </c>
      <c r="P180" s="229">
        <v>1.23E-2</v>
      </c>
      <c r="Q180" s="231">
        <v>14822</v>
      </c>
      <c r="R180" s="231">
        <v>14642</v>
      </c>
      <c r="S180" s="228">
        <v>180</v>
      </c>
      <c r="T180" s="229">
        <v>1.23E-2</v>
      </c>
      <c r="U180" s="231">
        <v>14897</v>
      </c>
      <c r="V180" s="231">
        <v>14722</v>
      </c>
      <c r="W180" s="228">
        <v>175</v>
      </c>
      <c r="X180" s="229">
        <v>1.1900000000000001E-2</v>
      </c>
      <c r="Y180" s="228">
        <v>58</v>
      </c>
      <c r="Z180" s="228">
        <v>27</v>
      </c>
      <c r="AA180" s="228">
        <v>31</v>
      </c>
      <c r="AB180" s="229">
        <v>4.0000000000000001E-3</v>
      </c>
      <c r="AC180" s="228">
        <v>58</v>
      </c>
      <c r="AD180" s="228">
        <v>27</v>
      </c>
      <c r="AE180" s="228">
        <v>31</v>
      </c>
      <c r="AF180" s="229">
        <v>4.0000000000000001E-3</v>
      </c>
      <c r="AG180" s="228">
        <v>151</v>
      </c>
      <c r="AH180" s="228">
        <v>119</v>
      </c>
      <c r="AI180" s="228">
        <v>32</v>
      </c>
      <c r="AJ180" s="229">
        <v>1.03E-2</v>
      </c>
      <c r="AK180" s="228">
        <v>226</v>
      </c>
      <c r="AL180" s="228">
        <v>199</v>
      </c>
      <c r="AM180" s="228">
        <v>27</v>
      </c>
      <c r="AN180" s="229">
        <v>1.54E-2</v>
      </c>
      <c r="AO180" s="231">
        <v>14728.61</v>
      </c>
      <c r="AP180" s="231">
        <v>14805.02</v>
      </c>
      <c r="AQ180" s="228">
        <v>0</v>
      </c>
      <c r="AR180" s="230">
        <v>290250</v>
      </c>
      <c r="AS180" s="230">
        <v>543150</v>
      </c>
      <c r="AT180" s="230">
        <v>-252900</v>
      </c>
      <c r="AU180" s="229">
        <v>-0.46560000000000001</v>
      </c>
      <c r="AV180" s="230">
        <v>265350</v>
      </c>
      <c r="AW180" s="230">
        <v>508300</v>
      </c>
      <c r="AX180" s="230">
        <v>-242950</v>
      </c>
      <c r="AY180" s="229">
        <v>-0.47799999999999998</v>
      </c>
      <c r="AZ180" s="230">
        <v>21500</v>
      </c>
      <c r="BA180" s="230">
        <v>30750</v>
      </c>
      <c r="BB180" s="230">
        <v>-9250</v>
      </c>
      <c r="BC180" s="229">
        <v>-0.30080000000000001</v>
      </c>
      <c r="BD180" s="230">
        <v>3400</v>
      </c>
      <c r="BE180" s="230">
        <v>4100</v>
      </c>
      <c r="BF180" s="228">
        <v>-700</v>
      </c>
      <c r="BG180" s="229">
        <v>-0.17069999999999999</v>
      </c>
      <c r="BH180" s="230">
        <v>1255150</v>
      </c>
      <c r="BI180" s="230">
        <v>2402000</v>
      </c>
      <c r="BJ180" s="230">
        <v>-1146850</v>
      </c>
      <c r="BK180" s="229">
        <v>-0.47749999999999998</v>
      </c>
      <c r="BL180" s="230">
        <v>446050</v>
      </c>
      <c r="BM180" s="230">
        <v>614000</v>
      </c>
      <c r="BN180" s="230">
        <v>-167950</v>
      </c>
      <c r="BO180" s="229">
        <v>-0.27350000000000002</v>
      </c>
      <c r="BP180" s="230">
        <v>1991450</v>
      </c>
      <c r="BQ180" s="230">
        <v>3559150</v>
      </c>
      <c r="BR180" s="230">
        <v>-1567700</v>
      </c>
      <c r="BS180" s="229">
        <v>-0.4405</v>
      </c>
      <c r="BT180" s="230">
        <v>347017</v>
      </c>
      <c r="BU180" s="230">
        <v>704575</v>
      </c>
      <c r="BV180" s="230">
        <v>-357558</v>
      </c>
      <c r="BW180" s="229">
        <v>-0.50749999999999995</v>
      </c>
      <c r="BX180" s="230">
        <v>711550</v>
      </c>
      <c r="BY180" s="230">
        <v>724800</v>
      </c>
      <c r="BZ180" s="230">
        <v>-13250</v>
      </c>
      <c r="CA180" s="229">
        <v>-1.83E-2</v>
      </c>
      <c r="CB180" s="230">
        <v>650950</v>
      </c>
      <c r="CC180" s="230">
        <v>666400</v>
      </c>
      <c r="CD180" s="230">
        <v>-15450</v>
      </c>
      <c r="CE180" s="229">
        <v>-2.3199999999999998E-2</v>
      </c>
      <c r="CF180" s="230">
        <v>49450</v>
      </c>
      <c r="CG180" s="230">
        <v>48750</v>
      </c>
      <c r="CH180" s="228">
        <v>700</v>
      </c>
      <c r="CI180" s="229">
        <v>1.44E-2</v>
      </c>
      <c r="CJ180" s="230">
        <v>11150</v>
      </c>
      <c r="CK180" s="230">
        <v>9650</v>
      </c>
      <c r="CL180" s="230">
        <v>1500</v>
      </c>
      <c r="CM180" s="229">
        <v>0.15540000000000001</v>
      </c>
      <c r="CN180" s="230">
        <v>285150</v>
      </c>
      <c r="CO180" s="230">
        <v>257200</v>
      </c>
      <c r="CP180" s="230">
        <v>27950</v>
      </c>
      <c r="CQ180" s="229">
        <v>0.1087</v>
      </c>
      <c r="CR180" s="230">
        <v>231150</v>
      </c>
      <c r="CS180" s="230">
        <v>210450</v>
      </c>
      <c r="CT180" s="230">
        <v>20700</v>
      </c>
      <c r="CU180" s="229">
        <v>9.8400000000000001E-2</v>
      </c>
      <c r="CV180" s="230">
        <v>1227850</v>
      </c>
      <c r="CW180" s="230">
        <v>1192450</v>
      </c>
      <c r="CX180" s="230">
        <v>35400</v>
      </c>
      <c r="CY180" s="229">
        <v>2.9700000000000001E-2</v>
      </c>
      <c r="CZ180" s="228">
        <v>35</v>
      </c>
      <c r="DA180" s="228">
        <v>38.369999999999997</v>
      </c>
      <c r="DB180" s="228">
        <v>-3.37</v>
      </c>
      <c r="DC180" s="228">
        <v>-3.37</v>
      </c>
      <c r="DD180" s="228">
        <v>40.799999999999997</v>
      </c>
      <c r="DE180" s="228">
        <v>40.86</v>
      </c>
      <c r="DF180" s="228">
        <v>-5.8</v>
      </c>
      <c r="DG180" s="228">
        <v>-0.06</v>
      </c>
      <c r="DH180" s="228">
        <v>34.770000000000003</v>
      </c>
      <c r="DI180" s="228">
        <v>38.159999999999997</v>
      </c>
      <c r="DJ180" s="228">
        <v>-3.39</v>
      </c>
      <c r="DK180" s="228">
        <v>-3.39</v>
      </c>
      <c r="DL180" s="228">
        <v>35.65</v>
      </c>
      <c r="DM180" s="228">
        <v>39.19</v>
      </c>
      <c r="DN180" s="228">
        <v>-3.54</v>
      </c>
      <c r="DO180" s="228">
        <v>-3.54</v>
      </c>
      <c r="DP180" s="228">
        <v>0.81</v>
      </c>
      <c r="DQ180" s="228">
        <v>0.82</v>
      </c>
      <c r="DR180" s="228">
        <v>-0.01</v>
      </c>
      <c r="DS180" s="229">
        <v>-1.2200000000000001E-2</v>
      </c>
      <c r="DT180" s="231">
        <v>15000</v>
      </c>
      <c r="DU180" s="231">
        <v>13000</v>
      </c>
      <c r="DV180" s="228">
        <v>0.36</v>
      </c>
      <c r="DW180" s="228">
        <v>0.26</v>
      </c>
      <c r="DX180" s="228">
        <v>0.1</v>
      </c>
      <c r="DY180" s="229">
        <v>0.3846</v>
      </c>
      <c r="DZ180" s="229">
        <v>8.5199999999999998E-2</v>
      </c>
      <c r="EA180" s="230">
        <v>58400</v>
      </c>
      <c r="EB180" s="229">
        <v>6.3E-3</v>
      </c>
      <c r="EC180" s="229">
        <v>8.5199999999999998E-2</v>
      </c>
      <c r="ED180" s="228">
        <v>76.41</v>
      </c>
      <c r="EE180" s="229">
        <v>5.1999999999999998E-3</v>
      </c>
      <c r="EF180" s="230">
        <v>116001</v>
      </c>
      <c r="EG180" s="230">
        <v>286542</v>
      </c>
      <c r="EH180" s="229">
        <v>-0.59519999999999995</v>
      </c>
      <c r="EI180" s="229">
        <v>0.33429999999999999</v>
      </c>
      <c r="EJ180" s="231">
        <v>195930.13</v>
      </c>
      <c r="EK180" s="231">
        <v>63686.31</v>
      </c>
      <c r="EL180" s="231">
        <v>42770.9</v>
      </c>
      <c r="EM180" s="231">
        <v>5778</v>
      </c>
      <c r="EN180" s="231">
        <v>302387.34000000003</v>
      </c>
      <c r="EO180" s="231">
        <v>532675.76</v>
      </c>
      <c r="EP180" s="231">
        <v>-230288.42</v>
      </c>
      <c r="EQ180" s="229">
        <v>-0.43230000000000002</v>
      </c>
      <c r="ER180" s="231">
        <v>42175</v>
      </c>
      <c r="ES180" s="231">
        <v>31234</v>
      </c>
      <c r="ET180" s="231">
        <v>104869</v>
      </c>
      <c r="EU180" s="231">
        <v>3644817</v>
      </c>
      <c r="EV180" s="231">
        <v>178277</v>
      </c>
      <c r="EW180" s="231">
        <v>171403</v>
      </c>
      <c r="EX180" s="231">
        <v>6874</v>
      </c>
      <c r="EY180" s="229">
        <v>4.0099999999999997E-2</v>
      </c>
      <c r="EZ180" s="229">
        <v>0.33689999999999998</v>
      </c>
      <c r="FA180" s="227" t="s">
        <v>556</v>
      </c>
      <c r="FB180" s="161">
        <f t="shared" si="4"/>
        <v>0</v>
      </c>
    </row>
    <row r="181" spans="1:158" ht="17.25" thickBot="1" x14ac:dyDescent="0.3">
      <c r="A181" s="226">
        <v>46086</v>
      </c>
      <c r="B181" s="227" t="s">
        <v>162</v>
      </c>
      <c r="C181" s="227" t="s">
        <v>614</v>
      </c>
      <c r="D181" s="228">
        <v>1225</v>
      </c>
      <c r="E181" s="228">
        <v>512.65</v>
      </c>
      <c r="F181" s="228">
        <v>502.35</v>
      </c>
      <c r="G181" s="228">
        <v>10.3</v>
      </c>
      <c r="H181" s="229">
        <v>2.0500000000000001E-2</v>
      </c>
      <c r="I181" s="228">
        <v>510.95</v>
      </c>
      <c r="J181" s="228">
        <v>501.4</v>
      </c>
      <c r="K181" s="228">
        <v>9.5500000000000007</v>
      </c>
      <c r="L181" s="229">
        <v>1.9E-2</v>
      </c>
      <c r="M181" s="228">
        <v>512.65</v>
      </c>
      <c r="N181" s="228">
        <v>502.35</v>
      </c>
      <c r="O181" s="228">
        <v>10.3</v>
      </c>
      <c r="P181" s="229">
        <v>2.0500000000000001E-2</v>
      </c>
      <c r="Q181" s="228">
        <v>516</v>
      </c>
      <c r="R181" s="228">
        <v>504.95</v>
      </c>
      <c r="S181" s="228">
        <v>11.05</v>
      </c>
      <c r="T181" s="229">
        <v>2.1899999999999999E-2</v>
      </c>
      <c r="U181" s="228">
        <v>520</v>
      </c>
      <c r="V181" s="228">
        <v>510.1</v>
      </c>
      <c r="W181" s="228">
        <v>9.9</v>
      </c>
      <c r="X181" s="229">
        <v>1.9400000000000001E-2</v>
      </c>
      <c r="Y181" s="228">
        <v>1.7</v>
      </c>
      <c r="Z181" s="228">
        <v>0.95</v>
      </c>
      <c r="AA181" s="228">
        <v>0.75</v>
      </c>
      <c r="AB181" s="229">
        <v>3.3E-3</v>
      </c>
      <c r="AC181" s="228">
        <v>1.7</v>
      </c>
      <c r="AD181" s="228">
        <v>0.95</v>
      </c>
      <c r="AE181" s="228">
        <v>0.75</v>
      </c>
      <c r="AF181" s="229">
        <v>3.3E-3</v>
      </c>
      <c r="AG181" s="228">
        <v>5.05</v>
      </c>
      <c r="AH181" s="228">
        <v>3.55</v>
      </c>
      <c r="AI181" s="228">
        <v>1.5</v>
      </c>
      <c r="AJ181" s="229">
        <v>9.9000000000000008E-3</v>
      </c>
      <c r="AK181" s="228">
        <v>9.0500000000000007</v>
      </c>
      <c r="AL181" s="228">
        <v>8.6999999999999993</v>
      </c>
      <c r="AM181" s="228">
        <v>0.35</v>
      </c>
      <c r="AN181" s="229">
        <v>1.77E-2</v>
      </c>
      <c r="AO181" s="228">
        <v>510.06</v>
      </c>
      <c r="AP181" s="228">
        <v>513.04</v>
      </c>
      <c r="AQ181" s="228">
        <v>0</v>
      </c>
      <c r="AR181" s="230">
        <v>1152725</v>
      </c>
      <c r="AS181" s="230">
        <v>1743175</v>
      </c>
      <c r="AT181" s="230">
        <v>-590450</v>
      </c>
      <c r="AU181" s="229">
        <v>-0.3387</v>
      </c>
      <c r="AV181" s="230">
        <v>1064525</v>
      </c>
      <c r="AW181" s="230">
        <v>1690500</v>
      </c>
      <c r="AX181" s="230">
        <v>-625975</v>
      </c>
      <c r="AY181" s="229">
        <v>-0.37030000000000002</v>
      </c>
      <c r="AZ181" s="230">
        <v>78400</v>
      </c>
      <c r="BA181" s="230">
        <v>50225</v>
      </c>
      <c r="BB181" s="230">
        <v>28175</v>
      </c>
      <c r="BC181" s="229">
        <v>0.56100000000000005</v>
      </c>
      <c r="BD181" s="230">
        <v>9800</v>
      </c>
      <c r="BE181" s="230">
        <v>2450</v>
      </c>
      <c r="BF181" s="230">
        <v>7350</v>
      </c>
      <c r="BG181" s="229">
        <v>3</v>
      </c>
      <c r="BH181" s="230">
        <v>1760325</v>
      </c>
      <c r="BI181" s="230">
        <v>2517375</v>
      </c>
      <c r="BJ181" s="230">
        <v>-757050</v>
      </c>
      <c r="BK181" s="229">
        <v>-0.30070000000000002</v>
      </c>
      <c r="BL181" s="230">
        <v>2457350</v>
      </c>
      <c r="BM181" s="230">
        <v>1766450</v>
      </c>
      <c r="BN181" s="230">
        <v>690900</v>
      </c>
      <c r="BO181" s="229">
        <v>0.3911</v>
      </c>
      <c r="BP181" s="230">
        <v>5370400</v>
      </c>
      <c r="BQ181" s="230">
        <v>6027000</v>
      </c>
      <c r="BR181" s="230">
        <v>-656600</v>
      </c>
      <c r="BS181" s="229">
        <v>-0.1089</v>
      </c>
      <c r="BT181" s="230">
        <v>865518</v>
      </c>
      <c r="BU181" s="230">
        <v>1212462</v>
      </c>
      <c r="BV181" s="230">
        <v>-346944</v>
      </c>
      <c r="BW181" s="229">
        <v>-0.28610000000000002</v>
      </c>
      <c r="BX181" s="230">
        <v>12328400</v>
      </c>
      <c r="BY181" s="230">
        <v>12469275</v>
      </c>
      <c r="BZ181" s="230">
        <v>-140875</v>
      </c>
      <c r="CA181" s="229">
        <v>-1.1299999999999999E-2</v>
      </c>
      <c r="CB181" s="230">
        <v>12139750</v>
      </c>
      <c r="CC181" s="230">
        <v>12281850</v>
      </c>
      <c r="CD181" s="230">
        <v>-142100</v>
      </c>
      <c r="CE181" s="229">
        <v>-1.1599999999999999E-2</v>
      </c>
      <c r="CF181" s="230">
        <v>173950</v>
      </c>
      <c r="CG181" s="230">
        <v>177625</v>
      </c>
      <c r="CH181" s="230">
        <v>-3675</v>
      </c>
      <c r="CI181" s="229">
        <v>-2.07E-2</v>
      </c>
      <c r="CJ181" s="230">
        <v>14700</v>
      </c>
      <c r="CK181" s="230">
        <v>9800</v>
      </c>
      <c r="CL181" s="230">
        <v>4900</v>
      </c>
      <c r="CM181" s="229">
        <v>0.5</v>
      </c>
      <c r="CN181" s="230">
        <v>3322200</v>
      </c>
      <c r="CO181" s="230">
        <v>3188675</v>
      </c>
      <c r="CP181" s="230">
        <v>133525</v>
      </c>
      <c r="CQ181" s="229">
        <v>4.19E-2</v>
      </c>
      <c r="CR181" s="230">
        <v>2687650</v>
      </c>
      <c r="CS181" s="230">
        <v>2026150</v>
      </c>
      <c r="CT181" s="230">
        <v>661500</v>
      </c>
      <c r="CU181" s="229">
        <v>0.32650000000000001</v>
      </c>
      <c r="CV181" s="230">
        <v>18338250</v>
      </c>
      <c r="CW181" s="230">
        <v>17684100</v>
      </c>
      <c r="CX181" s="230">
        <v>654150</v>
      </c>
      <c r="CY181" s="229">
        <v>3.6999999999999998E-2</v>
      </c>
      <c r="CZ181" s="228">
        <v>33.64</v>
      </c>
      <c r="DA181" s="228">
        <v>38.76</v>
      </c>
      <c r="DB181" s="228">
        <v>-5.12</v>
      </c>
      <c r="DC181" s="228">
        <v>-5.12</v>
      </c>
      <c r="DD181" s="228">
        <v>39.22</v>
      </c>
      <c r="DE181" s="228">
        <v>39.22</v>
      </c>
      <c r="DF181" s="228">
        <v>-5.58</v>
      </c>
      <c r="DG181" s="228">
        <v>0</v>
      </c>
      <c r="DH181" s="228">
        <v>33.700000000000003</v>
      </c>
      <c r="DI181" s="228">
        <v>38</v>
      </c>
      <c r="DJ181" s="228">
        <v>-4.3</v>
      </c>
      <c r="DK181" s="228">
        <v>-4.3</v>
      </c>
      <c r="DL181" s="228">
        <v>33.590000000000003</v>
      </c>
      <c r="DM181" s="228">
        <v>39.85</v>
      </c>
      <c r="DN181" s="228">
        <v>-6.26</v>
      </c>
      <c r="DO181" s="228">
        <v>-6.26</v>
      </c>
      <c r="DP181" s="228">
        <v>0.81</v>
      </c>
      <c r="DQ181" s="228">
        <v>0.64</v>
      </c>
      <c r="DR181" s="228">
        <v>0.17</v>
      </c>
      <c r="DS181" s="229">
        <v>0.2656</v>
      </c>
      <c r="DT181" s="228">
        <v>540</v>
      </c>
      <c r="DU181" s="228">
        <v>520</v>
      </c>
      <c r="DV181" s="228">
        <v>1.4</v>
      </c>
      <c r="DW181" s="228">
        <v>0.7</v>
      </c>
      <c r="DX181" s="228">
        <v>0.7</v>
      </c>
      <c r="DY181" s="229">
        <v>1</v>
      </c>
      <c r="DZ181" s="229">
        <v>1.5299999999999999E-2</v>
      </c>
      <c r="EA181" s="230">
        <v>187425</v>
      </c>
      <c r="EB181" s="229">
        <v>6.4999999999999997E-3</v>
      </c>
      <c r="EC181" s="229">
        <v>1.5299999999999999E-2</v>
      </c>
      <c r="ED181" s="228">
        <v>2.98</v>
      </c>
      <c r="EE181" s="229">
        <v>5.7999999999999996E-3</v>
      </c>
      <c r="EF181" s="230">
        <v>377176</v>
      </c>
      <c r="EG181" s="230">
        <v>578690</v>
      </c>
      <c r="EH181" s="229">
        <v>-0.34820000000000001</v>
      </c>
      <c r="EI181" s="229">
        <v>0.43580000000000002</v>
      </c>
      <c r="EJ181" s="231">
        <v>9683.74</v>
      </c>
      <c r="EK181" s="231">
        <v>12781.94</v>
      </c>
      <c r="EL181" s="231">
        <v>5882.2</v>
      </c>
      <c r="EM181" s="231">
        <v>1496</v>
      </c>
      <c r="EN181" s="231">
        <v>28347.88</v>
      </c>
      <c r="EO181" s="231">
        <v>31652.22</v>
      </c>
      <c r="EP181" s="231">
        <v>-3304.34</v>
      </c>
      <c r="EQ181" s="229">
        <v>-0.10440000000000001</v>
      </c>
      <c r="ER181" s="231">
        <v>18298</v>
      </c>
      <c r="ES181" s="231">
        <v>13733</v>
      </c>
      <c r="ET181" s="231">
        <v>63208</v>
      </c>
      <c r="EU181" s="231">
        <v>67126548</v>
      </c>
      <c r="EV181" s="231">
        <v>95240</v>
      </c>
      <c r="EW181" s="231">
        <v>90493</v>
      </c>
      <c r="EX181" s="231">
        <v>4747</v>
      </c>
      <c r="EY181" s="229">
        <v>5.2499999999999998E-2</v>
      </c>
      <c r="EZ181" s="229">
        <v>0.2732</v>
      </c>
      <c r="FA181" s="227" t="s">
        <v>556</v>
      </c>
      <c r="FB181" s="161">
        <f t="shared" si="4"/>
        <v>0</v>
      </c>
    </row>
    <row r="182" spans="1:158" ht="17.25" thickBot="1" x14ac:dyDescent="0.3">
      <c r="A182" s="226">
        <v>46086</v>
      </c>
      <c r="B182" s="227" t="s">
        <v>197</v>
      </c>
      <c r="C182" s="227" t="s">
        <v>286</v>
      </c>
      <c r="D182" s="228">
        <v>200</v>
      </c>
      <c r="E182" s="231">
        <v>2575.6</v>
      </c>
      <c r="F182" s="231">
        <v>2541.6999999999998</v>
      </c>
      <c r="G182" s="228">
        <v>33.9</v>
      </c>
      <c r="H182" s="229">
        <v>1.3299999999999999E-2</v>
      </c>
      <c r="I182" s="231">
        <v>2563.1</v>
      </c>
      <c r="J182" s="231">
        <v>2536.6</v>
      </c>
      <c r="K182" s="228">
        <v>26.5</v>
      </c>
      <c r="L182" s="229">
        <v>1.04E-2</v>
      </c>
      <c r="M182" s="231">
        <v>2575.6</v>
      </c>
      <c r="N182" s="231">
        <v>2541.6999999999998</v>
      </c>
      <c r="O182" s="228">
        <v>33.9</v>
      </c>
      <c r="P182" s="229">
        <v>1.3299999999999999E-2</v>
      </c>
      <c r="Q182" s="231">
        <v>2587.1999999999998</v>
      </c>
      <c r="R182" s="231">
        <v>2554.6999999999998</v>
      </c>
      <c r="S182" s="228">
        <v>32.5</v>
      </c>
      <c r="T182" s="229">
        <v>1.2699999999999999E-2</v>
      </c>
      <c r="U182" s="231">
        <v>2601.8000000000002</v>
      </c>
      <c r="V182" s="231">
        <v>2565.1</v>
      </c>
      <c r="W182" s="228">
        <v>36.700000000000003</v>
      </c>
      <c r="X182" s="229">
        <v>1.43E-2</v>
      </c>
      <c r="Y182" s="228">
        <v>12.5</v>
      </c>
      <c r="Z182" s="228">
        <v>5.0999999999999996</v>
      </c>
      <c r="AA182" s="228">
        <v>7.4</v>
      </c>
      <c r="AB182" s="229">
        <v>4.8999999999999998E-3</v>
      </c>
      <c r="AC182" s="228">
        <v>12.5</v>
      </c>
      <c r="AD182" s="228">
        <v>5.0999999999999996</v>
      </c>
      <c r="AE182" s="228">
        <v>7.4</v>
      </c>
      <c r="AF182" s="229">
        <v>4.8999999999999998E-3</v>
      </c>
      <c r="AG182" s="228">
        <v>24.1</v>
      </c>
      <c r="AH182" s="228">
        <v>18.100000000000001</v>
      </c>
      <c r="AI182" s="228">
        <v>6</v>
      </c>
      <c r="AJ182" s="229">
        <v>9.4000000000000004E-3</v>
      </c>
      <c r="AK182" s="228">
        <v>38.700000000000003</v>
      </c>
      <c r="AL182" s="228">
        <v>28.5</v>
      </c>
      <c r="AM182" s="228">
        <v>10.199999999999999</v>
      </c>
      <c r="AN182" s="229">
        <v>1.5100000000000001E-2</v>
      </c>
      <c r="AO182" s="231">
        <v>2567.0300000000002</v>
      </c>
      <c r="AP182" s="231">
        <v>2580.16</v>
      </c>
      <c r="AQ182" s="228">
        <v>0</v>
      </c>
      <c r="AR182" s="230">
        <v>553000</v>
      </c>
      <c r="AS182" s="230">
        <v>538000</v>
      </c>
      <c r="AT182" s="230">
        <v>15000</v>
      </c>
      <c r="AU182" s="229">
        <v>2.7900000000000001E-2</v>
      </c>
      <c r="AV182" s="230">
        <v>532200</v>
      </c>
      <c r="AW182" s="230">
        <v>526200</v>
      </c>
      <c r="AX182" s="230">
        <v>6000</v>
      </c>
      <c r="AY182" s="229">
        <v>1.14E-2</v>
      </c>
      <c r="AZ182" s="230">
        <v>19200</v>
      </c>
      <c r="BA182" s="230">
        <v>11000</v>
      </c>
      <c r="BB182" s="230">
        <v>8200</v>
      </c>
      <c r="BC182" s="229">
        <v>0.74550000000000005</v>
      </c>
      <c r="BD182" s="230">
        <v>1600</v>
      </c>
      <c r="BE182" s="228">
        <v>800</v>
      </c>
      <c r="BF182" s="228">
        <v>800</v>
      </c>
      <c r="BG182" s="229">
        <v>1</v>
      </c>
      <c r="BH182" s="230">
        <v>664800</v>
      </c>
      <c r="BI182" s="230">
        <v>1264200</v>
      </c>
      <c r="BJ182" s="230">
        <v>-599400</v>
      </c>
      <c r="BK182" s="229">
        <v>-0.47410000000000002</v>
      </c>
      <c r="BL182" s="230">
        <v>317000</v>
      </c>
      <c r="BM182" s="230">
        <v>673600</v>
      </c>
      <c r="BN182" s="230">
        <v>-356600</v>
      </c>
      <c r="BO182" s="229">
        <v>-0.52939999999999998</v>
      </c>
      <c r="BP182" s="230">
        <v>1534800</v>
      </c>
      <c r="BQ182" s="230">
        <v>2475800</v>
      </c>
      <c r="BR182" s="230">
        <v>-941000</v>
      </c>
      <c r="BS182" s="229">
        <v>-0.38009999999999999</v>
      </c>
      <c r="BT182" s="230">
        <v>465229</v>
      </c>
      <c r="BU182" s="230">
        <v>389536</v>
      </c>
      <c r="BV182" s="230">
        <v>75693</v>
      </c>
      <c r="BW182" s="229">
        <v>0.1943</v>
      </c>
      <c r="BX182" s="230">
        <v>3578400</v>
      </c>
      <c r="BY182" s="230">
        <v>3650000</v>
      </c>
      <c r="BZ182" s="230">
        <v>-71600</v>
      </c>
      <c r="CA182" s="229">
        <v>-1.9599999999999999E-2</v>
      </c>
      <c r="CB182" s="230">
        <v>3514400</v>
      </c>
      <c r="CC182" s="230">
        <v>3586200</v>
      </c>
      <c r="CD182" s="230">
        <v>-71800</v>
      </c>
      <c r="CE182" s="229">
        <v>-0.02</v>
      </c>
      <c r="CF182" s="230">
        <v>58800</v>
      </c>
      <c r="CG182" s="230">
        <v>59400</v>
      </c>
      <c r="CH182" s="228">
        <v>-600</v>
      </c>
      <c r="CI182" s="229">
        <v>-1.01E-2</v>
      </c>
      <c r="CJ182" s="230">
        <v>5200</v>
      </c>
      <c r="CK182" s="230">
        <v>4400</v>
      </c>
      <c r="CL182" s="228">
        <v>800</v>
      </c>
      <c r="CM182" s="229">
        <v>0.18179999999999999</v>
      </c>
      <c r="CN182" s="230">
        <v>1375000</v>
      </c>
      <c r="CO182" s="230">
        <v>1353000</v>
      </c>
      <c r="CP182" s="230">
        <v>22000</v>
      </c>
      <c r="CQ182" s="229">
        <v>1.6299999999999999E-2</v>
      </c>
      <c r="CR182" s="230">
        <v>1097400</v>
      </c>
      <c r="CS182" s="230">
        <v>1112400</v>
      </c>
      <c r="CT182" s="230">
        <v>-15000</v>
      </c>
      <c r="CU182" s="229">
        <v>-1.35E-2</v>
      </c>
      <c r="CV182" s="230">
        <v>6050800</v>
      </c>
      <c r="CW182" s="230">
        <v>6115400</v>
      </c>
      <c r="CX182" s="230">
        <v>-64600</v>
      </c>
      <c r="CY182" s="229">
        <v>-1.06E-2</v>
      </c>
      <c r="CZ182" s="228">
        <v>26.51</v>
      </c>
      <c r="DA182" s="228">
        <v>29.38</v>
      </c>
      <c r="DB182" s="228">
        <v>-2.87</v>
      </c>
      <c r="DC182" s="228">
        <v>-2.87</v>
      </c>
      <c r="DD182" s="228">
        <v>32.71</v>
      </c>
      <c r="DE182" s="228">
        <v>32.76</v>
      </c>
      <c r="DF182" s="228">
        <v>-6.2</v>
      </c>
      <c r="DG182" s="228">
        <v>-0.05</v>
      </c>
      <c r="DH182" s="228">
        <v>25.71</v>
      </c>
      <c r="DI182" s="228">
        <v>28.81</v>
      </c>
      <c r="DJ182" s="228">
        <v>-3.1</v>
      </c>
      <c r="DK182" s="228">
        <v>-3.1</v>
      </c>
      <c r="DL182" s="228">
        <v>28.17</v>
      </c>
      <c r="DM182" s="228">
        <v>30.45</v>
      </c>
      <c r="DN182" s="228">
        <v>-2.2799999999999998</v>
      </c>
      <c r="DO182" s="228">
        <v>-2.2799999999999998</v>
      </c>
      <c r="DP182" s="228">
        <v>0.8</v>
      </c>
      <c r="DQ182" s="228">
        <v>0.82</v>
      </c>
      <c r="DR182" s="228">
        <v>-0.02</v>
      </c>
      <c r="DS182" s="229">
        <v>-2.4400000000000002E-2</v>
      </c>
      <c r="DT182" s="231">
        <v>2800</v>
      </c>
      <c r="DU182" s="231">
        <v>2600</v>
      </c>
      <c r="DV182" s="228">
        <v>0.48</v>
      </c>
      <c r="DW182" s="228">
        <v>0.53</v>
      </c>
      <c r="DX182" s="228">
        <v>-0.05</v>
      </c>
      <c r="DY182" s="229">
        <v>-9.4299999999999995E-2</v>
      </c>
      <c r="DZ182" s="229">
        <v>1.7899999999999999E-2</v>
      </c>
      <c r="EA182" s="230">
        <v>63800</v>
      </c>
      <c r="EB182" s="229">
        <v>4.4999999999999997E-3</v>
      </c>
      <c r="EC182" s="229">
        <v>1.7899999999999999E-2</v>
      </c>
      <c r="ED182" s="228">
        <v>13.13</v>
      </c>
      <c r="EE182" s="229">
        <v>5.1000000000000004E-3</v>
      </c>
      <c r="EF182" s="230">
        <v>288690</v>
      </c>
      <c r="EG182" s="230">
        <v>244983</v>
      </c>
      <c r="EH182" s="229">
        <v>0.1784</v>
      </c>
      <c r="EI182" s="229">
        <v>0.62050000000000005</v>
      </c>
      <c r="EJ182" s="231">
        <v>17974.509999999998</v>
      </c>
      <c r="EK182" s="231">
        <v>8021.36</v>
      </c>
      <c r="EL182" s="231">
        <v>14198.66</v>
      </c>
      <c r="EM182" s="231">
        <v>3157</v>
      </c>
      <c r="EN182" s="231">
        <v>40194.53</v>
      </c>
      <c r="EO182" s="231">
        <v>64514.48</v>
      </c>
      <c r="EP182" s="231">
        <v>-24319.95</v>
      </c>
      <c r="EQ182" s="229">
        <v>-0.377</v>
      </c>
      <c r="ER182" s="231">
        <v>38041</v>
      </c>
      <c r="ES182" s="231">
        <v>28248</v>
      </c>
      <c r="ET182" s="231">
        <v>92173</v>
      </c>
      <c r="EU182" s="231">
        <v>18529108</v>
      </c>
      <c r="EV182" s="231">
        <v>158462</v>
      </c>
      <c r="EW182" s="231">
        <v>158816</v>
      </c>
      <c r="EX182" s="228">
        <v>-354</v>
      </c>
      <c r="EY182" s="229">
        <v>-2.2000000000000001E-3</v>
      </c>
      <c r="EZ182" s="229">
        <v>0.3266</v>
      </c>
      <c r="FA182" s="227" t="s">
        <v>556</v>
      </c>
      <c r="FB182" s="161">
        <f t="shared" si="4"/>
        <v>0</v>
      </c>
    </row>
    <row r="183" spans="1:158" ht="17.25" thickBot="1" x14ac:dyDescent="0.3">
      <c r="A183" s="226">
        <v>46086</v>
      </c>
      <c r="B183" s="227" t="s">
        <v>170</v>
      </c>
      <c r="C183" s="227" t="s">
        <v>288</v>
      </c>
      <c r="D183" s="228">
        <v>350</v>
      </c>
      <c r="E183" s="231">
        <v>1790.1</v>
      </c>
      <c r="F183" s="231">
        <v>1755</v>
      </c>
      <c r="G183" s="228">
        <v>35.1</v>
      </c>
      <c r="H183" s="229">
        <v>0.02</v>
      </c>
      <c r="I183" s="231">
        <v>1784.5</v>
      </c>
      <c r="J183" s="231">
        <v>1750.5</v>
      </c>
      <c r="K183" s="228">
        <v>34</v>
      </c>
      <c r="L183" s="229">
        <v>1.9400000000000001E-2</v>
      </c>
      <c r="M183" s="231">
        <v>1790.1</v>
      </c>
      <c r="N183" s="231">
        <v>1755</v>
      </c>
      <c r="O183" s="228">
        <v>35.1</v>
      </c>
      <c r="P183" s="229">
        <v>0.02</v>
      </c>
      <c r="Q183" s="231">
        <v>1802.2</v>
      </c>
      <c r="R183" s="231">
        <v>1764.2</v>
      </c>
      <c r="S183" s="228">
        <v>38</v>
      </c>
      <c r="T183" s="229">
        <v>2.1499999999999998E-2</v>
      </c>
      <c r="U183" s="231">
        <v>1810</v>
      </c>
      <c r="V183" s="231">
        <v>1763.6</v>
      </c>
      <c r="W183" s="228">
        <v>46.4</v>
      </c>
      <c r="X183" s="229">
        <v>2.63E-2</v>
      </c>
      <c r="Y183" s="228">
        <v>5.6</v>
      </c>
      <c r="Z183" s="228">
        <v>4.5</v>
      </c>
      <c r="AA183" s="228">
        <v>1.1000000000000001</v>
      </c>
      <c r="AB183" s="229">
        <v>3.0999999999999999E-3</v>
      </c>
      <c r="AC183" s="228">
        <v>5.6</v>
      </c>
      <c r="AD183" s="228">
        <v>4.5</v>
      </c>
      <c r="AE183" s="228">
        <v>1.1000000000000001</v>
      </c>
      <c r="AF183" s="229">
        <v>3.0999999999999999E-3</v>
      </c>
      <c r="AG183" s="228">
        <v>17.7</v>
      </c>
      <c r="AH183" s="228">
        <v>13.7</v>
      </c>
      <c r="AI183" s="228">
        <v>4</v>
      </c>
      <c r="AJ183" s="229">
        <v>9.9000000000000008E-3</v>
      </c>
      <c r="AK183" s="228">
        <v>25.5</v>
      </c>
      <c r="AL183" s="228">
        <v>13.1</v>
      </c>
      <c r="AM183" s="228">
        <v>12.4</v>
      </c>
      <c r="AN183" s="229">
        <v>1.43E-2</v>
      </c>
      <c r="AO183" s="231">
        <v>1785.51</v>
      </c>
      <c r="AP183" s="231">
        <v>1796.8</v>
      </c>
      <c r="AQ183" s="228">
        <v>0</v>
      </c>
      <c r="AR183" s="230">
        <v>3320450</v>
      </c>
      <c r="AS183" s="230">
        <v>3395700</v>
      </c>
      <c r="AT183" s="230">
        <v>-75250</v>
      </c>
      <c r="AU183" s="229">
        <v>-2.2200000000000001E-2</v>
      </c>
      <c r="AV183" s="230">
        <v>3243800</v>
      </c>
      <c r="AW183" s="230">
        <v>3353700</v>
      </c>
      <c r="AX183" s="230">
        <v>-109900</v>
      </c>
      <c r="AY183" s="229">
        <v>-3.2800000000000003E-2</v>
      </c>
      <c r="AZ183" s="230">
        <v>69300</v>
      </c>
      <c r="BA183" s="230">
        <v>40600</v>
      </c>
      <c r="BB183" s="230">
        <v>28700</v>
      </c>
      <c r="BC183" s="229">
        <v>0.70689999999999997</v>
      </c>
      <c r="BD183" s="230">
        <v>7350</v>
      </c>
      <c r="BE183" s="230">
        <v>1400</v>
      </c>
      <c r="BF183" s="230">
        <v>5950</v>
      </c>
      <c r="BG183" s="229">
        <v>4.25</v>
      </c>
      <c r="BH183" s="230">
        <v>12713750</v>
      </c>
      <c r="BI183" s="230">
        <v>10639650</v>
      </c>
      <c r="BJ183" s="230">
        <v>2074100</v>
      </c>
      <c r="BK183" s="229">
        <v>0.19489999999999999</v>
      </c>
      <c r="BL183" s="230">
        <v>6665400</v>
      </c>
      <c r="BM183" s="230">
        <v>6141800</v>
      </c>
      <c r="BN183" s="230">
        <v>523600</v>
      </c>
      <c r="BO183" s="229">
        <v>8.5300000000000001E-2</v>
      </c>
      <c r="BP183" s="230">
        <v>22699600</v>
      </c>
      <c r="BQ183" s="230">
        <v>20177150</v>
      </c>
      <c r="BR183" s="230">
        <v>2522450</v>
      </c>
      <c r="BS183" s="229">
        <v>0.125</v>
      </c>
      <c r="BT183" s="230">
        <v>3838828</v>
      </c>
      <c r="BU183" s="230">
        <v>4992956</v>
      </c>
      <c r="BV183" s="230">
        <v>-1154128</v>
      </c>
      <c r="BW183" s="229">
        <v>-0.23119999999999999</v>
      </c>
      <c r="BX183" s="230">
        <v>21896700</v>
      </c>
      <c r="BY183" s="230">
        <v>21662900</v>
      </c>
      <c r="BZ183" s="230">
        <v>233800</v>
      </c>
      <c r="CA183" s="229">
        <v>1.0800000000000001E-2</v>
      </c>
      <c r="CB183" s="230">
        <v>21740950</v>
      </c>
      <c r="CC183" s="230">
        <v>21512750</v>
      </c>
      <c r="CD183" s="230">
        <v>228200</v>
      </c>
      <c r="CE183" s="229">
        <v>1.06E-2</v>
      </c>
      <c r="CF183" s="230">
        <v>141050</v>
      </c>
      <c r="CG183" s="230">
        <v>137200</v>
      </c>
      <c r="CH183" s="230">
        <v>3850</v>
      </c>
      <c r="CI183" s="229">
        <v>2.81E-2</v>
      </c>
      <c r="CJ183" s="230">
        <v>14700</v>
      </c>
      <c r="CK183" s="230">
        <v>12950</v>
      </c>
      <c r="CL183" s="230">
        <v>1750</v>
      </c>
      <c r="CM183" s="229">
        <v>0.1351</v>
      </c>
      <c r="CN183" s="230">
        <v>7191800</v>
      </c>
      <c r="CO183" s="230">
        <v>6627250</v>
      </c>
      <c r="CP183" s="230">
        <v>564550</v>
      </c>
      <c r="CQ183" s="229">
        <v>8.5199999999999998E-2</v>
      </c>
      <c r="CR183" s="230">
        <v>3963050</v>
      </c>
      <c r="CS183" s="230">
        <v>3203900</v>
      </c>
      <c r="CT183" s="230">
        <v>759150</v>
      </c>
      <c r="CU183" s="229">
        <v>0.2369</v>
      </c>
      <c r="CV183" s="230">
        <v>33051550</v>
      </c>
      <c r="CW183" s="230">
        <v>31494050</v>
      </c>
      <c r="CX183" s="230">
        <v>1557500</v>
      </c>
      <c r="CY183" s="229">
        <v>4.9500000000000002E-2</v>
      </c>
      <c r="CZ183" s="228">
        <v>17.170000000000002</v>
      </c>
      <c r="DA183" s="228">
        <v>19.68</v>
      </c>
      <c r="DB183" s="228">
        <v>-2.5099999999999998</v>
      </c>
      <c r="DC183" s="228">
        <v>-2.5099999999999998</v>
      </c>
      <c r="DD183" s="228">
        <v>23.18</v>
      </c>
      <c r="DE183" s="228">
        <v>23.1</v>
      </c>
      <c r="DF183" s="228">
        <v>-6.01</v>
      </c>
      <c r="DG183" s="228">
        <v>0.08</v>
      </c>
      <c r="DH183" s="228">
        <v>16.32</v>
      </c>
      <c r="DI183" s="228">
        <v>18.350000000000001</v>
      </c>
      <c r="DJ183" s="228">
        <v>-2.0299999999999998</v>
      </c>
      <c r="DK183" s="228">
        <v>-2.0299999999999998</v>
      </c>
      <c r="DL183" s="228">
        <v>18.809999999999999</v>
      </c>
      <c r="DM183" s="228">
        <v>21.99</v>
      </c>
      <c r="DN183" s="228">
        <v>-3.18</v>
      </c>
      <c r="DO183" s="228">
        <v>-3.18</v>
      </c>
      <c r="DP183" s="228">
        <v>0.55000000000000004</v>
      </c>
      <c r="DQ183" s="228">
        <v>0.48</v>
      </c>
      <c r="DR183" s="228">
        <v>7.0000000000000007E-2</v>
      </c>
      <c r="DS183" s="229">
        <v>0.14580000000000001</v>
      </c>
      <c r="DT183" s="231">
        <v>1800</v>
      </c>
      <c r="DU183" s="231">
        <v>1780</v>
      </c>
      <c r="DV183" s="228">
        <v>0.52</v>
      </c>
      <c r="DW183" s="228">
        <v>0.57999999999999996</v>
      </c>
      <c r="DX183" s="228">
        <v>-0.06</v>
      </c>
      <c r="DY183" s="229">
        <v>-0.10340000000000001</v>
      </c>
      <c r="DZ183" s="229">
        <v>7.1000000000000004E-3</v>
      </c>
      <c r="EA183" s="230">
        <v>150150</v>
      </c>
      <c r="EB183" s="229">
        <v>6.7999999999999996E-3</v>
      </c>
      <c r="EC183" s="229">
        <v>7.1000000000000004E-3</v>
      </c>
      <c r="ED183" s="228">
        <v>11.29</v>
      </c>
      <c r="EE183" s="229">
        <v>6.3E-3</v>
      </c>
      <c r="EF183" s="230">
        <v>2375577</v>
      </c>
      <c r="EG183" s="230">
        <v>3853875</v>
      </c>
      <c r="EH183" s="229">
        <v>-0.3836</v>
      </c>
      <c r="EI183" s="229">
        <v>0.61880000000000002</v>
      </c>
      <c r="EJ183" s="231">
        <v>232803.01</v>
      </c>
      <c r="EK183" s="231">
        <v>117371.62</v>
      </c>
      <c r="EL183" s="231">
        <v>59296.25</v>
      </c>
      <c r="EM183" s="231">
        <v>7040</v>
      </c>
      <c r="EN183" s="231">
        <v>409470.88</v>
      </c>
      <c r="EO183" s="231">
        <v>356994.64</v>
      </c>
      <c r="EP183" s="231">
        <v>52476.24</v>
      </c>
      <c r="EQ183" s="229">
        <v>0.14699999999999999</v>
      </c>
      <c r="ER183" s="231">
        <v>129662</v>
      </c>
      <c r="ES183" s="231">
        <v>67561</v>
      </c>
      <c r="ET183" s="231">
        <v>391993</v>
      </c>
      <c r="EU183" s="231">
        <v>109220043</v>
      </c>
      <c r="EV183" s="231">
        <v>589215</v>
      </c>
      <c r="EW183" s="231">
        <v>553519</v>
      </c>
      <c r="EX183" s="231">
        <v>35696</v>
      </c>
      <c r="EY183" s="229">
        <v>6.4500000000000002E-2</v>
      </c>
      <c r="EZ183" s="229">
        <v>0.30259999999999998</v>
      </c>
      <c r="FA183" s="227" t="s">
        <v>555</v>
      </c>
      <c r="FB183" s="161">
        <f t="shared" si="4"/>
        <v>0</v>
      </c>
    </row>
    <row r="184" spans="1:158" ht="17.25" thickBot="1" x14ac:dyDescent="0.3">
      <c r="A184" s="226">
        <v>46086</v>
      </c>
      <c r="B184" s="227" t="s">
        <v>184</v>
      </c>
      <c r="C184" s="227" t="s">
        <v>574</v>
      </c>
      <c r="D184" s="228">
        <v>175</v>
      </c>
      <c r="E184" s="231">
        <v>3961.9</v>
      </c>
      <c r="F184" s="231">
        <v>3910</v>
      </c>
      <c r="G184" s="228">
        <v>51.9</v>
      </c>
      <c r="H184" s="229">
        <v>1.3299999999999999E-2</v>
      </c>
      <c r="I184" s="231">
        <v>3950.2</v>
      </c>
      <c r="J184" s="231">
        <v>3898.2</v>
      </c>
      <c r="K184" s="228">
        <v>52</v>
      </c>
      <c r="L184" s="229">
        <v>1.3299999999999999E-2</v>
      </c>
      <c r="M184" s="231">
        <v>3961.9</v>
      </c>
      <c r="N184" s="231">
        <v>3910</v>
      </c>
      <c r="O184" s="228">
        <v>51.9</v>
      </c>
      <c r="P184" s="229">
        <v>1.3299999999999999E-2</v>
      </c>
      <c r="Q184" s="231">
        <v>3963.4</v>
      </c>
      <c r="R184" s="231">
        <v>3906.8</v>
      </c>
      <c r="S184" s="228">
        <v>56.6</v>
      </c>
      <c r="T184" s="229">
        <v>1.4500000000000001E-2</v>
      </c>
      <c r="U184" s="231">
        <v>3937</v>
      </c>
      <c r="V184" s="231">
        <v>3937</v>
      </c>
      <c r="W184" s="228">
        <v>0</v>
      </c>
      <c r="X184" s="229">
        <v>0</v>
      </c>
      <c r="Y184" s="228">
        <v>11.7</v>
      </c>
      <c r="Z184" s="228">
        <v>11.8</v>
      </c>
      <c r="AA184" s="228">
        <v>-0.1</v>
      </c>
      <c r="AB184" s="229">
        <v>3.0000000000000001E-3</v>
      </c>
      <c r="AC184" s="228">
        <v>11.7</v>
      </c>
      <c r="AD184" s="228">
        <v>11.8</v>
      </c>
      <c r="AE184" s="228">
        <v>-0.1</v>
      </c>
      <c r="AF184" s="229">
        <v>3.0000000000000001E-3</v>
      </c>
      <c r="AG184" s="228">
        <v>13.2</v>
      </c>
      <c r="AH184" s="228">
        <v>8.6</v>
      </c>
      <c r="AI184" s="228">
        <v>4.5999999999999996</v>
      </c>
      <c r="AJ184" s="229">
        <v>3.3E-3</v>
      </c>
      <c r="AK184" s="228">
        <v>-13.2</v>
      </c>
      <c r="AL184" s="228">
        <v>38.799999999999997</v>
      </c>
      <c r="AM184" s="228">
        <v>-52</v>
      </c>
      <c r="AN184" s="229">
        <v>-3.3E-3</v>
      </c>
      <c r="AO184" s="231">
        <v>3915.72</v>
      </c>
      <c r="AP184" s="231">
        <v>3930.79</v>
      </c>
      <c r="AQ184" s="228">
        <v>0</v>
      </c>
      <c r="AR184" s="230">
        <v>363300</v>
      </c>
      <c r="AS184" s="230">
        <v>448525</v>
      </c>
      <c r="AT184" s="230">
        <v>-85225</v>
      </c>
      <c r="AU184" s="229">
        <v>-0.19</v>
      </c>
      <c r="AV184" s="230">
        <v>358575</v>
      </c>
      <c r="AW184" s="230">
        <v>441175</v>
      </c>
      <c r="AX184" s="230">
        <v>-82600</v>
      </c>
      <c r="AY184" s="229">
        <v>-0.18720000000000001</v>
      </c>
      <c r="AZ184" s="230">
        <v>4725</v>
      </c>
      <c r="BA184" s="230">
        <v>7175</v>
      </c>
      <c r="BB184" s="230">
        <v>-2450</v>
      </c>
      <c r="BC184" s="229">
        <v>-0.34150000000000003</v>
      </c>
      <c r="BD184" s="228">
        <v>0</v>
      </c>
      <c r="BE184" s="228">
        <v>175</v>
      </c>
      <c r="BF184" s="228">
        <v>-175</v>
      </c>
      <c r="BG184" s="229">
        <v>-1</v>
      </c>
      <c r="BH184" s="230">
        <v>425425</v>
      </c>
      <c r="BI184" s="230">
        <v>390950</v>
      </c>
      <c r="BJ184" s="230">
        <v>34475</v>
      </c>
      <c r="BK184" s="229">
        <v>8.8200000000000001E-2</v>
      </c>
      <c r="BL184" s="230">
        <v>134050</v>
      </c>
      <c r="BM184" s="230">
        <v>146475</v>
      </c>
      <c r="BN184" s="230">
        <v>-12425</v>
      </c>
      <c r="BO184" s="229">
        <v>-8.48E-2</v>
      </c>
      <c r="BP184" s="230">
        <v>922775</v>
      </c>
      <c r="BQ184" s="230">
        <v>985950</v>
      </c>
      <c r="BR184" s="230">
        <v>-63175</v>
      </c>
      <c r="BS184" s="229">
        <v>-6.4100000000000004E-2</v>
      </c>
      <c r="BT184" s="230">
        <v>204060</v>
      </c>
      <c r="BU184" s="230">
        <v>380187</v>
      </c>
      <c r="BV184" s="230">
        <v>-176127</v>
      </c>
      <c r="BW184" s="229">
        <v>-0.46329999999999999</v>
      </c>
      <c r="BX184" s="230">
        <v>1564500</v>
      </c>
      <c r="BY184" s="230">
        <v>1554175</v>
      </c>
      <c r="BZ184" s="230">
        <v>10325</v>
      </c>
      <c r="CA184" s="229">
        <v>6.6E-3</v>
      </c>
      <c r="CB184" s="230">
        <v>1542800</v>
      </c>
      <c r="CC184" s="230">
        <v>1533000</v>
      </c>
      <c r="CD184" s="230">
        <v>9800</v>
      </c>
      <c r="CE184" s="229">
        <v>6.4000000000000003E-3</v>
      </c>
      <c r="CF184" s="230">
        <v>21175</v>
      </c>
      <c r="CG184" s="230">
        <v>20650</v>
      </c>
      <c r="CH184" s="228">
        <v>525</v>
      </c>
      <c r="CI184" s="229">
        <v>2.5399999999999999E-2</v>
      </c>
      <c r="CJ184" s="228">
        <v>525</v>
      </c>
      <c r="CK184" s="228">
        <v>525</v>
      </c>
      <c r="CL184" s="228">
        <v>0</v>
      </c>
      <c r="CM184" s="229">
        <v>0</v>
      </c>
      <c r="CN184" s="230">
        <v>387625</v>
      </c>
      <c r="CO184" s="230">
        <v>343000</v>
      </c>
      <c r="CP184" s="230">
        <v>44625</v>
      </c>
      <c r="CQ184" s="229">
        <v>0.13009999999999999</v>
      </c>
      <c r="CR184" s="230">
        <v>153650</v>
      </c>
      <c r="CS184" s="230">
        <v>144375</v>
      </c>
      <c r="CT184" s="230">
        <v>9275</v>
      </c>
      <c r="CU184" s="229">
        <v>6.4199999999999993E-2</v>
      </c>
      <c r="CV184" s="230">
        <v>2105775</v>
      </c>
      <c r="CW184" s="230">
        <v>2041550</v>
      </c>
      <c r="CX184" s="230">
        <v>64225</v>
      </c>
      <c r="CY184" s="229">
        <v>3.15E-2</v>
      </c>
      <c r="CZ184" s="228">
        <v>27.44</v>
      </c>
      <c r="DA184" s="228">
        <v>30.6</v>
      </c>
      <c r="DB184" s="228">
        <v>-3.16</v>
      </c>
      <c r="DC184" s="228">
        <v>-3.16</v>
      </c>
      <c r="DD184" s="228">
        <v>37.93</v>
      </c>
      <c r="DE184" s="228">
        <v>37.979999999999997</v>
      </c>
      <c r="DF184" s="228">
        <v>-10.49</v>
      </c>
      <c r="DG184" s="228">
        <v>-0.05</v>
      </c>
      <c r="DH184" s="228">
        <v>26.89</v>
      </c>
      <c r="DI184" s="228">
        <v>30.01</v>
      </c>
      <c r="DJ184" s="228">
        <v>-3.12</v>
      </c>
      <c r="DK184" s="228">
        <v>-3.12</v>
      </c>
      <c r="DL184" s="228">
        <v>29.19</v>
      </c>
      <c r="DM184" s="228">
        <v>32.18</v>
      </c>
      <c r="DN184" s="228">
        <v>-2.99</v>
      </c>
      <c r="DO184" s="228">
        <v>-2.99</v>
      </c>
      <c r="DP184" s="228">
        <v>0.4</v>
      </c>
      <c r="DQ184" s="228">
        <v>0.42</v>
      </c>
      <c r="DR184" s="228">
        <v>-0.02</v>
      </c>
      <c r="DS184" s="229">
        <v>-4.7600000000000003E-2</v>
      </c>
      <c r="DT184" s="231">
        <v>4400</v>
      </c>
      <c r="DU184" s="231">
        <v>4000</v>
      </c>
      <c r="DV184" s="228">
        <v>0.32</v>
      </c>
      <c r="DW184" s="228">
        <v>0.37</v>
      </c>
      <c r="DX184" s="228">
        <v>-0.05</v>
      </c>
      <c r="DY184" s="229">
        <v>-0.1351</v>
      </c>
      <c r="DZ184" s="229">
        <v>1.3899999999999999E-2</v>
      </c>
      <c r="EA184" s="230">
        <v>21175</v>
      </c>
      <c r="EB184" s="229">
        <v>4.0000000000000002E-4</v>
      </c>
      <c r="EC184" s="229">
        <v>1.3899999999999999E-2</v>
      </c>
      <c r="ED184" s="228">
        <v>15.07</v>
      </c>
      <c r="EE184" s="229">
        <v>3.8E-3</v>
      </c>
      <c r="EF184" s="230">
        <v>96150</v>
      </c>
      <c r="EG184" s="230">
        <v>219256</v>
      </c>
      <c r="EH184" s="229">
        <v>-0.5615</v>
      </c>
      <c r="EI184" s="229">
        <v>0.47120000000000001</v>
      </c>
      <c r="EJ184" s="231">
        <v>18168.150000000001</v>
      </c>
      <c r="EK184" s="231">
        <v>5141.32</v>
      </c>
      <c r="EL184" s="231">
        <v>14226.51</v>
      </c>
      <c r="EM184" s="231">
        <v>1829</v>
      </c>
      <c r="EN184" s="231">
        <v>37535.980000000003</v>
      </c>
      <c r="EO184" s="231">
        <v>39812.800000000003</v>
      </c>
      <c r="EP184" s="231">
        <v>-2276.8200000000002</v>
      </c>
      <c r="EQ184" s="229">
        <v>-5.7200000000000001E-2</v>
      </c>
      <c r="ER184" s="231">
        <v>16356</v>
      </c>
      <c r="ES184" s="231">
        <v>5791</v>
      </c>
      <c r="ET184" s="231">
        <v>61984</v>
      </c>
      <c r="EU184" s="231">
        <v>9736357</v>
      </c>
      <c r="EV184" s="231">
        <v>84130</v>
      </c>
      <c r="EW184" s="231">
        <v>80637</v>
      </c>
      <c r="EX184" s="231">
        <v>3493</v>
      </c>
      <c r="EY184" s="229">
        <v>4.3299999999999998E-2</v>
      </c>
      <c r="EZ184" s="229">
        <v>0.21629999999999999</v>
      </c>
      <c r="FA184" s="227" t="s">
        <v>555</v>
      </c>
      <c r="FB184" s="161">
        <f t="shared" si="4"/>
        <v>0</v>
      </c>
    </row>
    <row r="185" spans="1:158" ht="17.25" thickBot="1" x14ac:dyDescent="0.3">
      <c r="A185" s="226">
        <v>46086</v>
      </c>
      <c r="B185" s="227" t="s">
        <v>161</v>
      </c>
      <c r="C185" s="227" t="s">
        <v>683</v>
      </c>
      <c r="D185" s="228">
        <v>9025</v>
      </c>
      <c r="E185" s="228">
        <v>40.42</v>
      </c>
      <c r="F185" s="228">
        <v>40.1</v>
      </c>
      <c r="G185" s="228">
        <v>0.32</v>
      </c>
      <c r="H185" s="229">
        <v>8.0000000000000002E-3</v>
      </c>
      <c r="I185" s="228">
        <v>40.25</v>
      </c>
      <c r="J185" s="228">
        <v>39.93</v>
      </c>
      <c r="K185" s="228">
        <v>0.32</v>
      </c>
      <c r="L185" s="229">
        <v>8.0000000000000002E-3</v>
      </c>
      <c r="M185" s="228">
        <v>40.42</v>
      </c>
      <c r="N185" s="228">
        <v>40.1</v>
      </c>
      <c r="O185" s="228">
        <v>0.32</v>
      </c>
      <c r="P185" s="229">
        <v>8.0000000000000002E-3</v>
      </c>
      <c r="Q185" s="228">
        <v>40.67</v>
      </c>
      <c r="R185" s="228">
        <v>40.35</v>
      </c>
      <c r="S185" s="228">
        <v>0.32</v>
      </c>
      <c r="T185" s="229">
        <v>7.9000000000000008E-3</v>
      </c>
      <c r="U185" s="228">
        <v>40.79</v>
      </c>
      <c r="V185" s="228">
        <v>40.61</v>
      </c>
      <c r="W185" s="228">
        <v>0.18</v>
      </c>
      <c r="X185" s="229">
        <v>4.4000000000000003E-3</v>
      </c>
      <c r="Y185" s="228">
        <v>0.17</v>
      </c>
      <c r="Z185" s="228">
        <v>0.17</v>
      </c>
      <c r="AA185" s="228">
        <v>0</v>
      </c>
      <c r="AB185" s="229">
        <v>4.1999999999999997E-3</v>
      </c>
      <c r="AC185" s="228">
        <v>0.17</v>
      </c>
      <c r="AD185" s="228">
        <v>0.17</v>
      </c>
      <c r="AE185" s="228">
        <v>0</v>
      </c>
      <c r="AF185" s="229">
        <v>4.1999999999999997E-3</v>
      </c>
      <c r="AG185" s="228">
        <v>0.42</v>
      </c>
      <c r="AH185" s="228">
        <v>0.42</v>
      </c>
      <c r="AI185" s="228">
        <v>0</v>
      </c>
      <c r="AJ185" s="229">
        <v>1.04E-2</v>
      </c>
      <c r="AK185" s="228">
        <v>0.54</v>
      </c>
      <c r="AL185" s="228">
        <v>0.68</v>
      </c>
      <c r="AM185" s="228">
        <v>-0.14000000000000001</v>
      </c>
      <c r="AN185" s="229">
        <v>1.34E-2</v>
      </c>
      <c r="AO185" s="228">
        <v>40.020000000000003</v>
      </c>
      <c r="AP185" s="228">
        <v>40.33</v>
      </c>
      <c r="AQ185" s="228">
        <v>0</v>
      </c>
      <c r="AR185" s="230">
        <v>55296175</v>
      </c>
      <c r="AS185" s="230">
        <v>49971425</v>
      </c>
      <c r="AT185" s="230">
        <v>5324750</v>
      </c>
      <c r="AU185" s="229">
        <v>0.1066</v>
      </c>
      <c r="AV185" s="230">
        <v>48707925</v>
      </c>
      <c r="AW185" s="230">
        <v>43590750</v>
      </c>
      <c r="AX185" s="230">
        <v>5117175</v>
      </c>
      <c r="AY185" s="229">
        <v>0.1174</v>
      </c>
      <c r="AZ185" s="230">
        <v>5252550</v>
      </c>
      <c r="BA185" s="230">
        <v>4503475</v>
      </c>
      <c r="BB185" s="230">
        <v>749075</v>
      </c>
      <c r="BC185" s="229">
        <v>0.1663</v>
      </c>
      <c r="BD185" s="230">
        <v>1335700</v>
      </c>
      <c r="BE185" s="230">
        <v>1877200</v>
      </c>
      <c r="BF185" s="230">
        <v>-541500</v>
      </c>
      <c r="BG185" s="229">
        <v>-0.28849999999999998</v>
      </c>
      <c r="BH185" s="230">
        <v>181023450</v>
      </c>
      <c r="BI185" s="230">
        <v>96937525</v>
      </c>
      <c r="BJ185" s="230">
        <v>84085925</v>
      </c>
      <c r="BK185" s="229">
        <v>0.86739999999999995</v>
      </c>
      <c r="BL185" s="230">
        <v>35531425</v>
      </c>
      <c r="BM185" s="230">
        <v>51162725</v>
      </c>
      <c r="BN185" s="230">
        <v>-15631300</v>
      </c>
      <c r="BO185" s="229">
        <v>-0.30549999999999999</v>
      </c>
      <c r="BP185" s="230">
        <v>271851050</v>
      </c>
      <c r="BQ185" s="230">
        <v>198071675</v>
      </c>
      <c r="BR185" s="230">
        <v>73779375</v>
      </c>
      <c r="BS185" s="229">
        <v>0.3725</v>
      </c>
      <c r="BT185" s="230">
        <v>97379429</v>
      </c>
      <c r="BU185" s="230">
        <v>83801008</v>
      </c>
      <c r="BV185" s="230">
        <v>13578421</v>
      </c>
      <c r="BW185" s="229">
        <v>0.16200000000000001</v>
      </c>
      <c r="BX185" s="230">
        <v>327733850</v>
      </c>
      <c r="BY185" s="230">
        <v>331840225</v>
      </c>
      <c r="BZ185" s="230">
        <v>-4106375</v>
      </c>
      <c r="CA185" s="229">
        <v>-1.24E-2</v>
      </c>
      <c r="CB185" s="230">
        <v>309250650</v>
      </c>
      <c r="CC185" s="230">
        <v>314521250</v>
      </c>
      <c r="CD185" s="230">
        <v>-5270600</v>
      </c>
      <c r="CE185" s="229">
        <v>-1.6799999999999999E-2</v>
      </c>
      <c r="CF185" s="230">
        <v>15450800</v>
      </c>
      <c r="CG185" s="230">
        <v>14403900</v>
      </c>
      <c r="CH185" s="230">
        <v>1046900</v>
      </c>
      <c r="CI185" s="229">
        <v>7.2700000000000001E-2</v>
      </c>
      <c r="CJ185" s="230">
        <v>3032400</v>
      </c>
      <c r="CK185" s="230">
        <v>2915075</v>
      </c>
      <c r="CL185" s="230">
        <v>117325</v>
      </c>
      <c r="CM185" s="229">
        <v>4.02E-2</v>
      </c>
      <c r="CN185" s="230">
        <v>177476625</v>
      </c>
      <c r="CO185" s="230">
        <v>138732300</v>
      </c>
      <c r="CP185" s="230">
        <v>38744325</v>
      </c>
      <c r="CQ185" s="229">
        <v>0.27929999999999999</v>
      </c>
      <c r="CR185" s="230">
        <v>71180175</v>
      </c>
      <c r="CS185" s="230">
        <v>68914900</v>
      </c>
      <c r="CT185" s="230">
        <v>2265275</v>
      </c>
      <c r="CU185" s="229">
        <v>3.2899999999999999E-2</v>
      </c>
      <c r="CV185" s="230">
        <v>576390650</v>
      </c>
      <c r="CW185" s="230">
        <v>539487425</v>
      </c>
      <c r="CX185" s="230">
        <v>36903225</v>
      </c>
      <c r="CY185" s="229">
        <v>6.8400000000000002E-2</v>
      </c>
      <c r="CZ185" s="228">
        <v>36.840000000000003</v>
      </c>
      <c r="DA185" s="228">
        <v>43.36</v>
      </c>
      <c r="DB185" s="228">
        <v>-6.52</v>
      </c>
      <c r="DC185" s="228">
        <v>-6.52</v>
      </c>
      <c r="DD185" s="228">
        <v>45.55</v>
      </c>
      <c r="DE185" s="228">
        <v>45.65</v>
      </c>
      <c r="DF185" s="228">
        <v>-8.7100000000000009</v>
      </c>
      <c r="DG185" s="228">
        <v>-0.1</v>
      </c>
      <c r="DH185" s="228">
        <v>36.65</v>
      </c>
      <c r="DI185" s="228">
        <v>43.3</v>
      </c>
      <c r="DJ185" s="228">
        <v>-6.65</v>
      </c>
      <c r="DK185" s="228">
        <v>-6.65</v>
      </c>
      <c r="DL185" s="228">
        <v>37.83</v>
      </c>
      <c r="DM185" s="228">
        <v>43.48</v>
      </c>
      <c r="DN185" s="228">
        <v>-5.65</v>
      </c>
      <c r="DO185" s="228">
        <v>-5.65</v>
      </c>
      <c r="DP185" s="228">
        <v>0.4</v>
      </c>
      <c r="DQ185" s="228">
        <v>0.5</v>
      </c>
      <c r="DR185" s="228">
        <v>-0.1</v>
      </c>
      <c r="DS185" s="229">
        <v>-0.2</v>
      </c>
      <c r="DT185" s="228">
        <v>50</v>
      </c>
      <c r="DU185" s="228">
        <v>45</v>
      </c>
      <c r="DV185" s="228">
        <v>0.2</v>
      </c>
      <c r="DW185" s="228">
        <v>0.53</v>
      </c>
      <c r="DX185" s="228">
        <v>-0.33</v>
      </c>
      <c r="DY185" s="229">
        <v>-0.62260000000000004</v>
      </c>
      <c r="DZ185" s="229">
        <v>5.6399999999999999E-2</v>
      </c>
      <c r="EA185" s="230">
        <v>17318975</v>
      </c>
      <c r="EB185" s="229">
        <v>6.1999999999999998E-3</v>
      </c>
      <c r="EC185" s="229">
        <v>5.6399999999999999E-2</v>
      </c>
      <c r="ED185" s="228">
        <v>0.31</v>
      </c>
      <c r="EE185" s="229">
        <v>7.7000000000000002E-3</v>
      </c>
      <c r="EF185" s="230">
        <v>35618868</v>
      </c>
      <c r="EG185" s="230">
        <v>37225288</v>
      </c>
      <c r="EH185" s="229">
        <v>-4.3200000000000002E-2</v>
      </c>
      <c r="EI185" s="229">
        <v>0.36580000000000001</v>
      </c>
      <c r="EJ185" s="231">
        <v>81178.09</v>
      </c>
      <c r="EK185" s="231">
        <v>14325.85</v>
      </c>
      <c r="EL185" s="231">
        <v>22156.22</v>
      </c>
      <c r="EM185" s="231">
        <v>5400</v>
      </c>
      <c r="EN185" s="231">
        <v>117660.16</v>
      </c>
      <c r="EO185" s="231">
        <v>85183.11</v>
      </c>
      <c r="EP185" s="231">
        <v>32477.05</v>
      </c>
      <c r="EQ185" s="229">
        <v>0.38129999999999997</v>
      </c>
      <c r="ER185" s="231">
        <v>82541</v>
      </c>
      <c r="ES185" s="231">
        <v>31173</v>
      </c>
      <c r="ET185" s="231">
        <v>132520</v>
      </c>
      <c r="EU185" s="231">
        <v>1814982173</v>
      </c>
      <c r="EV185" s="231">
        <v>246234</v>
      </c>
      <c r="EW185" s="231">
        <v>229152</v>
      </c>
      <c r="EX185" s="231">
        <v>17082</v>
      </c>
      <c r="EY185" s="229">
        <v>7.4499999999999997E-2</v>
      </c>
      <c r="EZ185" s="229">
        <v>0.31759999999999999</v>
      </c>
      <c r="FA185" s="227" t="s">
        <v>556</v>
      </c>
      <c r="FB185" s="161">
        <f t="shared" si="4"/>
        <v>0</v>
      </c>
    </row>
    <row r="186" spans="1:158" ht="17.25" thickBot="1" x14ac:dyDescent="0.3">
      <c r="A186" s="226">
        <v>46086</v>
      </c>
      <c r="B186" s="227" t="s">
        <v>615</v>
      </c>
      <c r="C186" s="227" t="s">
        <v>692</v>
      </c>
      <c r="D186" s="228">
        <v>1300</v>
      </c>
      <c r="E186" s="228">
        <v>298.05</v>
      </c>
      <c r="F186" s="228">
        <v>294.7</v>
      </c>
      <c r="G186" s="228">
        <v>3.35</v>
      </c>
      <c r="H186" s="229">
        <v>1.14E-2</v>
      </c>
      <c r="I186" s="228">
        <v>298.39999999999998</v>
      </c>
      <c r="J186" s="228">
        <v>297.75</v>
      </c>
      <c r="K186" s="228">
        <v>0.65</v>
      </c>
      <c r="L186" s="229">
        <v>2.2000000000000001E-3</v>
      </c>
      <c r="M186" s="228">
        <v>298.05</v>
      </c>
      <c r="N186" s="228">
        <v>294.7</v>
      </c>
      <c r="O186" s="228">
        <v>3.35</v>
      </c>
      <c r="P186" s="229">
        <v>1.14E-2</v>
      </c>
      <c r="Q186" s="228">
        <v>295.64999999999998</v>
      </c>
      <c r="R186" s="228">
        <v>291.3</v>
      </c>
      <c r="S186" s="228">
        <v>4.3499999999999996</v>
      </c>
      <c r="T186" s="229">
        <v>1.49E-2</v>
      </c>
      <c r="U186" s="228">
        <v>294.05</v>
      </c>
      <c r="V186" s="228">
        <v>290.5</v>
      </c>
      <c r="W186" s="228">
        <v>3.55</v>
      </c>
      <c r="X186" s="229">
        <v>1.2200000000000001E-2</v>
      </c>
      <c r="Y186" s="228">
        <v>-0.35</v>
      </c>
      <c r="Z186" s="228">
        <v>-3.05</v>
      </c>
      <c r="AA186" s="228">
        <v>2.7</v>
      </c>
      <c r="AB186" s="229">
        <v>-1.1999999999999999E-3</v>
      </c>
      <c r="AC186" s="228">
        <v>-0.35</v>
      </c>
      <c r="AD186" s="228">
        <v>-3.05</v>
      </c>
      <c r="AE186" s="228">
        <v>2.7</v>
      </c>
      <c r="AF186" s="229">
        <v>-1.1999999999999999E-3</v>
      </c>
      <c r="AG186" s="228">
        <v>-2.75</v>
      </c>
      <c r="AH186" s="228">
        <v>-6.45</v>
      </c>
      <c r="AI186" s="228">
        <v>3.7</v>
      </c>
      <c r="AJ186" s="229">
        <v>-9.1999999999999998E-3</v>
      </c>
      <c r="AK186" s="228">
        <v>-4.3499999999999996</v>
      </c>
      <c r="AL186" s="228">
        <v>-7.25</v>
      </c>
      <c r="AM186" s="228">
        <v>2.9</v>
      </c>
      <c r="AN186" s="229">
        <v>-1.46E-2</v>
      </c>
      <c r="AO186" s="228">
        <v>292.43</v>
      </c>
      <c r="AP186" s="228">
        <v>290.64999999999998</v>
      </c>
      <c r="AQ186" s="228">
        <v>0</v>
      </c>
      <c r="AR186" s="230">
        <v>7096700</v>
      </c>
      <c r="AS186" s="230">
        <v>11394500</v>
      </c>
      <c r="AT186" s="230">
        <v>-4297800</v>
      </c>
      <c r="AU186" s="229">
        <v>-0.37719999999999998</v>
      </c>
      <c r="AV186" s="230">
        <v>6752200</v>
      </c>
      <c r="AW186" s="230">
        <v>10871900</v>
      </c>
      <c r="AX186" s="230">
        <v>-4119700</v>
      </c>
      <c r="AY186" s="229">
        <v>-0.37890000000000001</v>
      </c>
      <c r="AZ186" s="230">
        <v>322400</v>
      </c>
      <c r="BA186" s="230">
        <v>477100</v>
      </c>
      <c r="BB186" s="230">
        <v>-154700</v>
      </c>
      <c r="BC186" s="229">
        <v>-0.32429999999999998</v>
      </c>
      <c r="BD186" s="230">
        <v>22100</v>
      </c>
      <c r="BE186" s="230">
        <v>45500</v>
      </c>
      <c r="BF186" s="230">
        <v>-23400</v>
      </c>
      <c r="BG186" s="229">
        <v>-0.51429999999999998</v>
      </c>
      <c r="BH186" s="230">
        <v>6711900</v>
      </c>
      <c r="BI186" s="230">
        <v>13968500</v>
      </c>
      <c r="BJ186" s="230">
        <v>-7256600</v>
      </c>
      <c r="BK186" s="229">
        <v>-0.51949999999999996</v>
      </c>
      <c r="BL186" s="230">
        <v>4927000</v>
      </c>
      <c r="BM186" s="230">
        <v>7094100</v>
      </c>
      <c r="BN186" s="230">
        <v>-2167100</v>
      </c>
      <c r="BO186" s="229">
        <v>-0.30549999999999999</v>
      </c>
      <c r="BP186" s="230">
        <v>18735600</v>
      </c>
      <c r="BQ186" s="230">
        <v>32457100</v>
      </c>
      <c r="BR186" s="230">
        <v>-13721500</v>
      </c>
      <c r="BS186" s="229">
        <v>-0.42280000000000001</v>
      </c>
      <c r="BT186" s="230">
        <v>6170662</v>
      </c>
      <c r="BU186" s="230">
        <v>18441389</v>
      </c>
      <c r="BV186" s="230">
        <v>-12270727</v>
      </c>
      <c r="BW186" s="229">
        <v>-0.66539999999999999</v>
      </c>
      <c r="BX186" s="230">
        <v>50454300</v>
      </c>
      <c r="BY186" s="230">
        <v>50116300</v>
      </c>
      <c r="BZ186" s="230">
        <v>338000</v>
      </c>
      <c r="CA186" s="229">
        <v>6.7000000000000002E-3</v>
      </c>
      <c r="CB186" s="230">
        <v>49608000</v>
      </c>
      <c r="CC186" s="230">
        <v>49288200</v>
      </c>
      <c r="CD186" s="230">
        <v>319800</v>
      </c>
      <c r="CE186" s="229">
        <v>6.4999999999999997E-3</v>
      </c>
      <c r="CF186" s="230">
        <v>713700</v>
      </c>
      <c r="CG186" s="230">
        <v>694200</v>
      </c>
      <c r="CH186" s="230">
        <v>19500</v>
      </c>
      <c r="CI186" s="229">
        <v>2.81E-2</v>
      </c>
      <c r="CJ186" s="230">
        <v>132600</v>
      </c>
      <c r="CK186" s="230">
        <v>133900</v>
      </c>
      <c r="CL186" s="230">
        <v>-1300</v>
      </c>
      <c r="CM186" s="229">
        <v>-9.7000000000000003E-3</v>
      </c>
      <c r="CN186" s="230">
        <v>6494800</v>
      </c>
      <c r="CO186" s="230">
        <v>6524700</v>
      </c>
      <c r="CP186" s="230">
        <v>-29900</v>
      </c>
      <c r="CQ186" s="229">
        <v>-4.5999999999999999E-3</v>
      </c>
      <c r="CR186" s="230">
        <v>5229900</v>
      </c>
      <c r="CS186" s="230">
        <v>5138900</v>
      </c>
      <c r="CT186" s="230">
        <v>91000</v>
      </c>
      <c r="CU186" s="229">
        <v>1.77E-2</v>
      </c>
      <c r="CV186" s="230">
        <v>62179000</v>
      </c>
      <c r="CW186" s="230">
        <v>61779900</v>
      </c>
      <c r="CX186" s="230">
        <v>399100</v>
      </c>
      <c r="CY186" s="229">
        <v>6.4999999999999997E-3</v>
      </c>
      <c r="CZ186" s="228">
        <v>39.22</v>
      </c>
      <c r="DA186" s="228">
        <v>43.13</v>
      </c>
      <c r="DB186" s="228">
        <v>-3.91</v>
      </c>
      <c r="DC186" s="228">
        <v>-3.91</v>
      </c>
      <c r="DD186" s="228">
        <v>45.2</v>
      </c>
      <c r="DE186" s="228">
        <v>45.32</v>
      </c>
      <c r="DF186" s="228">
        <v>-5.98</v>
      </c>
      <c r="DG186" s="228">
        <v>-0.12</v>
      </c>
      <c r="DH186" s="228">
        <v>38.29</v>
      </c>
      <c r="DI186" s="228">
        <v>41.68</v>
      </c>
      <c r="DJ186" s="228">
        <v>-3.39</v>
      </c>
      <c r="DK186" s="228">
        <v>-3.39</v>
      </c>
      <c r="DL186" s="228">
        <v>40.479999999999997</v>
      </c>
      <c r="DM186" s="228">
        <v>45.98</v>
      </c>
      <c r="DN186" s="228">
        <v>-5.5</v>
      </c>
      <c r="DO186" s="228">
        <v>-5.5</v>
      </c>
      <c r="DP186" s="228">
        <v>0.81</v>
      </c>
      <c r="DQ186" s="228">
        <v>0.79</v>
      </c>
      <c r="DR186" s="228">
        <v>0.02</v>
      </c>
      <c r="DS186" s="229">
        <v>2.53E-2</v>
      </c>
      <c r="DT186" s="228">
        <v>350</v>
      </c>
      <c r="DU186" s="228">
        <v>280</v>
      </c>
      <c r="DV186" s="228">
        <v>0.73</v>
      </c>
      <c r="DW186" s="228">
        <v>0.51</v>
      </c>
      <c r="DX186" s="228">
        <v>0.22</v>
      </c>
      <c r="DY186" s="229">
        <v>0.43140000000000001</v>
      </c>
      <c r="DZ186" s="229">
        <v>1.6799999999999999E-2</v>
      </c>
      <c r="EA186" s="230">
        <v>828100</v>
      </c>
      <c r="EB186" s="229">
        <v>-8.0999999999999996E-3</v>
      </c>
      <c r="EC186" s="229">
        <v>1.6799999999999999E-2</v>
      </c>
      <c r="ED186" s="228">
        <v>-1.78</v>
      </c>
      <c r="EE186" s="229">
        <v>-6.1000000000000004E-3</v>
      </c>
      <c r="EF186" s="230">
        <v>1886258</v>
      </c>
      <c r="EG186" s="230">
        <v>7466299</v>
      </c>
      <c r="EH186" s="229">
        <v>-0.74739999999999995</v>
      </c>
      <c r="EI186" s="229">
        <v>0.30570000000000003</v>
      </c>
      <c r="EJ186" s="231">
        <v>21203.119999999999</v>
      </c>
      <c r="EK186" s="231">
        <v>14387.24</v>
      </c>
      <c r="EL186" s="231">
        <v>20746.34</v>
      </c>
      <c r="EM186" s="231">
        <v>6066</v>
      </c>
      <c r="EN186" s="231">
        <v>56336.7</v>
      </c>
      <c r="EO186" s="231">
        <v>98160.19</v>
      </c>
      <c r="EP186" s="231">
        <v>-41823.49</v>
      </c>
      <c r="EQ186" s="229">
        <v>-0.42609999999999998</v>
      </c>
      <c r="ER186" s="231">
        <v>21150</v>
      </c>
      <c r="ES186" s="231">
        <v>15369</v>
      </c>
      <c r="ET186" s="231">
        <v>150357</v>
      </c>
      <c r="EU186" s="231">
        <v>375529891</v>
      </c>
      <c r="EV186" s="231">
        <v>186876</v>
      </c>
      <c r="EW186" s="231">
        <v>183955</v>
      </c>
      <c r="EX186" s="231">
        <v>2921</v>
      </c>
      <c r="EY186" s="229">
        <v>1.5900000000000001E-2</v>
      </c>
      <c r="EZ186" s="229">
        <v>0.1656</v>
      </c>
      <c r="FA186" s="227" t="s">
        <v>555</v>
      </c>
      <c r="FB186" s="161">
        <f t="shared" si="4"/>
        <v>0</v>
      </c>
    </row>
    <row r="187" spans="1:158" ht="17.25" thickBot="1" x14ac:dyDescent="0.3">
      <c r="A187" s="226">
        <v>46086</v>
      </c>
      <c r="B187" s="227" t="s">
        <v>170</v>
      </c>
      <c r="C187" s="227" t="s">
        <v>520</v>
      </c>
      <c r="D187" s="228">
        <v>1000</v>
      </c>
      <c r="E187" s="228">
        <v>405.8</v>
      </c>
      <c r="F187" s="228">
        <v>401.55</v>
      </c>
      <c r="G187" s="228">
        <v>4.25</v>
      </c>
      <c r="H187" s="229">
        <v>1.06E-2</v>
      </c>
      <c r="I187" s="228">
        <v>403.7</v>
      </c>
      <c r="J187" s="228">
        <v>400.7</v>
      </c>
      <c r="K187" s="228">
        <v>3</v>
      </c>
      <c r="L187" s="229">
        <v>7.4999999999999997E-3</v>
      </c>
      <c r="M187" s="228">
        <v>405.8</v>
      </c>
      <c r="N187" s="228">
        <v>401.55</v>
      </c>
      <c r="O187" s="228">
        <v>4.25</v>
      </c>
      <c r="P187" s="229">
        <v>1.06E-2</v>
      </c>
      <c r="Q187" s="228">
        <v>0</v>
      </c>
      <c r="R187" s="228">
        <v>0</v>
      </c>
      <c r="S187" s="228">
        <v>0</v>
      </c>
      <c r="T187" s="229">
        <v>0</v>
      </c>
      <c r="U187" s="228">
        <v>0</v>
      </c>
      <c r="V187" s="228">
        <v>0</v>
      </c>
      <c r="W187" s="228">
        <v>0</v>
      </c>
      <c r="X187" s="229">
        <v>0</v>
      </c>
      <c r="Y187" s="228">
        <v>2.1</v>
      </c>
      <c r="Z187" s="228">
        <v>0.85</v>
      </c>
      <c r="AA187" s="228">
        <v>1.25</v>
      </c>
      <c r="AB187" s="229">
        <v>5.1999999999999998E-3</v>
      </c>
      <c r="AC187" s="228">
        <v>2.1</v>
      </c>
      <c r="AD187" s="228">
        <v>0.85</v>
      </c>
      <c r="AE187" s="228">
        <v>1.25</v>
      </c>
      <c r="AF187" s="229">
        <v>5.1999999999999998E-3</v>
      </c>
      <c r="AG187" s="228">
        <v>0</v>
      </c>
      <c r="AH187" s="228">
        <v>0</v>
      </c>
      <c r="AI187" s="228">
        <v>0</v>
      </c>
      <c r="AJ187" s="229">
        <v>0</v>
      </c>
      <c r="AK187" s="228">
        <v>0</v>
      </c>
      <c r="AL187" s="228">
        <v>0</v>
      </c>
      <c r="AM187" s="228">
        <v>0</v>
      </c>
      <c r="AN187" s="229">
        <v>0</v>
      </c>
      <c r="AO187" s="228">
        <v>402.74</v>
      </c>
      <c r="AP187" s="228">
        <v>0</v>
      </c>
      <c r="AQ187" s="228">
        <v>0</v>
      </c>
      <c r="AR187" s="230">
        <v>889000</v>
      </c>
      <c r="AS187" s="230">
        <v>1192000</v>
      </c>
      <c r="AT187" s="230">
        <v>-303000</v>
      </c>
      <c r="AU187" s="229">
        <v>-0.25419999999999998</v>
      </c>
      <c r="AV187" s="230">
        <v>889000</v>
      </c>
      <c r="AW187" s="230">
        <v>1192000</v>
      </c>
      <c r="AX187" s="230">
        <v>-303000</v>
      </c>
      <c r="AY187" s="229">
        <v>-0.25419999999999998</v>
      </c>
      <c r="AZ187" s="228">
        <v>0</v>
      </c>
      <c r="BA187" s="228">
        <v>0</v>
      </c>
      <c r="BB187" s="228">
        <v>0</v>
      </c>
      <c r="BC187" s="229">
        <v>0</v>
      </c>
      <c r="BD187" s="228">
        <v>0</v>
      </c>
      <c r="BE187" s="228">
        <v>0</v>
      </c>
      <c r="BF187" s="228">
        <v>0</v>
      </c>
      <c r="BG187" s="229">
        <v>0</v>
      </c>
      <c r="BH187" s="230">
        <v>2207000</v>
      </c>
      <c r="BI187" s="230">
        <v>2730000</v>
      </c>
      <c r="BJ187" s="230">
        <v>-523000</v>
      </c>
      <c r="BK187" s="229">
        <v>-0.19159999999999999</v>
      </c>
      <c r="BL187" s="230">
        <v>807000</v>
      </c>
      <c r="BM187" s="230">
        <v>1298000</v>
      </c>
      <c r="BN187" s="230">
        <v>-491000</v>
      </c>
      <c r="BO187" s="229">
        <v>-0.37830000000000003</v>
      </c>
      <c r="BP187" s="230">
        <v>3903000</v>
      </c>
      <c r="BQ187" s="230">
        <v>5220000</v>
      </c>
      <c r="BR187" s="230">
        <v>-1317000</v>
      </c>
      <c r="BS187" s="229">
        <v>-0.25230000000000002</v>
      </c>
      <c r="BT187" s="230">
        <v>629190</v>
      </c>
      <c r="BU187" s="230">
        <v>895377</v>
      </c>
      <c r="BV187" s="230">
        <v>-266187</v>
      </c>
      <c r="BW187" s="229">
        <v>-0.29730000000000001</v>
      </c>
      <c r="BX187" s="230">
        <v>8838000</v>
      </c>
      <c r="BY187" s="230">
        <v>8798000</v>
      </c>
      <c r="BZ187" s="230">
        <v>40000</v>
      </c>
      <c r="CA187" s="229">
        <v>4.4999999999999997E-3</v>
      </c>
      <c r="CB187" s="230">
        <v>8838000</v>
      </c>
      <c r="CC187" s="230">
        <v>8798000</v>
      </c>
      <c r="CD187" s="230">
        <v>40000</v>
      </c>
      <c r="CE187" s="229">
        <v>4.4999999999999997E-3</v>
      </c>
      <c r="CF187" s="228">
        <v>0</v>
      </c>
      <c r="CG187" s="228">
        <v>0</v>
      </c>
      <c r="CH187" s="228">
        <v>0</v>
      </c>
      <c r="CI187" s="229">
        <v>0</v>
      </c>
      <c r="CJ187" s="228">
        <v>0</v>
      </c>
      <c r="CK187" s="228">
        <v>0</v>
      </c>
      <c r="CL187" s="228">
        <v>0</v>
      </c>
      <c r="CM187" s="229">
        <v>0</v>
      </c>
      <c r="CN187" s="230">
        <v>4848000</v>
      </c>
      <c r="CO187" s="230">
        <v>4467000</v>
      </c>
      <c r="CP187" s="230">
        <v>381000</v>
      </c>
      <c r="CQ187" s="229">
        <v>8.5300000000000001E-2</v>
      </c>
      <c r="CR187" s="230">
        <v>2809000</v>
      </c>
      <c r="CS187" s="230">
        <v>2818000</v>
      </c>
      <c r="CT187" s="230">
        <v>-9000</v>
      </c>
      <c r="CU187" s="229">
        <v>-3.2000000000000002E-3</v>
      </c>
      <c r="CV187" s="230">
        <v>16495000</v>
      </c>
      <c r="CW187" s="230">
        <v>16083000</v>
      </c>
      <c r="CX187" s="230">
        <v>412000</v>
      </c>
      <c r="CY187" s="229">
        <v>2.5600000000000001E-2</v>
      </c>
      <c r="CZ187" s="228">
        <v>34.14</v>
      </c>
      <c r="DA187" s="228">
        <v>37.47</v>
      </c>
      <c r="DB187" s="228">
        <v>-3.33</v>
      </c>
      <c r="DC187" s="228">
        <v>-3.33</v>
      </c>
      <c r="DD187" s="228">
        <v>36.07</v>
      </c>
      <c r="DE187" s="228">
        <v>36.130000000000003</v>
      </c>
      <c r="DF187" s="228">
        <v>-1.93</v>
      </c>
      <c r="DG187" s="228">
        <v>-0.06</v>
      </c>
      <c r="DH187" s="228">
        <v>33.54</v>
      </c>
      <c r="DI187" s="228">
        <v>37.51</v>
      </c>
      <c r="DJ187" s="228">
        <v>-3.97</v>
      </c>
      <c r="DK187" s="228">
        <v>-3.97</v>
      </c>
      <c r="DL187" s="228">
        <v>35.79</v>
      </c>
      <c r="DM187" s="228">
        <v>37.4</v>
      </c>
      <c r="DN187" s="228">
        <v>-1.61</v>
      </c>
      <c r="DO187" s="228">
        <v>-1.61</v>
      </c>
      <c r="DP187" s="228">
        <v>0.57999999999999996</v>
      </c>
      <c r="DQ187" s="228">
        <v>0.63</v>
      </c>
      <c r="DR187" s="228">
        <v>-0.05</v>
      </c>
      <c r="DS187" s="229">
        <v>-7.9399999999999998E-2</v>
      </c>
      <c r="DT187" s="228">
        <v>450</v>
      </c>
      <c r="DU187" s="228">
        <v>440</v>
      </c>
      <c r="DV187" s="228">
        <v>0.37</v>
      </c>
      <c r="DW187" s="228">
        <v>0.48</v>
      </c>
      <c r="DX187" s="228">
        <v>-0.11</v>
      </c>
      <c r="DY187" s="229">
        <v>-0.22919999999999999</v>
      </c>
      <c r="DZ187" s="229">
        <v>0</v>
      </c>
      <c r="EA187" s="228">
        <v>0</v>
      </c>
      <c r="EB187" s="229">
        <v>0</v>
      </c>
      <c r="EC187" s="229">
        <v>0</v>
      </c>
      <c r="ED187" s="228">
        <v>0</v>
      </c>
      <c r="EE187" s="229">
        <v>0</v>
      </c>
      <c r="EF187" s="230">
        <v>288096</v>
      </c>
      <c r="EG187" s="230">
        <v>452192</v>
      </c>
      <c r="EH187" s="229">
        <v>-0.3629</v>
      </c>
      <c r="EI187" s="229">
        <v>0.45789999999999997</v>
      </c>
      <c r="EJ187" s="231">
        <v>9852.92</v>
      </c>
      <c r="EK187" s="231">
        <v>3260.9</v>
      </c>
      <c r="EL187" s="231">
        <v>3580.32</v>
      </c>
      <c r="EM187" s="231">
        <v>1780</v>
      </c>
      <c r="EN187" s="231">
        <v>16694.14</v>
      </c>
      <c r="EO187" s="231">
        <v>22577.86</v>
      </c>
      <c r="EP187" s="231">
        <v>-5883.72</v>
      </c>
      <c r="EQ187" s="229">
        <v>-0.2606</v>
      </c>
      <c r="ER187" s="231">
        <v>22505</v>
      </c>
      <c r="ES187" s="231">
        <v>12433</v>
      </c>
      <c r="ET187" s="231">
        <v>35865</v>
      </c>
      <c r="EU187" s="231">
        <v>24733183</v>
      </c>
      <c r="EV187" s="231">
        <v>70802</v>
      </c>
      <c r="EW187" s="231">
        <v>68650</v>
      </c>
      <c r="EX187" s="231">
        <v>2152</v>
      </c>
      <c r="EY187" s="229">
        <v>3.1300000000000001E-2</v>
      </c>
      <c r="EZ187" s="229">
        <v>0.66690000000000005</v>
      </c>
      <c r="FA187" s="227" t="s">
        <v>555</v>
      </c>
      <c r="FB187" s="161">
        <f t="shared" si="4"/>
        <v>0</v>
      </c>
    </row>
    <row r="188" spans="1:158" ht="17.25" thickBot="1" x14ac:dyDescent="0.3">
      <c r="A188" s="226">
        <v>46086</v>
      </c>
      <c r="B188" s="227" t="s">
        <v>168</v>
      </c>
      <c r="C188" s="227" t="s">
        <v>291</v>
      </c>
      <c r="D188" s="228">
        <v>550</v>
      </c>
      <c r="E188" s="231">
        <v>1121.7</v>
      </c>
      <c r="F188" s="231">
        <v>1115</v>
      </c>
      <c r="G188" s="228">
        <v>6.7</v>
      </c>
      <c r="H188" s="229">
        <v>6.0000000000000001E-3</v>
      </c>
      <c r="I188" s="231">
        <v>1119.0999999999999</v>
      </c>
      <c r="J188" s="231">
        <v>1110.5999999999999</v>
      </c>
      <c r="K188" s="228">
        <v>8.5</v>
      </c>
      <c r="L188" s="229">
        <v>7.7000000000000002E-3</v>
      </c>
      <c r="M188" s="231">
        <v>1121.7</v>
      </c>
      <c r="N188" s="231">
        <v>1115</v>
      </c>
      <c r="O188" s="228">
        <v>6.7</v>
      </c>
      <c r="P188" s="229">
        <v>6.0000000000000001E-3</v>
      </c>
      <c r="Q188" s="231">
        <v>1130.9000000000001</v>
      </c>
      <c r="R188" s="231">
        <v>1124.5999999999999</v>
      </c>
      <c r="S188" s="228">
        <v>6.3</v>
      </c>
      <c r="T188" s="229">
        <v>5.5999999999999999E-3</v>
      </c>
      <c r="U188" s="231">
        <v>1135.2</v>
      </c>
      <c r="V188" s="231">
        <v>1129.5</v>
      </c>
      <c r="W188" s="228">
        <v>5.7</v>
      </c>
      <c r="X188" s="229">
        <v>5.0000000000000001E-3</v>
      </c>
      <c r="Y188" s="228">
        <v>2.6</v>
      </c>
      <c r="Z188" s="228">
        <v>4.4000000000000004</v>
      </c>
      <c r="AA188" s="228">
        <v>-1.8</v>
      </c>
      <c r="AB188" s="229">
        <v>2.3E-3</v>
      </c>
      <c r="AC188" s="228">
        <v>2.6</v>
      </c>
      <c r="AD188" s="228">
        <v>4.4000000000000004</v>
      </c>
      <c r="AE188" s="228">
        <v>-1.8</v>
      </c>
      <c r="AF188" s="229">
        <v>2.3E-3</v>
      </c>
      <c r="AG188" s="228">
        <v>11.8</v>
      </c>
      <c r="AH188" s="228">
        <v>14</v>
      </c>
      <c r="AI188" s="228">
        <v>-2.2000000000000002</v>
      </c>
      <c r="AJ188" s="229">
        <v>1.0500000000000001E-2</v>
      </c>
      <c r="AK188" s="228">
        <v>16.100000000000001</v>
      </c>
      <c r="AL188" s="228">
        <v>18.899999999999999</v>
      </c>
      <c r="AM188" s="228">
        <v>-2.8</v>
      </c>
      <c r="AN188" s="229">
        <v>1.44E-2</v>
      </c>
      <c r="AO188" s="231">
        <v>1112.97</v>
      </c>
      <c r="AP188" s="231">
        <v>1119.23</v>
      </c>
      <c r="AQ188" s="228">
        <v>0</v>
      </c>
      <c r="AR188" s="230">
        <v>1520200</v>
      </c>
      <c r="AS188" s="230">
        <v>1785300</v>
      </c>
      <c r="AT188" s="230">
        <v>-265100</v>
      </c>
      <c r="AU188" s="229">
        <v>-0.14849999999999999</v>
      </c>
      <c r="AV188" s="230">
        <v>1476750</v>
      </c>
      <c r="AW188" s="230">
        <v>1713250</v>
      </c>
      <c r="AX188" s="230">
        <v>-236500</v>
      </c>
      <c r="AY188" s="229">
        <v>-0.13800000000000001</v>
      </c>
      <c r="AZ188" s="230">
        <v>42900</v>
      </c>
      <c r="BA188" s="230">
        <v>70400</v>
      </c>
      <c r="BB188" s="230">
        <v>-27500</v>
      </c>
      <c r="BC188" s="229">
        <v>-0.3906</v>
      </c>
      <c r="BD188" s="228">
        <v>550</v>
      </c>
      <c r="BE188" s="230">
        <v>1650</v>
      </c>
      <c r="BF188" s="230">
        <v>-1100</v>
      </c>
      <c r="BG188" s="229">
        <v>-0.66669999999999996</v>
      </c>
      <c r="BH188" s="230">
        <v>1423950</v>
      </c>
      <c r="BI188" s="230">
        <v>1215500</v>
      </c>
      <c r="BJ188" s="230">
        <v>208450</v>
      </c>
      <c r="BK188" s="229">
        <v>0.17150000000000001</v>
      </c>
      <c r="BL188" s="230">
        <v>892650</v>
      </c>
      <c r="BM188" s="230">
        <v>1290300</v>
      </c>
      <c r="BN188" s="230">
        <v>-397650</v>
      </c>
      <c r="BO188" s="229">
        <v>-0.30819999999999997</v>
      </c>
      <c r="BP188" s="230">
        <v>3836800</v>
      </c>
      <c r="BQ188" s="230">
        <v>4291100</v>
      </c>
      <c r="BR188" s="230">
        <v>-454300</v>
      </c>
      <c r="BS188" s="229">
        <v>-0.10589999999999999</v>
      </c>
      <c r="BT188" s="230">
        <v>1405998</v>
      </c>
      <c r="BU188" s="230">
        <v>1244107</v>
      </c>
      <c r="BV188" s="230">
        <v>161891</v>
      </c>
      <c r="BW188" s="229">
        <v>0.13009999999999999</v>
      </c>
      <c r="BX188" s="230">
        <v>13217600</v>
      </c>
      <c r="BY188" s="230">
        <v>13170300</v>
      </c>
      <c r="BZ188" s="230">
        <v>47300</v>
      </c>
      <c r="CA188" s="229">
        <v>3.5999999999999999E-3</v>
      </c>
      <c r="CB188" s="230">
        <v>13095500</v>
      </c>
      <c r="CC188" s="230">
        <v>13058100</v>
      </c>
      <c r="CD188" s="230">
        <v>37400</v>
      </c>
      <c r="CE188" s="229">
        <v>2.8999999999999998E-3</v>
      </c>
      <c r="CF188" s="230">
        <v>112200</v>
      </c>
      <c r="CG188" s="230">
        <v>102850</v>
      </c>
      <c r="CH188" s="230">
        <v>9350</v>
      </c>
      <c r="CI188" s="229">
        <v>9.0899999999999995E-2</v>
      </c>
      <c r="CJ188" s="230">
        <v>9900</v>
      </c>
      <c r="CK188" s="230">
        <v>9350</v>
      </c>
      <c r="CL188" s="228">
        <v>550</v>
      </c>
      <c r="CM188" s="229">
        <v>5.8799999999999998E-2</v>
      </c>
      <c r="CN188" s="230">
        <v>2324300</v>
      </c>
      <c r="CO188" s="230">
        <v>2232450</v>
      </c>
      <c r="CP188" s="230">
        <v>91850</v>
      </c>
      <c r="CQ188" s="229">
        <v>4.1099999999999998E-2</v>
      </c>
      <c r="CR188" s="230">
        <v>1423400</v>
      </c>
      <c r="CS188" s="230">
        <v>1399200</v>
      </c>
      <c r="CT188" s="230">
        <v>24200</v>
      </c>
      <c r="CU188" s="229">
        <v>1.7299999999999999E-2</v>
      </c>
      <c r="CV188" s="230">
        <v>16965300</v>
      </c>
      <c r="CW188" s="230">
        <v>16801950</v>
      </c>
      <c r="CX188" s="230">
        <v>163350</v>
      </c>
      <c r="CY188" s="229">
        <v>9.7000000000000003E-3</v>
      </c>
      <c r="CZ188" s="228">
        <v>22.32</v>
      </c>
      <c r="DA188" s="228">
        <v>24.57</v>
      </c>
      <c r="DB188" s="228">
        <v>-2.25</v>
      </c>
      <c r="DC188" s="228">
        <v>-2.25</v>
      </c>
      <c r="DD188" s="228">
        <v>27.09</v>
      </c>
      <c r="DE188" s="228">
        <v>27.13</v>
      </c>
      <c r="DF188" s="228">
        <v>-4.7699999999999996</v>
      </c>
      <c r="DG188" s="228">
        <v>-0.04</v>
      </c>
      <c r="DH188" s="228">
        <v>21.4</v>
      </c>
      <c r="DI188" s="228">
        <v>23.77</v>
      </c>
      <c r="DJ188" s="228">
        <v>-2.37</v>
      </c>
      <c r="DK188" s="228">
        <v>-2.37</v>
      </c>
      <c r="DL188" s="228">
        <v>23.78</v>
      </c>
      <c r="DM188" s="228">
        <v>25.33</v>
      </c>
      <c r="DN188" s="228">
        <v>-1.55</v>
      </c>
      <c r="DO188" s="228">
        <v>-1.55</v>
      </c>
      <c r="DP188" s="228">
        <v>0.61</v>
      </c>
      <c r="DQ188" s="228">
        <v>0.63</v>
      </c>
      <c r="DR188" s="228">
        <v>-0.02</v>
      </c>
      <c r="DS188" s="229">
        <v>-3.1699999999999999E-2</v>
      </c>
      <c r="DT188" s="231">
        <v>1300</v>
      </c>
      <c r="DU188" s="231">
        <v>1100</v>
      </c>
      <c r="DV188" s="228">
        <v>0.63</v>
      </c>
      <c r="DW188" s="228">
        <v>1.06</v>
      </c>
      <c r="DX188" s="228">
        <v>-0.43</v>
      </c>
      <c r="DY188" s="229">
        <v>-0.40570000000000001</v>
      </c>
      <c r="DZ188" s="229">
        <v>9.1999999999999998E-3</v>
      </c>
      <c r="EA188" s="230">
        <v>112200</v>
      </c>
      <c r="EB188" s="229">
        <v>8.2000000000000007E-3</v>
      </c>
      <c r="EC188" s="229">
        <v>9.1999999999999998E-3</v>
      </c>
      <c r="ED188" s="228">
        <v>6.26</v>
      </c>
      <c r="EE188" s="229">
        <v>5.5999999999999999E-3</v>
      </c>
      <c r="EF188" s="230">
        <v>863936</v>
      </c>
      <c r="EG188" s="230">
        <v>708953</v>
      </c>
      <c r="EH188" s="229">
        <v>0.21859999999999999</v>
      </c>
      <c r="EI188" s="229">
        <v>0.61450000000000005</v>
      </c>
      <c r="EJ188" s="231">
        <v>16698.580000000002</v>
      </c>
      <c r="EK188" s="231">
        <v>9739.0499999999993</v>
      </c>
      <c r="EL188" s="231">
        <v>16922.189999999999</v>
      </c>
      <c r="EM188" s="231">
        <v>3507</v>
      </c>
      <c r="EN188" s="231">
        <v>43359.82</v>
      </c>
      <c r="EO188" s="231">
        <v>48555.519999999997</v>
      </c>
      <c r="EP188" s="231">
        <v>-5195.7</v>
      </c>
      <c r="EQ188" s="229">
        <v>-0.107</v>
      </c>
      <c r="ER188" s="231">
        <v>28377</v>
      </c>
      <c r="ES188" s="231">
        <v>15710</v>
      </c>
      <c r="ET188" s="231">
        <v>148273</v>
      </c>
      <c r="EU188" s="231">
        <v>65472326</v>
      </c>
      <c r="EV188" s="231">
        <v>192360</v>
      </c>
      <c r="EW188" s="231">
        <v>189642</v>
      </c>
      <c r="EX188" s="231">
        <v>2718</v>
      </c>
      <c r="EY188" s="229">
        <v>1.43E-2</v>
      </c>
      <c r="EZ188" s="229">
        <v>0.2591</v>
      </c>
      <c r="FA188" s="227" t="s">
        <v>555</v>
      </c>
      <c r="FB188" s="161">
        <f t="shared" si="4"/>
        <v>0</v>
      </c>
    </row>
    <row r="189" spans="1:158" ht="17.25" thickBot="1" x14ac:dyDescent="0.3">
      <c r="A189" s="226">
        <v>46086</v>
      </c>
      <c r="B189" s="227" t="s">
        <v>221</v>
      </c>
      <c r="C189" s="227" t="s">
        <v>604</v>
      </c>
      <c r="D189" s="228">
        <v>100</v>
      </c>
      <c r="E189" s="231">
        <v>4380</v>
      </c>
      <c r="F189" s="231">
        <v>4365</v>
      </c>
      <c r="G189" s="228">
        <v>15</v>
      </c>
      <c r="H189" s="229">
        <v>3.3999999999999998E-3</v>
      </c>
      <c r="I189" s="231">
        <v>4400</v>
      </c>
      <c r="J189" s="231">
        <v>4357.7</v>
      </c>
      <c r="K189" s="228">
        <v>42.3</v>
      </c>
      <c r="L189" s="229">
        <v>9.7000000000000003E-3</v>
      </c>
      <c r="M189" s="231">
        <v>4380</v>
      </c>
      <c r="N189" s="231">
        <v>4365</v>
      </c>
      <c r="O189" s="228">
        <v>15</v>
      </c>
      <c r="P189" s="229">
        <v>3.3999999999999998E-3</v>
      </c>
      <c r="Q189" s="231">
        <v>4378.5</v>
      </c>
      <c r="R189" s="231">
        <v>4368.2</v>
      </c>
      <c r="S189" s="228">
        <v>10.3</v>
      </c>
      <c r="T189" s="229">
        <v>2.3999999999999998E-3</v>
      </c>
      <c r="U189" s="231">
        <v>4365.8</v>
      </c>
      <c r="V189" s="231">
        <v>4375</v>
      </c>
      <c r="W189" s="228">
        <v>-9.1999999999999993</v>
      </c>
      <c r="X189" s="229">
        <v>-2.0999999999999999E-3</v>
      </c>
      <c r="Y189" s="228">
        <v>-20</v>
      </c>
      <c r="Z189" s="228">
        <v>7.3</v>
      </c>
      <c r="AA189" s="228">
        <v>-27.3</v>
      </c>
      <c r="AB189" s="229">
        <v>-4.4999999999999997E-3</v>
      </c>
      <c r="AC189" s="228">
        <v>-20</v>
      </c>
      <c r="AD189" s="228">
        <v>7.3</v>
      </c>
      <c r="AE189" s="228">
        <v>-27.3</v>
      </c>
      <c r="AF189" s="229">
        <v>-4.4999999999999997E-3</v>
      </c>
      <c r="AG189" s="228">
        <v>-21.5</v>
      </c>
      <c r="AH189" s="228">
        <v>10.5</v>
      </c>
      <c r="AI189" s="228">
        <v>-32</v>
      </c>
      <c r="AJ189" s="229">
        <v>-4.8999999999999998E-3</v>
      </c>
      <c r="AK189" s="228">
        <v>-34.200000000000003</v>
      </c>
      <c r="AL189" s="228">
        <v>17.3</v>
      </c>
      <c r="AM189" s="228">
        <v>-51.5</v>
      </c>
      <c r="AN189" s="229">
        <v>-7.7999999999999996E-3</v>
      </c>
      <c r="AO189" s="231">
        <v>4371.55</v>
      </c>
      <c r="AP189" s="231">
        <v>4365.99</v>
      </c>
      <c r="AQ189" s="228">
        <v>0</v>
      </c>
      <c r="AR189" s="230">
        <v>334500</v>
      </c>
      <c r="AS189" s="230">
        <v>204700</v>
      </c>
      <c r="AT189" s="230">
        <v>129800</v>
      </c>
      <c r="AU189" s="229">
        <v>0.6341</v>
      </c>
      <c r="AV189" s="230">
        <v>293500</v>
      </c>
      <c r="AW189" s="230">
        <v>188000</v>
      </c>
      <c r="AX189" s="230">
        <v>105500</v>
      </c>
      <c r="AY189" s="229">
        <v>0.56120000000000003</v>
      </c>
      <c r="AZ189" s="230">
        <v>39200</v>
      </c>
      <c r="BA189" s="230">
        <v>15100</v>
      </c>
      <c r="BB189" s="230">
        <v>24100</v>
      </c>
      <c r="BC189" s="229">
        <v>1.5960000000000001</v>
      </c>
      <c r="BD189" s="230">
        <v>1800</v>
      </c>
      <c r="BE189" s="230">
        <v>1600</v>
      </c>
      <c r="BF189" s="228">
        <v>200</v>
      </c>
      <c r="BG189" s="229">
        <v>0.125</v>
      </c>
      <c r="BH189" s="230">
        <v>963900</v>
      </c>
      <c r="BI189" s="230">
        <v>1035100</v>
      </c>
      <c r="BJ189" s="230">
        <v>-71200</v>
      </c>
      <c r="BK189" s="229">
        <v>-6.88E-2</v>
      </c>
      <c r="BL189" s="230">
        <v>308500</v>
      </c>
      <c r="BM189" s="230">
        <v>646900</v>
      </c>
      <c r="BN189" s="230">
        <v>-338400</v>
      </c>
      <c r="BO189" s="229">
        <v>-0.52310000000000001</v>
      </c>
      <c r="BP189" s="230">
        <v>1606900</v>
      </c>
      <c r="BQ189" s="230">
        <v>1886700</v>
      </c>
      <c r="BR189" s="230">
        <v>-279800</v>
      </c>
      <c r="BS189" s="229">
        <v>-0.14829999999999999</v>
      </c>
      <c r="BT189" s="230">
        <v>205250</v>
      </c>
      <c r="BU189" s="230">
        <v>302798</v>
      </c>
      <c r="BV189" s="230">
        <v>-97548</v>
      </c>
      <c r="BW189" s="229">
        <v>-0.32219999999999999</v>
      </c>
      <c r="BX189" s="230">
        <v>1678800</v>
      </c>
      <c r="BY189" s="230">
        <v>1639300</v>
      </c>
      <c r="BZ189" s="230">
        <v>39500</v>
      </c>
      <c r="CA189" s="229">
        <v>2.41E-2</v>
      </c>
      <c r="CB189" s="230">
        <v>1585200</v>
      </c>
      <c r="CC189" s="230">
        <v>1561900</v>
      </c>
      <c r="CD189" s="230">
        <v>23300</v>
      </c>
      <c r="CE189" s="229">
        <v>1.49E-2</v>
      </c>
      <c r="CF189" s="230">
        <v>90300</v>
      </c>
      <c r="CG189" s="230">
        <v>74300</v>
      </c>
      <c r="CH189" s="230">
        <v>16000</v>
      </c>
      <c r="CI189" s="229">
        <v>0.21529999999999999</v>
      </c>
      <c r="CJ189" s="230">
        <v>3300</v>
      </c>
      <c r="CK189" s="230">
        <v>3100</v>
      </c>
      <c r="CL189" s="228">
        <v>200</v>
      </c>
      <c r="CM189" s="229">
        <v>6.4500000000000002E-2</v>
      </c>
      <c r="CN189" s="230">
        <v>1384800</v>
      </c>
      <c r="CO189" s="230">
        <v>1348000</v>
      </c>
      <c r="CP189" s="230">
        <v>36800</v>
      </c>
      <c r="CQ189" s="229">
        <v>2.7300000000000001E-2</v>
      </c>
      <c r="CR189" s="230">
        <v>659500</v>
      </c>
      <c r="CS189" s="230">
        <v>644500</v>
      </c>
      <c r="CT189" s="230">
        <v>15000</v>
      </c>
      <c r="CU189" s="229">
        <v>2.3300000000000001E-2</v>
      </c>
      <c r="CV189" s="230">
        <v>3723100</v>
      </c>
      <c r="CW189" s="230">
        <v>3631800</v>
      </c>
      <c r="CX189" s="230">
        <v>91300</v>
      </c>
      <c r="CY189" s="229">
        <v>2.5100000000000001E-2</v>
      </c>
      <c r="CZ189" s="228">
        <v>37.369999999999997</v>
      </c>
      <c r="DA189" s="228">
        <v>39.119999999999997</v>
      </c>
      <c r="DB189" s="228">
        <v>-1.75</v>
      </c>
      <c r="DC189" s="228">
        <v>-1.75</v>
      </c>
      <c r="DD189" s="228">
        <v>38.25</v>
      </c>
      <c r="DE189" s="228">
        <v>38.340000000000003</v>
      </c>
      <c r="DF189" s="228">
        <v>-0.88</v>
      </c>
      <c r="DG189" s="228">
        <v>-0.09</v>
      </c>
      <c r="DH189" s="228">
        <v>38.24</v>
      </c>
      <c r="DI189" s="228">
        <v>38.97</v>
      </c>
      <c r="DJ189" s="228">
        <v>-0.73</v>
      </c>
      <c r="DK189" s="228">
        <v>-0.73</v>
      </c>
      <c r="DL189" s="228">
        <v>34.659999999999997</v>
      </c>
      <c r="DM189" s="228">
        <v>39.36</v>
      </c>
      <c r="DN189" s="228">
        <v>-4.7</v>
      </c>
      <c r="DO189" s="228">
        <v>-4.7</v>
      </c>
      <c r="DP189" s="228">
        <v>0.48</v>
      </c>
      <c r="DQ189" s="228">
        <v>0.48</v>
      </c>
      <c r="DR189" s="228">
        <v>0</v>
      </c>
      <c r="DS189" s="229">
        <v>0</v>
      </c>
      <c r="DT189" s="231">
        <v>5000</v>
      </c>
      <c r="DU189" s="231">
        <v>4600</v>
      </c>
      <c r="DV189" s="228">
        <v>0.32</v>
      </c>
      <c r="DW189" s="228">
        <v>0.62</v>
      </c>
      <c r="DX189" s="228">
        <v>-0.3</v>
      </c>
      <c r="DY189" s="229">
        <v>-0.4839</v>
      </c>
      <c r="DZ189" s="229">
        <v>5.5800000000000002E-2</v>
      </c>
      <c r="EA189" s="230">
        <v>77400</v>
      </c>
      <c r="EB189" s="229">
        <v>-2.9999999999999997E-4</v>
      </c>
      <c r="EC189" s="229">
        <v>5.5800000000000002E-2</v>
      </c>
      <c r="ED189" s="228">
        <v>-5.56</v>
      </c>
      <c r="EE189" s="229">
        <v>-1.2999999999999999E-3</v>
      </c>
      <c r="EF189" s="230">
        <v>78228</v>
      </c>
      <c r="EG189" s="230">
        <v>134572</v>
      </c>
      <c r="EH189" s="229">
        <v>-0.41870000000000002</v>
      </c>
      <c r="EI189" s="229">
        <v>0.38109999999999999</v>
      </c>
      <c r="EJ189" s="231">
        <v>47538.59</v>
      </c>
      <c r="EK189" s="231">
        <v>13596.79</v>
      </c>
      <c r="EL189" s="231">
        <v>14620.14</v>
      </c>
      <c r="EM189" s="231">
        <v>4420</v>
      </c>
      <c r="EN189" s="231">
        <v>75755.520000000004</v>
      </c>
      <c r="EO189" s="231">
        <v>86752</v>
      </c>
      <c r="EP189" s="231">
        <v>-10996.48</v>
      </c>
      <c r="EQ189" s="229">
        <v>-0.1268</v>
      </c>
      <c r="ER189" s="231">
        <v>68904</v>
      </c>
      <c r="ES189" s="231">
        <v>29813</v>
      </c>
      <c r="ET189" s="231">
        <v>73530</v>
      </c>
      <c r="EU189" s="231">
        <v>5241546</v>
      </c>
      <c r="EV189" s="231">
        <v>172247</v>
      </c>
      <c r="EW189" s="231">
        <v>167793</v>
      </c>
      <c r="EX189" s="231">
        <v>4454</v>
      </c>
      <c r="EY189" s="229">
        <v>2.6499999999999999E-2</v>
      </c>
      <c r="EZ189" s="229">
        <v>0.71030000000000004</v>
      </c>
      <c r="FA189" s="227" t="s">
        <v>555</v>
      </c>
      <c r="FB189" s="161">
        <f t="shared" si="4"/>
        <v>0</v>
      </c>
    </row>
    <row r="190" spans="1:158" ht="17.25" thickBot="1" x14ac:dyDescent="0.3">
      <c r="A190" s="226">
        <v>46086</v>
      </c>
      <c r="B190" s="227" t="s">
        <v>161</v>
      </c>
      <c r="C190" s="227" t="s">
        <v>293</v>
      </c>
      <c r="D190" s="228">
        <v>1450</v>
      </c>
      <c r="E190" s="228">
        <v>378.65</v>
      </c>
      <c r="F190" s="228">
        <v>367.5</v>
      </c>
      <c r="G190" s="228">
        <v>11.15</v>
      </c>
      <c r="H190" s="229">
        <v>3.0300000000000001E-2</v>
      </c>
      <c r="I190" s="228">
        <v>376.85</v>
      </c>
      <c r="J190" s="228">
        <v>365.85</v>
      </c>
      <c r="K190" s="228">
        <v>11</v>
      </c>
      <c r="L190" s="229">
        <v>3.0099999999999998E-2</v>
      </c>
      <c r="M190" s="228">
        <v>378.65</v>
      </c>
      <c r="N190" s="228">
        <v>367.5</v>
      </c>
      <c r="O190" s="228">
        <v>11.15</v>
      </c>
      <c r="P190" s="229">
        <v>3.0300000000000001E-2</v>
      </c>
      <c r="Q190" s="228">
        <v>381</v>
      </c>
      <c r="R190" s="228">
        <v>369.85</v>
      </c>
      <c r="S190" s="228">
        <v>11.15</v>
      </c>
      <c r="T190" s="229">
        <v>3.0099999999999998E-2</v>
      </c>
      <c r="U190" s="228">
        <v>383.2</v>
      </c>
      <c r="V190" s="228">
        <v>371.75</v>
      </c>
      <c r="W190" s="228">
        <v>11.45</v>
      </c>
      <c r="X190" s="229">
        <v>3.0800000000000001E-2</v>
      </c>
      <c r="Y190" s="228">
        <v>1.8</v>
      </c>
      <c r="Z190" s="228">
        <v>1.65</v>
      </c>
      <c r="AA190" s="228">
        <v>0.15</v>
      </c>
      <c r="AB190" s="229">
        <v>4.7999999999999996E-3</v>
      </c>
      <c r="AC190" s="228">
        <v>1.8</v>
      </c>
      <c r="AD190" s="228">
        <v>1.65</v>
      </c>
      <c r="AE190" s="228">
        <v>0.15</v>
      </c>
      <c r="AF190" s="229">
        <v>4.7999999999999996E-3</v>
      </c>
      <c r="AG190" s="228">
        <v>4.1500000000000004</v>
      </c>
      <c r="AH190" s="228">
        <v>4</v>
      </c>
      <c r="AI190" s="228">
        <v>0.15</v>
      </c>
      <c r="AJ190" s="229">
        <v>1.0999999999999999E-2</v>
      </c>
      <c r="AK190" s="228">
        <v>6.35</v>
      </c>
      <c r="AL190" s="228">
        <v>5.9</v>
      </c>
      <c r="AM190" s="228">
        <v>0.45</v>
      </c>
      <c r="AN190" s="229">
        <v>1.6899999999999998E-2</v>
      </c>
      <c r="AO190" s="228">
        <v>376.63</v>
      </c>
      <c r="AP190" s="228">
        <v>378.54</v>
      </c>
      <c r="AQ190" s="228">
        <v>0</v>
      </c>
      <c r="AR190" s="230">
        <v>11586950</v>
      </c>
      <c r="AS190" s="230">
        <v>9330750</v>
      </c>
      <c r="AT190" s="230">
        <v>2256200</v>
      </c>
      <c r="AU190" s="229">
        <v>0.24179999999999999</v>
      </c>
      <c r="AV190" s="230">
        <v>11046100</v>
      </c>
      <c r="AW190" s="230">
        <v>8553550</v>
      </c>
      <c r="AX190" s="230">
        <v>2492550</v>
      </c>
      <c r="AY190" s="229">
        <v>0.29139999999999999</v>
      </c>
      <c r="AZ190" s="230">
        <v>471250</v>
      </c>
      <c r="BA190" s="230">
        <v>682950</v>
      </c>
      <c r="BB190" s="230">
        <v>-211700</v>
      </c>
      <c r="BC190" s="229">
        <v>-0.31</v>
      </c>
      <c r="BD190" s="230">
        <v>69600</v>
      </c>
      <c r="BE190" s="230">
        <v>94250</v>
      </c>
      <c r="BF190" s="230">
        <v>-24650</v>
      </c>
      <c r="BG190" s="229">
        <v>-0.26150000000000001</v>
      </c>
      <c r="BH190" s="230">
        <v>37853700</v>
      </c>
      <c r="BI190" s="230">
        <v>29917850</v>
      </c>
      <c r="BJ190" s="230">
        <v>7935850</v>
      </c>
      <c r="BK190" s="229">
        <v>0.26529999999999998</v>
      </c>
      <c r="BL190" s="230">
        <v>18912350</v>
      </c>
      <c r="BM190" s="230">
        <v>18548400</v>
      </c>
      <c r="BN190" s="230">
        <v>363950</v>
      </c>
      <c r="BO190" s="229">
        <v>1.9599999999999999E-2</v>
      </c>
      <c r="BP190" s="230">
        <v>68353000</v>
      </c>
      <c r="BQ190" s="230">
        <v>57797000</v>
      </c>
      <c r="BR190" s="230">
        <v>10556000</v>
      </c>
      <c r="BS190" s="229">
        <v>0.18260000000000001</v>
      </c>
      <c r="BT190" s="230">
        <v>6329693</v>
      </c>
      <c r="BU190" s="230">
        <v>5963515</v>
      </c>
      <c r="BV190" s="230">
        <v>366178</v>
      </c>
      <c r="BW190" s="229">
        <v>6.1400000000000003E-2</v>
      </c>
      <c r="BX190" s="230">
        <v>49407300</v>
      </c>
      <c r="BY190" s="230">
        <v>50058350</v>
      </c>
      <c r="BZ190" s="230">
        <v>-651050</v>
      </c>
      <c r="CA190" s="229">
        <v>-1.2999999999999999E-2</v>
      </c>
      <c r="CB190" s="230">
        <v>47658600</v>
      </c>
      <c r="CC190" s="230">
        <v>48327050</v>
      </c>
      <c r="CD190" s="230">
        <v>-668450</v>
      </c>
      <c r="CE190" s="229">
        <v>-1.38E-2</v>
      </c>
      <c r="CF190" s="230">
        <v>1583400</v>
      </c>
      <c r="CG190" s="230">
        <v>1593550</v>
      </c>
      <c r="CH190" s="230">
        <v>-10150</v>
      </c>
      <c r="CI190" s="229">
        <v>-6.4000000000000003E-3</v>
      </c>
      <c r="CJ190" s="230">
        <v>165300</v>
      </c>
      <c r="CK190" s="230">
        <v>137750</v>
      </c>
      <c r="CL190" s="230">
        <v>27550</v>
      </c>
      <c r="CM190" s="229">
        <v>0.2</v>
      </c>
      <c r="CN190" s="230">
        <v>29871450</v>
      </c>
      <c r="CO190" s="230">
        <v>30729850</v>
      </c>
      <c r="CP190" s="230">
        <v>-858400</v>
      </c>
      <c r="CQ190" s="229">
        <v>-2.7900000000000001E-2</v>
      </c>
      <c r="CR190" s="230">
        <v>21384600</v>
      </c>
      <c r="CS190" s="230">
        <v>20572600</v>
      </c>
      <c r="CT190" s="230">
        <v>812000</v>
      </c>
      <c r="CU190" s="229">
        <v>3.95E-2</v>
      </c>
      <c r="CV190" s="230">
        <v>100663350</v>
      </c>
      <c r="CW190" s="230">
        <v>101360800</v>
      </c>
      <c r="CX190" s="230">
        <v>-697450</v>
      </c>
      <c r="CY190" s="229">
        <v>-6.8999999999999999E-3</v>
      </c>
      <c r="CZ190" s="228">
        <v>25.44</v>
      </c>
      <c r="DA190" s="228">
        <v>28.03</v>
      </c>
      <c r="DB190" s="228">
        <v>-2.59</v>
      </c>
      <c r="DC190" s="228">
        <v>-2.59</v>
      </c>
      <c r="DD190" s="228">
        <v>31.29</v>
      </c>
      <c r="DE190" s="228">
        <v>31.11</v>
      </c>
      <c r="DF190" s="228">
        <v>-5.85</v>
      </c>
      <c r="DG190" s="228">
        <v>0.18</v>
      </c>
      <c r="DH190" s="228">
        <v>24.96</v>
      </c>
      <c r="DI190" s="228">
        <v>27.67</v>
      </c>
      <c r="DJ190" s="228">
        <v>-2.71</v>
      </c>
      <c r="DK190" s="228">
        <v>-2.71</v>
      </c>
      <c r="DL190" s="228">
        <v>26.41</v>
      </c>
      <c r="DM190" s="228">
        <v>28.63</v>
      </c>
      <c r="DN190" s="228">
        <v>-2.2200000000000002</v>
      </c>
      <c r="DO190" s="228">
        <v>-2.2200000000000002</v>
      </c>
      <c r="DP190" s="228">
        <v>0.72</v>
      </c>
      <c r="DQ190" s="228">
        <v>0.67</v>
      </c>
      <c r="DR190" s="228">
        <v>0.05</v>
      </c>
      <c r="DS190" s="229">
        <v>7.46E-2</v>
      </c>
      <c r="DT190" s="228">
        <v>420</v>
      </c>
      <c r="DU190" s="228">
        <v>380</v>
      </c>
      <c r="DV190" s="228">
        <v>0.5</v>
      </c>
      <c r="DW190" s="228">
        <v>0.62</v>
      </c>
      <c r="DX190" s="228">
        <v>-0.12</v>
      </c>
      <c r="DY190" s="229">
        <v>-0.19350000000000001</v>
      </c>
      <c r="DZ190" s="229">
        <v>3.5400000000000001E-2</v>
      </c>
      <c r="EA190" s="230">
        <v>1731300</v>
      </c>
      <c r="EB190" s="229">
        <v>6.1999999999999998E-3</v>
      </c>
      <c r="EC190" s="229">
        <v>3.5400000000000001E-2</v>
      </c>
      <c r="ED190" s="228">
        <v>1.91</v>
      </c>
      <c r="EE190" s="229">
        <v>5.1000000000000004E-3</v>
      </c>
      <c r="EF190" s="230">
        <v>2834115</v>
      </c>
      <c r="EG190" s="230">
        <v>2968078</v>
      </c>
      <c r="EH190" s="229">
        <v>-4.5100000000000001E-2</v>
      </c>
      <c r="EI190" s="229">
        <v>0.44769999999999999</v>
      </c>
      <c r="EJ190" s="231">
        <v>149653.29999999999</v>
      </c>
      <c r="EK190" s="231">
        <v>70470.45</v>
      </c>
      <c r="EL190" s="231">
        <v>43652.09</v>
      </c>
      <c r="EM190" s="231">
        <v>4663</v>
      </c>
      <c r="EN190" s="231">
        <v>263775.84000000003</v>
      </c>
      <c r="EO190" s="231">
        <v>219048.3</v>
      </c>
      <c r="EP190" s="231">
        <v>44727.54</v>
      </c>
      <c r="EQ190" s="229">
        <v>0.20419999999999999</v>
      </c>
      <c r="ER190" s="231">
        <v>119578</v>
      </c>
      <c r="ES190" s="231">
        <v>81301</v>
      </c>
      <c r="ET190" s="231">
        <v>187125</v>
      </c>
      <c r="EU190" s="231">
        <v>202215001</v>
      </c>
      <c r="EV190" s="231">
        <v>388004</v>
      </c>
      <c r="EW190" s="231">
        <v>385307</v>
      </c>
      <c r="EX190" s="231">
        <v>2697</v>
      </c>
      <c r="EY190" s="229">
        <v>7.0000000000000001E-3</v>
      </c>
      <c r="EZ190" s="229">
        <v>0.49780000000000002</v>
      </c>
      <c r="FA190" s="227" t="s">
        <v>556</v>
      </c>
      <c r="FB190" s="161">
        <f t="shared" si="4"/>
        <v>0</v>
      </c>
    </row>
    <row r="191" spans="1:158" ht="17.25" thickBot="1" x14ac:dyDescent="0.3">
      <c r="A191" s="226">
        <v>46086</v>
      </c>
      <c r="B191" s="227" t="s">
        <v>227</v>
      </c>
      <c r="C191" s="227" t="s">
        <v>294</v>
      </c>
      <c r="D191" s="228">
        <v>5500</v>
      </c>
      <c r="E191" s="228">
        <v>200.9</v>
      </c>
      <c r="F191" s="228">
        <v>197.06</v>
      </c>
      <c r="G191" s="228">
        <v>3.84</v>
      </c>
      <c r="H191" s="229">
        <v>1.95E-2</v>
      </c>
      <c r="I191" s="228">
        <v>200.57</v>
      </c>
      <c r="J191" s="228">
        <v>196.73</v>
      </c>
      <c r="K191" s="228">
        <v>3.84</v>
      </c>
      <c r="L191" s="229">
        <v>1.95E-2</v>
      </c>
      <c r="M191" s="228">
        <v>200.9</v>
      </c>
      <c r="N191" s="228">
        <v>197.06</v>
      </c>
      <c r="O191" s="228">
        <v>3.84</v>
      </c>
      <c r="P191" s="229">
        <v>1.95E-2</v>
      </c>
      <c r="Q191" s="228">
        <v>202.31</v>
      </c>
      <c r="R191" s="228">
        <v>198.38</v>
      </c>
      <c r="S191" s="228">
        <v>3.93</v>
      </c>
      <c r="T191" s="229">
        <v>1.9800000000000002E-2</v>
      </c>
      <c r="U191" s="228">
        <v>203.36</v>
      </c>
      <c r="V191" s="228">
        <v>199.4</v>
      </c>
      <c r="W191" s="228">
        <v>3.96</v>
      </c>
      <c r="X191" s="229">
        <v>1.9900000000000001E-2</v>
      </c>
      <c r="Y191" s="228">
        <v>0.33</v>
      </c>
      <c r="Z191" s="228">
        <v>0.33</v>
      </c>
      <c r="AA191" s="228">
        <v>0</v>
      </c>
      <c r="AB191" s="229">
        <v>1.6000000000000001E-3</v>
      </c>
      <c r="AC191" s="228">
        <v>0.33</v>
      </c>
      <c r="AD191" s="228">
        <v>0.33</v>
      </c>
      <c r="AE191" s="228">
        <v>0</v>
      </c>
      <c r="AF191" s="229">
        <v>1.6000000000000001E-3</v>
      </c>
      <c r="AG191" s="228">
        <v>1.74</v>
      </c>
      <c r="AH191" s="228">
        <v>1.65</v>
      </c>
      <c r="AI191" s="228">
        <v>0.09</v>
      </c>
      <c r="AJ191" s="229">
        <v>8.6999999999999994E-3</v>
      </c>
      <c r="AK191" s="228">
        <v>2.79</v>
      </c>
      <c r="AL191" s="228">
        <v>2.67</v>
      </c>
      <c r="AM191" s="228">
        <v>0.12</v>
      </c>
      <c r="AN191" s="229">
        <v>1.3899999999999999E-2</v>
      </c>
      <c r="AO191" s="228">
        <v>200.63</v>
      </c>
      <c r="AP191" s="228">
        <v>201.88</v>
      </c>
      <c r="AQ191" s="228">
        <v>0</v>
      </c>
      <c r="AR191" s="230">
        <v>78320000</v>
      </c>
      <c r="AS191" s="230">
        <v>118772500</v>
      </c>
      <c r="AT191" s="230">
        <v>-40452500</v>
      </c>
      <c r="AU191" s="229">
        <v>-0.34060000000000001</v>
      </c>
      <c r="AV191" s="230">
        <v>71560500</v>
      </c>
      <c r="AW191" s="230">
        <v>95733000</v>
      </c>
      <c r="AX191" s="230">
        <v>-24172500</v>
      </c>
      <c r="AY191" s="229">
        <v>-0.2525</v>
      </c>
      <c r="AZ191" s="230">
        <v>5544000</v>
      </c>
      <c r="BA191" s="230">
        <v>10076000</v>
      </c>
      <c r="BB191" s="230">
        <v>-4532000</v>
      </c>
      <c r="BC191" s="229">
        <v>-0.44979999999999998</v>
      </c>
      <c r="BD191" s="230">
        <v>1215500</v>
      </c>
      <c r="BE191" s="230">
        <v>12963500</v>
      </c>
      <c r="BF191" s="230">
        <v>-11748000</v>
      </c>
      <c r="BG191" s="229">
        <v>-0.90620000000000001</v>
      </c>
      <c r="BH191" s="230">
        <v>192439500</v>
      </c>
      <c r="BI191" s="230">
        <v>272195000</v>
      </c>
      <c r="BJ191" s="230">
        <v>-79755500</v>
      </c>
      <c r="BK191" s="229">
        <v>-0.29299999999999998</v>
      </c>
      <c r="BL191" s="230">
        <v>99071500</v>
      </c>
      <c r="BM191" s="230">
        <v>255717000</v>
      </c>
      <c r="BN191" s="230">
        <v>-156645500</v>
      </c>
      <c r="BO191" s="229">
        <v>-0.61260000000000003</v>
      </c>
      <c r="BP191" s="230">
        <v>369831000</v>
      </c>
      <c r="BQ191" s="230">
        <v>646684500</v>
      </c>
      <c r="BR191" s="230">
        <v>-276853500</v>
      </c>
      <c r="BS191" s="229">
        <v>-0.42809999999999998</v>
      </c>
      <c r="BT191" s="230">
        <v>43604544</v>
      </c>
      <c r="BU191" s="230">
        <v>75007940</v>
      </c>
      <c r="BV191" s="230">
        <v>-31403396</v>
      </c>
      <c r="BW191" s="229">
        <v>-0.41870000000000002</v>
      </c>
      <c r="BX191" s="230">
        <v>224840000</v>
      </c>
      <c r="BY191" s="230">
        <v>225522000</v>
      </c>
      <c r="BZ191" s="230">
        <v>-682000</v>
      </c>
      <c r="CA191" s="229">
        <v>-3.0000000000000001E-3</v>
      </c>
      <c r="CB191" s="230">
        <v>199133000</v>
      </c>
      <c r="CC191" s="230">
        <v>199699500</v>
      </c>
      <c r="CD191" s="230">
        <v>-566500</v>
      </c>
      <c r="CE191" s="229">
        <v>-2.8E-3</v>
      </c>
      <c r="CF191" s="230">
        <v>15328500</v>
      </c>
      <c r="CG191" s="230">
        <v>15532000</v>
      </c>
      <c r="CH191" s="230">
        <v>-203500</v>
      </c>
      <c r="CI191" s="229">
        <v>-1.3100000000000001E-2</v>
      </c>
      <c r="CJ191" s="230">
        <v>10378500</v>
      </c>
      <c r="CK191" s="230">
        <v>10290500</v>
      </c>
      <c r="CL191" s="230">
        <v>88000</v>
      </c>
      <c r="CM191" s="229">
        <v>8.6E-3</v>
      </c>
      <c r="CN191" s="230">
        <v>118156500</v>
      </c>
      <c r="CO191" s="230">
        <v>116523000</v>
      </c>
      <c r="CP191" s="230">
        <v>1633500</v>
      </c>
      <c r="CQ191" s="229">
        <v>1.4E-2</v>
      </c>
      <c r="CR191" s="230">
        <v>79409000</v>
      </c>
      <c r="CS191" s="230">
        <v>81620000</v>
      </c>
      <c r="CT191" s="230">
        <v>-2211000</v>
      </c>
      <c r="CU191" s="229">
        <v>-2.7099999999999999E-2</v>
      </c>
      <c r="CV191" s="230">
        <v>422405500</v>
      </c>
      <c r="CW191" s="230">
        <v>423665000</v>
      </c>
      <c r="CX191" s="230">
        <v>-1259500</v>
      </c>
      <c r="CY191" s="229">
        <v>-3.0000000000000001E-3</v>
      </c>
      <c r="CZ191" s="228">
        <v>31.97</v>
      </c>
      <c r="DA191" s="228">
        <v>36.74</v>
      </c>
      <c r="DB191" s="228">
        <v>-4.7699999999999996</v>
      </c>
      <c r="DC191" s="228">
        <v>-4.7699999999999996</v>
      </c>
      <c r="DD191" s="228">
        <v>34.82</v>
      </c>
      <c r="DE191" s="228">
        <v>34.81</v>
      </c>
      <c r="DF191" s="228">
        <v>-2.85</v>
      </c>
      <c r="DG191" s="228">
        <v>0.01</v>
      </c>
      <c r="DH191" s="228">
        <v>31.6</v>
      </c>
      <c r="DI191" s="228">
        <v>35.85</v>
      </c>
      <c r="DJ191" s="228">
        <v>-4.25</v>
      </c>
      <c r="DK191" s="228">
        <v>-4.25</v>
      </c>
      <c r="DL191" s="228">
        <v>32.68</v>
      </c>
      <c r="DM191" s="228">
        <v>37.69</v>
      </c>
      <c r="DN191" s="228">
        <v>-5.01</v>
      </c>
      <c r="DO191" s="228">
        <v>-5.01</v>
      </c>
      <c r="DP191" s="228">
        <v>0.67</v>
      </c>
      <c r="DQ191" s="228">
        <v>0.7</v>
      </c>
      <c r="DR191" s="228">
        <v>-0.03</v>
      </c>
      <c r="DS191" s="229">
        <v>-4.2900000000000001E-2</v>
      </c>
      <c r="DT191" s="228">
        <v>220</v>
      </c>
      <c r="DU191" s="228">
        <v>200</v>
      </c>
      <c r="DV191" s="228">
        <v>0.51</v>
      </c>
      <c r="DW191" s="228">
        <v>0.94</v>
      </c>
      <c r="DX191" s="228">
        <v>-0.43</v>
      </c>
      <c r="DY191" s="229">
        <v>-0.45739999999999997</v>
      </c>
      <c r="DZ191" s="229">
        <v>0.1143</v>
      </c>
      <c r="EA191" s="230">
        <v>25822500</v>
      </c>
      <c r="EB191" s="229">
        <v>7.0000000000000001E-3</v>
      </c>
      <c r="EC191" s="229">
        <v>0.1143</v>
      </c>
      <c r="ED191" s="228">
        <v>1.25</v>
      </c>
      <c r="EE191" s="229">
        <v>6.1999999999999998E-3</v>
      </c>
      <c r="EF191" s="230">
        <v>15697744</v>
      </c>
      <c r="EG191" s="230">
        <v>28944207</v>
      </c>
      <c r="EH191" s="229">
        <v>-0.4577</v>
      </c>
      <c r="EI191" s="229">
        <v>0.36</v>
      </c>
      <c r="EJ191" s="231">
        <v>411641.26</v>
      </c>
      <c r="EK191" s="231">
        <v>194408.49</v>
      </c>
      <c r="EL191" s="231">
        <v>157231.32999999999</v>
      </c>
      <c r="EM191" s="231">
        <v>11112</v>
      </c>
      <c r="EN191" s="231">
        <v>763281.08</v>
      </c>
      <c r="EO191" s="231">
        <v>1324435.25</v>
      </c>
      <c r="EP191" s="231">
        <v>-561154.17000000004</v>
      </c>
      <c r="EQ191" s="229">
        <v>-0.42370000000000002</v>
      </c>
      <c r="ER191" s="231">
        <v>253017</v>
      </c>
      <c r="ES191" s="231">
        <v>156520</v>
      </c>
      <c r="ET191" s="231">
        <v>452175</v>
      </c>
      <c r="EU191" s="231">
        <v>872935214</v>
      </c>
      <c r="EV191" s="231">
        <v>861713</v>
      </c>
      <c r="EW191" s="231">
        <v>854426</v>
      </c>
      <c r="EX191" s="231">
        <v>7287</v>
      </c>
      <c r="EY191" s="229">
        <v>8.5000000000000006E-3</v>
      </c>
      <c r="EZ191" s="229">
        <v>0.4839</v>
      </c>
      <c r="FA191" s="227" t="s">
        <v>556</v>
      </c>
      <c r="FB191" s="161">
        <f t="shared" si="4"/>
        <v>0</v>
      </c>
    </row>
    <row r="192" spans="1:158" ht="17.25" thickBot="1" x14ac:dyDescent="0.3">
      <c r="A192" s="226">
        <v>46086</v>
      </c>
      <c r="B192" s="227" t="s">
        <v>221</v>
      </c>
      <c r="C192" s="227" t="s">
        <v>663</v>
      </c>
      <c r="D192" s="228">
        <v>800</v>
      </c>
      <c r="E192" s="228">
        <v>578.85</v>
      </c>
      <c r="F192" s="228">
        <v>574.79999999999995</v>
      </c>
      <c r="G192" s="228">
        <v>4.05</v>
      </c>
      <c r="H192" s="229">
        <v>7.0000000000000001E-3</v>
      </c>
      <c r="I192" s="228">
        <v>576.1</v>
      </c>
      <c r="J192" s="228">
        <v>571.95000000000005</v>
      </c>
      <c r="K192" s="228">
        <v>4.1500000000000004</v>
      </c>
      <c r="L192" s="229">
        <v>7.3000000000000001E-3</v>
      </c>
      <c r="M192" s="228">
        <v>578.85</v>
      </c>
      <c r="N192" s="228">
        <v>574.79999999999995</v>
      </c>
      <c r="O192" s="228">
        <v>4.05</v>
      </c>
      <c r="P192" s="229">
        <v>7.0000000000000001E-3</v>
      </c>
      <c r="Q192" s="228">
        <v>581.5</v>
      </c>
      <c r="R192" s="228">
        <v>576.95000000000005</v>
      </c>
      <c r="S192" s="228">
        <v>4.55</v>
      </c>
      <c r="T192" s="229">
        <v>7.9000000000000008E-3</v>
      </c>
      <c r="U192" s="228">
        <v>0</v>
      </c>
      <c r="V192" s="228">
        <v>0</v>
      </c>
      <c r="W192" s="228">
        <v>0</v>
      </c>
      <c r="X192" s="229">
        <v>0</v>
      </c>
      <c r="Y192" s="228">
        <v>2.75</v>
      </c>
      <c r="Z192" s="228">
        <v>2.85</v>
      </c>
      <c r="AA192" s="228">
        <v>-0.1</v>
      </c>
      <c r="AB192" s="229">
        <v>4.7999999999999996E-3</v>
      </c>
      <c r="AC192" s="228">
        <v>2.75</v>
      </c>
      <c r="AD192" s="228">
        <v>2.85</v>
      </c>
      <c r="AE192" s="228">
        <v>-0.1</v>
      </c>
      <c r="AF192" s="229">
        <v>4.7999999999999996E-3</v>
      </c>
      <c r="AG192" s="228">
        <v>5.4</v>
      </c>
      <c r="AH192" s="228">
        <v>5</v>
      </c>
      <c r="AI192" s="228">
        <v>0.4</v>
      </c>
      <c r="AJ192" s="229">
        <v>9.4000000000000004E-3</v>
      </c>
      <c r="AK192" s="228">
        <v>0</v>
      </c>
      <c r="AL192" s="228">
        <v>0</v>
      </c>
      <c r="AM192" s="228">
        <v>0</v>
      </c>
      <c r="AN192" s="229">
        <v>0</v>
      </c>
      <c r="AO192" s="228">
        <v>576.04999999999995</v>
      </c>
      <c r="AP192" s="228">
        <v>578.48</v>
      </c>
      <c r="AQ192" s="228">
        <v>0</v>
      </c>
      <c r="AR192" s="230">
        <v>1412000</v>
      </c>
      <c r="AS192" s="230">
        <v>1716800</v>
      </c>
      <c r="AT192" s="230">
        <v>-304800</v>
      </c>
      <c r="AU192" s="229">
        <v>-0.17749999999999999</v>
      </c>
      <c r="AV192" s="230">
        <v>1265600</v>
      </c>
      <c r="AW192" s="230">
        <v>1597600</v>
      </c>
      <c r="AX192" s="230">
        <v>-332000</v>
      </c>
      <c r="AY192" s="229">
        <v>-0.20780000000000001</v>
      </c>
      <c r="AZ192" s="230">
        <v>146400</v>
      </c>
      <c r="BA192" s="230">
        <v>119200</v>
      </c>
      <c r="BB192" s="230">
        <v>27200</v>
      </c>
      <c r="BC192" s="229">
        <v>0.22819999999999999</v>
      </c>
      <c r="BD192" s="228">
        <v>0</v>
      </c>
      <c r="BE192" s="228">
        <v>0</v>
      </c>
      <c r="BF192" s="228">
        <v>0</v>
      </c>
      <c r="BG192" s="229">
        <v>0</v>
      </c>
      <c r="BH192" s="230">
        <v>1468800</v>
      </c>
      <c r="BI192" s="230">
        <v>1606400</v>
      </c>
      <c r="BJ192" s="230">
        <v>-137600</v>
      </c>
      <c r="BK192" s="229">
        <v>-8.5699999999999998E-2</v>
      </c>
      <c r="BL192" s="230">
        <v>641600</v>
      </c>
      <c r="BM192" s="230">
        <v>620800</v>
      </c>
      <c r="BN192" s="230">
        <v>20800</v>
      </c>
      <c r="BO192" s="229">
        <v>3.3500000000000002E-2</v>
      </c>
      <c r="BP192" s="230">
        <v>3522400</v>
      </c>
      <c r="BQ192" s="230">
        <v>3944000</v>
      </c>
      <c r="BR192" s="230">
        <v>-421600</v>
      </c>
      <c r="BS192" s="229">
        <v>-0.1069</v>
      </c>
      <c r="BT192" s="230">
        <v>640646</v>
      </c>
      <c r="BU192" s="230">
        <v>996175</v>
      </c>
      <c r="BV192" s="230">
        <v>-355529</v>
      </c>
      <c r="BW192" s="229">
        <v>-0.3569</v>
      </c>
      <c r="BX192" s="230">
        <v>11292800</v>
      </c>
      <c r="BY192" s="230">
        <v>11392000</v>
      </c>
      <c r="BZ192" s="230">
        <v>-99200</v>
      </c>
      <c r="CA192" s="229">
        <v>-8.6999999999999994E-3</v>
      </c>
      <c r="CB192" s="230">
        <v>10468800</v>
      </c>
      <c r="CC192" s="230">
        <v>10562400</v>
      </c>
      <c r="CD192" s="230">
        <v>-93600</v>
      </c>
      <c r="CE192" s="229">
        <v>-8.8999999999999999E-3</v>
      </c>
      <c r="CF192" s="230">
        <v>824000</v>
      </c>
      <c r="CG192" s="230">
        <v>829600</v>
      </c>
      <c r="CH192" s="230">
        <v>-5600</v>
      </c>
      <c r="CI192" s="229">
        <v>-6.7999999999999996E-3</v>
      </c>
      <c r="CJ192" s="228">
        <v>0</v>
      </c>
      <c r="CK192" s="228">
        <v>0</v>
      </c>
      <c r="CL192" s="228">
        <v>0</v>
      </c>
      <c r="CM192" s="229">
        <v>0</v>
      </c>
      <c r="CN192" s="230">
        <v>4015200</v>
      </c>
      <c r="CO192" s="230">
        <v>3974400</v>
      </c>
      <c r="CP192" s="230">
        <v>40800</v>
      </c>
      <c r="CQ192" s="229">
        <v>1.03E-2</v>
      </c>
      <c r="CR192" s="230">
        <v>2496000</v>
      </c>
      <c r="CS192" s="230">
        <v>2545600</v>
      </c>
      <c r="CT192" s="230">
        <v>-49600</v>
      </c>
      <c r="CU192" s="229">
        <v>-1.95E-2</v>
      </c>
      <c r="CV192" s="230">
        <v>17804000</v>
      </c>
      <c r="CW192" s="230">
        <v>17912000</v>
      </c>
      <c r="CX192" s="230">
        <v>-108000</v>
      </c>
      <c r="CY192" s="229">
        <v>-6.0000000000000001E-3</v>
      </c>
      <c r="CZ192" s="228">
        <v>29.97</v>
      </c>
      <c r="DA192" s="228">
        <v>34.14</v>
      </c>
      <c r="DB192" s="228">
        <v>-4.17</v>
      </c>
      <c r="DC192" s="228">
        <v>-4.17</v>
      </c>
      <c r="DD192" s="228">
        <v>30.77</v>
      </c>
      <c r="DE192" s="228">
        <v>30.83</v>
      </c>
      <c r="DF192" s="228">
        <v>-0.8</v>
      </c>
      <c r="DG192" s="228">
        <v>-0.06</v>
      </c>
      <c r="DH192" s="228">
        <v>29.07</v>
      </c>
      <c r="DI192" s="228">
        <v>34.06</v>
      </c>
      <c r="DJ192" s="228">
        <v>-4.99</v>
      </c>
      <c r="DK192" s="228">
        <v>-4.99</v>
      </c>
      <c r="DL192" s="228">
        <v>32.04</v>
      </c>
      <c r="DM192" s="228">
        <v>34.36</v>
      </c>
      <c r="DN192" s="228">
        <v>-2.3199999999999998</v>
      </c>
      <c r="DO192" s="228">
        <v>-2.3199999999999998</v>
      </c>
      <c r="DP192" s="228">
        <v>0.62</v>
      </c>
      <c r="DQ192" s="228">
        <v>0.64</v>
      </c>
      <c r="DR192" s="228">
        <v>-0.02</v>
      </c>
      <c r="DS192" s="229">
        <v>-3.1300000000000001E-2</v>
      </c>
      <c r="DT192" s="228">
        <v>700</v>
      </c>
      <c r="DU192" s="228">
        <v>600</v>
      </c>
      <c r="DV192" s="228">
        <v>0.44</v>
      </c>
      <c r="DW192" s="228">
        <v>0.39</v>
      </c>
      <c r="DX192" s="228">
        <v>0.05</v>
      </c>
      <c r="DY192" s="229">
        <v>0.12820000000000001</v>
      </c>
      <c r="DZ192" s="229">
        <v>7.2999999999999995E-2</v>
      </c>
      <c r="EA192" s="230">
        <v>829600</v>
      </c>
      <c r="EB192" s="229">
        <v>4.5999999999999999E-3</v>
      </c>
      <c r="EC192" s="229">
        <v>7.2999999999999995E-2</v>
      </c>
      <c r="ED192" s="228">
        <v>2.4300000000000002</v>
      </c>
      <c r="EE192" s="229">
        <v>4.1999999999999997E-3</v>
      </c>
      <c r="EF192" s="230">
        <v>300438</v>
      </c>
      <c r="EG192" s="230">
        <v>515853</v>
      </c>
      <c r="EH192" s="229">
        <v>-0.41760000000000003</v>
      </c>
      <c r="EI192" s="229">
        <v>0.46899999999999997</v>
      </c>
      <c r="EJ192" s="231">
        <v>9327.26</v>
      </c>
      <c r="EK192" s="231">
        <v>3552.8</v>
      </c>
      <c r="EL192" s="231">
        <v>8137.33</v>
      </c>
      <c r="EM192" s="231">
        <v>2332</v>
      </c>
      <c r="EN192" s="231">
        <v>21017.39</v>
      </c>
      <c r="EO192" s="231">
        <v>23625.95</v>
      </c>
      <c r="EP192" s="231">
        <v>-2608.56</v>
      </c>
      <c r="EQ192" s="229">
        <v>-0.1104</v>
      </c>
      <c r="ER192" s="231">
        <v>25807</v>
      </c>
      <c r="ES192" s="231">
        <v>14948</v>
      </c>
      <c r="ET192" s="231">
        <v>65390</v>
      </c>
      <c r="EU192" s="231">
        <v>25116370</v>
      </c>
      <c r="EV192" s="231">
        <v>106145</v>
      </c>
      <c r="EW192" s="231">
        <v>106249</v>
      </c>
      <c r="EX192" s="228">
        <v>-104</v>
      </c>
      <c r="EY192" s="229">
        <v>-1E-3</v>
      </c>
      <c r="EZ192" s="229">
        <v>0.70889999999999997</v>
      </c>
      <c r="FA192" s="227" t="s">
        <v>556</v>
      </c>
      <c r="FB192" s="161">
        <f t="shared" si="4"/>
        <v>0</v>
      </c>
    </row>
    <row r="193" spans="1:158" ht="17.25" thickBot="1" x14ac:dyDescent="0.3">
      <c r="A193" s="226">
        <v>46086</v>
      </c>
      <c r="B193" s="227" t="s">
        <v>221</v>
      </c>
      <c r="C193" s="227" t="s">
        <v>295</v>
      </c>
      <c r="D193" s="228">
        <v>175</v>
      </c>
      <c r="E193" s="231">
        <v>2589.5</v>
      </c>
      <c r="F193" s="231">
        <v>2597</v>
      </c>
      <c r="G193" s="228">
        <v>-7.5</v>
      </c>
      <c r="H193" s="229">
        <v>-2.8999999999999998E-3</v>
      </c>
      <c r="I193" s="231">
        <v>2578.8000000000002</v>
      </c>
      <c r="J193" s="231">
        <v>2587.8000000000002</v>
      </c>
      <c r="K193" s="228">
        <v>-9</v>
      </c>
      <c r="L193" s="229">
        <v>-3.5000000000000001E-3</v>
      </c>
      <c r="M193" s="231">
        <v>2589.5</v>
      </c>
      <c r="N193" s="231">
        <v>2597</v>
      </c>
      <c r="O193" s="228">
        <v>-7.5</v>
      </c>
      <c r="P193" s="229">
        <v>-2.8999999999999998E-3</v>
      </c>
      <c r="Q193" s="231">
        <v>2599.9</v>
      </c>
      <c r="R193" s="231">
        <v>2607.1999999999998</v>
      </c>
      <c r="S193" s="228">
        <v>-7.3</v>
      </c>
      <c r="T193" s="229">
        <v>-2.8E-3</v>
      </c>
      <c r="U193" s="231">
        <v>2603.6999999999998</v>
      </c>
      <c r="V193" s="231">
        <v>2612.8000000000002</v>
      </c>
      <c r="W193" s="228">
        <v>-9.1</v>
      </c>
      <c r="X193" s="229">
        <v>-3.5000000000000001E-3</v>
      </c>
      <c r="Y193" s="228">
        <v>10.7</v>
      </c>
      <c r="Z193" s="228">
        <v>9.1999999999999993</v>
      </c>
      <c r="AA193" s="228">
        <v>1.5</v>
      </c>
      <c r="AB193" s="229">
        <v>4.1000000000000003E-3</v>
      </c>
      <c r="AC193" s="228">
        <v>10.7</v>
      </c>
      <c r="AD193" s="228">
        <v>9.1999999999999993</v>
      </c>
      <c r="AE193" s="228">
        <v>1.5</v>
      </c>
      <c r="AF193" s="229">
        <v>4.1000000000000003E-3</v>
      </c>
      <c r="AG193" s="228">
        <v>21.1</v>
      </c>
      <c r="AH193" s="228">
        <v>19.399999999999999</v>
      </c>
      <c r="AI193" s="228">
        <v>1.7</v>
      </c>
      <c r="AJ193" s="229">
        <v>8.2000000000000007E-3</v>
      </c>
      <c r="AK193" s="228">
        <v>24.9</v>
      </c>
      <c r="AL193" s="228">
        <v>25</v>
      </c>
      <c r="AM193" s="228">
        <v>-0.1</v>
      </c>
      <c r="AN193" s="229">
        <v>9.7000000000000003E-3</v>
      </c>
      <c r="AO193" s="231">
        <v>2577.11</v>
      </c>
      <c r="AP193" s="231">
        <v>2585.1799999999998</v>
      </c>
      <c r="AQ193" s="228">
        <v>0</v>
      </c>
      <c r="AR193" s="230">
        <v>3547600</v>
      </c>
      <c r="AS193" s="230">
        <v>3848425</v>
      </c>
      <c r="AT193" s="230">
        <v>-300825</v>
      </c>
      <c r="AU193" s="229">
        <v>-7.8200000000000006E-2</v>
      </c>
      <c r="AV193" s="230">
        <v>3232600</v>
      </c>
      <c r="AW193" s="230">
        <v>2930900</v>
      </c>
      <c r="AX193" s="230">
        <v>301700</v>
      </c>
      <c r="AY193" s="229">
        <v>0.10290000000000001</v>
      </c>
      <c r="AZ193" s="230">
        <v>247450</v>
      </c>
      <c r="BA193" s="230">
        <v>522900</v>
      </c>
      <c r="BB193" s="230">
        <v>-275450</v>
      </c>
      <c r="BC193" s="229">
        <v>-0.52680000000000005</v>
      </c>
      <c r="BD193" s="230">
        <v>67550</v>
      </c>
      <c r="BE193" s="230">
        <v>394625</v>
      </c>
      <c r="BF193" s="230">
        <v>-327075</v>
      </c>
      <c r="BG193" s="229">
        <v>-0.82879999999999998</v>
      </c>
      <c r="BH193" s="230">
        <v>11327575</v>
      </c>
      <c r="BI193" s="230">
        <v>11986100</v>
      </c>
      <c r="BJ193" s="230">
        <v>-658525</v>
      </c>
      <c r="BK193" s="229">
        <v>-5.4899999999999997E-2</v>
      </c>
      <c r="BL193" s="230">
        <v>7511175</v>
      </c>
      <c r="BM193" s="230">
        <v>5556250</v>
      </c>
      <c r="BN193" s="230">
        <v>1954925</v>
      </c>
      <c r="BO193" s="229">
        <v>0.3518</v>
      </c>
      <c r="BP193" s="230">
        <v>22386350</v>
      </c>
      <c r="BQ193" s="230">
        <v>21390775</v>
      </c>
      <c r="BR193" s="230">
        <v>995575</v>
      </c>
      <c r="BS193" s="229">
        <v>4.65E-2</v>
      </c>
      <c r="BT193" s="230">
        <v>3167790</v>
      </c>
      <c r="BU193" s="230">
        <v>3554276</v>
      </c>
      <c r="BV193" s="230">
        <v>-386486</v>
      </c>
      <c r="BW193" s="229">
        <v>-0.1087</v>
      </c>
      <c r="BX193" s="230">
        <v>28132825</v>
      </c>
      <c r="BY193" s="230">
        <v>28012600</v>
      </c>
      <c r="BZ193" s="230">
        <v>120225</v>
      </c>
      <c r="CA193" s="229">
        <v>4.3E-3</v>
      </c>
      <c r="CB193" s="230">
        <v>24315725</v>
      </c>
      <c r="CC193" s="230">
        <v>24264975</v>
      </c>
      <c r="CD193" s="230">
        <v>50750</v>
      </c>
      <c r="CE193" s="229">
        <v>2.0999999999999999E-3</v>
      </c>
      <c r="CF193" s="230">
        <v>2607150</v>
      </c>
      <c r="CG193" s="230">
        <v>2559375</v>
      </c>
      <c r="CH193" s="230">
        <v>47775</v>
      </c>
      <c r="CI193" s="229">
        <v>1.8700000000000001E-2</v>
      </c>
      <c r="CJ193" s="230">
        <v>1209950</v>
      </c>
      <c r="CK193" s="230">
        <v>1188250</v>
      </c>
      <c r="CL193" s="230">
        <v>21700</v>
      </c>
      <c r="CM193" s="229">
        <v>1.83E-2</v>
      </c>
      <c r="CN193" s="230">
        <v>13867525</v>
      </c>
      <c r="CO193" s="230">
        <v>13553400</v>
      </c>
      <c r="CP193" s="230">
        <v>314125</v>
      </c>
      <c r="CQ193" s="229">
        <v>2.3199999999999998E-2</v>
      </c>
      <c r="CR193" s="230">
        <v>8801275</v>
      </c>
      <c r="CS193" s="230">
        <v>8996750</v>
      </c>
      <c r="CT193" s="230">
        <v>-195475</v>
      </c>
      <c r="CU193" s="229">
        <v>-2.1700000000000001E-2</v>
      </c>
      <c r="CV193" s="230">
        <v>50801625</v>
      </c>
      <c r="CW193" s="230">
        <v>50562750</v>
      </c>
      <c r="CX193" s="230">
        <v>238875</v>
      </c>
      <c r="CY193" s="229">
        <v>4.7000000000000002E-3</v>
      </c>
      <c r="CZ193" s="228">
        <v>27.64</v>
      </c>
      <c r="DA193" s="228">
        <v>29.64</v>
      </c>
      <c r="DB193" s="228">
        <v>-2</v>
      </c>
      <c r="DC193" s="228">
        <v>-2</v>
      </c>
      <c r="DD193" s="228">
        <v>26.74</v>
      </c>
      <c r="DE193" s="228">
        <v>26.8</v>
      </c>
      <c r="DF193" s="228">
        <v>0.9</v>
      </c>
      <c r="DG193" s="228">
        <v>-0.06</v>
      </c>
      <c r="DH193" s="228">
        <v>27.17</v>
      </c>
      <c r="DI193" s="228">
        <v>29</v>
      </c>
      <c r="DJ193" s="228">
        <v>-1.83</v>
      </c>
      <c r="DK193" s="228">
        <v>-1.83</v>
      </c>
      <c r="DL193" s="228">
        <v>28.34</v>
      </c>
      <c r="DM193" s="228">
        <v>31.02</v>
      </c>
      <c r="DN193" s="228">
        <v>-2.68</v>
      </c>
      <c r="DO193" s="228">
        <v>-2.68</v>
      </c>
      <c r="DP193" s="228">
        <v>0.63</v>
      </c>
      <c r="DQ193" s="228">
        <v>0.66</v>
      </c>
      <c r="DR193" s="228">
        <v>-0.03</v>
      </c>
      <c r="DS193" s="229">
        <v>-4.5499999999999999E-2</v>
      </c>
      <c r="DT193" s="231">
        <v>3000</v>
      </c>
      <c r="DU193" s="231">
        <v>2600</v>
      </c>
      <c r="DV193" s="228">
        <v>0.66</v>
      </c>
      <c r="DW193" s="228">
        <v>0.46</v>
      </c>
      <c r="DX193" s="228">
        <v>0.2</v>
      </c>
      <c r="DY193" s="229">
        <v>0.43480000000000002</v>
      </c>
      <c r="DZ193" s="229">
        <v>0.13569999999999999</v>
      </c>
      <c r="EA193" s="230">
        <v>3747625</v>
      </c>
      <c r="EB193" s="229">
        <v>4.0000000000000001E-3</v>
      </c>
      <c r="EC193" s="229">
        <v>0.13569999999999999</v>
      </c>
      <c r="ED193" s="228">
        <v>8.07</v>
      </c>
      <c r="EE193" s="229">
        <v>3.0999999999999999E-3</v>
      </c>
      <c r="EF193" s="230">
        <v>1142525</v>
      </c>
      <c r="EG193" s="230">
        <v>1955429</v>
      </c>
      <c r="EH193" s="229">
        <v>-0.41570000000000001</v>
      </c>
      <c r="EI193" s="229">
        <v>0.36070000000000002</v>
      </c>
      <c r="EJ193" s="231">
        <v>311969.83</v>
      </c>
      <c r="EK193" s="231">
        <v>193330.5</v>
      </c>
      <c r="EL193" s="231">
        <v>91453.07</v>
      </c>
      <c r="EM193" s="231">
        <v>20077</v>
      </c>
      <c r="EN193" s="231">
        <v>596753.4</v>
      </c>
      <c r="EO193" s="231">
        <v>580066.31999999995</v>
      </c>
      <c r="EP193" s="231">
        <v>16687.080000000002</v>
      </c>
      <c r="EQ193" s="229">
        <v>2.8799999999999999E-2</v>
      </c>
      <c r="ER193" s="231">
        <v>395465</v>
      </c>
      <c r="ES193" s="231">
        <v>237112</v>
      </c>
      <c r="ET193" s="231">
        <v>728942</v>
      </c>
      <c r="EU193" s="231">
        <v>126444612</v>
      </c>
      <c r="EV193" s="231">
        <v>1361520</v>
      </c>
      <c r="EW193" s="231">
        <v>1358045</v>
      </c>
      <c r="EX193" s="231">
        <v>3475</v>
      </c>
      <c r="EY193" s="229">
        <v>2.5999999999999999E-3</v>
      </c>
      <c r="EZ193" s="229">
        <v>0.40179999999999999</v>
      </c>
      <c r="FA193" s="227" t="s">
        <v>567</v>
      </c>
      <c r="FB193" s="161">
        <f t="shared" si="4"/>
        <v>0</v>
      </c>
    </row>
    <row r="194" spans="1:158" ht="17.25" thickBot="1" x14ac:dyDescent="0.3">
      <c r="A194" s="226">
        <v>46086</v>
      </c>
      <c r="B194" s="227" t="s">
        <v>221</v>
      </c>
      <c r="C194" s="227" t="s">
        <v>296</v>
      </c>
      <c r="D194" s="228">
        <v>600</v>
      </c>
      <c r="E194" s="231">
        <v>1336.5</v>
      </c>
      <c r="F194" s="231">
        <v>1354.2</v>
      </c>
      <c r="G194" s="228">
        <v>-17.7</v>
      </c>
      <c r="H194" s="229">
        <v>-1.3100000000000001E-2</v>
      </c>
      <c r="I194" s="231">
        <v>1333.3</v>
      </c>
      <c r="J194" s="231">
        <v>1351.2</v>
      </c>
      <c r="K194" s="228">
        <v>-17.899999999999999</v>
      </c>
      <c r="L194" s="229">
        <v>-1.32E-2</v>
      </c>
      <c r="M194" s="231">
        <v>1336.5</v>
      </c>
      <c r="N194" s="231">
        <v>1354.2</v>
      </c>
      <c r="O194" s="228">
        <v>-17.7</v>
      </c>
      <c r="P194" s="229">
        <v>-1.3100000000000001E-2</v>
      </c>
      <c r="Q194" s="231">
        <v>1344.4</v>
      </c>
      <c r="R194" s="231">
        <v>1361.8</v>
      </c>
      <c r="S194" s="228">
        <v>-17.399999999999999</v>
      </c>
      <c r="T194" s="229">
        <v>-1.2800000000000001E-2</v>
      </c>
      <c r="U194" s="231">
        <v>1349.7</v>
      </c>
      <c r="V194" s="231">
        <v>1365.4</v>
      </c>
      <c r="W194" s="228">
        <v>-15.7</v>
      </c>
      <c r="X194" s="229">
        <v>-1.15E-2</v>
      </c>
      <c r="Y194" s="228">
        <v>3.2</v>
      </c>
      <c r="Z194" s="228">
        <v>3</v>
      </c>
      <c r="AA194" s="228">
        <v>0.2</v>
      </c>
      <c r="AB194" s="229">
        <v>2.3999999999999998E-3</v>
      </c>
      <c r="AC194" s="228">
        <v>3.2</v>
      </c>
      <c r="AD194" s="228">
        <v>3</v>
      </c>
      <c r="AE194" s="228">
        <v>0.2</v>
      </c>
      <c r="AF194" s="229">
        <v>2.3999999999999998E-3</v>
      </c>
      <c r="AG194" s="228">
        <v>11.1</v>
      </c>
      <c r="AH194" s="228">
        <v>10.6</v>
      </c>
      <c r="AI194" s="228">
        <v>0.5</v>
      </c>
      <c r="AJ194" s="229">
        <v>8.3000000000000001E-3</v>
      </c>
      <c r="AK194" s="228">
        <v>16.399999999999999</v>
      </c>
      <c r="AL194" s="228">
        <v>14.2</v>
      </c>
      <c r="AM194" s="228">
        <v>2.2000000000000002</v>
      </c>
      <c r="AN194" s="229">
        <v>1.23E-2</v>
      </c>
      <c r="AO194" s="231">
        <v>1339.55</v>
      </c>
      <c r="AP194" s="231">
        <v>1345.39</v>
      </c>
      <c r="AQ194" s="228">
        <v>0</v>
      </c>
      <c r="AR194" s="230">
        <v>2449800</v>
      </c>
      <c r="AS194" s="230">
        <v>3322200</v>
      </c>
      <c r="AT194" s="230">
        <v>-872400</v>
      </c>
      <c r="AU194" s="229">
        <v>-0.2626</v>
      </c>
      <c r="AV194" s="230">
        <v>2269800</v>
      </c>
      <c r="AW194" s="230">
        <v>3253800</v>
      </c>
      <c r="AX194" s="230">
        <v>-984000</v>
      </c>
      <c r="AY194" s="229">
        <v>-0.3024</v>
      </c>
      <c r="AZ194" s="230">
        <v>151800</v>
      </c>
      <c r="BA194" s="230">
        <v>57600</v>
      </c>
      <c r="BB194" s="230">
        <v>94200</v>
      </c>
      <c r="BC194" s="229">
        <v>1.6354</v>
      </c>
      <c r="BD194" s="230">
        <v>28200</v>
      </c>
      <c r="BE194" s="230">
        <v>10800</v>
      </c>
      <c r="BF194" s="230">
        <v>17400</v>
      </c>
      <c r="BG194" s="229">
        <v>1.6111</v>
      </c>
      <c r="BH194" s="230">
        <v>6791400</v>
      </c>
      <c r="BI194" s="230">
        <v>8188200</v>
      </c>
      <c r="BJ194" s="230">
        <v>-1396800</v>
      </c>
      <c r="BK194" s="229">
        <v>-0.1706</v>
      </c>
      <c r="BL194" s="230">
        <v>3528000</v>
      </c>
      <c r="BM194" s="230">
        <v>3693000</v>
      </c>
      <c r="BN194" s="230">
        <v>-165000</v>
      </c>
      <c r="BO194" s="229">
        <v>-4.4699999999999997E-2</v>
      </c>
      <c r="BP194" s="230">
        <v>12769200</v>
      </c>
      <c r="BQ194" s="230">
        <v>15203400</v>
      </c>
      <c r="BR194" s="230">
        <v>-2434200</v>
      </c>
      <c r="BS194" s="229">
        <v>-0.16009999999999999</v>
      </c>
      <c r="BT194" s="230">
        <v>1251103</v>
      </c>
      <c r="BU194" s="230">
        <v>1864673</v>
      </c>
      <c r="BV194" s="230">
        <v>-613570</v>
      </c>
      <c r="BW194" s="229">
        <v>-0.32900000000000001</v>
      </c>
      <c r="BX194" s="230">
        <v>19651800</v>
      </c>
      <c r="BY194" s="230">
        <v>19612200</v>
      </c>
      <c r="BZ194" s="230">
        <v>39600</v>
      </c>
      <c r="CA194" s="229">
        <v>2E-3</v>
      </c>
      <c r="CB194" s="230">
        <v>19312200</v>
      </c>
      <c r="CC194" s="230">
        <v>19329600</v>
      </c>
      <c r="CD194" s="230">
        <v>-17400</v>
      </c>
      <c r="CE194" s="229">
        <v>-8.9999999999999998E-4</v>
      </c>
      <c r="CF194" s="230">
        <v>304200</v>
      </c>
      <c r="CG194" s="230">
        <v>259200</v>
      </c>
      <c r="CH194" s="230">
        <v>45000</v>
      </c>
      <c r="CI194" s="229">
        <v>0.1736</v>
      </c>
      <c r="CJ194" s="230">
        <v>35400</v>
      </c>
      <c r="CK194" s="230">
        <v>23400</v>
      </c>
      <c r="CL194" s="230">
        <v>12000</v>
      </c>
      <c r="CM194" s="229">
        <v>0.51280000000000003</v>
      </c>
      <c r="CN194" s="230">
        <v>9166800</v>
      </c>
      <c r="CO194" s="230">
        <v>8716800</v>
      </c>
      <c r="CP194" s="230">
        <v>450000</v>
      </c>
      <c r="CQ194" s="229">
        <v>5.16E-2</v>
      </c>
      <c r="CR194" s="230">
        <v>5430600</v>
      </c>
      <c r="CS194" s="230">
        <v>5520600</v>
      </c>
      <c r="CT194" s="230">
        <v>-90000</v>
      </c>
      <c r="CU194" s="229">
        <v>-1.6299999999999999E-2</v>
      </c>
      <c r="CV194" s="230">
        <v>34249200</v>
      </c>
      <c r="CW194" s="230">
        <v>33849600</v>
      </c>
      <c r="CX194" s="230">
        <v>399600</v>
      </c>
      <c r="CY194" s="229">
        <v>1.18E-2</v>
      </c>
      <c r="CZ194" s="228">
        <v>31.52</v>
      </c>
      <c r="DA194" s="228">
        <v>33.01</v>
      </c>
      <c r="DB194" s="228">
        <v>-1.49</v>
      </c>
      <c r="DC194" s="228">
        <v>-1.49</v>
      </c>
      <c r="DD194" s="228">
        <v>31.01</v>
      </c>
      <c r="DE194" s="228">
        <v>31.03</v>
      </c>
      <c r="DF194" s="228">
        <v>0.51</v>
      </c>
      <c r="DG194" s="228">
        <v>-0.02</v>
      </c>
      <c r="DH194" s="228">
        <v>30.96</v>
      </c>
      <c r="DI194" s="228">
        <v>31.74</v>
      </c>
      <c r="DJ194" s="228">
        <v>-0.78</v>
      </c>
      <c r="DK194" s="228">
        <v>-0.78</v>
      </c>
      <c r="DL194" s="228">
        <v>32.61</v>
      </c>
      <c r="DM194" s="228">
        <v>35.840000000000003</v>
      </c>
      <c r="DN194" s="228">
        <v>-3.23</v>
      </c>
      <c r="DO194" s="228">
        <v>-3.23</v>
      </c>
      <c r="DP194" s="228">
        <v>0.59</v>
      </c>
      <c r="DQ194" s="228">
        <v>0.63</v>
      </c>
      <c r="DR194" s="228">
        <v>-0.04</v>
      </c>
      <c r="DS194" s="229">
        <v>-6.3500000000000001E-2</v>
      </c>
      <c r="DT194" s="231">
        <v>1440</v>
      </c>
      <c r="DU194" s="231">
        <v>1340</v>
      </c>
      <c r="DV194" s="228">
        <v>0.52</v>
      </c>
      <c r="DW194" s="228">
        <v>0.45</v>
      </c>
      <c r="DX194" s="228">
        <v>7.0000000000000007E-2</v>
      </c>
      <c r="DY194" s="229">
        <v>0.15559999999999999</v>
      </c>
      <c r="DZ194" s="229">
        <v>1.7299999999999999E-2</v>
      </c>
      <c r="EA194" s="230">
        <v>282600</v>
      </c>
      <c r="EB194" s="229">
        <v>5.8999999999999999E-3</v>
      </c>
      <c r="EC194" s="229">
        <v>1.7299999999999999E-2</v>
      </c>
      <c r="ED194" s="228">
        <v>5.84</v>
      </c>
      <c r="EE194" s="229">
        <v>4.4000000000000003E-3</v>
      </c>
      <c r="EF194" s="230">
        <v>550222</v>
      </c>
      <c r="EG194" s="230">
        <v>964917</v>
      </c>
      <c r="EH194" s="229">
        <v>-0.42980000000000002</v>
      </c>
      <c r="EI194" s="229">
        <v>0.43980000000000002</v>
      </c>
      <c r="EJ194" s="231">
        <v>97882.04</v>
      </c>
      <c r="EK194" s="231">
        <v>47017.82</v>
      </c>
      <c r="EL194" s="231">
        <v>32828.449999999997</v>
      </c>
      <c r="EM194" s="231">
        <v>4984</v>
      </c>
      <c r="EN194" s="231">
        <v>177728.31</v>
      </c>
      <c r="EO194" s="231">
        <v>212457.37</v>
      </c>
      <c r="EP194" s="231">
        <v>-34729.06</v>
      </c>
      <c r="EQ194" s="229">
        <v>-0.16350000000000001</v>
      </c>
      <c r="ER194" s="231">
        <v>135653</v>
      </c>
      <c r="ES194" s="231">
        <v>74062</v>
      </c>
      <c r="ET194" s="231">
        <v>262675</v>
      </c>
      <c r="EU194" s="231">
        <v>80031540</v>
      </c>
      <c r="EV194" s="231">
        <v>472390</v>
      </c>
      <c r="EW194" s="231">
        <v>470265</v>
      </c>
      <c r="EX194" s="231">
        <v>2125</v>
      </c>
      <c r="EY194" s="229">
        <v>4.4999999999999997E-3</v>
      </c>
      <c r="EZ194" s="229">
        <v>0.4279</v>
      </c>
      <c r="FA194" s="227" t="s">
        <v>567</v>
      </c>
      <c r="FB194" s="161">
        <f t="shared" si="4"/>
        <v>0</v>
      </c>
    </row>
    <row r="195" spans="1:158" ht="17.25" thickBot="1" x14ac:dyDescent="0.3">
      <c r="A195" s="226">
        <v>46086</v>
      </c>
      <c r="B195" s="227" t="s">
        <v>184</v>
      </c>
      <c r="C195" s="227" t="s">
        <v>595</v>
      </c>
      <c r="D195" s="228">
        <v>200</v>
      </c>
      <c r="E195" s="231">
        <v>2768.4</v>
      </c>
      <c r="F195" s="231">
        <v>2767.6</v>
      </c>
      <c r="G195" s="228">
        <v>0.8</v>
      </c>
      <c r="H195" s="229">
        <v>2.9999999999999997E-4</v>
      </c>
      <c r="I195" s="231">
        <v>2781.9</v>
      </c>
      <c r="J195" s="231">
        <v>2771.1</v>
      </c>
      <c r="K195" s="228">
        <v>10.8</v>
      </c>
      <c r="L195" s="229">
        <v>3.8999999999999998E-3</v>
      </c>
      <c r="M195" s="231">
        <v>2768.4</v>
      </c>
      <c r="N195" s="231">
        <v>2767.6</v>
      </c>
      <c r="O195" s="228">
        <v>0.8</v>
      </c>
      <c r="P195" s="229">
        <v>2.9999999999999997E-4</v>
      </c>
      <c r="Q195" s="231">
        <v>2766.4</v>
      </c>
      <c r="R195" s="231">
        <v>2755</v>
      </c>
      <c r="S195" s="228">
        <v>11.4</v>
      </c>
      <c r="T195" s="229">
        <v>4.1000000000000003E-3</v>
      </c>
      <c r="U195" s="231">
        <v>2740</v>
      </c>
      <c r="V195" s="231">
        <v>2762.2</v>
      </c>
      <c r="W195" s="228">
        <v>-22.2</v>
      </c>
      <c r="X195" s="229">
        <v>-8.0000000000000002E-3</v>
      </c>
      <c r="Y195" s="228">
        <v>-13.5</v>
      </c>
      <c r="Z195" s="228">
        <v>-3.5</v>
      </c>
      <c r="AA195" s="228">
        <v>-10</v>
      </c>
      <c r="AB195" s="229">
        <v>-4.8999999999999998E-3</v>
      </c>
      <c r="AC195" s="228">
        <v>-13.5</v>
      </c>
      <c r="AD195" s="228">
        <v>-3.5</v>
      </c>
      <c r="AE195" s="228">
        <v>-10</v>
      </c>
      <c r="AF195" s="229">
        <v>-4.8999999999999998E-3</v>
      </c>
      <c r="AG195" s="228">
        <v>-15.5</v>
      </c>
      <c r="AH195" s="228">
        <v>-16.100000000000001</v>
      </c>
      <c r="AI195" s="228">
        <v>0.6</v>
      </c>
      <c r="AJ195" s="229">
        <v>-5.5999999999999999E-3</v>
      </c>
      <c r="AK195" s="228">
        <v>-41.9</v>
      </c>
      <c r="AL195" s="228">
        <v>-8.9</v>
      </c>
      <c r="AM195" s="228">
        <v>-33</v>
      </c>
      <c r="AN195" s="229">
        <v>-1.5100000000000001E-2</v>
      </c>
      <c r="AO195" s="231">
        <v>2756.77</v>
      </c>
      <c r="AP195" s="231">
        <v>2750.73</v>
      </c>
      <c r="AQ195" s="228">
        <v>0</v>
      </c>
      <c r="AR195" s="230">
        <v>568800</v>
      </c>
      <c r="AS195" s="230">
        <v>740600</v>
      </c>
      <c r="AT195" s="230">
        <v>-171800</v>
      </c>
      <c r="AU195" s="229">
        <v>-0.23200000000000001</v>
      </c>
      <c r="AV195" s="230">
        <v>537800</v>
      </c>
      <c r="AW195" s="230">
        <v>715600</v>
      </c>
      <c r="AX195" s="230">
        <v>-177800</v>
      </c>
      <c r="AY195" s="229">
        <v>-0.2485</v>
      </c>
      <c r="AZ195" s="230">
        <v>30200</v>
      </c>
      <c r="BA195" s="230">
        <v>23000</v>
      </c>
      <c r="BB195" s="230">
        <v>7200</v>
      </c>
      <c r="BC195" s="229">
        <v>0.313</v>
      </c>
      <c r="BD195" s="228">
        <v>800</v>
      </c>
      <c r="BE195" s="230">
        <v>2000</v>
      </c>
      <c r="BF195" s="230">
        <v>-1200</v>
      </c>
      <c r="BG195" s="229">
        <v>-0.6</v>
      </c>
      <c r="BH195" s="230">
        <v>559400</v>
      </c>
      <c r="BI195" s="230">
        <v>886600</v>
      </c>
      <c r="BJ195" s="230">
        <v>-327200</v>
      </c>
      <c r="BK195" s="229">
        <v>-0.36909999999999998</v>
      </c>
      <c r="BL195" s="230">
        <v>247800</v>
      </c>
      <c r="BM195" s="230">
        <v>695800</v>
      </c>
      <c r="BN195" s="230">
        <v>-448000</v>
      </c>
      <c r="BO195" s="229">
        <v>-0.64390000000000003</v>
      </c>
      <c r="BP195" s="230">
        <v>1376000</v>
      </c>
      <c r="BQ195" s="230">
        <v>2323000</v>
      </c>
      <c r="BR195" s="230">
        <v>-947000</v>
      </c>
      <c r="BS195" s="229">
        <v>-0.40770000000000001</v>
      </c>
      <c r="BT195" s="230">
        <v>533464</v>
      </c>
      <c r="BU195" s="230">
        <v>710713</v>
      </c>
      <c r="BV195" s="230">
        <v>-177249</v>
      </c>
      <c r="BW195" s="229">
        <v>-0.24940000000000001</v>
      </c>
      <c r="BX195" s="230">
        <v>3177200</v>
      </c>
      <c r="BY195" s="230">
        <v>3095000</v>
      </c>
      <c r="BZ195" s="230">
        <v>82200</v>
      </c>
      <c r="CA195" s="229">
        <v>2.6599999999999999E-2</v>
      </c>
      <c r="CB195" s="230">
        <v>3105200</v>
      </c>
      <c r="CC195" s="230">
        <v>3034200</v>
      </c>
      <c r="CD195" s="230">
        <v>71000</v>
      </c>
      <c r="CE195" s="229">
        <v>2.3400000000000001E-2</v>
      </c>
      <c r="CF195" s="230">
        <v>63400</v>
      </c>
      <c r="CG195" s="230">
        <v>53000</v>
      </c>
      <c r="CH195" s="230">
        <v>10400</v>
      </c>
      <c r="CI195" s="229">
        <v>0.19620000000000001</v>
      </c>
      <c r="CJ195" s="230">
        <v>8600</v>
      </c>
      <c r="CK195" s="230">
        <v>7800</v>
      </c>
      <c r="CL195" s="228">
        <v>800</v>
      </c>
      <c r="CM195" s="229">
        <v>0.1026</v>
      </c>
      <c r="CN195" s="230">
        <v>595000</v>
      </c>
      <c r="CO195" s="230">
        <v>602800</v>
      </c>
      <c r="CP195" s="230">
        <v>-7800</v>
      </c>
      <c r="CQ195" s="229">
        <v>-1.29E-2</v>
      </c>
      <c r="CR195" s="230">
        <v>460800</v>
      </c>
      <c r="CS195" s="230">
        <v>464000</v>
      </c>
      <c r="CT195" s="230">
        <v>-3200</v>
      </c>
      <c r="CU195" s="229">
        <v>-6.8999999999999999E-3</v>
      </c>
      <c r="CV195" s="230">
        <v>4233000</v>
      </c>
      <c r="CW195" s="230">
        <v>4161800</v>
      </c>
      <c r="CX195" s="230">
        <v>71200</v>
      </c>
      <c r="CY195" s="229">
        <v>1.7100000000000001E-2</v>
      </c>
      <c r="CZ195" s="228">
        <v>33.9</v>
      </c>
      <c r="DA195" s="228">
        <v>36.9</v>
      </c>
      <c r="DB195" s="228">
        <v>-3</v>
      </c>
      <c r="DC195" s="228">
        <v>-3</v>
      </c>
      <c r="DD195" s="228">
        <v>43.24</v>
      </c>
      <c r="DE195" s="228">
        <v>43.35</v>
      </c>
      <c r="DF195" s="228">
        <v>-9.34</v>
      </c>
      <c r="DG195" s="228">
        <v>-0.11</v>
      </c>
      <c r="DH195" s="228">
        <v>33.36</v>
      </c>
      <c r="DI195" s="228">
        <v>36.04</v>
      </c>
      <c r="DJ195" s="228">
        <v>-2.68</v>
      </c>
      <c r="DK195" s="228">
        <v>-2.68</v>
      </c>
      <c r="DL195" s="228">
        <v>35.119999999999997</v>
      </c>
      <c r="DM195" s="228">
        <v>38</v>
      </c>
      <c r="DN195" s="228">
        <v>-2.88</v>
      </c>
      <c r="DO195" s="228">
        <v>-2.88</v>
      </c>
      <c r="DP195" s="228">
        <v>0.77</v>
      </c>
      <c r="DQ195" s="228">
        <v>0.77</v>
      </c>
      <c r="DR195" s="228">
        <v>0</v>
      </c>
      <c r="DS195" s="229">
        <v>0</v>
      </c>
      <c r="DT195" s="231">
        <v>2800</v>
      </c>
      <c r="DU195" s="231">
        <v>2700</v>
      </c>
      <c r="DV195" s="228">
        <v>0.44</v>
      </c>
      <c r="DW195" s="228">
        <v>0.78</v>
      </c>
      <c r="DX195" s="228">
        <v>-0.34</v>
      </c>
      <c r="DY195" s="229">
        <v>-0.43590000000000001</v>
      </c>
      <c r="DZ195" s="229">
        <v>2.2700000000000001E-2</v>
      </c>
      <c r="EA195" s="230">
        <v>60800</v>
      </c>
      <c r="EB195" s="229">
        <v>-6.9999999999999999E-4</v>
      </c>
      <c r="EC195" s="229">
        <v>2.2700000000000001E-2</v>
      </c>
      <c r="ED195" s="228">
        <v>-6.04</v>
      </c>
      <c r="EE195" s="229">
        <v>-2.2000000000000001E-3</v>
      </c>
      <c r="EF195" s="230">
        <v>273819</v>
      </c>
      <c r="EG195" s="230">
        <v>420169</v>
      </c>
      <c r="EH195" s="229">
        <v>-0.3483</v>
      </c>
      <c r="EI195" s="229">
        <v>0.51329999999999998</v>
      </c>
      <c r="EJ195" s="231">
        <v>16311.24</v>
      </c>
      <c r="EK195" s="231">
        <v>6853.87</v>
      </c>
      <c r="EL195" s="231">
        <v>15678.7</v>
      </c>
      <c r="EM195" s="231">
        <v>5908</v>
      </c>
      <c r="EN195" s="231">
        <v>38843.81</v>
      </c>
      <c r="EO195" s="231">
        <v>65631.199999999997</v>
      </c>
      <c r="EP195" s="231">
        <v>-26787.39</v>
      </c>
      <c r="EQ195" s="229">
        <v>-0.40820000000000001</v>
      </c>
      <c r="ER195" s="231">
        <v>16821</v>
      </c>
      <c r="ES195" s="231">
        <v>11953</v>
      </c>
      <c r="ET195" s="231">
        <v>87954</v>
      </c>
      <c r="EU195" s="231">
        <v>15879795</v>
      </c>
      <c r="EV195" s="231">
        <v>116728</v>
      </c>
      <c r="EW195" s="231">
        <v>114716</v>
      </c>
      <c r="EX195" s="231">
        <v>2012</v>
      </c>
      <c r="EY195" s="229">
        <v>1.7500000000000002E-2</v>
      </c>
      <c r="EZ195" s="229">
        <v>0.2666</v>
      </c>
      <c r="FA195" s="227" t="s">
        <v>555</v>
      </c>
      <c r="FB195" s="161">
        <f t="shared" ref="FB195:FB258" si="5">BX259-CB259</f>
        <v>0</v>
      </c>
    </row>
    <row r="196" spans="1:158" ht="17.25" thickBot="1" x14ac:dyDescent="0.3">
      <c r="A196" s="226">
        <v>46086</v>
      </c>
      <c r="B196" s="227" t="s">
        <v>168</v>
      </c>
      <c r="C196" s="227" t="s">
        <v>297</v>
      </c>
      <c r="D196" s="228">
        <v>175</v>
      </c>
      <c r="E196" s="231">
        <v>4288.3</v>
      </c>
      <c r="F196" s="231">
        <v>4219.6000000000004</v>
      </c>
      <c r="G196" s="228">
        <v>68.7</v>
      </c>
      <c r="H196" s="229">
        <v>1.6299999999999999E-2</v>
      </c>
      <c r="I196" s="231">
        <v>4275.2</v>
      </c>
      <c r="J196" s="231">
        <v>4204.3999999999996</v>
      </c>
      <c r="K196" s="228">
        <v>70.8</v>
      </c>
      <c r="L196" s="229">
        <v>1.6799999999999999E-2</v>
      </c>
      <c r="M196" s="231">
        <v>4288.3</v>
      </c>
      <c r="N196" s="231">
        <v>4219.6000000000004</v>
      </c>
      <c r="O196" s="228">
        <v>68.7</v>
      </c>
      <c r="P196" s="229">
        <v>1.6299999999999999E-2</v>
      </c>
      <c r="Q196" s="231">
        <v>4314.1000000000004</v>
      </c>
      <c r="R196" s="231">
        <v>4246.1000000000004</v>
      </c>
      <c r="S196" s="228">
        <v>68</v>
      </c>
      <c r="T196" s="229">
        <v>1.6E-2</v>
      </c>
      <c r="U196" s="231">
        <v>4338.1000000000004</v>
      </c>
      <c r="V196" s="231">
        <v>4269.3</v>
      </c>
      <c r="W196" s="228">
        <v>68.8</v>
      </c>
      <c r="X196" s="229">
        <v>1.61E-2</v>
      </c>
      <c r="Y196" s="228">
        <v>13.1</v>
      </c>
      <c r="Z196" s="228">
        <v>15.2</v>
      </c>
      <c r="AA196" s="228">
        <v>-2.1</v>
      </c>
      <c r="AB196" s="229">
        <v>3.0999999999999999E-3</v>
      </c>
      <c r="AC196" s="228">
        <v>13.1</v>
      </c>
      <c r="AD196" s="228">
        <v>15.2</v>
      </c>
      <c r="AE196" s="228">
        <v>-2.1</v>
      </c>
      <c r="AF196" s="229">
        <v>3.0999999999999999E-3</v>
      </c>
      <c r="AG196" s="228">
        <v>38.9</v>
      </c>
      <c r="AH196" s="228">
        <v>41.7</v>
      </c>
      <c r="AI196" s="228">
        <v>-2.8</v>
      </c>
      <c r="AJ196" s="229">
        <v>9.1000000000000004E-3</v>
      </c>
      <c r="AK196" s="228">
        <v>62.9</v>
      </c>
      <c r="AL196" s="228">
        <v>64.900000000000006</v>
      </c>
      <c r="AM196" s="228">
        <v>-2</v>
      </c>
      <c r="AN196" s="229">
        <v>1.47E-2</v>
      </c>
      <c r="AO196" s="231">
        <v>4255.58</v>
      </c>
      <c r="AP196" s="231">
        <v>4279.55</v>
      </c>
      <c r="AQ196" s="228">
        <v>0</v>
      </c>
      <c r="AR196" s="230">
        <v>958300</v>
      </c>
      <c r="AS196" s="230">
        <v>1316175</v>
      </c>
      <c r="AT196" s="230">
        <v>-357875</v>
      </c>
      <c r="AU196" s="229">
        <v>-0.27189999999999998</v>
      </c>
      <c r="AV196" s="230">
        <v>925400</v>
      </c>
      <c r="AW196" s="230">
        <v>1264025</v>
      </c>
      <c r="AX196" s="230">
        <v>-338625</v>
      </c>
      <c r="AY196" s="229">
        <v>-0.26790000000000003</v>
      </c>
      <c r="AZ196" s="230">
        <v>29050</v>
      </c>
      <c r="BA196" s="230">
        <v>40425</v>
      </c>
      <c r="BB196" s="230">
        <v>-11375</v>
      </c>
      <c r="BC196" s="229">
        <v>-0.28139999999999998</v>
      </c>
      <c r="BD196" s="230">
        <v>3850</v>
      </c>
      <c r="BE196" s="230">
        <v>11725</v>
      </c>
      <c r="BF196" s="230">
        <v>-7875</v>
      </c>
      <c r="BG196" s="229">
        <v>-0.67159999999999997</v>
      </c>
      <c r="BH196" s="230">
        <v>3328150</v>
      </c>
      <c r="BI196" s="230">
        <v>3805550</v>
      </c>
      <c r="BJ196" s="230">
        <v>-477400</v>
      </c>
      <c r="BK196" s="229">
        <v>-0.12540000000000001</v>
      </c>
      <c r="BL196" s="230">
        <v>1928675</v>
      </c>
      <c r="BM196" s="230">
        <v>3826200</v>
      </c>
      <c r="BN196" s="230">
        <v>-1897525</v>
      </c>
      <c r="BO196" s="229">
        <v>-0.49590000000000001</v>
      </c>
      <c r="BP196" s="230">
        <v>6215125</v>
      </c>
      <c r="BQ196" s="230">
        <v>8947925</v>
      </c>
      <c r="BR196" s="230">
        <v>-2732800</v>
      </c>
      <c r="BS196" s="229">
        <v>-0.3054</v>
      </c>
      <c r="BT196" s="230">
        <v>719147</v>
      </c>
      <c r="BU196" s="230">
        <v>1053944</v>
      </c>
      <c r="BV196" s="230">
        <v>-334797</v>
      </c>
      <c r="BW196" s="229">
        <v>-0.31769999999999998</v>
      </c>
      <c r="BX196" s="230">
        <v>9790025</v>
      </c>
      <c r="BY196" s="230">
        <v>9866500</v>
      </c>
      <c r="BZ196" s="230">
        <v>-76475</v>
      </c>
      <c r="CA196" s="229">
        <v>-7.7999999999999996E-3</v>
      </c>
      <c r="CB196" s="230">
        <v>9672250</v>
      </c>
      <c r="CC196" s="230">
        <v>9757300</v>
      </c>
      <c r="CD196" s="230">
        <v>-85050</v>
      </c>
      <c r="CE196" s="229">
        <v>-8.6999999999999994E-3</v>
      </c>
      <c r="CF196" s="230">
        <v>102900</v>
      </c>
      <c r="CG196" s="230">
        <v>95375</v>
      </c>
      <c r="CH196" s="230">
        <v>7525</v>
      </c>
      <c r="CI196" s="229">
        <v>7.8899999999999998E-2</v>
      </c>
      <c r="CJ196" s="230">
        <v>14875</v>
      </c>
      <c r="CK196" s="230">
        <v>13825</v>
      </c>
      <c r="CL196" s="230">
        <v>1050</v>
      </c>
      <c r="CM196" s="229">
        <v>7.5899999999999995E-2</v>
      </c>
      <c r="CN196" s="230">
        <v>2024225</v>
      </c>
      <c r="CO196" s="230">
        <v>1876000</v>
      </c>
      <c r="CP196" s="230">
        <v>148225</v>
      </c>
      <c r="CQ196" s="229">
        <v>7.9000000000000001E-2</v>
      </c>
      <c r="CR196" s="230">
        <v>1344350</v>
      </c>
      <c r="CS196" s="230">
        <v>1327725</v>
      </c>
      <c r="CT196" s="230">
        <v>16625</v>
      </c>
      <c r="CU196" s="229">
        <v>1.2500000000000001E-2</v>
      </c>
      <c r="CV196" s="230">
        <v>13158600</v>
      </c>
      <c r="CW196" s="230">
        <v>13070225</v>
      </c>
      <c r="CX196" s="230">
        <v>88375</v>
      </c>
      <c r="CY196" s="229">
        <v>6.7999999999999996E-3</v>
      </c>
      <c r="CZ196" s="228">
        <v>20.83</v>
      </c>
      <c r="DA196" s="228">
        <v>24.52</v>
      </c>
      <c r="DB196" s="228">
        <v>-3.69</v>
      </c>
      <c r="DC196" s="228">
        <v>-3.69</v>
      </c>
      <c r="DD196" s="228">
        <v>24.42</v>
      </c>
      <c r="DE196" s="228">
        <v>24.37</v>
      </c>
      <c r="DF196" s="228">
        <v>-3.59</v>
      </c>
      <c r="DG196" s="228">
        <v>0.05</v>
      </c>
      <c r="DH196" s="228">
        <v>19.87</v>
      </c>
      <c r="DI196" s="228">
        <v>22.95</v>
      </c>
      <c r="DJ196" s="228">
        <v>-3.08</v>
      </c>
      <c r="DK196" s="228">
        <v>-3.08</v>
      </c>
      <c r="DL196" s="228">
        <v>22.5</v>
      </c>
      <c r="DM196" s="228">
        <v>26.08</v>
      </c>
      <c r="DN196" s="228">
        <v>-3.58</v>
      </c>
      <c r="DO196" s="228">
        <v>-3.58</v>
      </c>
      <c r="DP196" s="228">
        <v>0.66</v>
      </c>
      <c r="DQ196" s="228">
        <v>0.71</v>
      </c>
      <c r="DR196" s="228">
        <v>-0.05</v>
      </c>
      <c r="DS196" s="229">
        <v>-7.0400000000000004E-2</v>
      </c>
      <c r="DT196" s="231">
        <v>4300</v>
      </c>
      <c r="DU196" s="231">
        <v>4000</v>
      </c>
      <c r="DV196" s="228">
        <v>0.57999999999999996</v>
      </c>
      <c r="DW196" s="228">
        <v>1.01</v>
      </c>
      <c r="DX196" s="228">
        <v>-0.43</v>
      </c>
      <c r="DY196" s="229">
        <v>-0.42570000000000002</v>
      </c>
      <c r="DZ196" s="229">
        <v>1.2E-2</v>
      </c>
      <c r="EA196" s="230">
        <v>109200</v>
      </c>
      <c r="EB196" s="229">
        <v>6.0000000000000001E-3</v>
      </c>
      <c r="EC196" s="229">
        <v>1.2E-2</v>
      </c>
      <c r="ED196" s="228">
        <v>23.97</v>
      </c>
      <c r="EE196" s="229">
        <v>5.5999999999999999E-3</v>
      </c>
      <c r="EF196" s="230">
        <v>367883</v>
      </c>
      <c r="EG196" s="230">
        <v>548840</v>
      </c>
      <c r="EH196" s="229">
        <v>-0.32969999999999999</v>
      </c>
      <c r="EI196" s="229">
        <v>0.51160000000000005</v>
      </c>
      <c r="EJ196" s="231">
        <v>146588.15</v>
      </c>
      <c r="EK196" s="231">
        <v>80637.09</v>
      </c>
      <c r="EL196" s="231">
        <v>40789.85</v>
      </c>
      <c r="EM196" s="231">
        <v>5446</v>
      </c>
      <c r="EN196" s="231">
        <v>268015.09000000003</v>
      </c>
      <c r="EO196" s="231">
        <v>380670.86</v>
      </c>
      <c r="EP196" s="231">
        <v>-112655.77</v>
      </c>
      <c r="EQ196" s="229">
        <v>-0.2959</v>
      </c>
      <c r="ER196" s="231">
        <v>88532</v>
      </c>
      <c r="ES196" s="231">
        <v>55271</v>
      </c>
      <c r="ET196" s="231">
        <v>419860</v>
      </c>
      <c r="EU196" s="231">
        <v>45680146</v>
      </c>
      <c r="EV196" s="231">
        <v>563662</v>
      </c>
      <c r="EW196" s="231">
        <v>552821</v>
      </c>
      <c r="EX196" s="231">
        <v>10841</v>
      </c>
      <c r="EY196" s="229">
        <v>1.9599999999999999E-2</v>
      </c>
      <c r="EZ196" s="229">
        <v>0.28810000000000002</v>
      </c>
      <c r="FA196" s="227" t="s">
        <v>556</v>
      </c>
      <c r="FB196" s="161">
        <f t="shared" si="5"/>
        <v>0</v>
      </c>
    </row>
    <row r="197" spans="1:158" ht="17.25" thickBot="1" x14ac:dyDescent="0.3">
      <c r="A197" s="226">
        <v>46086</v>
      </c>
      <c r="B197" s="227" t="s">
        <v>162</v>
      </c>
      <c r="C197" s="227" t="s">
        <v>688</v>
      </c>
      <c r="D197" s="228">
        <v>800</v>
      </c>
      <c r="E197" s="228">
        <v>356.55</v>
      </c>
      <c r="F197" s="228">
        <v>352.35</v>
      </c>
      <c r="G197" s="228">
        <v>4.2</v>
      </c>
      <c r="H197" s="229">
        <v>1.1900000000000001E-2</v>
      </c>
      <c r="I197" s="228">
        <v>355.15</v>
      </c>
      <c r="J197" s="228">
        <v>351.2</v>
      </c>
      <c r="K197" s="228">
        <v>3.95</v>
      </c>
      <c r="L197" s="229">
        <v>1.12E-2</v>
      </c>
      <c r="M197" s="228">
        <v>356.55</v>
      </c>
      <c r="N197" s="228">
        <v>352.35</v>
      </c>
      <c r="O197" s="228">
        <v>4.2</v>
      </c>
      <c r="P197" s="229">
        <v>1.1900000000000001E-2</v>
      </c>
      <c r="Q197" s="228">
        <v>358.8</v>
      </c>
      <c r="R197" s="228">
        <v>354.6</v>
      </c>
      <c r="S197" s="228">
        <v>4.2</v>
      </c>
      <c r="T197" s="229">
        <v>1.18E-2</v>
      </c>
      <c r="U197" s="228">
        <v>360.8</v>
      </c>
      <c r="V197" s="228">
        <v>356.5</v>
      </c>
      <c r="W197" s="228">
        <v>4.3</v>
      </c>
      <c r="X197" s="229">
        <v>1.21E-2</v>
      </c>
      <c r="Y197" s="228">
        <v>1.4</v>
      </c>
      <c r="Z197" s="228">
        <v>1.1499999999999999</v>
      </c>
      <c r="AA197" s="228">
        <v>0.25</v>
      </c>
      <c r="AB197" s="229">
        <v>3.8999999999999998E-3</v>
      </c>
      <c r="AC197" s="228">
        <v>1.4</v>
      </c>
      <c r="AD197" s="228">
        <v>1.1499999999999999</v>
      </c>
      <c r="AE197" s="228">
        <v>0.25</v>
      </c>
      <c r="AF197" s="229">
        <v>3.8999999999999998E-3</v>
      </c>
      <c r="AG197" s="228">
        <v>3.65</v>
      </c>
      <c r="AH197" s="228">
        <v>3.4</v>
      </c>
      <c r="AI197" s="228">
        <v>0.25</v>
      </c>
      <c r="AJ197" s="229">
        <v>1.03E-2</v>
      </c>
      <c r="AK197" s="228">
        <v>5.65</v>
      </c>
      <c r="AL197" s="228">
        <v>5.3</v>
      </c>
      <c r="AM197" s="228">
        <v>0.35</v>
      </c>
      <c r="AN197" s="229">
        <v>1.5900000000000001E-2</v>
      </c>
      <c r="AO197" s="228">
        <v>353.61</v>
      </c>
      <c r="AP197" s="228">
        <v>355.65</v>
      </c>
      <c r="AQ197" s="228">
        <v>0</v>
      </c>
      <c r="AR197" s="230">
        <v>14088000</v>
      </c>
      <c r="AS197" s="230">
        <v>15424800</v>
      </c>
      <c r="AT197" s="230">
        <v>-1336800</v>
      </c>
      <c r="AU197" s="229">
        <v>-8.6699999999999999E-2</v>
      </c>
      <c r="AV197" s="230">
        <v>11741600</v>
      </c>
      <c r="AW197" s="230">
        <v>12734400</v>
      </c>
      <c r="AX197" s="230">
        <v>-992800</v>
      </c>
      <c r="AY197" s="229">
        <v>-7.8E-2</v>
      </c>
      <c r="AZ197" s="230">
        <v>1836800</v>
      </c>
      <c r="BA197" s="230">
        <v>1916000</v>
      </c>
      <c r="BB197" s="230">
        <v>-79200</v>
      </c>
      <c r="BC197" s="229">
        <v>-4.1300000000000003E-2</v>
      </c>
      <c r="BD197" s="230">
        <v>509600</v>
      </c>
      <c r="BE197" s="230">
        <v>774400</v>
      </c>
      <c r="BF197" s="230">
        <v>-264800</v>
      </c>
      <c r="BG197" s="229">
        <v>-0.34189999999999998</v>
      </c>
      <c r="BH197" s="230">
        <v>43876000</v>
      </c>
      <c r="BI197" s="230">
        <v>60799200</v>
      </c>
      <c r="BJ197" s="230">
        <v>-16923200</v>
      </c>
      <c r="BK197" s="229">
        <v>-0.27829999999999999</v>
      </c>
      <c r="BL197" s="230">
        <v>24759200</v>
      </c>
      <c r="BM197" s="230">
        <v>42797600</v>
      </c>
      <c r="BN197" s="230">
        <v>-18038400</v>
      </c>
      <c r="BO197" s="229">
        <v>-0.42149999999999999</v>
      </c>
      <c r="BP197" s="230">
        <v>82723200</v>
      </c>
      <c r="BQ197" s="230">
        <v>119021600</v>
      </c>
      <c r="BR197" s="230">
        <v>-36298400</v>
      </c>
      <c r="BS197" s="229">
        <v>-0.30499999999999999</v>
      </c>
      <c r="BT197" s="230">
        <v>10574236</v>
      </c>
      <c r="BU197" s="230">
        <v>17733124</v>
      </c>
      <c r="BV197" s="230">
        <v>-7158888</v>
      </c>
      <c r="BW197" s="229">
        <v>-0.4037</v>
      </c>
      <c r="BX197" s="230">
        <v>75232800</v>
      </c>
      <c r="BY197" s="230">
        <v>74807200</v>
      </c>
      <c r="BZ197" s="230">
        <v>425600</v>
      </c>
      <c r="CA197" s="229">
        <v>5.7000000000000002E-3</v>
      </c>
      <c r="CB197" s="230">
        <v>71010400</v>
      </c>
      <c r="CC197" s="230">
        <v>71116800</v>
      </c>
      <c r="CD197" s="230">
        <v>-106400</v>
      </c>
      <c r="CE197" s="229">
        <v>-1.5E-3</v>
      </c>
      <c r="CF197" s="230">
        <v>3375200</v>
      </c>
      <c r="CG197" s="230">
        <v>3007200</v>
      </c>
      <c r="CH197" s="230">
        <v>368000</v>
      </c>
      <c r="CI197" s="229">
        <v>0.12239999999999999</v>
      </c>
      <c r="CJ197" s="230">
        <v>847200</v>
      </c>
      <c r="CK197" s="230">
        <v>683200</v>
      </c>
      <c r="CL197" s="230">
        <v>164000</v>
      </c>
      <c r="CM197" s="229">
        <v>0.24</v>
      </c>
      <c r="CN197" s="230">
        <v>43154400</v>
      </c>
      <c r="CO197" s="230">
        <v>40586400</v>
      </c>
      <c r="CP197" s="230">
        <v>2568000</v>
      </c>
      <c r="CQ197" s="229">
        <v>6.3299999999999995E-2</v>
      </c>
      <c r="CR197" s="230">
        <v>26176000</v>
      </c>
      <c r="CS197" s="230">
        <v>25322400</v>
      </c>
      <c r="CT197" s="230">
        <v>853600</v>
      </c>
      <c r="CU197" s="229">
        <v>3.3700000000000001E-2</v>
      </c>
      <c r="CV197" s="230">
        <v>144563200</v>
      </c>
      <c r="CW197" s="230">
        <v>140716000</v>
      </c>
      <c r="CX197" s="230">
        <v>3847200</v>
      </c>
      <c r="CY197" s="229">
        <v>2.7300000000000001E-2</v>
      </c>
      <c r="CZ197" s="228">
        <v>31.55</v>
      </c>
      <c r="DA197" s="228">
        <v>34.799999999999997</v>
      </c>
      <c r="DB197" s="228">
        <v>-3.25</v>
      </c>
      <c r="DC197" s="228">
        <v>-3.25</v>
      </c>
      <c r="DD197" s="228">
        <v>34.28</v>
      </c>
      <c r="DE197" s="228">
        <v>34.33</v>
      </c>
      <c r="DF197" s="228">
        <v>-2.73</v>
      </c>
      <c r="DG197" s="228">
        <v>-0.05</v>
      </c>
      <c r="DH197" s="228">
        <v>30.5</v>
      </c>
      <c r="DI197" s="228">
        <v>33.53</v>
      </c>
      <c r="DJ197" s="228">
        <v>-3.03</v>
      </c>
      <c r="DK197" s="228">
        <v>-3.03</v>
      </c>
      <c r="DL197" s="228">
        <v>33.4</v>
      </c>
      <c r="DM197" s="228">
        <v>36.6</v>
      </c>
      <c r="DN197" s="228">
        <v>-3.2</v>
      </c>
      <c r="DO197" s="228">
        <v>-3.2</v>
      </c>
      <c r="DP197" s="228">
        <v>0.61</v>
      </c>
      <c r="DQ197" s="228">
        <v>0.62</v>
      </c>
      <c r="DR197" s="228">
        <v>-0.01</v>
      </c>
      <c r="DS197" s="229">
        <v>-1.61E-2</v>
      </c>
      <c r="DT197" s="228">
        <v>400</v>
      </c>
      <c r="DU197" s="228">
        <v>350</v>
      </c>
      <c r="DV197" s="228">
        <v>0.56000000000000005</v>
      </c>
      <c r="DW197" s="228">
        <v>0.7</v>
      </c>
      <c r="DX197" s="228">
        <v>-0.14000000000000001</v>
      </c>
      <c r="DY197" s="229">
        <v>-0.2</v>
      </c>
      <c r="DZ197" s="229">
        <v>5.6099999999999997E-2</v>
      </c>
      <c r="EA197" s="230">
        <v>3690400</v>
      </c>
      <c r="EB197" s="229">
        <v>6.3E-3</v>
      </c>
      <c r="EC197" s="229">
        <v>5.6099999999999997E-2</v>
      </c>
      <c r="ED197" s="228">
        <v>2.04</v>
      </c>
      <c r="EE197" s="229">
        <v>5.7999999999999996E-3</v>
      </c>
      <c r="EF197" s="230">
        <v>4933946</v>
      </c>
      <c r="EG197" s="230">
        <v>10211891</v>
      </c>
      <c r="EH197" s="229">
        <v>-0.51680000000000004</v>
      </c>
      <c r="EI197" s="229">
        <v>0.46660000000000001</v>
      </c>
      <c r="EJ197" s="231">
        <v>168923.27</v>
      </c>
      <c r="EK197" s="231">
        <v>85145.12</v>
      </c>
      <c r="EL197" s="231">
        <v>49875.58</v>
      </c>
      <c r="EM197" s="231">
        <v>19099</v>
      </c>
      <c r="EN197" s="231">
        <v>303943.96999999997</v>
      </c>
      <c r="EO197" s="231">
        <v>440345.15</v>
      </c>
      <c r="EP197" s="231">
        <v>-136401.18</v>
      </c>
      <c r="EQ197" s="229">
        <v>-0.30980000000000002</v>
      </c>
      <c r="ER197" s="231">
        <v>169528</v>
      </c>
      <c r="ES197" s="231">
        <v>92866</v>
      </c>
      <c r="ET197" s="231">
        <v>268354</v>
      </c>
      <c r="EU197" s="231">
        <v>317235726</v>
      </c>
      <c r="EV197" s="231">
        <v>530748</v>
      </c>
      <c r="EW197" s="231">
        <v>513371</v>
      </c>
      <c r="EX197" s="231">
        <v>17377</v>
      </c>
      <c r="EY197" s="229">
        <v>3.3799999999999997E-2</v>
      </c>
      <c r="EZ197" s="229">
        <v>0.45569999999999999</v>
      </c>
      <c r="FA197" s="227" t="s">
        <v>555</v>
      </c>
      <c r="FB197" s="161">
        <f t="shared" si="5"/>
        <v>0</v>
      </c>
    </row>
    <row r="198" spans="1:158" ht="17.25" thickBot="1" x14ac:dyDescent="0.3">
      <c r="A198" s="226">
        <v>46086</v>
      </c>
      <c r="B198" s="227" t="s">
        <v>170</v>
      </c>
      <c r="C198" s="227" t="s">
        <v>298</v>
      </c>
      <c r="D198" s="228">
        <v>250</v>
      </c>
      <c r="E198" s="231">
        <v>4372.3</v>
      </c>
      <c r="F198" s="231">
        <v>4354.7</v>
      </c>
      <c r="G198" s="228">
        <v>17.600000000000001</v>
      </c>
      <c r="H198" s="229">
        <v>4.0000000000000001E-3</v>
      </c>
      <c r="I198" s="231">
        <v>4353.3999999999996</v>
      </c>
      <c r="J198" s="231">
        <v>4341</v>
      </c>
      <c r="K198" s="228">
        <v>12.4</v>
      </c>
      <c r="L198" s="229">
        <v>2.8999999999999998E-3</v>
      </c>
      <c r="M198" s="231">
        <v>4372.3</v>
      </c>
      <c r="N198" s="231">
        <v>4354.7</v>
      </c>
      <c r="O198" s="228">
        <v>17.600000000000001</v>
      </c>
      <c r="P198" s="229">
        <v>4.0000000000000001E-3</v>
      </c>
      <c r="Q198" s="231">
        <v>4375</v>
      </c>
      <c r="R198" s="231">
        <v>4377.1000000000004</v>
      </c>
      <c r="S198" s="228">
        <v>-2.1</v>
      </c>
      <c r="T198" s="229">
        <v>-5.0000000000000001E-4</v>
      </c>
      <c r="U198" s="231">
        <v>4428.6000000000004</v>
      </c>
      <c r="V198" s="231">
        <v>4428.6000000000004</v>
      </c>
      <c r="W198" s="228">
        <v>0</v>
      </c>
      <c r="X198" s="229">
        <v>0</v>
      </c>
      <c r="Y198" s="228">
        <v>18.899999999999999</v>
      </c>
      <c r="Z198" s="228">
        <v>13.7</v>
      </c>
      <c r="AA198" s="228">
        <v>5.2</v>
      </c>
      <c r="AB198" s="229">
        <v>4.3E-3</v>
      </c>
      <c r="AC198" s="228">
        <v>18.899999999999999</v>
      </c>
      <c r="AD198" s="228">
        <v>13.7</v>
      </c>
      <c r="AE198" s="228">
        <v>5.2</v>
      </c>
      <c r="AF198" s="229">
        <v>4.3E-3</v>
      </c>
      <c r="AG198" s="228">
        <v>21.6</v>
      </c>
      <c r="AH198" s="228">
        <v>36.1</v>
      </c>
      <c r="AI198" s="228">
        <v>-14.5</v>
      </c>
      <c r="AJ198" s="229">
        <v>5.0000000000000001E-3</v>
      </c>
      <c r="AK198" s="228">
        <v>75.2</v>
      </c>
      <c r="AL198" s="228">
        <v>87.6</v>
      </c>
      <c r="AM198" s="228">
        <v>-12.4</v>
      </c>
      <c r="AN198" s="229">
        <v>1.7299999999999999E-2</v>
      </c>
      <c r="AO198" s="231">
        <v>4375.1000000000004</v>
      </c>
      <c r="AP198" s="231">
        <v>4376.1000000000004</v>
      </c>
      <c r="AQ198" s="228">
        <v>0</v>
      </c>
      <c r="AR198" s="230">
        <v>386500</v>
      </c>
      <c r="AS198" s="230">
        <v>383250</v>
      </c>
      <c r="AT198" s="230">
        <v>3250</v>
      </c>
      <c r="AU198" s="229">
        <v>8.5000000000000006E-3</v>
      </c>
      <c r="AV198" s="230">
        <v>367250</v>
      </c>
      <c r="AW198" s="230">
        <v>376500</v>
      </c>
      <c r="AX198" s="230">
        <v>-9250</v>
      </c>
      <c r="AY198" s="229">
        <v>-2.46E-2</v>
      </c>
      <c r="AZ198" s="230">
        <v>19250</v>
      </c>
      <c r="BA198" s="230">
        <v>6750</v>
      </c>
      <c r="BB198" s="230">
        <v>12500</v>
      </c>
      <c r="BC198" s="229">
        <v>1.8519000000000001</v>
      </c>
      <c r="BD198" s="228">
        <v>0</v>
      </c>
      <c r="BE198" s="228">
        <v>0</v>
      </c>
      <c r="BF198" s="228">
        <v>0</v>
      </c>
      <c r="BG198" s="229">
        <v>0</v>
      </c>
      <c r="BH198" s="230">
        <v>430000</v>
      </c>
      <c r="BI198" s="230">
        <v>668250</v>
      </c>
      <c r="BJ198" s="230">
        <v>-238250</v>
      </c>
      <c r="BK198" s="229">
        <v>-0.35649999999999998</v>
      </c>
      <c r="BL198" s="230">
        <v>219250</v>
      </c>
      <c r="BM198" s="230">
        <v>557750</v>
      </c>
      <c r="BN198" s="230">
        <v>-338500</v>
      </c>
      <c r="BO198" s="229">
        <v>-0.6069</v>
      </c>
      <c r="BP198" s="230">
        <v>1035750</v>
      </c>
      <c r="BQ198" s="230">
        <v>1609250</v>
      </c>
      <c r="BR198" s="230">
        <v>-573500</v>
      </c>
      <c r="BS198" s="229">
        <v>-0.35639999999999999</v>
      </c>
      <c r="BT198" s="230">
        <v>288527</v>
      </c>
      <c r="BU198" s="230">
        <v>443269</v>
      </c>
      <c r="BV198" s="230">
        <v>-154742</v>
      </c>
      <c r="BW198" s="229">
        <v>-0.34910000000000002</v>
      </c>
      <c r="BX198" s="230">
        <v>2835250</v>
      </c>
      <c r="BY198" s="230">
        <v>2841750</v>
      </c>
      <c r="BZ198" s="230">
        <v>-6500</v>
      </c>
      <c r="CA198" s="229">
        <v>-2.3E-3</v>
      </c>
      <c r="CB198" s="230">
        <v>2810000</v>
      </c>
      <c r="CC198" s="230">
        <v>2822000</v>
      </c>
      <c r="CD198" s="230">
        <v>-12000</v>
      </c>
      <c r="CE198" s="229">
        <v>-4.3E-3</v>
      </c>
      <c r="CF198" s="230">
        <v>24250</v>
      </c>
      <c r="CG198" s="230">
        <v>18750</v>
      </c>
      <c r="CH198" s="230">
        <v>5500</v>
      </c>
      <c r="CI198" s="229">
        <v>0.29330000000000001</v>
      </c>
      <c r="CJ198" s="230">
        <v>1000</v>
      </c>
      <c r="CK198" s="230">
        <v>1000</v>
      </c>
      <c r="CL198" s="228">
        <v>0</v>
      </c>
      <c r="CM198" s="229">
        <v>0</v>
      </c>
      <c r="CN198" s="230">
        <v>668500</v>
      </c>
      <c r="CO198" s="230">
        <v>647250</v>
      </c>
      <c r="CP198" s="230">
        <v>21250</v>
      </c>
      <c r="CQ198" s="229">
        <v>3.2800000000000003E-2</v>
      </c>
      <c r="CR198" s="230">
        <v>476750</v>
      </c>
      <c r="CS198" s="230">
        <v>438250</v>
      </c>
      <c r="CT198" s="230">
        <v>38500</v>
      </c>
      <c r="CU198" s="229">
        <v>8.7800000000000003E-2</v>
      </c>
      <c r="CV198" s="230">
        <v>3980500</v>
      </c>
      <c r="CW198" s="230">
        <v>3927250</v>
      </c>
      <c r="CX198" s="230">
        <v>53250</v>
      </c>
      <c r="CY198" s="229">
        <v>1.3599999999999999E-2</v>
      </c>
      <c r="CZ198" s="228">
        <v>21.43</v>
      </c>
      <c r="DA198" s="228">
        <v>22.93</v>
      </c>
      <c r="DB198" s="228">
        <v>-1.5</v>
      </c>
      <c r="DC198" s="228">
        <v>-1.5</v>
      </c>
      <c r="DD198" s="228">
        <v>25.38</v>
      </c>
      <c r="DE198" s="228">
        <v>25.45</v>
      </c>
      <c r="DF198" s="228">
        <v>-3.95</v>
      </c>
      <c r="DG198" s="228">
        <v>-7.0000000000000007E-2</v>
      </c>
      <c r="DH198" s="228">
        <v>20.94</v>
      </c>
      <c r="DI198" s="228">
        <v>22.21</v>
      </c>
      <c r="DJ198" s="228">
        <v>-1.27</v>
      </c>
      <c r="DK198" s="228">
        <v>-1.27</v>
      </c>
      <c r="DL198" s="228">
        <v>22.41</v>
      </c>
      <c r="DM198" s="228">
        <v>23.78</v>
      </c>
      <c r="DN198" s="228">
        <v>-1.37</v>
      </c>
      <c r="DO198" s="228">
        <v>-1.37</v>
      </c>
      <c r="DP198" s="228">
        <v>0.71</v>
      </c>
      <c r="DQ198" s="228">
        <v>0.68</v>
      </c>
      <c r="DR198" s="228">
        <v>0.03</v>
      </c>
      <c r="DS198" s="229">
        <v>4.41E-2</v>
      </c>
      <c r="DT198" s="231">
        <v>4600</v>
      </c>
      <c r="DU198" s="231">
        <v>4100</v>
      </c>
      <c r="DV198" s="228">
        <v>0.51</v>
      </c>
      <c r="DW198" s="228">
        <v>0.83</v>
      </c>
      <c r="DX198" s="228">
        <v>-0.32</v>
      </c>
      <c r="DY198" s="229">
        <v>-0.38550000000000001</v>
      </c>
      <c r="DZ198" s="229">
        <v>8.8999999999999999E-3</v>
      </c>
      <c r="EA198" s="230">
        <v>19750</v>
      </c>
      <c r="EB198" s="229">
        <v>5.9999999999999995E-4</v>
      </c>
      <c r="EC198" s="229">
        <v>8.8999999999999999E-3</v>
      </c>
      <c r="ED198" s="228">
        <v>1</v>
      </c>
      <c r="EE198" s="229">
        <v>2.0000000000000001E-4</v>
      </c>
      <c r="EF198" s="230">
        <v>172272</v>
      </c>
      <c r="EG198" s="230">
        <v>275452</v>
      </c>
      <c r="EH198" s="229">
        <v>-0.37459999999999999</v>
      </c>
      <c r="EI198" s="229">
        <v>0.59709999999999996</v>
      </c>
      <c r="EJ198" s="231">
        <v>19572.28</v>
      </c>
      <c r="EK198" s="231">
        <v>9469.8700000000008</v>
      </c>
      <c r="EL198" s="231">
        <v>16909.939999999999</v>
      </c>
      <c r="EM198" s="231">
        <v>1569</v>
      </c>
      <c r="EN198" s="231">
        <v>45952.09</v>
      </c>
      <c r="EO198" s="231">
        <v>70963.53</v>
      </c>
      <c r="EP198" s="231">
        <v>-25011.439999999999</v>
      </c>
      <c r="EQ198" s="229">
        <v>-0.35249999999999998</v>
      </c>
      <c r="ER198" s="231">
        <v>29890</v>
      </c>
      <c r="ES198" s="231">
        <v>19897</v>
      </c>
      <c r="ET198" s="231">
        <v>123967</v>
      </c>
      <c r="EU198" s="231">
        <v>10726004</v>
      </c>
      <c r="EV198" s="231">
        <v>173754</v>
      </c>
      <c r="EW198" s="231">
        <v>170872</v>
      </c>
      <c r="EX198" s="231">
        <v>2882</v>
      </c>
      <c r="EY198" s="229">
        <v>1.6899999999999998E-2</v>
      </c>
      <c r="EZ198" s="229">
        <v>0.37109999999999999</v>
      </c>
      <c r="FA198" s="227" t="s">
        <v>556</v>
      </c>
      <c r="FB198" s="161">
        <f t="shared" si="5"/>
        <v>0</v>
      </c>
    </row>
    <row r="199" spans="1:158" ht="17.25" thickBot="1" x14ac:dyDescent="0.3">
      <c r="A199" s="226">
        <v>46086</v>
      </c>
      <c r="B199" s="227" t="s">
        <v>161</v>
      </c>
      <c r="C199" s="227" t="s">
        <v>299</v>
      </c>
      <c r="D199" s="228">
        <v>425</v>
      </c>
      <c r="E199" s="231">
        <v>1507.3</v>
      </c>
      <c r="F199" s="231">
        <v>1465.7</v>
      </c>
      <c r="G199" s="228">
        <v>41.6</v>
      </c>
      <c r="H199" s="229">
        <v>2.8400000000000002E-2</v>
      </c>
      <c r="I199" s="231">
        <v>1503.9</v>
      </c>
      <c r="J199" s="231">
        <v>1475.9</v>
      </c>
      <c r="K199" s="228">
        <v>28</v>
      </c>
      <c r="L199" s="229">
        <v>1.9E-2</v>
      </c>
      <c r="M199" s="231">
        <v>1507.3</v>
      </c>
      <c r="N199" s="231">
        <v>1465.7</v>
      </c>
      <c r="O199" s="228">
        <v>41.6</v>
      </c>
      <c r="P199" s="229">
        <v>2.8400000000000002E-2</v>
      </c>
      <c r="Q199" s="231">
        <v>1505.4</v>
      </c>
      <c r="R199" s="231">
        <v>1465</v>
      </c>
      <c r="S199" s="228">
        <v>40.4</v>
      </c>
      <c r="T199" s="229">
        <v>2.76E-2</v>
      </c>
      <c r="U199" s="228">
        <v>0</v>
      </c>
      <c r="V199" s="228">
        <v>0</v>
      </c>
      <c r="W199" s="228">
        <v>0</v>
      </c>
      <c r="X199" s="229">
        <v>0</v>
      </c>
      <c r="Y199" s="228">
        <v>3.4</v>
      </c>
      <c r="Z199" s="228">
        <v>-10.199999999999999</v>
      </c>
      <c r="AA199" s="228">
        <v>13.6</v>
      </c>
      <c r="AB199" s="229">
        <v>2.3E-3</v>
      </c>
      <c r="AC199" s="228">
        <v>3.4</v>
      </c>
      <c r="AD199" s="228">
        <v>-10.199999999999999</v>
      </c>
      <c r="AE199" s="228">
        <v>13.6</v>
      </c>
      <c r="AF199" s="229">
        <v>2.3E-3</v>
      </c>
      <c r="AG199" s="228">
        <v>1.5</v>
      </c>
      <c r="AH199" s="228">
        <v>-10.9</v>
      </c>
      <c r="AI199" s="228">
        <v>12.4</v>
      </c>
      <c r="AJ199" s="229">
        <v>1E-3</v>
      </c>
      <c r="AK199" s="228">
        <v>0</v>
      </c>
      <c r="AL199" s="228">
        <v>0</v>
      </c>
      <c r="AM199" s="228">
        <v>0</v>
      </c>
      <c r="AN199" s="229">
        <v>0</v>
      </c>
      <c r="AO199" s="231">
        <v>1491.86</v>
      </c>
      <c r="AP199" s="231">
        <v>1490.47</v>
      </c>
      <c r="AQ199" s="228">
        <v>0</v>
      </c>
      <c r="AR199" s="230">
        <v>1093950</v>
      </c>
      <c r="AS199" s="230">
        <v>2411025</v>
      </c>
      <c r="AT199" s="230">
        <v>-1317075</v>
      </c>
      <c r="AU199" s="229">
        <v>-0.54630000000000001</v>
      </c>
      <c r="AV199" s="230">
        <v>1068450</v>
      </c>
      <c r="AW199" s="230">
        <v>2341325</v>
      </c>
      <c r="AX199" s="230">
        <v>-1272875</v>
      </c>
      <c r="AY199" s="229">
        <v>-0.54369999999999996</v>
      </c>
      <c r="AZ199" s="230">
        <v>25500</v>
      </c>
      <c r="BA199" s="230">
        <v>69700</v>
      </c>
      <c r="BB199" s="230">
        <v>-44200</v>
      </c>
      <c r="BC199" s="229">
        <v>-0.6341</v>
      </c>
      <c r="BD199" s="228">
        <v>0</v>
      </c>
      <c r="BE199" s="228">
        <v>0</v>
      </c>
      <c r="BF199" s="228">
        <v>0</v>
      </c>
      <c r="BG199" s="229">
        <v>0</v>
      </c>
      <c r="BH199" s="230">
        <v>1360000</v>
      </c>
      <c r="BI199" s="230">
        <v>2615450</v>
      </c>
      <c r="BJ199" s="230">
        <v>-1255450</v>
      </c>
      <c r="BK199" s="229">
        <v>-0.48</v>
      </c>
      <c r="BL199" s="230">
        <v>704225</v>
      </c>
      <c r="BM199" s="230">
        <v>1761200</v>
      </c>
      <c r="BN199" s="230">
        <v>-1056975</v>
      </c>
      <c r="BO199" s="229">
        <v>-0.60009999999999997</v>
      </c>
      <c r="BP199" s="230">
        <v>3158175</v>
      </c>
      <c r="BQ199" s="230">
        <v>6787675</v>
      </c>
      <c r="BR199" s="230">
        <v>-3629500</v>
      </c>
      <c r="BS199" s="229">
        <v>-0.53469999999999995</v>
      </c>
      <c r="BT199" s="230">
        <v>505554</v>
      </c>
      <c r="BU199" s="230">
        <v>1736076</v>
      </c>
      <c r="BV199" s="230">
        <v>-1230522</v>
      </c>
      <c r="BW199" s="229">
        <v>-0.70879999999999999</v>
      </c>
      <c r="BX199" s="230">
        <v>3741700</v>
      </c>
      <c r="BY199" s="230">
        <v>3677525</v>
      </c>
      <c r="BZ199" s="230">
        <v>64175</v>
      </c>
      <c r="CA199" s="229">
        <v>1.7500000000000002E-2</v>
      </c>
      <c r="CB199" s="230">
        <v>3688575</v>
      </c>
      <c r="CC199" s="230">
        <v>3627800</v>
      </c>
      <c r="CD199" s="230">
        <v>60775</v>
      </c>
      <c r="CE199" s="229">
        <v>1.6799999999999999E-2</v>
      </c>
      <c r="CF199" s="230">
        <v>53125</v>
      </c>
      <c r="CG199" s="230">
        <v>49725</v>
      </c>
      <c r="CH199" s="230">
        <v>3400</v>
      </c>
      <c r="CI199" s="229">
        <v>6.8400000000000002E-2</v>
      </c>
      <c r="CJ199" s="228">
        <v>0</v>
      </c>
      <c r="CK199" s="228">
        <v>0</v>
      </c>
      <c r="CL199" s="228">
        <v>0</v>
      </c>
      <c r="CM199" s="229">
        <v>0</v>
      </c>
      <c r="CN199" s="230">
        <v>1468800</v>
      </c>
      <c r="CO199" s="230">
        <v>1327275</v>
      </c>
      <c r="CP199" s="230">
        <v>141525</v>
      </c>
      <c r="CQ199" s="229">
        <v>0.1066</v>
      </c>
      <c r="CR199" s="230">
        <v>821525</v>
      </c>
      <c r="CS199" s="230">
        <v>739075</v>
      </c>
      <c r="CT199" s="230">
        <v>82450</v>
      </c>
      <c r="CU199" s="229">
        <v>0.1116</v>
      </c>
      <c r="CV199" s="230">
        <v>6032025</v>
      </c>
      <c r="CW199" s="230">
        <v>5743875</v>
      </c>
      <c r="CX199" s="230">
        <v>288150</v>
      </c>
      <c r="CY199" s="229">
        <v>5.0200000000000002E-2</v>
      </c>
      <c r="CZ199" s="228">
        <v>32.979999999999997</v>
      </c>
      <c r="DA199" s="228">
        <v>37.21</v>
      </c>
      <c r="DB199" s="228">
        <v>-4.2300000000000004</v>
      </c>
      <c r="DC199" s="228">
        <v>-4.2300000000000004</v>
      </c>
      <c r="DD199" s="228">
        <v>41.12</v>
      </c>
      <c r="DE199" s="228">
        <v>41.05</v>
      </c>
      <c r="DF199" s="228">
        <v>-8.14</v>
      </c>
      <c r="DG199" s="228">
        <v>7.0000000000000007E-2</v>
      </c>
      <c r="DH199" s="228">
        <v>31.86</v>
      </c>
      <c r="DI199" s="228">
        <v>36.340000000000003</v>
      </c>
      <c r="DJ199" s="228">
        <v>-4.4800000000000004</v>
      </c>
      <c r="DK199" s="228">
        <v>-4.4800000000000004</v>
      </c>
      <c r="DL199" s="228">
        <v>35.14</v>
      </c>
      <c r="DM199" s="228">
        <v>38.51</v>
      </c>
      <c r="DN199" s="228">
        <v>-3.37</v>
      </c>
      <c r="DO199" s="228">
        <v>-3.37</v>
      </c>
      <c r="DP199" s="228">
        <v>0.56000000000000005</v>
      </c>
      <c r="DQ199" s="228">
        <v>0.56000000000000005</v>
      </c>
      <c r="DR199" s="228">
        <v>0</v>
      </c>
      <c r="DS199" s="229">
        <v>0</v>
      </c>
      <c r="DT199" s="231">
        <v>1700</v>
      </c>
      <c r="DU199" s="231">
        <v>1400</v>
      </c>
      <c r="DV199" s="228">
        <v>0.52</v>
      </c>
      <c r="DW199" s="228">
        <v>0.67</v>
      </c>
      <c r="DX199" s="228">
        <v>-0.15</v>
      </c>
      <c r="DY199" s="229">
        <v>-0.22389999999999999</v>
      </c>
      <c r="DZ199" s="229">
        <v>1.4200000000000001E-2</v>
      </c>
      <c r="EA199" s="230">
        <v>49725</v>
      </c>
      <c r="EB199" s="229">
        <v>-1.2999999999999999E-3</v>
      </c>
      <c r="EC199" s="229">
        <v>1.4200000000000001E-2</v>
      </c>
      <c r="ED199" s="228">
        <v>-1.39</v>
      </c>
      <c r="EE199" s="229">
        <v>-8.9999999999999998E-4</v>
      </c>
      <c r="EF199" s="230">
        <v>235248</v>
      </c>
      <c r="EG199" s="230">
        <v>930122</v>
      </c>
      <c r="EH199" s="229">
        <v>-0.74709999999999999</v>
      </c>
      <c r="EI199" s="229">
        <v>0.46529999999999999</v>
      </c>
      <c r="EJ199" s="231">
        <v>21730.15</v>
      </c>
      <c r="EK199" s="231">
        <v>10352.870000000001</v>
      </c>
      <c r="EL199" s="231">
        <v>16319.81</v>
      </c>
      <c r="EM199" s="231">
        <v>3879</v>
      </c>
      <c r="EN199" s="231">
        <v>48402.83</v>
      </c>
      <c r="EO199" s="231">
        <v>104391.89</v>
      </c>
      <c r="EP199" s="231">
        <v>-55989.06</v>
      </c>
      <c r="EQ199" s="229">
        <v>-0.5363</v>
      </c>
      <c r="ER199" s="231">
        <v>23555</v>
      </c>
      <c r="ES199" s="231">
        <v>12033</v>
      </c>
      <c r="ET199" s="231">
        <v>56398</v>
      </c>
      <c r="EU199" s="231">
        <v>24646022</v>
      </c>
      <c r="EV199" s="231">
        <v>91986</v>
      </c>
      <c r="EW199" s="231">
        <v>86056</v>
      </c>
      <c r="EX199" s="231">
        <v>5930</v>
      </c>
      <c r="EY199" s="229">
        <v>6.8900000000000003E-2</v>
      </c>
      <c r="EZ199" s="229">
        <v>0.2447</v>
      </c>
      <c r="FA199" s="227" t="s">
        <v>555</v>
      </c>
      <c r="FB199" s="161">
        <f t="shared" si="5"/>
        <v>0</v>
      </c>
    </row>
    <row r="200" spans="1:158" ht="17.25" thickBot="1" x14ac:dyDescent="0.3">
      <c r="A200" s="226">
        <v>46086</v>
      </c>
      <c r="B200" s="227" t="s">
        <v>197</v>
      </c>
      <c r="C200" s="227" t="s">
        <v>482</v>
      </c>
      <c r="D200" s="228">
        <v>100</v>
      </c>
      <c r="E200" s="231">
        <v>3796.1</v>
      </c>
      <c r="F200" s="231">
        <v>3763.8</v>
      </c>
      <c r="G200" s="228">
        <v>32.299999999999997</v>
      </c>
      <c r="H200" s="229">
        <v>8.6E-3</v>
      </c>
      <c r="I200" s="231">
        <v>3790.9</v>
      </c>
      <c r="J200" s="231">
        <v>3756.8</v>
      </c>
      <c r="K200" s="228">
        <v>34.1</v>
      </c>
      <c r="L200" s="229">
        <v>9.1000000000000004E-3</v>
      </c>
      <c r="M200" s="231">
        <v>3796.1</v>
      </c>
      <c r="N200" s="231">
        <v>3763.8</v>
      </c>
      <c r="O200" s="228">
        <v>32.299999999999997</v>
      </c>
      <c r="P200" s="229">
        <v>8.6E-3</v>
      </c>
      <c r="Q200" s="231">
        <v>3820.8</v>
      </c>
      <c r="R200" s="231">
        <v>3789.9</v>
      </c>
      <c r="S200" s="228">
        <v>30.9</v>
      </c>
      <c r="T200" s="229">
        <v>8.2000000000000007E-3</v>
      </c>
      <c r="U200" s="231">
        <v>3841.6</v>
      </c>
      <c r="V200" s="231">
        <v>3806.5</v>
      </c>
      <c r="W200" s="228">
        <v>35.1</v>
      </c>
      <c r="X200" s="229">
        <v>9.1999999999999998E-3</v>
      </c>
      <c r="Y200" s="228">
        <v>5.2</v>
      </c>
      <c r="Z200" s="228">
        <v>7</v>
      </c>
      <c r="AA200" s="228">
        <v>-1.8</v>
      </c>
      <c r="AB200" s="229">
        <v>1.4E-3</v>
      </c>
      <c r="AC200" s="228">
        <v>5.2</v>
      </c>
      <c r="AD200" s="228">
        <v>7</v>
      </c>
      <c r="AE200" s="228">
        <v>-1.8</v>
      </c>
      <c r="AF200" s="229">
        <v>1.4E-3</v>
      </c>
      <c r="AG200" s="228">
        <v>29.9</v>
      </c>
      <c r="AH200" s="228">
        <v>33.1</v>
      </c>
      <c r="AI200" s="228">
        <v>-3.2</v>
      </c>
      <c r="AJ200" s="229">
        <v>7.9000000000000008E-3</v>
      </c>
      <c r="AK200" s="228">
        <v>50.7</v>
      </c>
      <c r="AL200" s="228">
        <v>49.7</v>
      </c>
      <c r="AM200" s="228">
        <v>1</v>
      </c>
      <c r="AN200" s="229">
        <v>1.34E-2</v>
      </c>
      <c r="AO200" s="231">
        <v>3763.39</v>
      </c>
      <c r="AP200" s="231">
        <v>3782.97</v>
      </c>
      <c r="AQ200" s="228">
        <v>0</v>
      </c>
      <c r="AR200" s="230">
        <v>623400</v>
      </c>
      <c r="AS200" s="230">
        <v>794000</v>
      </c>
      <c r="AT200" s="230">
        <v>-170600</v>
      </c>
      <c r="AU200" s="229">
        <v>-0.21490000000000001</v>
      </c>
      <c r="AV200" s="230">
        <v>585700</v>
      </c>
      <c r="AW200" s="230">
        <v>753600</v>
      </c>
      <c r="AX200" s="230">
        <v>-167900</v>
      </c>
      <c r="AY200" s="229">
        <v>-0.2228</v>
      </c>
      <c r="AZ200" s="230">
        <v>29300</v>
      </c>
      <c r="BA200" s="230">
        <v>36300</v>
      </c>
      <c r="BB200" s="230">
        <v>-7000</v>
      </c>
      <c r="BC200" s="229">
        <v>-0.1928</v>
      </c>
      <c r="BD200" s="230">
        <v>8400</v>
      </c>
      <c r="BE200" s="230">
        <v>4100</v>
      </c>
      <c r="BF200" s="230">
        <v>4300</v>
      </c>
      <c r="BG200" s="229">
        <v>1.0488</v>
      </c>
      <c r="BH200" s="230">
        <v>2212100</v>
      </c>
      <c r="BI200" s="230">
        <v>2357900</v>
      </c>
      <c r="BJ200" s="230">
        <v>-145800</v>
      </c>
      <c r="BK200" s="229">
        <v>-6.1800000000000001E-2</v>
      </c>
      <c r="BL200" s="230">
        <v>921400</v>
      </c>
      <c r="BM200" s="230">
        <v>1686600</v>
      </c>
      <c r="BN200" s="230">
        <v>-765200</v>
      </c>
      <c r="BO200" s="229">
        <v>-0.45369999999999999</v>
      </c>
      <c r="BP200" s="230">
        <v>3756900</v>
      </c>
      <c r="BQ200" s="230">
        <v>4838500</v>
      </c>
      <c r="BR200" s="230">
        <v>-1081600</v>
      </c>
      <c r="BS200" s="229">
        <v>-0.2235</v>
      </c>
      <c r="BT200" s="230">
        <v>731036</v>
      </c>
      <c r="BU200" s="230">
        <v>852174</v>
      </c>
      <c r="BV200" s="230">
        <v>-121138</v>
      </c>
      <c r="BW200" s="229">
        <v>-0.14219999999999999</v>
      </c>
      <c r="BX200" s="230">
        <v>6457800</v>
      </c>
      <c r="BY200" s="230">
        <v>6616600</v>
      </c>
      <c r="BZ200" s="230">
        <v>-158800</v>
      </c>
      <c r="CA200" s="229">
        <v>-2.4E-2</v>
      </c>
      <c r="CB200" s="230">
        <v>6246100</v>
      </c>
      <c r="CC200" s="230">
        <v>6406400</v>
      </c>
      <c r="CD200" s="230">
        <v>-160300</v>
      </c>
      <c r="CE200" s="229">
        <v>-2.5000000000000001E-2</v>
      </c>
      <c r="CF200" s="230">
        <v>197200</v>
      </c>
      <c r="CG200" s="230">
        <v>198000</v>
      </c>
      <c r="CH200" s="228">
        <v>-800</v>
      </c>
      <c r="CI200" s="229">
        <v>-4.0000000000000001E-3</v>
      </c>
      <c r="CJ200" s="230">
        <v>14500</v>
      </c>
      <c r="CK200" s="230">
        <v>12200</v>
      </c>
      <c r="CL200" s="230">
        <v>2300</v>
      </c>
      <c r="CM200" s="229">
        <v>0.1885</v>
      </c>
      <c r="CN200" s="230">
        <v>2046400</v>
      </c>
      <c r="CO200" s="230">
        <v>1936900</v>
      </c>
      <c r="CP200" s="230">
        <v>109500</v>
      </c>
      <c r="CQ200" s="229">
        <v>5.6500000000000002E-2</v>
      </c>
      <c r="CR200" s="230">
        <v>1483200</v>
      </c>
      <c r="CS200" s="230">
        <v>1478800</v>
      </c>
      <c r="CT200" s="230">
        <v>4400</v>
      </c>
      <c r="CU200" s="229">
        <v>3.0000000000000001E-3</v>
      </c>
      <c r="CV200" s="230">
        <v>9987400</v>
      </c>
      <c r="CW200" s="230">
        <v>10032300</v>
      </c>
      <c r="CX200" s="230">
        <v>-44900</v>
      </c>
      <c r="CY200" s="229">
        <v>-4.4999999999999997E-3</v>
      </c>
      <c r="CZ200" s="228">
        <v>29.21</v>
      </c>
      <c r="DA200" s="228">
        <v>33.270000000000003</v>
      </c>
      <c r="DB200" s="228">
        <v>-4.0599999999999996</v>
      </c>
      <c r="DC200" s="228">
        <v>-4.0599999999999996</v>
      </c>
      <c r="DD200" s="228">
        <v>41.81</v>
      </c>
      <c r="DE200" s="228">
        <v>41.9</v>
      </c>
      <c r="DF200" s="228">
        <v>-12.6</v>
      </c>
      <c r="DG200" s="228">
        <v>-0.09</v>
      </c>
      <c r="DH200" s="228">
        <v>28.72</v>
      </c>
      <c r="DI200" s="228">
        <v>32.619999999999997</v>
      </c>
      <c r="DJ200" s="228">
        <v>-3.9</v>
      </c>
      <c r="DK200" s="228">
        <v>-3.9</v>
      </c>
      <c r="DL200" s="228">
        <v>30.36</v>
      </c>
      <c r="DM200" s="228">
        <v>34.18</v>
      </c>
      <c r="DN200" s="228">
        <v>-3.82</v>
      </c>
      <c r="DO200" s="228">
        <v>-3.82</v>
      </c>
      <c r="DP200" s="228">
        <v>0.72</v>
      </c>
      <c r="DQ200" s="228">
        <v>0.76</v>
      </c>
      <c r="DR200" s="228">
        <v>-0.04</v>
      </c>
      <c r="DS200" s="229">
        <v>-5.2600000000000001E-2</v>
      </c>
      <c r="DT200" s="231">
        <v>4500</v>
      </c>
      <c r="DU200" s="231">
        <v>3700</v>
      </c>
      <c r="DV200" s="228">
        <v>0.42</v>
      </c>
      <c r="DW200" s="228">
        <v>0.72</v>
      </c>
      <c r="DX200" s="228">
        <v>-0.3</v>
      </c>
      <c r="DY200" s="229">
        <v>-0.41670000000000001</v>
      </c>
      <c r="DZ200" s="229">
        <v>3.2800000000000003E-2</v>
      </c>
      <c r="EA200" s="230">
        <v>210200</v>
      </c>
      <c r="EB200" s="229">
        <v>6.4999999999999997E-3</v>
      </c>
      <c r="EC200" s="229">
        <v>3.2800000000000003E-2</v>
      </c>
      <c r="ED200" s="228">
        <v>19.579999999999998</v>
      </c>
      <c r="EE200" s="229">
        <v>5.1999999999999998E-3</v>
      </c>
      <c r="EF200" s="230">
        <v>396766</v>
      </c>
      <c r="EG200" s="230">
        <v>457472</v>
      </c>
      <c r="EH200" s="229">
        <v>-0.13270000000000001</v>
      </c>
      <c r="EI200" s="229">
        <v>0.54269999999999996</v>
      </c>
      <c r="EJ200" s="231">
        <v>89347.68</v>
      </c>
      <c r="EK200" s="231">
        <v>34394.22</v>
      </c>
      <c r="EL200" s="231">
        <v>23469.69</v>
      </c>
      <c r="EM200" s="231">
        <v>8444</v>
      </c>
      <c r="EN200" s="231">
        <v>147211.59</v>
      </c>
      <c r="EO200" s="231">
        <v>189892.23</v>
      </c>
      <c r="EP200" s="231">
        <v>-42680.639999999999</v>
      </c>
      <c r="EQ200" s="229">
        <v>-0.2248</v>
      </c>
      <c r="ER200" s="231">
        <v>84874</v>
      </c>
      <c r="ES200" s="231">
        <v>58326</v>
      </c>
      <c r="ET200" s="231">
        <v>245200</v>
      </c>
      <c r="EU200" s="231">
        <v>33590487</v>
      </c>
      <c r="EV200" s="231">
        <v>388400</v>
      </c>
      <c r="EW200" s="231">
        <v>387860</v>
      </c>
      <c r="EX200" s="228">
        <v>540</v>
      </c>
      <c r="EY200" s="229">
        <v>1.4E-3</v>
      </c>
      <c r="EZ200" s="229">
        <v>0.29730000000000001</v>
      </c>
      <c r="FA200" s="227" t="s">
        <v>556</v>
      </c>
      <c r="FB200" s="161">
        <f t="shared" si="5"/>
        <v>0</v>
      </c>
    </row>
    <row r="201" spans="1:158" ht="17.25" thickBot="1" x14ac:dyDescent="0.3">
      <c r="A201" s="226">
        <v>46086</v>
      </c>
      <c r="B201" s="227" t="s">
        <v>162</v>
      </c>
      <c r="C201" s="227" t="s">
        <v>300</v>
      </c>
      <c r="D201" s="228">
        <v>175</v>
      </c>
      <c r="E201" s="231">
        <v>3814.6</v>
      </c>
      <c r="F201" s="231">
        <v>3743</v>
      </c>
      <c r="G201" s="228">
        <v>71.599999999999994</v>
      </c>
      <c r="H201" s="229">
        <v>1.9099999999999999E-2</v>
      </c>
      <c r="I201" s="231">
        <v>3818.4</v>
      </c>
      <c r="J201" s="231">
        <v>3746.7</v>
      </c>
      <c r="K201" s="228">
        <v>71.7</v>
      </c>
      <c r="L201" s="229">
        <v>1.9099999999999999E-2</v>
      </c>
      <c r="M201" s="231">
        <v>3814.6</v>
      </c>
      <c r="N201" s="231">
        <v>3743</v>
      </c>
      <c r="O201" s="228">
        <v>71.599999999999994</v>
      </c>
      <c r="P201" s="229">
        <v>1.9099999999999999E-2</v>
      </c>
      <c r="Q201" s="231">
        <v>3833.3</v>
      </c>
      <c r="R201" s="231">
        <v>3761.8</v>
      </c>
      <c r="S201" s="228">
        <v>71.5</v>
      </c>
      <c r="T201" s="229">
        <v>1.9E-2</v>
      </c>
      <c r="U201" s="231">
        <v>3850</v>
      </c>
      <c r="V201" s="231">
        <v>3775</v>
      </c>
      <c r="W201" s="228">
        <v>75</v>
      </c>
      <c r="X201" s="229">
        <v>1.9900000000000001E-2</v>
      </c>
      <c r="Y201" s="228">
        <v>-3.8</v>
      </c>
      <c r="Z201" s="228">
        <v>-3.7</v>
      </c>
      <c r="AA201" s="228">
        <v>-0.1</v>
      </c>
      <c r="AB201" s="229">
        <v>-1E-3</v>
      </c>
      <c r="AC201" s="228">
        <v>-3.8</v>
      </c>
      <c r="AD201" s="228">
        <v>-3.7</v>
      </c>
      <c r="AE201" s="228">
        <v>-0.1</v>
      </c>
      <c r="AF201" s="229">
        <v>-1E-3</v>
      </c>
      <c r="AG201" s="228">
        <v>14.9</v>
      </c>
      <c r="AH201" s="228">
        <v>15.1</v>
      </c>
      <c r="AI201" s="228">
        <v>-0.2</v>
      </c>
      <c r="AJ201" s="229">
        <v>3.8999999999999998E-3</v>
      </c>
      <c r="AK201" s="228">
        <v>31.6</v>
      </c>
      <c r="AL201" s="228">
        <v>28.3</v>
      </c>
      <c r="AM201" s="228">
        <v>3.3</v>
      </c>
      <c r="AN201" s="229">
        <v>8.3000000000000001E-3</v>
      </c>
      <c r="AO201" s="231">
        <v>3783.21</v>
      </c>
      <c r="AP201" s="231">
        <v>3793.96</v>
      </c>
      <c r="AQ201" s="228">
        <v>0</v>
      </c>
      <c r="AR201" s="230">
        <v>848925</v>
      </c>
      <c r="AS201" s="230">
        <v>1178625</v>
      </c>
      <c r="AT201" s="230">
        <v>-329700</v>
      </c>
      <c r="AU201" s="229">
        <v>-0.2797</v>
      </c>
      <c r="AV201" s="230">
        <v>809900</v>
      </c>
      <c r="AW201" s="230">
        <v>1148525</v>
      </c>
      <c r="AX201" s="230">
        <v>-338625</v>
      </c>
      <c r="AY201" s="229">
        <v>-0.29480000000000001</v>
      </c>
      <c r="AZ201" s="230">
        <v>37100</v>
      </c>
      <c r="BA201" s="230">
        <v>28350</v>
      </c>
      <c r="BB201" s="230">
        <v>8750</v>
      </c>
      <c r="BC201" s="229">
        <v>0.30859999999999999</v>
      </c>
      <c r="BD201" s="230">
        <v>1925</v>
      </c>
      <c r="BE201" s="230">
        <v>1750</v>
      </c>
      <c r="BF201" s="228">
        <v>175</v>
      </c>
      <c r="BG201" s="229">
        <v>0.1</v>
      </c>
      <c r="BH201" s="230">
        <v>1780625</v>
      </c>
      <c r="BI201" s="230">
        <v>2674000</v>
      </c>
      <c r="BJ201" s="230">
        <v>-893375</v>
      </c>
      <c r="BK201" s="229">
        <v>-0.33410000000000001</v>
      </c>
      <c r="BL201" s="230">
        <v>772625</v>
      </c>
      <c r="BM201" s="230">
        <v>2293025</v>
      </c>
      <c r="BN201" s="230">
        <v>-1520400</v>
      </c>
      <c r="BO201" s="229">
        <v>-0.66310000000000002</v>
      </c>
      <c r="BP201" s="230">
        <v>3402175</v>
      </c>
      <c r="BQ201" s="230">
        <v>6145650</v>
      </c>
      <c r="BR201" s="230">
        <v>-2743475</v>
      </c>
      <c r="BS201" s="229">
        <v>-0.44640000000000002</v>
      </c>
      <c r="BT201" s="230">
        <v>729589</v>
      </c>
      <c r="BU201" s="230">
        <v>1248205</v>
      </c>
      <c r="BV201" s="230">
        <v>-518616</v>
      </c>
      <c r="BW201" s="229">
        <v>-0.41549999999999998</v>
      </c>
      <c r="BX201" s="230">
        <v>8332800</v>
      </c>
      <c r="BY201" s="230">
        <v>8379875</v>
      </c>
      <c r="BZ201" s="230">
        <v>-47075</v>
      </c>
      <c r="CA201" s="229">
        <v>-5.5999999999999999E-3</v>
      </c>
      <c r="CB201" s="230">
        <v>8273650</v>
      </c>
      <c r="CC201" s="230">
        <v>8330700</v>
      </c>
      <c r="CD201" s="230">
        <v>-57050</v>
      </c>
      <c r="CE201" s="229">
        <v>-6.7999999999999996E-3</v>
      </c>
      <c r="CF201" s="230">
        <v>54950</v>
      </c>
      <c r="CG201" s="230">
        <v>44975</v>
      </c>
      <c r="CH201" s="230">
        <v>9975</v>
      </c>
      <c r="CI201" s="229">
        <v>0.2218</v>
      </c>
      <c r="CJ201" s="230">
        <v>4200</v>
      </c>
      <c r="CK201" s="230">
        <v>4200</v>
      </c>
      <c r="CL201" s="228">
        <v>0</v>
      </c>
      <c r="CM201" s="229">
        <v>0</v>
      </c>
      <c r="CN201" s="230">
        <v>1792350</v>
      </c>
      <c r="CO201" s="230">
        <v>1855700</v>
      </c>
      <c r="CP201" s="230">
        <v>-63350</v>
      </c>
      <c r="CQ201" s="229">
        <v>-3.4099999999999998E-2</v>
      </c>
      <c r="CR201" s="230">
        <v>1384775</v>
      </c>
      <c r="CS201" s="230">
        <v>1349600</v>
      </c>
      <c r="CT201" s="230">
        <v>35175</v>
      </c>
      <c r="CU201" s="229">
        <v>2.6100000000000002E-2</v>
      </c>
      <c r="CV201" s="230">
        <v>11509925</v>
      </c>
      <c r="CW201" s="230">
        <v>11585175</v>
      </c>
      <c r="CX201" s="230">
        <v>-75250</v>
      </c>
      <c r="CY201" s="229">
        <v>-6.4999999999999997E-3</v>
      </c>
      <c r="CZ201" s="228">
        <v>26.6</v>
      </c>
      <c r="DA201" s="228">
        <v>29.89</v>
      </c>
      <c r="DB201" s="228">
        <v>-3.29</v>
      </c>
      <c r="DC201" s="228">
        <v>-3.29</v>
      </c>
      <c r="DD201" s="228">
        <v>29.37</v>
      </c>
      <c r="DE201" s="228">
        <v>29.33</v>
      </c>
      <c r="DF201" s="228">
        <v>-2.77</v>
      </c>
      <c r="DG201" s="228">
        <v>0.04</v>
      </c>
      <c r="DH201" s="228">
        <v>25.5</v>
      </c>
      <c r="DI201" s="228">
        <v>28.7</v>
      </c>
      <c r="DJ201" s="228">
        <v>-3.2</v>
      </c>
      <c r="DK201" s="228">
        <v>-3.2</v>
      </c>
      <c r="DL201" s="228">
        <v>29.11</v>
      </c>
      <c r="DM201" s="228">
        <v>31.27</v>
      </c>
      <c r="DN201" s="228">
        <v>-2.16</v>
      </c>
      <c r="DO201" s="228">
        <v>-2.16</v>
      </c>
      <c r="DP201" s="228">
        <v>0.77</v>
      </c>
      <c r="DQ201" s="228">
        <v>0.73</v>
      </c>
      <c r="DR201" s="228">
        <v>0.04</v>
      </c>
      <c r="DS201" s="229">
        <v>5.4800000000000001E-2</v>
      </c>
      <c r="DT201" s="231">
        <v>3900</v>
      </c>
      <c r="DU201" s="231">
        <v>3400</v>
      </c>
      <c r="DV201" s="228">
        <v>0.43</v>
      </c>
      <c r="DW201" s="228">
        <v>0.86</v>
      </c>
      <c r="DX201" s="228">
        <v>-0.43</v>
      </c>
      <c r="DY201" s="229">
        <v>-0.5</v>
      </c>
      <c r="DZ201" s="229">
        <v>7.1000000000000004E-3</v>
      </c>
      <c r="EA201" s="230">
        <v>49175</v>
      </c>
      <c r="EB201" s="229">
        <v>4.8999999999999998E-3</v>
      </c>
      <c r="EC201" s="229">
        <v>7.1000000000000004E-3</v>
      </c>
      <c r="ED201" s="228">
        <v>10.75</v>
      </c>
      <c r="EE201" s="229">
        <v>2.8E-3</v>
      </c>
      <c r="EF201" s="230">
        <v>406432</v>
      </c>
      <c r="EG201" s="230">
        <v>691486</v>
      </c>
      <c r="EH201" s="229">
        <v>-0.41220000000000001</v>
      </c>
      <c r="EI201" s="229">
        <v>0.55710000000000004</v>
      </c>
      <c r="EJ201" s="231">
        <v>70678.759999999995</v>
      </c>
      <c r="EK201" s="231">
        <v>28097</v>
      </c>
      <c r="EL201" s="231">
        <v>32121.09</v>
      </c>
      <c r="EM201" s="231">
        <v>7431</v>
      </c>
      <c r="EN201" s="231">
        <v>130896.85</v>
      </c>
      <c r="EO201" s="231">
        <v>234484.09</v>
      </c>
      <c r="EP201" s="231">
        <v>-103587.24</v>
      </c>
      <c r="EQ201" s="229">
        <v>-0.44180000000000003</v>
      </c>
      <c r="ER201" s="231">
        <v>71295</v>
      </c>
      <c r="ES201" s="231">
        <v>50962</v>
      </c>
      <c r="ET201" s="231">
        <v>317875</v>
      </c>
      <c r="EU201" s="231">
        <v>31634588</v>
      </c>
      <c r="EV201" s="231">
        <v>440132</v>
      </c>
      <c r="EW201" s="231">
        <v>437165</v>
      </c>
      <c r="EX201" s="231">
        <v>2967</v>
      </c>
      <c r="EY201" s="229">
        <v>6.7999999999999996E-3</v>
      </c>
      <c r="EZ201" s="229">
        <v>0.36380000000000001</v>
      </c>
      <c r="FA201" s="227" t="s">
        <v>556</v>
      </c>
      <c r="FB201" s="161">
        <f t="shared" si="5"/>
        <v>0</v>
      </c>
    </row>
    <row r="202" spans="1:158" ht="17.25" thickBot="1" x14ac:dyDescent="0.3">
      <c r="A202" s="226">
        <v>46086</v>
      </c>
      <c r="B202" s="227" t="s">
        <v>157</v>
      </c>
      <c r="C202" s="227" t="s">
        <v>302</v>
      </c>
      <c r="D202" s="228">
        <v>50</v>
      </c>
      <c r="E202" s="231">
        <v>12303</v>
      </c>
      <c r="F202" s="231">
        <v>12142</v>
      </c>
      <c r="G202" s="228">
        <v>161</v>
      </c>
      <c r="H202" s="229">
        <v>1.3299999999999999E-2</v>
      </c>
      <c r="I202" s="231">
        <v>12288</v>
      </c>
      <c r="J202" s="231">
        <v>12107</v>
      </c>
      <c r="K202" s="228">
        <v>181</v>
      </c>
      <c r="L202" s="229">
        <v>1.4999999999999999E-2</v>
      </c>
      <c r="M202" s="231">
        <v>12303</v>
      </c>
      <c r="N202" s="231">
        <v>12142</v>
      </c>
      <c r="O202" s="228">
        <v>161</v>
      </c>
      <c r="P202" s="229">
        <v>1.3299999999999999E-2</v>
      </c>
      <c r="Q202" s="231">
        <v>12377</v>
      </c>
      <c r="R202" s="231">
        <v>12219</v>
      </c>
      <c r="S202" s="228">
        <v>158</v>
      </c>
      <c r="T202" s="229">
        <v>1.29E-2</v>
      </c>
      <c r="U202" s="231">
        <v>12290</v>
      </c>
      <c r="V202" s="231">
        <v>12274</v>
      </c>
      <c r="W202" s="228">
        <v>16</v>
      </c>
      <c r="X202" s="229">
        <v>1.2999999999999999E-3</v>
      </c>
      <c r="Y202" s="228">
        <v>15</v>
      </c>
      <c r="Z202" s="228">
        <v>35</v>
      </c>
      <c r="AA202" s="228">
        <v>-20</v>
      </c>
      <c r="AB202" s="229">
        <v>1.1999999999999999E-3</v>
      </c>
      <c r="AC202" s="228">
        <v>15</v>
      </c>
      <c r="AD202" s="228">
        <v>35</v>
      </c>
      <c r="AE202" s="228">
        <v>-20</v>
      </c>
      <c r="AF202" s="229">
        <v>1.1999999999999999E-3</v>
      </c>
      <c r="AG202" s="228">
        <v>89</v>
      </c>
      <c r="AH202" s="228">
        <v>112</v>
      </c>
      <c r="AI202" s="228">
        <v>-23</v>
      </c>
      <c r="AJ202" s="229">
        <v>7.1999999999999998E-3</v>
      </c>
      <c r="AK202" s="228">
        <v>2</v>
      </c>
      <c r="AL202" s="228">
        <v>167</v>
      </c>
      <c r="AM202" s="228">
        <v>-165</v>
      </c>
      <c r="AN202" s="229">
        <v>2.0000000000000001E-4</v>
      </c>
      <c r="AO202" s="231">
        <v>12216.37</v>
      </c>
      <c r="AP202" s="231">
        <v>12285.12</v>
      </c>
      <c r="AQ202" s="228">
        <v>0</v>
      </c>
      <c r="AR202" s="230">
        <v>418550</v>
      </c>
      <c r="AS202" s="230">
        <v>400350</v>
      </c>
      <c r="AT202" s="230">
        <v>18200</v>
      </c>
      <c r="AU202" s="229">
        <v>4.5499999999999999E-2</v>
      </c>
      <c r="AV202" s="230">
        <v>407450</v>
      </c>
      <c r="AW202" s="230">
        <v>384500</v>
      </c>
      <c r="AX202" s="230">
        <v>22950</v>
      </c>
      <c r="AY202" s="229">
        <v>5.9700000000000003E-2</v>
      </c>
      <c r="AZ202" s="230">
        <v>10750</v>
      </c>
      <c r="BA202" s="230">
        <v>13650</v>
      </c>
      <c r="BB202" s="230">
        <v>-2900</v>
      </c>
      <c r="BC202" s="229">
        <v>-0.21249999999999999</v>
      </c>
      <c r="BD202" s="228">
        <v>350</v>
      </c>
      <c r="BE202" s="230">
        <v>2200</v>
      </c>
      <c r="BF202" s="230">
        <v>-1850</v>
      </c>
      <c r="BG202" s="229">
        <v>-0.84089999999999998</v>
      </c>
      <c r="BH202" s="230">
        <v>846000</v>
      </c>
      <c r="BI202" s="230">
        <v>1268400</v>
      </c>
      <c r="BJ202" s="230">
        <v>-422400</v>
      </c>
      <c r="BK202" s="229">
        <v>-0.33300000000000002</v>
      </c>
      <c r="BL202" s="230">
        <v>384400</v>
      </c>
      <c r="BM202" s="230">
        <v>877400</v>
      </c>
      <c r="BN202" s="230">
        <v>-493000</v>
      </c>
      <c r="BO202" s="229">
        <v>-0.56189999999999996</v>
      </c>
      <c r="BP202" s="230">
        <v>1648950</v>
      </c>
      <c r="BQ202" s="230">
        <v>2546150</v>
      </c>
      <c r="BR202" s="230">
        <v>-897200</v>
      </c>
      <c r="BS202" s="229">
        <v>-0.35239999999999999</v>
      </c>
      <c r="BT202" s="230">
        <v>333778</v>
      </c>
      <c r="BU202" s="230">
        <v>402542</v>
      </c>
      <c r="BV202" s="230">
        <v>-68764</v>
      </c>
      <c r="BW202" s="229">
        <v>-0.17080000000000001</v>
      </c>
      <c r="BX202" s="230">
        <v>2036150</v>
      </c>
      <c r="BY202" s="230">
        <v>2027900</v>
      </c>
      <c r="BZ202" s="230">
        <v>8250</v>
      </c>
      <c r="CA202" s="229">
        <v>4.1000000000000003E-3</v>
      </c>
      <c r="CB202" s="230">
        <v>2015950</v>
      </c>
      <c r="CC202" s="230">
        <v>2009150</v>
      </c>
      <c r="CD202" s="230">
        <v>6800</v>
      </c>
      <c r="CE202" s="229">
        <v>3.3999999999999998E-3</v>
      </c>
      <c r="CF202" s="230">
        <v>18050</v>
      </c>
      <c r="CG202" s="230">
        <v>16700</v>
      </c>
      <c r="CH202" s="230">
        <v>1350</v>
      </c>
      <c r="CI202" s="229">
        <v>8.0799999999999997E-2</v>
      </c>
      <c r="CJ202" s="230">
        <v>2150</v>
      </c>
      <c r="CK202" s="230">
        <v>2050</v>
      </c>
      <c r="CL202" s="228">
        <v>100</v>
      </c>
      <c r="CM202" s="229">
        <v>4.8800000000000003E-2</v>
      </c>
      <c r="CN202" s="230">
        <v>594650</v>
      </c>
      <c r="CO202" s="230">
        <v>556000</v>
      </c>
      <c r="CP202" s="230">
        <v>38650</v>
      </c>
      <c r="CQ202" s="229">
        <v>6.9500000000000006E-2</v>
      </c>
      <c r="CR202" s="230">
        <v>342450</v>
      </c>
      <c r="CS202" s="230">
        <v>297350</v>
      </c>
      <c r="CT202" s="230">
        <v>45100</v>
      </c>
      <c r="CU202" s="229">
        <v>0.1517</v>
      </c>
      <c r="CV202" s="230">
        <v>2973250</v>
      </c>
      <c r="CW202" s="230">
        <v>2881250</v>
      </c>
      <c r="CX202" s="230">
        <v>92000</v>
      </c>
      <c r="CY202" s="229">
        <v>3.1899999999999998E-2</v>
      </c>
      <c r="CZ202" s="228">
        <v>23.01</v>
      </c>
      <c r="DA202" s="228">
        <v>26.33</v>
      </c>
      <c r="DB202" s="228">
        <v>-3.32</v>
      </c>
      <c r="DC202" s="228">
        <v>-3.32</v>
      </c>
      <c r="DD202" s="228">
        <v>24.22</v>
      </c>
      <c r="DE202" s="228">
        <v>24.19</v>
      </c>
      <c r="DF202" s="228">
        <v>-1.21</v>
      </c>
      <c r="DG202" s="228">
        <v>0.03</v>
      </c>
      <c r="DH202" s="228">
        <v>22.32</v>
      </c>
      <c r="DI202" s="228">
        <v>25.32</v>
      </c>
      <c r="DJ202" s="228">
        <v>-3</v>
      </c>
      <c r="DK202" s="228">
        <v>-3</v>
      </c>
      <c r="DL202" s="228">
        <v>24.53</v>
      </c>
      <c r="DM202" s="228">
        <v>27.78</v>
      </c>
      <c r="DN202" s="228">
        <v>-3.25</v>
      </c>
      <c r="DO202" s="228">
        <v>-3.25</v>
      </c>
      <c r="DP202" s="228">
        <v>0.57999999999999996</v>
      </c>
      <c r="DQ202" s="228">
        <v>0.53</v>
      </c>
      <c r="DR202" s="228">
        <v>0.05</v>
      </c>
      <c r="DS202" s="229">
        <v>9.4299999999999995E-2</v>
      </c>
      <c r="DT202" s="231">
        <v>13000</v>
      </c>
      <c r="DU202" s="231">
        <v>11500</v>
      </c>
      <c r="DV202" s="228">
        <v>0.45</v>
      </c>
      <c r="DW202" s="228">
        <v>0.69</v>
      </c>
      <c r="DX202" s="228">
        <v>-0.24</v>
      </c>
      <c r="DY202" s="229">
        <v>-0.3478</v>
      </c>
      <c r="DZ202" s="229">
        <v>9.9000000000000008E-3</v>
      </c>
      <c r="EA202" s="230">
        <v>18750</v>
      </c>
      <c r="EB202" s="229">
        <v>6.0000000000000001E-3</v>
      </c>
      <c r="EC202" s="229">
        <v>9.9000000000000008E-3</v>
      </c>
      <c r="ED202" s="228">
        <v>68.75</v>
      </c>
      <c r="EE202" s="229">
        <v>5.5999999999999999E-3</v>
      </c>
      <c r="EF202" s="230">
        <v>201490</v>
      </c>
      <c r="EG202" s="230">
        <v>217925</v>
      </c>
      <c r="EH202" s="229">
        <v>-7.5399999999999995E-2</v>
      </c>
      <c r="EI202" s="229">
        <v>0.60370000000000001</v>
      </c>
      <c r="EJ202" s="231">
        <v>109254.5</v>
      </c>
      <c r="EK202" s="231">
        <v>46294.6</v>
      </c>
      <c r="EL202" s="231">
        <v>51139.21</v>
      </c>
      <c r="EM202" s="231">
        <v>5282</v>
      </c>
      <c r="EN202" s="231">
        <v>206688.31</v>
      </c>
      <c r="EO202" s="231">
        <v>318698.7</v>
      </c>
      <c r="EP202" s="231">
        <v>-112010.39</v>
      </c>
      <c r="EQ202" s="229">
        <v>-0.35149999999999998</v>
      </c>
      <c r="ER202" s="231">
        <v>77814</v>
      </c>
      <c r="ES202" s="231">
        <v>41393</v>
      </c>
      <c r="ET202" s="231">
        <v>250521</v>
      </c>
      <c r="EU202" s="231">
        <v>11955674</v>
      </c>
      <c r="EV202" s="231">
        <v>369728</v>
      </c>
      <c r="EW202" s="231">
        <v>355169</v>
      </c>
      <c r="EX202" s="231">
        <v>14559</v>
      </c>
      <c r="EY202" s="229">
        <v>4.1000000000000002E-2</v>
      </c>
      <c r="EZ202" s="229">
        <v>0.2487</v>
      </c>
      <c r="FA202" s="227" t="s">
        <v>555</v>
      </c>
      <c r="FB202" s="161">
        <f t="shared" si="5"/>
        <v>0</v>
      </c>
    </row>
    <row r="203" spans="1:158" ht="17.25" thickBot="1" x14ac:dyDescent="0.3">
      <c r="A203" s="226">
        <v>46086</v>
      </c>
      <c r="B203" s="227" t="s">
        <v>172</v>
      </c>
      <c r="C203" s="227" t="s">
        <v>593</v>
      </c>
      <c r="D203" s="228">
        <v>4425</v>
      </c>
      <c r="E203" s="228">
        <v>192.04</v>
      </c>
      <c r="F203" s="228">
        <v>192.03</v>
      </c>
      <c r="G203" s="228">
        <v>0.01</v>
      </c>
      <c r="H203" s="229">
        <v>1E-4</v>
      </c>
      <c r="I203" s="228">
        <v>191.2</v>
      </c>
      <c r="J203" s="228">
        <v>191.13</v>
      </c>
      <c r="K203" s="228">
        <v>7.0000000000000007E-2</v>
      </c>
      <c r="L203" s="229">
        <v>4.0000000000000002E-4</v>
      </c>
      <c r="M203" s="228">
        <v>192.04</v>
      </c>
      <c r="N203" s="228">
        <v>192.03</v>
      </c>
      <c r="O203" s="228">
        <v>0.01</v>
      </c>
      <c r="P203" s="229">
        <v>1E-4</v>
      </c>
      <c r="Q203" s="228">
        <v>192.84</v>
      </c>
      <c r="R203" s="228">
        <v>192.69</v>
      </c>
      <c r="S203" s="228">
        <v>0.15</v>
      </c>
      <c r="T203" s="229">
        <v>8.0000000000000004E-4</v>
      </c>
      <c r="U203" s="228">
        <v>193.69</v>
      </c>
      <c r="V203" s="228">
        <v>193.69</v>
      </c>
      <c r="W203" s="228">
        <v>0</v>
      </c>
      <c r="X203" s="229">
        <v>0</v>
      </c>
      <c r="Y203" s="228">
        <v>0.84</v>
      </c>
      <c r="Z203" s="228">
        <v>0.9</v>
      </c>
      <c r="AA203" s="228">
        <v>-0.06</v>
      </c>
      <c r="AB203" s="229">
        <v>4.4000000000000003E-3</v>
      </c>
      <c r="AC203" s="228">
        <v>0.84</v>
      </c>
      <c r="AD203" s="228">
        <v>0.9</v>
      </c>
      <c r="AE203" s="228">
        <v>-0.06</v>
      </c>
      <c r="AF203" s="229">
        <v>4.4000000000000003E-3</v>
      </c>
      <c r="AG203" s="228">
        <v>1.64</v>
      </c>
      <c r="AH203" s="228">
        <v>1.56</v>
      </c>
      <c r="AI203" s="228">
        <v>0.08</v>
      </c>
      <c r="AJ203" s="229">
        <v>8.6E-3</v>
      </c>
      <c r="AK203" s="228">
        <v>2.4900000000000002</v>
      </c>
      <c r="AL203" s="228">
        <v>2.56</v>
      </c>
      <c r="AM203" s="228">
        <v>-7.0000000000000007E-2</v>
      </c>
      <c r="AN203" s="229">
        <v>1.2999999999999999E-2</v>
      </c>
      <c r="AO203" s="228">
        <v>192.4</v>
      </c>
      <c r="AP203" s="228">
        <v>193.27</v>
      </c>
      <c r="AQ203" s="228">
        <v>0</v>
      </c>
      <c r="AR203" s="230">
        <v>38847075</v>
      </c>
      <c r="AS203" s="230">
        <v>38395725</v>
      </c>
      <c r="AT203" s="230">
        <v>451350</v>
      </c>
      <c r="AU203" s="229">
        <v>1.18E-2</v>
      </c>
      <c r="AV203" s="230">
        <v>27173925</v>
      </c>
      <c r="AW203" s="230">
        <v>33488400</v>
      </c>
      <c r="AX203" s="230">
        <v>-6314475</v>
      </c>
      <c r="AY203" s="229">
        <v>-0.18859999999999999</v>
      </c>
      <c r="AZ203" s="230">
        <v>2442600</v>
      </c>
      <c r="BA203" s="230">
        <v>1597425</v>
      </c>
      <c r="BB203" s="230">
        <v>845175</v>
      </c>
      <c r="BC203" s="229">
        <v>0.52910000000000001</v>
      </c>
      <c r="BD203" s="230">
        <v>9230550</v>
      </c>
      <c r="BE203" s="230">
        <v>3309900</v>
      </c>
      <c r="BF203" s="230">
        <v>5920650</v>
      </c>
      <c r="BG203" s="229">
        <v>1.7887999999999999</v>
      </c>
      <c r="BH203" s="230">
        <v>39413475</v>
      </c>
      <c r="BI203" s="230">
        <v>52507050</v>
      </c>
      <c r="BJ203" s="230">
        <v>-13093575</v>
      </c>
      <c r="BK203" s="229">
        <v>-0.24940000000000001</v>
      </c>
      <c r="BL203" s="230">
        <v>17925675</v>
      </c>
      <c r="BM203" s="230">
        <v>35355750</v>
      </c>
      <c r="BN203" s="230">
        <v>-17430075</v>
      </c>
      <c r="BO203" s="229">
        <v>-0.49299999999999999</v>
      </c>
      <c r="BP203" s="230">
        <v>96186225</v>
      </c>
      <c r="BQ203" s="230">
        <v>126258525</v>
      </c>
      <c r="BR203" s="230">
        <v>-30072300</v>
      </c>
      <c r="BS203" s="229">
        <v>-0.2382</v>
      </c>
      <c r="BT203" s="230">
        <v>18214072</v>
      </c>
      <c r="BU203" s="230">
        <v>24580497</v>
      </c>
      <c r="BV203" s="230">
        <v>-6366425</v>
      </c>
      <c r="BW203" s="229">
        <v>-0.25900000000000001</v>
      </c>
      <c r="BX203" s="230">
        <v>76725075</v>
      </c>
      <c r="BY203" s="230">
        <v>73773600</v>
      </c>
      <c r="BZ203" s="230">
        <v>2951475</v>
      </c>
      <c r="CA203" s="229">
        <v>0.04</v>
      </c>
      <c r="CB203" s="230">
        <v>69799950</v>
      </c>
      <c r="CC203" s="230">
        <v>67441425</v>
      </c>
      <c r="CD203" s="230">
        <v>2358525</v>
      </c>
      <c r="CE203" s="229">
        <v>3.5000000000000003E-2</v>
      </c>
      <c r="CF203" s="230">
        <v>4593150</v>
      </c>
      <c r="CG203" s="230">
        <v>4075425</v>
      </c>
      <c r="CH203" s="230">
        <v>517725</v>
      </c>
      <c r="CI203" s="229">
        <v>0.127</v>
      </c>
      <c r="CJ203" s="230">
        <v>2331975</v>
      </c>
      <c r="CK203" s="230">
        <v>2256750</v>
      </c>
      <c r="CL203" s="230">
        <v>75225</v>
      </c>
      <c r="CM203" s="229">
        <v>3.3300000000000003E-2</v>
      </c>
      <c r="CN203" s="230">
        <v>28797900</v>
      </c>
      <c r="CO203" s="230">
        <v>25903950</v>
      </c>
      <c r="CP203" s="230">
        <v>2893950</v>
      </c>
      <c r="CQ203" s="229">
        <v>0.11169999999999999</v>
      </c>
      <c r="CR203" s="230">
        <v>21054150</v>
      </c>
      <c r="CS203" s="230">
        <v>21894900</v>
      </c>
      <c r="CT203" s="230">
        <v>-840750</v>
      </c>
      <c r="CU203" s="229">
        <v>-3.8399999999999997E-2</v>
      </c>
      <c r="CV203" s="230">
        <v>126577125</v>
      </c>
      <c r="CW203" s="230">
        <v>121572450</v>
      </c>
      <c r="CX203" s="230">
        <v>5004675</v>
      </c>
      <c r="CY203" s="229">
        <v>4.1200000000000001E-2</v>
      </c>
      <c r="CZ203" s="228">
        <v>34.130000000000003</v>
      </c>
      <c r="DA203" s="228">
        <v>36.79</v>
      </c>
      <c r="DB203" s="228">
        <v>-2.66</v>
      </c>
      <c r="DC203" s="228">
        <v>-2.66</v>
      </c>
      <c r="DD203" s="228">
        <v>40.64</v>
      </c>
      <c r="DE203" s="228">
        <v>40.74</v>
      </c>
      <c r="DF203" s="228">
        <v>-6.51</v>
      </c>
      <c r="DG203" s="228">
        <v>-0.1</v>
      </c>
      <c r="DH203" s="228">
        <v>33.68</v>
      </c>
      <c r="DI203" s="228">
        <v>35.9</v>
      </c>
      <c r="DJ203" s="228">
        <v>-2.2200000000000002</v>
      </c>
      <c r="DK203" s="228">
        <v>-2.2200000000000002</v>
      </c>
      <c r="DL203" s="228">
        <v>35.130000000000003</v>
      </c>
      <c r="DM203" s="228">
        <v>38.11</v>
      </c>
      <c r="DN203" s="228">
        <v>-2.98</v>
      </c>
      <c r="DO203" s="228">
        <v>-2.98</v>
      </c>
      <c r="DP203" s="228">
        <v>0.73</v>
      </c>
      <c r="DQ203" s="228">
        <v>0.85</v>
      </c>
      <c r="DR203" s="228">
        <v>-0.12</v>
      </c>
      <c r="DS203" s="229">
        <v>-0.14119999999999999</v>
      </c>
      <c r="DT203" s="228">
        <v>200</v>
      </c>
      <c r="DU203" s="228">
        <v>190</v>
      </c>
      <c r="DV203" s="228">
        <v>0.45</v>
      </c>
      <c r="DW203" s="228">
        <v>0.67</v>
      </c>
      <c r="DX203" s="228">
        <v>-0.22</v>
      </c>
      <c r="DY203" s="229">
        <v>-0.32840000000000003</v>
      </c>
      <c r="DZ203" s="229">
        <v>9.0300000000000005E-2</v>
      </c>
      <c r="EA203" s="230">
        <v>6332175</v>
      </c>
      <c r="EB203" s="229">
        <v>4.1999999999999997E-3</v>
      </c>
      <c r="EC203" s="229">
        <v>9.0300000000000005E-2</v>
      </c>
      <c r="ED203" s="228">
        <v>0.87</v>
      </c>
      <c r="EE203" s="229">
        <v>4.4999999999999997E-3</v>
      </c>
      <c r="EF203" s="230">
        <v>8239682</v>
      </c>
      <c r="EG203" s="230">
        <v>12204723</v>
      </c>
      <c r="EH203" s="229">
        <v>-0.32490000000000002</v>
      </c>
      <c r="EI203" s="229">
        <v>0.45240000000000002</v>
      </c>
      <c r="EJ203" s="231">
        <v>81343.56</v>
      </c>
      <c r="EK203" s="231">
        <v>34635.4</v>
      </c>
      <c r="EL203" s="231">
        <v>74724.44</v>
      </c>
      <c r="EM203" s="231">
        <v>8161</v>
      </c>
      <c r="EN203" s="231">
        <v>190703.4</v>
      </c>
      <c r="EO203" s="231">
        <v>251795.5</v>
      </c>
      <c r="EP203" s="231">
        <v>-61092.1</v>
      </c>
      <c r="EQ203" s="229">
        <v>-0.24260000000000001</v>
      </c>
      <c r="ER203" s="231">
        <v>58579</v>
      </c>
      <c r="ES203" s="231">
        <v>39733</v>
      </c>
      <c r="ET203" s="231">
        <v>147418</v>
      </c>
      <c r="EU203" s="231">
        <v>289041713</v>
      </c>
      <c r="EV203" s="231">
        <v>245730</v>
      </c>
      <c r="EW203" s="231">
        <v>236067</v>
      </c>
      <c r="EX203" s="231">
        <v>9663</v>
      </c>
      <c r="EY203" s="229">
        <v>4.0899999999999999E-2</v>
      </c>
      <c r="EZ203" s="229">
        <v>0.43790000000000001</v>
      </c>
      <c r="FA203" s="227" t="s">
        <v>555</v>
      </c>
      <c r="FB203" s="161">
        <f t="shared" si="5"/>
        <v>0</v>
      </c>
    </row>
    <row r="204" spans="1:158" ht="17.25" thickBot="1" x14ac:dyDescent="0.3">
      <c r="A204" s="226">
        <v>46086</v>
      </c>
      <c r="B204" s="227" t="s">
        <v>168</v>
      </c>
      <c r="C204" s="227" t="s">
        <v>569</v>
      </c>
      <c r="D204" s="228">
        <v>400</v>
      </c>
      <c r="E204" s="231">
        <v>1329.5</v>
      </c>
      <c r="F204" s="231">
        <v>1319.3</v>
      </c>
      <c r="G204" s="228">
        <v>10.199999999999999</v>
      </c>
      <c r="H204" s="229">
        <v>7.7000000000000002E-3</v>
      </c>
      <c r="I204" s="231">
        <v>1325.8</v>
      </c>
      <c r="J204" s="231">
        <v>1316.8</v>
      </c>
      <c r="K204" s="228">
        <v>9</v>
      </c>
      <c r="L204" s="229">
        <v>6.7999999999999996E-3</v>
      </c>
      <c r="M204" s="231">
        <v>1329.5</v>
      </c>
      <c r="N204" s="231">
        <v>1319.3</v>
      </c>
      <c r="O204" s="228">
        <v>10.199999999999999</v>
      </c>
      <c r="P204" s="229">
        <v>7.7000000000000002E-3</v>
      </c>
      <c r="Q204" s="231">
        <v>1338.4</v>
      </c>
      <c r="R204" s="231">
        <v>1327.7</v>
      </c>
      <c r="S204" s="228">
        <v>10.7</v>
      </c>
      <c r="T204" s="229">
        <v>8.0999999999999996E-3</v>
      </c>
      <c r="U204" s="231">
        <v>1348</v>
      </c>
      <c r="V204" s="231">
        <v>1342.1</v>
      </c>
      <c r="W204" s="228">
        <v>5.9</v>
      </c>
      <c r="X204" s="229">
        <v>4.4000000000000003E-3</v>
      </c>
      <c r="Y204" s="228">
        <v>3.7</v>
      </c>
      <c r="Z204" s="228">
        <v>2.5</v>
      </c>
      <c r="AA204" s="228">
        <v>1.2</v>
      </c>
      <c r="AB204" s="229">
        <v>2.8E-3</v>
      </c>
      <c r="AC204" s="228">
        <v>3.7</v>
      </c>
      <c r="AD204" s="228">
        <v>2.5</v>
      </c>
      <c r="AE204" s="228">
        <v>1.2</v>
      </c>
      <c r="AF204" s="229">
        <v>2.8E-3</v>
      </c>
      <c r="AG204" s="228">
        <v>12.6</v>
      </c>
      <c r="AH204" s="228">
        <v>10.9</v>
      </c>
      <c r="AI204" s="228">
        <v>1.7</v>
      </c>
      <c r="AJ204" s="229">
        <v>9.4999999999999998E-3</v>
      </c>
      <c r="AK204" s="228">
        <v>22.2</v>
      </c>
      <c r="AL204" s="228">
        <v>25.3</v>
      </c>
      <c r="AM204" s="228">
        <v>-3.1</v>
      </c>
      <c r="AN204" s="229">
        <v>1.67E-2</v>
      </c>
      <c r="AO204" s="231">
        <v>1326.14</v>
      </c>
      <c r="AP204" s="231">
        <v>1333.94</v>
      </c>
      <c r="AQ204" s="228">
        <v>0</v>
      </c>
      <c r="AR204" s="230">
        <v>1226000</v>
      </c>
      <c r="AS204" s="230">
        <v>1248800</v>
      </c>
      <c r="AT204" s="230">
        <v>-22800</v>
      </c>
      <c r="AU204" s="229">
        <v>-1.83E-2</v>
      </c>
      <c r="AV204" s="230">
        <v>1085200</v>
      </c>
      <c r="AW204" s="230">
        <v>1181200</v>
      </c>
      <c r="AX204" s="230">
        <v>-96000</v>
      </c>
      <c r="AY204" s="229">
        <v>-8.1299999999999997E-2</v>
      </c>
      <c r="AZ204" s="230">
        <v>137200</v>
      </c>
      <c r="BA204" s="230">
        <v>63600</v>
      </c>
      <c r="BB204" s="230">
        <v>73600</v>
      </c>
      <c r="BC204" s="229">
        <v>1.1572</v>
      </c>
      <c r="BD204" s="230">
        <v>3600</v>
      </c>
      <c r="BE204" s="230">
        <v>4000</v>
      </c>
      <c r="BF204" s="228">
        <v>-400</v>
      </c>
      <c r="BG204" s="229">
        <v>-0.1</v>
      </c>
      <c r="BH204" s="230">
        <v>2095200</v>
      </c>
      <c r="BI204" s="230">
        <v>1860800</v>
      </c>
      <c r="BJ204" s="230">
        <v>234400</v>
      </c>
      <c r="BK204" s="229">
        <v>0.126</v>
      </c>
      <c r="BL204" s="230">
        <v>1015600</v>
      </c>
      <c r="BM204" s="230">
        <v>1458800</v>
      </c>
      <c r="BN204" s="230">
        <v>-443200</v>
      </c>
      <c r="BO204" s="229">
        <v>-0.30380000000000001</v>
      </c>
      <c r="BP204" s="230">
        <v>4336800</v>
      </c>
      <c r="BQ204" s="230">
        <v>4568400</v>
      </c>
      <c r="BR204" s="230">
        <v>-231600</v>
      </c>
      <c r="BS204" s="229">
        <v>-5.0700000000000002E-2</v>
      </c>
      <c r="BT204" s="230">
        <v>652534</v>
      </c>
      <c r="BU204" s="230">
        <v>874205</v>
      </c>
      <c r="BV204" s="230">
        <v>-221671</v>
      </c>
      <c r="BW204" s="229">
        <v>-0.25359999999999999</v>
      </c>
      <c r="BX204" s="230">
        <v>9766800</v>
      </c>
      <c r="BY204" s="230">
        <v>9724800</v>
      </c>
      <c r="BZ204" s="230">
        <v>42000</v>
      </c>
      <c r="CA204" s="229">
        <v>4.3E-3</v>
      </c>
      <c r="CB204" s="230">
        <v>9653600</v>
      </c>
      <c r="CC204" s="230">
        <v>9625600</v>
      </c>
      <c r="CD204" s="230">
        <v>28000</v>
      </c>
      <c r="CE204" s="229">
        <v>2.8999999999999998E-3</v>
      </c>
      <c r="CF204" s="230">
        <v>106000</v>
      </c>
      <c r="CG204" s="230">
        <v>93200</v>
      </c>
      <c r="CH204" s="230">
        <v>12800</v>
      </c>
      <c r="CI204" s="229">
        <v>0.13730000000000001</v>
      </c>
      <c r="CJ204" s="230">
        <v>7200</v>
      </c>
      <c r="CK204" s="230">
        <v>6000</v>
      </c>
      <c r="CL204" s="230">
        <v>1200</v>
      </c>
      <c r="CM204" s="229">
        <v>0.2</v>
      </c>
      <c r="CN204" s="230">
        <v>1890400</v>
      </c>
      <c r="CO204" s="230">
        <v>1729600</v>
      </c>
      <c r="CP204" s="230">
        <v>160800</v>
      </c>
      <c r="CQ204" s="229">
        <v>9.2999999999999999E-2</v>
      </c>
      <c r="CR204" s="230">
        <v>1450000</v>
      </c>
      <c r="CS204" s="230">
        <v>1439600</v>
      </c>
      <c r="CT204" s="230">
        <v>10400</v>
      </c>
      <c r="CU204" s="229">
        <v>7.1999999999999998E-3</v>
      </c>
      <c r="CV204" s="230">
        <v>13107200</v>
      </c>
      <c r="CW204" s="230">
        <v>12894000</v>
      </c>
      <c r="CX204" s="230">
        <v>213200</v>
      </c>
      <c r="CY204" s="229">
        <v>1.6500000000000001E-2</v>
      </c>
      <c r="CZ204" s="228">
        <v>24.83</v>
      </c>
      <c r="DA204" s="228">
        <v>27.64</v>
      </c>
      <c r="DB204" s="228">
        <v>-2.81</v>
      </c>
      <c r="DC204" s="228">
        <v>-2.81</v>
      </c>
      <c r="DD204" s="228">
        <v>26.83</v>
      </c>
      <c r="DE204" s="228">
        <v>26.89</v>
      </c>
      <c r="DF204" s="228">
        <v>-2</v>
      </c>
      <c r="DG204" s="228">
        <v>-0.06</v>
      </c>
      <c r="DH204" s="228">
        <v>24.53</v>
      </c>
      <c r="DI204" s="228">
        <v>27.31</v>
      </c>
      <c r="DJ204" s="228">
        <v>-2.78</v>
      </c>
      <c r="DK204" s="228">
        <v>-2.78</v>
      </c>
      <c r="DL204" s="228">
        <v>25.44</v>
      </c>
      <c r="DM204" s="228">
        <v>28.05</v>
      </c>
      <c r="DN204" s="228">
        <v>-2.61</v>
      </c>
      <c r="DO204" s="228">
        <v>-2.61</v>
      </c>
      <c r="DP204" s="228">
        <v>0.77</v>
      </c>
      <c r="DQ204" s="228">
        <v>0.83</v>
      </c>
      <c r="DR204" s="228">
        <v>-0.06</v>
      </c>
      <c r="DS204" s="229">
        <v>-7.2300000000000003E-2</v>
      </c>
      <c r="DT204" s="231">
        <v>1500</v>
      </c>
      <c r="DU204" s="231">
        <v>1400</v>
      </c>
      <c r="DV204" s="228">
        <v>0.48</v>
      </c>
      <c r="DW204" s="228">
        <v>0.78</v>
      </c>
      <c r="DX204" s="228">
        <v>-0.3</v>
      </c>
      <c r="DY204" s="229">
        <v>-0.3846</v>
      </c>
      <c r="DZ204" s="229">
        <v>1.1599999999999999E-2</v>
      </c>
      <c r="EA204" s="230">
        <v>99200</v>
      </c>
      <c r="EB204" s="229">
        <v>6.7000000000000002E-3</v>
      </c>
      <c r="EC204" s="229">
        <v>1.1599999999999999E-2</v>
      </c>
      <c r="ED204" s="228">
        <v>7.8</v>
      </c>
      <c r="EE204" s="229">
        <v>5.8999999999999999E-3</v>
      </c>
      <c r="EF204" s="230">
        <v>259351</v>
      </c>
      <c r="EG204" s="230">
        <v>513686</v>
      </c>
      <c r="EH204" s="229">
        <v>-0.49509999999999998</v>
      </c>
      <c r="EI204" s="229">
        <v>0.39750000000000002</v>
      </c>
      <c r="EJ204" s="231">
        <v>29205.88</v>
      </c>
      <c r="EK204" s="231">
        <v>13595.09</v>
      </c>
      <c r="EL204" s="231">
        <v>16269.76</v>
      </c>
      <c r="EM204" s="231">
        <v>3343</v>
      </c>
      <c r="EN204" s="231">
        <v>59070.73</v>
      </c>
      <c r="EO204" s="231">
        <v>62824.9</v>
      </c>
      <c r="EP204" s="231">
        <v>-3754.17</v>
      </c>
      <c r="EQ204" s="229">
        <v>-5.9799999999999999E-2</v>
      </c>
      <c r="ER204" s="231">
        <v>27143</v>
      </c>
      <c r="ES204" s="231">
        <v>19718</v>
      </c>
      <c r="ET204" s="231">
        <v>129860</v>
      </c>
      <c r="EU204" s="231">
        <v>37091426</v>
      </c>
      <c r="EV204" s="231">
        <v>176722</v>
      </c>
      <c r="EW204" s="231">
        <v>172892</v>
      </c>
      <c r="EX204" s="231">
        <v>3830</v>
      </c>
      <c r="EY204" s="229">
        <v>2.2200000000000001E-2</v>
      </c>
      <c r="EZ204" s="229">
        <v>0.35339999999999999</v>
      </c>
      <c r="FA204" s="227" t="s">
        <v>555</v>
      </c>
      <c r="FB204" s="161">
        <f t="shared" si="5"/>
        <v>0</v>
      </c>
    </row>
    <row r="205" spans="1:158" ht="17.25" thickBot="1" x14ac:dyDescent="0.3">
      <c r="A205" s="226">
        <v>46086</v>
      </c>
      <c r="B205" s="227" t="s">
        <v>162</v>
      </c>
      <c r="C205" s="227" t="s">
        <v>673</v>
      </c>
      <c r="D205" s="228">
        <v>550</v>
      </c>
      <c r="E205" s="231">
        <v>1121.4000000000001</v>
      </c>
      <c r="F205" s="231">
        <v>1126.7</v>
      </c>
      <c r="G205" s="228">
        <v>-5.3</v>
      </c>
      <c r="H205" s="229">
        <v>-4.7000000000000002E-3</v>
      </c>
      <c r="I205" s="231">
        <v>1118.3</v>
      </c>
      <c r="J205" s="231">
        <v>1124.5</v>
      </c>
      <c r="K205" s="228">
        <v>-6.2</v>
      </c>
      <c r="L205" s="229">
        <v>-5.4999999999999997E-3</v>
      </c>
      <c r="M205" s="231">
        <v>1121.4000000000001</v>
      </c>
      <c r="N205" s="231">
        <v>1126.7</v>
      </c>
      <c r="O205" s="228">
        <v>-5.3</v>
      </c>
      <c r="P205" s="229">
        <v>-4.7000000000000002E-3</v>
      </c>
      <c r="Q205" s="231">
        <v>1126.8</v>
      </c>
      <c r="R205" s="231">
        <v>1134.3</v>
      </c>
      <c r="S205" s="228">
        <v>-7.5</v>
      </c>
      <c r="T205" s="229">
        <v>-6.6E-3</v>
      </c>
      <c r="U205" s="231">
        <v>1130.4000000000001</v>
      </c>
      <c r="V205" s="231">
        <v>1141.5</v>
      </c>
      <c r="W205" s="228">
        <v>-11.1</v>
      </c>
      <c r="X205" s="229">
        <v>-9.7000000000000003E-3</v>
      </c>
      <c r="Y205" s="228">
        <v>3.1</v>
      </c>
      <c r="Z205" s="228">
        <v>2.2000000000000002</v>
      </c>
      <c r="AA205" s="228">
        <v>0.9</v>
      </c>
      <c r="AB205" s="229">
        <v>2.8E-3</v>
      </c>
      <c r="AC205" s="228">
        <v>3.1</v>
      </c>
      <c r="AD205" s="228">
        <v>2.2000000000000002</v>
      </c>
      <c r="AE205" s="228">
        <v>0.9</v>
      </c>
      <c r="AF205" s="229">
        <v>2.8E-3</v>
      </c>
      <c r="AG205" s="228">
        <v>8.5</v>
      </c>
      <c r="AH205" s="228">
        <v>9.8000000000000007</v>
      </c>
      <c r="AI205" s="228">
        <v>-1.3</v>
      </c>
      <c r="AJ205" s="229">
        <v>7.6E-3</v>
      </c>
      <c r="AK205" s="228">
        <v>12.1</v>
      </c>
      <c r="AL205" s="228">
        <v>17</v>
      </c>
      <c r="AM205" s="228">
        <v>-4.9000000000000004</v>
      </c>
      <c r="AN205" s="229">
        <v>1.0800000000000001E-2</v>
      </c>
      <c r="AO205" s="231">
        <v>1115.81</v>
      </c>
      <c r="AP205" s="231">
        <v>1122.17</v>
      </c>
      <c r="AQ205" s="228">
        <v>0</v>
      </c>
      <c r="AR205" s="230">
        <v>1453650</v>
      </c>
      <c r="AS205" s="230">
        <v>1505900</v>
      </c>
      <c r="AT205" s="230">
        <v>-52250</v>
      </c>
      <c r="AU205" s="229">
        <v>-3.4700000000000002E-2</v>
      </c>
      <c r="AV205" s="230">
        <v>1418450</v>
      </c>
      <c r="AW205" s="230">
        <v>1459700</v>
      </c>
      <c r="AX205" s="230">
        <v>-41250</v>
      </c>
      <c r="AY205" s="229">
        <v>-2.8299999999999999E-2</v>
      </c>
      <c r="AZ205" s="230">
        <v>34100</v>
      </c>
      <c r="BA205" s="230">
        <v>45650</v>
      </c>
      <c r="BB205" s="230">
        <v>-11550</v>
      </c>
      <c r="BC205" s="229">
        <v>-0.253</v>
      </c>
      <c r="BD205" s="230">
        <v>1100</v>
      </c>
      <c r="BE205" s="228">
        <v>550</v>
      </c>
      <c r="BF205" s="228">
        <v>550</v>
      </c>
      <c r="BG205" s="229">
        <v>1</v>
      </c>
      <c r="BH205" s="230">
        <v>1144550</v>
      </c>
      <c r="BI205" s="230">
        <v>1117050</v>
      </c>
      <c r="BJ205" s="230">
        <v>27500</v>
      </c>
      <c r="BK205" s="229">
        <v>2.46E-2</v>
      </c>
      <c r="BL205" s="230">
        <v>539000</v>
      </c>
      <c r="BM205" s="230">
        <v>521950</v>
      </c>
      <c r="BN205" s="230">
        <v>17050</v>
      </c>
      <c r="BO205" s="229">
        <v>3.27E-2</v>
      </c>
      <c r="BP205" s="230">
        <v>3137200</v>
      </c>
      <c r="BQ205" s="230">
        <v>3144900</v>
      </c>
      <c r="BR205" s="230">
        <v>-7700</v>
      </c>
      <c r="BS205" s="229">
        <v>-2.3999999999999998E-3</v>
      </c>
      <c r="BT205" s="230">
        <v>958523</v>
      </c>
      <c r="BU205" s="230">
        <v>1388973</v>
      </c>
      <c r="BV205" s="230">
        <v>-430450</v>
      </c>
      <c r="BW205" s="229">
        <v>-0.30990000000000001</v>
      </c>
      <c r="BX205" s="230">
        <v>6460850</v>
      </c>
      <c r="BY205" s="230">
        <v>6554350</v>
      </c>
      <c r="BZ205" s="230">
        <v>-93500</v>
      </c>
      <c r="CA205" s="229">
        <v>-1.43E-2</v>
      </c>
      <c r="CB205" s="230">
        <v>6394850</v>
      </c>
      <c r="CC205" s="230">
        <v>6492750</v>
      </c>
      <c r="CD205" s="230">
        <v>-97900</v>
      </c>
      <c r="CE205" s="229">
        <v>-1.5100000000000001E-2</v>
      </c>
      <c r="CF205" s="230">
        <v>64900</v>
      </c>
      <c r="CG205" s="230">
        <v>61050</v>
      </c>
      <c r="CH205" s="230">
        <v>3850</v>
      </c>
      <c r="CI205" s="229">
        <v>6.3100000000000003E-2</v>
      </c>
      <c r="CJ205" s="230">
        <v>1100</v>
      </c>
      <c r="CK205" s="228">
        <v>550</v>
      </c>
      <c r="CL205" s="228">
        <v>550</v>
      </c>
      <c r="CM205" s="229">
        <v>1</v>
      </c>
      <c r="CN205" s="230">
        <v>1218800</v>
      </c>
      <c r="CO205" s="230">
        <v>1095050</v>
      </c>
      <c r="CP205" s="230">
        <v>123750</v>
      </c>
      <c r="CQ205" s="229">
        <v>0.113</v>
      </c>
      <c r="CR205" s="230">
        <v>810700</v>
      </c>
      <c r="CS205" s="230">
        <v>732600</v>
      </c>
      <c r="CT205" s="230">
        <v>78100</v>
      </c>
      <c r="CU205" s="229">
        <v>0.1066</v>
      </c>
      <c r="CV205" s="230">
        <v>8490350</v>
      </c>
      <c r="CW205" s="230">
        <v>8382000</v>
      </c>
      <c r="CX205" s="230">
        <v>108350</v>
      </c>
      <c r="CY205" s="229">
        <v>1.29E-2</v>
      </c>
      <c r="CZ205" s="228">
        <v>34.17</v>
      </c>
      <c r="DA205" s="228">
        <v>35.56</v>
      </c>
      <c r="DB205" s="228">
        <v>-1.39</v>
      </c>
      <c r="DC205" s="228">
        <v>-1.39</v>
      </c>
      <c r="DD205" s="228">
        <v>41.02</v>
      </c>
      <c r="DE205" s="228">
        <v>41.12</v>
      </c>
      <c r="DF205" s="228">
        <v>-6.85</v>
      </c>
      <c r="DG205" s="228">
        <v>-0.1</v>
      </c>
      <c r="DH205" s="228">
        <v>33.659999999999997</v>
      </c>
      <c r="DI205" s="228">
        <v>35.03</v>
      </c>
      <c r="DJ205" s="228">
        <v>-1.37</v>
      </c>
      <c r="DK205" s="228">
        <v>-1.37</v>
      </c>
      <c r="DL205" s="228">
        <v>35.270000000000003</v>
      </c>
      <c r="DM205" s="228">
        <v>36.72</v>
      </c>
      <c r="DN205" s="228">
        <v>-1.45</v>
      </c>
      <c r="DO205" s="228">
        <v>-1.45</v>
      </c>
      <c r="DP205" s="228">
        <v>0.67</v>
      </c>
      <c r="DQ205" s="228">
        <v>0.67</v>
      </c>
      <c r="DR205" s="228">
        <v>0</v>
      </c>
      <c r="DS205" s="229">
        <v>0</v>
      </c>
      <c r="DT205" s="231">
        <v>1240</v>
      </c>
      <c r="DU205" s="231">
        <v>1200</v>
      </c>
      <c r="DV205" s="228">
        <v>0.47</v>
      </c>
      <c r="DW205" s="228">
        <v>0.47</v>
      </c>
      <c r="DX205" s="228">
        <v>0</v>
      </c>
      <c r="DY205" s="229">
        <v>0</v>
      </c>
      <c r="DZ205" s="229">
        <v>1.0200000000000001E-2</v>
      </c>
      <c r="EA205" s="230">
        <v>61600</v>
      </c>
      <c r="EB205" s="229">
        <v>4.7999999999999996E-3</v>
      </c>
      <c r="EC205" s="229">
        <v>1.0200000000000001E-2</v>
      </c>
      <c r="ED205" s="228">
        <v>6.36</v>
      </c>
      <c r="EE205" s="229">
        <v>5.7000000000000002E-3</v>
      </c>
      <c r="EF205" s="230">
        <v>470150</v>
      </c>
      <c r="EG205" s="230">
        <v>785573</v>
      </c>
      <c r="EH205" s="229">
        <v>-0.40150000000000002</v>
      </c>
      <c r="EI205" s="229">
        <v>0.49049999999999999</v>
      </c>
      <c r="EJ205" s="231">
        <v>14177.08</v>
      </c>
      <c r="EK205" s="231">
        <v>6192.96</v>
      </c>
      <c r="EL205" s="231">
        <v>16222.31</v>
      </c>
      <c r="EM205" s="231">
        <v>2872</v>
      </c>
      <c r="EN205" s="231">
        <v>36592.35</v>
      </c>
      <c r="EO205" s="231">
        <v>36673.699999999997</v>
      </c>
      <c r="EP205" s="228">
        <v>-81.349999999999994</v>
      </c>
      <c r="EQ205" s="229">
        <v>-2.2000000000000001E-3</v>
      </c>
      <c r="ER205" s="231">
        <v>15196</v>
      </c>
      <c r="ES205" s="231">
        <v>9327</v>
      </c>
      <c r="ET205" s="231">
        <v>72456</v>
      </c>
      <c r="EU205" s="231">
        <v>27292222</v>
      </c>
      <c r="EV205" s="231">
        <v>96979</v>
      </c>
      <c r="EW205" s="231">
        <v>96077</v>
      </c>
      <c r="EX205" s="228">
        <v>902</v>
      </c>
      <c r="EY205" s="229">
        <v>9.4000000000000004E-3</v>
      </c>
      <c r="EZ205" s="229">
        <v>0.31109999999999999</v>
      </c>
      <c r="FA205" s="227" t="s">
        <v>568</v>
      </c>
      <c r="FB205" s="161">
        <f t="shared" si="5"/>
        <v>0</v>
      </c>
    </row>
    <row r="206" spans="1:158" ht="17.25" thickBot="1" x14ac:dyDescent="0.3">
      <c r="A206" s="226">
        <v>46086</v>
      </c>
      <c r="B206" s="227" t="s">
        <v>498</v>
      </c>
      <c r="C206" s="227" t="s">
        <v>303</v>
      </c>
      <c r="D206" s="228">
        <v>1355</v>
      </c>
      <c r="E206" s="228">
        <v>631</v>
      </c>
      <c r="F206" s="228">
        <v>615.29999999999995</v>
      </c>
      <c r="G206" s="228">
        <v>15.7</v>
      </c>
      <c r="H206" s="229">
        <v>2.5499999999999998E-2</v>
      </c>
      <c r="I206" s="228">
        <v>629.6</v>
      </c>
      <c r="J206" s="228">
        <v>614.1</v>
      </c>
      <c r="K206" s="228">
        <v>15.5</v>
      </c>
      <c r="L206" s="229">
        <v>2.52E-2</v>
      </c>
      <c r="M206" s="228">
        <v>631</v>
      </c>
      <c r="N206" s="228">
        <v>615.29999999999995</v>
      </c>
      <c r="O206" s="228">
        <v>15.7</v>
      </c>
      <c r="P206" s="229">
        <v>2.5499999999999998E-2</v>
      </c>
      <c r="Q206" s="228">
        <v>634.65</v>
      </c>
      <c r="R206" s="228">
        <v>619.35</v>
      </c>
      <c r="S206" s="228">
        <v>15.3</v>
      </c>
      <c r="T206" s="229">
        <v>2.47E-2</v>
      </c>
      <c r="U206" s="228">
        <v>638.1</v>
      </c>
      <c r="V206" s="228">
        <v>622</v>
      </c>
      <c r="W206" s="228">
        <v>16.100000000000001</v>
      </c>
      <c r="X206" s="229">
        <v>2.5899999999999999E-2</v>
      </c>
      <c r="Y206" s="228">
        <v>1.4</v>
      </c>
      <c r="Z206" s="228">
        <v>1.2</v>
      </c>
      <c r="AA206" s="228">
        <v>0.2</v>
      </c>
      <c r="AB206" s="229">
        <v>2.2000000000000001E-3</v>
      </c>
      <c r="AC206" s="228">
        <v>1.4</v>
      </c>
      <c r="AD206" s="228">
        <v>1.2</v>
      </c>
      <c r="AE206" s="228">
        <v>0.2</v>
      </c>
      <c r="AF206" s="229">
        <v>2.2000000000000001E-3</v>
      </c>
      <c r="AG206" s="228">
        <v>5.05</v>
      </c>
      <c r="AH206" s="228">
        <v>5.25</v>
      </c>
      <c r="AI206" s="228">
        <v>-0.2</v>
      </c>
      <c r="AJ206" s="229">
        <v>8.0000000000000002E-3</v>
      </c>
      <c r="AK206" s="228">
        <v>8.5</v>
      </c>
      <c r="AL206" s="228">
        <v>7.9</v>
      </c>
      <c r="AM206" s="228">
        <v>0.6</v>
      </c>
      <c r="AN206" s="229">
        <v>1.35E-2</v>
      </c>
      <c r="AO206" s="228">
        <v>625.1</v>
      </c>
      <c r="AP206" s="228">
        <v>628.66</v>
      </c>
      <c r="AQ206" s="228">
        <v>0</v>
      </c>
      <c r="AR206" s="230">
        <v>5303470</v>
      </c>
      <c r="AS206" s="230">
        <v>5791270</v>
      </c>
      <c r="AT206" s="230">
        <v>-487800</v>
      </c>
      <c r="AU206" s="229">
        <v>-8.4199999999999997E-2</v>
      </c>
      <c r="AV206" s="230">
        <v>5079895</v>
      </c>
      <c r="AW206" s="230">
        <v>5467425</v>
      </c>
      <c r="AX206" s="230">
        <v>-387530</v>
      </c>
      <c r="AY206" s="229">
        <v>-7.0900000000000005E-2</v>
      </c>
      <c r="AZ206" s="230">
        <v>169375</v>
      </c>
      <c r="BA206" s="230">
        <v>299455</v>
      </c>
      <c r="BB206" s="230">
        <v>-130080</v>
      </c>
      <c r="BC206" s="229">
        <v>-0.43440000000000001</v>
      </c>
      <c r="BD206" s="230">
        <v>54200</v>
      </c>
      <c r="BE206" s="230">
        <v>24390</v>
      </c>
      <c r="BF206" s="230">
        <v>29810</v>
      </c>
      <c r="BG206" s="229">
        <v>1.2222</v>
      </c>
      <c r="BH206" s="230">
        <v>11953810</v>
      </c>
      <c r="BI206" s="230">
        <v>15736970</v>
      </c>
      <c r="BJ206" s="230">
        <v>-3783160</v>
      </c>
      <c r="BK206" s="229">
        <v>-0.2404</v>
      </c>
      <c r="BL206" s="230">
        <v>4471500</v>
      </c>
      <c r="BM206" s="230">
        <v>8841375</v>
      </c>
      <c r="BN206" s="230">
        <v>-4369875</v>
      </c>
      <c r="BO206" s="229">
        <v>-0.49430000000000002</v>
      </c>
      <c r="BP206" s="230">
        <v>21728780</v>
      </c>
      <c r="BQ206" s="230">
        <v>30369615</v>
      </c>
      <c r="BR206" s="230">
        <v>-8640835</v>
      </c>
      <c r="BS206" s="229">
        <v>-0.28449999999999998</v>
      </c>
      <c r="BT206" s="230">
        <v>2556427</v>
      </c>
      <c r="BU206" s="230">
        <v>3953385</v>
      </c>
      <c r="BV206" s="230">
        <v>-1396958</v>
      </c>
      <c r="BW206" s="229">
        <v>-0.35339999999999999</v>
      </c>
      <c r="BX206" s="230">
        <v>33969850</v>
      </c>
      <c r="BY206" s="230">
        <v>34706970</v>
      </c>
      <c r="BZ206" s="230">
        <v>-737120</v>
      </c>
      <c r="CA206" s="229">
        <v>-2.12E-2</v>
      </c>
      <c r="CB206" s="230">
        <v>32971215</v>
      </c>
      <c r="CC206" s="230">
        <v>33693430</v>
      </c>
      <c r="CD206" s="230">
        <v>-722215</v>
      </c>
      <c r="CE206" s="229">
        <v>-2.1399999999999999E-2</v>
      </c>
      <c r="CF206" s="230">
        <v>955275</v>
      </c>
      <c r="CG206" s="230">
        <v>960695</v>
      </c>
      <c r="CH206" s="230">
        <v>-5420</v>
      </c>
      <c r="CI206" s="229">
        <v>-5.5999999999999999E-3</v>
      </c>
      <c r="CJ206" s="230">
        <v>43360</v>
      </c>
      <c r="CK206" s="230">
        <v>52845</v>
      </c>
      <c r="CL206" s="230">
        <v>-9485</v>
      </c>
      <c r="CM206" s="229">
        <v>-0.17949999999999999</v>
      </c>
      <c r="CN206" s="230">
        <v>21623090</v>
      </c>
      <c r="CO206" s="230">
        <v>22255875</v>
      </c>
      <c r="CP206" s="230">
        <v>-632785</v>
      </c>
      <c r="CQ206" s="229">
        <v>-2.8400000000000002E-2</v>
      </c>
      <c r="CR206" s="230">
        <v>9944345</v>
      </c>
      <c r="CS206" s="230">
        <v>9835945</v>
      </c>
      <c r="CT206" s="230">
        <v>108400</v>
      </c>
      <c r="CU206" s="229">
        <v>1.0999999999999999E-2</v>
      </c>
      <c r="CV206" s="230">
        <v>65537285</v>
      </c>
      <c r="CW206" s="230">
        <v>66798790</v>
      </c>
      <c r="CX206" s="230">
        <v>-1261505</v>
      </c>
      <c r="CY206" s="229">
        <v>-1.89E-2</v>
      </c>
      <c r="CZ206" s="228">
        <v>31.59</v>
      </c>
      <c r="DA206" s="228">
        <v>35.130000000000003</v>
      </c>
      <c r="DB206" s="228">
        <v>-3.54</v>
      </c>
      <c r="DC206" s="228">
        <v>-3.54</v>
      </c>
      <c r="DD206" s="228">
        <v>40.9</v>
      </c>
      <c r="DE206" s="228">
        <v>40.86</v>
      </c>
      <c r="DF206" s="228">
        <v>-9.31</v>
      </c>
      <c r="DG206" s="228">
        <v>0.04</v>
      </c>
      <c r="DH206" s="228">
        <v>31.3</v>
      </c>
      <c r="DI206" s="228">
        <v>34.35</v>
      </c>
      <c r="DJ206" s="228">
        <v>-3.05</v>
      </c>
      <c r="DK206" s="228">
        <v>-3.05</v>
      </c>
      <c r="DL206" s="228">
        <v>32.36</v>
      </c>
      <c r="DM206" s="228">
        <v>36.53</v>
      </c>
      <c r="DN206" s="228">
        <v>-4.17</v>
      </c>
      <c r="DO206" s="228">
        <v>-4.17</v>
      </c>
      <c r="DP206" s="228">
        <v>0.46</v>
      </c>
      <c r="DQ206" s="228">
        <v>0.44</v>
      </c>
      <c r="DR206" s="228">
        <v>0.02</v>
      </c>
      <c r="DS206" s="229">
        <v>4.5499999999999999E-2</v>
      </c>
      <c r="DT206" s="228">
        <v>700</v>
      </c>
      <c r="DU206" s="228">
        <v>600</v>
      </c>
      <c r="DV206" s="228">
        <v>0.37</v>
      </c>
      <c r="DW206" s="228">
        <v>0.56000000000000005</v>
      </c>
      <c r="DX206" s="228">
        <v>-0.19</v>
      </c>
      <c r="DY206" s="229">
        <v>-0.33929999999999999</v>
      </c>
      <c r="DZ206" s="229">
        <v>2.9399999999999999E-2</v>
      </c>
      <c r="EA206" s="230">
        <v>1013540</v>
      </c>
      <c r="EB206" s="229">
        <v>5.7999999999999996E-3</v>
      </c>
      <c r="EC206" s="229">
        <v>2.9399999999999999E-2</v>
      </c>
      <c r="ED206" s="228">
        <v>3.56</v>
      </c>
      <c r="EE206" s="229">
        <v>5.7000000000000002E-3</v>
      </c>
      <c r="EF206" s="230">
        <v>1464830</v>
      </c>
      <c r="EG206" s="230">
        <v>2188297</v>
      </c>
      <c r="EH206" s="229">
        <v>-0.3306</v>
      </c>
      <c r="EI206" s="229">
        <v>0.57299999999999995</v>
      </c>
      <c r="EJ206" s="231">
        <v>80850.36</v>
      </c>
      <c r="EK206" s="231">
        <v>27539.71</v>
      </c>
      <c r="EL206" s="231">
        <v>33163.279999999999</v>
      </c>
      <c r="EM206" s="231">
        <v>4901</v>
      </c>
      <c r="EN206" s="231">
        <v>141553.35</v>
      </c>
      <c r="EO206" s="231">
        <v>194907.61</v>
      </c>
      <c r="EP206" s="231">
        <v>-53354.26</v>
      </c>
      <c r="EQ206" s="229">
        <v>-0.2737</v>
      </c>
      <c r="ER206" s="231">
        <v>151467</v>
      </c>
      <c r="ES206" s="231">
        <v>62646</v>
      </c>
      <c r="ET206" s="231">
        <v>214388</v>
      </c>
      <c r="EU206" s="231">
        <v>84228583</v>
      </c>
      <c r="EV206" s="231">
        <v>428501</v>
      </c>
      <c r="EW206" s="231">
        <v>431394</v>
      </c>
      <c r="EX206" s="231">
        <v>-2893</v>
      </c>
      <c r="EY206" s="229">
        <v>-6.7000000000000002E-3</v>
      </c>
      <c r="EZ206" s="229">
        <v>0.77810000000000001</v>
      </c>
      <c r="FA206" s="227" t="s">
        <v>556</v>
      </c>
      <c r="FB206" s="161">
        <f t="shared" si="5"/>
        <v>0</v>
      </c>
    </row>
    <row r="207" spans="1:158" ht="17.25" thickBot="1" x14ac:dyDescent="0.3">
      <c r="A207" s="226">
        <v>46086</v>
      </c>
      <c r="B207" s="227" t="s">
        <v>168</v>
      </c>
      <c r="C207" s="227" t="s">
        <v>586</v>
      </c>
      <c r="D207" s="228">
        <v>1125</v>
      </c>
      <c r="E207" s="228">
        <v>446.25</v>
      </c>
      <c r="F207" s="228">
        <v>430.7</v>
      </c>
      <c r="G207" s="228">
        <v>15.55</v>
      </c>
      <c r="H207" s="229">
        <v>3.61E-2</v>
      </c>
      <c r="I207" s="228">
        <v>445.75</v>
      </c>
      <c r="J207" s="228">
        <v>429.75</v>
      </c>
      <c r="K207" s="228">
        <v>16</v>
      </c>
      <c r="L207" s="229">
        <v>3.7199999999999997E-2</v>
      </c>
      <c r="M207" s="228">
        <v>446.25</v>
      </c>
      <c r="N207" s="228">
        <v>430.7</v>
      </c>
      <c r="O207" s="228">
        <v>15.55</v>
      </c>
      <c r="P207" s="229">
        <v>3.61E-2</v>
      </c>
      <c r="Q207" s="228">
        <v>448.95</v>
      </c>
      <c r="R207" s="228">
        <v>433.1</v>
      </c>
      <c r="S207" s="228">
        <v>15.85</v>
      </c>
      <c r="T207" s="229">
        <v>3.6600000000000001E-2</v>
      </c>
      <c r="U207" s="228">
        <v>451.55</v>
      </c>
      <c r="V207" s="228">
        <v>436.05</v>
      </c>
      <c r="W207" s="228">
        <v>15.5</v>
      </c>
      <c r="X207" s="229">
        <v>3.5499999999999997E-2</v>
      </c>
      <c r="Y207" s="228">
        <v>0.5</v>
      </c>
      <c r="Z207" s="228">
        <v>0.95</v>
      </c>
      <c r="AA207" s="228">
        <v>-0.45</v>
      </c>
      <c r="AB207" s="229">
        <v>1.1000000000000001E-3</v>
      </c>
      <c r="AC207" s="228">
        <v>0.5</v>
      </c>
      <c r="AD207" s="228">
        <v>0.95</v>
      </c>
      <c r="AE207" s="228">
        <v>-0.45</v>
      </c>
      <c r="AF207" s="229">
        <v>1.1000000000000001E-3</v>
      </c>
      <c r="AG207" s="228">
        <v>3.2</v>
      </c>
      <c r="AH207" s="228">
        <v>3.35</v>
      </c>
      <c r="AI207" s="228">
        <v>-0.15</v>
      </c>
      <c r="AJ207" s="229">
        <v>7.1999999999999998E-3</v>
      </c>
      <c r="AK207" s="228">
        <v>5.8</v>
      </c>
      <c r="AL207" s="228">
        <v>6.3</v>
      </c>
      <c r="AM207" s="228">
        <v>-0.5</v>
      </c>
      <c r="AN207" s="229">
        <v>1.2999999999999999E-2</v>
      </c>
      <c r="AO207" s="228">
        <v>440.93</v>
      </c>
      <c r="AP207" s="228">
        <v>443.55</v>
      </c>
      <c r="AQ207" s="228">
        <v>0</v>
      </c>
      <c r="AR207" s="230">
        <v>8175375</v>
      </c>
      <c r="AS207" s="230">
        <v>6231375</v>
      </c>
      <c r="AT207" s="230">
        <v>1944000</v>
      </c>
      <c r="AU207" s="229">
        <v>0.312</v>
      </c>
      <c r="AV207" s="230">
        <v>7616250</v>
      </c>
      <c r="AW207" s="230">
        <v>5640750</v>
      </c>
      <c r="AX207" s="230">
        <v>1975500</v>
      </c>
      <c r="AY207" s="229">
        <v>0.35020000000000001</v>
      </c>
      <c r="AZ207" s="230">
        <v>511875</v>
      </c>
      <c r="BA207" s="230">
        <v>538875</v>
      </c>
      <c r="BB207" s="230">
        <v>-27000</v>
      </c>
      <c r="BC207" s="229">
        <v>-5.0099999999999999E-2</v>
      </c>
      <c r="BD207" s="230">
        <v>47250</v>
      </c>
      <c r="BE207" s="230">
        <v>51750</v>
      </c>
      <c r="BF207" s="230">
        <v>-4500</v>
      </c>
      <c r="BG207" s="229">
        <v>-8.6999999999999994E-2</v>
      </c>
      <c r="BH207" s="230">
        <v>12993750</v>
      </c>
      <c r="BI207" s="230">
        <v>9237375</v>
      </c>
      <c r="BJ207" s="230">
        <v>3756375</v>
      </c>
      <c r="BK207" s="229">
        <v>0.40660000000000002</v>
      </c>
      <c r="BL207" s="230">
        <v>5706000</v>
      </c>
      <c r="BM207" s="230">
        <v>4691250</v>
      </c>
      <c r="BN207" s="230">
        <v>1014750</v>
      </c>
      <c r="BO207" s="229">
        <v>0.21629999999999999</v>
      </c>
      <c r="BP207" s="230">
        <v>26875125</v>
      </c>
      <c r="BQ207" s="230">
        <v>20160000</v>
      </c>
      <c r="BR207" s="230">
        <v>6715125</v>
      </c>
      <c r="BS207" s="229">
        <v>0.33310000000000001</v>
      </c>
      <c r="BT207" s="230">
        <v>6741422</v>
      </c>
      <c r="BU207" s="230">
        <v>8649777</v>
      </c>
      <c r="BV207" s="230">
        <v>-1908355</v>
      </c>
      <c r="BW207" s="229">
        <v>-0.22059999999999999</v>
      </c>
      <c r="BX207" s="230">
        <v>40626000</v>
      </c>
      <c r="BY207" s="230">
        <v>41784750</v>
      </c>
      <c r="BZ207" s="230">
        <v>-1158750</v>
      </c>
      <c r="CA207" s="229">
        <v>-2.7699999999999999E-2</v>
      </c>
      <c r="CB207" s="230">
        <v>39263625</v>
      </c>
      <c r="CC207" s="230">
        <v>40529250</v>
      </c>
      <c r="CD207" s="230">
        <v>-1265625</v>
      </c>
      <c r="CE207" s="229">
        <v>-3.1199999999999999E-2</v>
      </c>
      <c r="CF207" s="230">
        <v>1287000</v>
      </c>
      <c r="CG207" s="230">
        <v>1176750</v>
      </c>
      <c r="CH207" s="230">
        <v>110250</v>
      </c>
      <c r="CI207" s="229">
        <v>9.3700000000000006E-2</v>
      </c>
      <c r="CJ207" s="230">
        <v>75375</v>
      </c>
      <c r="CK207" s="230">
        <v>78750</v>
      </c>
      <c r="CL207" s="230">
        <v>-3375</v>
      </c>
      <c r="CM207" s="229">
        <v>-4.2900000000000001E-2</v>
      </c>
      <c r="CN207" s="230">
        <v>9698625</v>
      </c>
      <c r="CO207" s="230">
        <v>8877375</v>
      </c>
      <c r="CP207" s="230">
        <v>821250</v>
      </c>
      <c r="CQ207" s="229">
        <v>9.2499999999999999E-2</v>
      </c>
      <c r="CR207" s="230">
        <v>5812875</v>
      </c>
      <c r="CS207" s="230">
        <v>5385375</v>
      </c>
      <c r="CT207" s="230">
        <v>427500</v>
      </c>
      <c r="CU207" s="229">
        <v>7.9399999999999998E-2</v>
      </c>
      <c r="CV207" s="230">
        <v>56137500</v>
      </c>
      <c r="CW207" s="230">
        <v>56047500</v>
      </c>
      <c r="CX207" s="230">
        <v>90000</v>
      </c>
      <c r="CY207" s="229">
        <v>1.6000000000000001E-3</v>
      </c>
      <c r="CZ207" s="228">
        <v>28.5</v>
      </c>
      <c r="DA207" s="228">
        <v>31.98</v>
      </c>
      <c r="DB207" s="228">
        <v>-3.48</v>
      </c>
      <c r="DC207" s="228">
        <v>-3.48</v>
      </c>
      <c r="DD207" s="228">
        <v>36.380000000000003</v>
      </c>
      <c r="DE207" s="228">
        <v>36.130000000000003</v>
      </c>
      <c r="DF207" s="228">
        <v>-7.88</v>
      </c>
      <c r="DG207" s="228">
        <v>0.25</v>
      </c>
      <c r="DH207" s="228">
        <v>28.22</v>
      </c>
      <c r="DI207" s="228">
        <v>31.6</v>
      </c>
      <c r="DJ207" s="228">
        <v>-3.38</v>
      </c>
      <c r="DK207" s="228">
        <v>-3.38</v>
      </c>
      <c r="DL207" s="228">
        <v>29.13</v>
      </c>
      <c r="DM207" s="228">
        <v>32.729999999999997</v>
      </c>
      <c r="DN207" s="228">
        <v>-3.6</v>
      </c>
      <c r="DO207" s="228">
        <v>-3.6</v>
      </c>
      <c r="DP207" s="228">
        <v>0.6</v>
      </c>
      <c r="DQ207" s="228">
        <v>0.61</v>
      </c>
      <c r="DR207" s="228">
        <v>-0.01</v>
      </c>
      <c r="DS207" s="229">
        <v>-1.6400000000000001E-2</v>
      </c>
      <c r="DT207" s="228">
        <v>500</v>
      </c>
      <c r="DU207" s="228">
        <v>440</v>
      </c>
      <c r="DV207" s="228">
        <v>0.44</v>
      </c>
      <c r="DW207" s="228">
        <v>0.51</v>
      </c>
      <c r="DX207" s="228">
        <v>-7.0000000000000007E-2</v>
      </c>
      <c r="DY207" s="229">
        <v>-0.13730000000000001</v>
      </c>
      <c r="DZ207" s="229">
        <v>3.3500000000000002E-2</v>
      </c>
      <c r="EA207" s="230">
        <v>1255500</v>
      </c>
      <c r="EB207" s="229">
        <v>6.1000000000000004E-3</v>
      </c>
      <c r="EC207" s="229">
        <v>3.3500000000000002E-2</v>
      </c>
      <c r="ED207" s="228">
        <v>2.62</v>
      </c>
      <c r="EE207" s="229">
        <v>5.8999999999999999E-3</v>
      </c>
      <c r="EF207" s="230">
        <v>3959638</v>
      </c>
      <c r="EG207" s="230">
        <v>5096729</v>
      </c>
      <c r="EH207" s="229">
        <v>-0.22309999999999999</v>
      </c>
      <c r="EI207" s="229">
        <v>0.58740000000000003</v>
      </c>
      <c r="EJ207" s="231">
        <v>61214.51</v>
      </c>
      <c r="EK207" s="231">
        <v>24778.91</v>
      </c>
      <c r="EL207" s="231">
        <v>36063.11</v>
      </c>
      <c r="EM207" s="231">
        <v>4799</v>
      </c>
      <c r="EN207" s="231">
        <v>122056.53</v>
      </c>
      <c r="EO207" s="231">
        <v>90439.73</v>
      </c>
      <c r="EP207" s="231">
        <v>31616.799999999999</v>
      </c>
      <c r="EQ207" s="229">
        <v>0.34960000000000002</v>
      </c>
      <c r="ER207" s="231">
        <v>46386</v>
      </c>
      <c r="ES207" s="231">
        <v>25301</v>
      </c>
      <c r="ET207" s="231">
        <v>181332</v>
      </c>
      <c r="EU207" s="231">
        <v>205761118</v>
      </c>
      <c r="EV207" s="231">
        <v>253020</v>
      </c>
      <c r="EW207" s="231">
        <v>245899</v>
      </c>
      <c r="EX207" s="231">
        <v>7121</v>
      </c>
      <c r="EY207" s="229">
        <v>2.9000000000000001E-2</v>
      </c>
      <c r="EZ207" s="229">
        <v>0.27279999999999999</v>
      </c>
      <c r="FA207" s="227" t="s">
        <v>556</v>
      </c>
      <c r="FB207" s="161">
        <f t="shared" si="5"/>
        <v>0</v>
      </c>
    </row>
    <row r="208" spans="1:158" ht="17.25" thickBot="1" x14ac:dyDescent="0.3">
      <c r="A208" s="226">
        <v>46086</v>
      </c>
      <c r="B208" s="227" t="s">
        <v>227</v>
      </c>
      <c r="C208" s="227" t="s">
        <v>304</v>
      </c>
      <c r="D208" s="228">
        <v>1150</v>
      </c>
      <c r="E208" s="228">
        <v>712.4</v>
      </c>
      <c r="F208" s="228">
        <v>703.55</v>
      </c>
      <c r="G208" s="228">
        <v>8.85</v>
      </c>
      <c r="H208" s="229">
        <v>1.26E-2</v>
      </c>
      <c r="I208" s="228">
        <v>711.25</v>
      </c>
      <c r="J208" s="228">
        <v>701</v>
      </c>
      <c r="K208" s="228">
        <v>10.25</v>
      </c>
      <c r="L208" s="229">
        <v>1.46E-2</v>
      </c>
      <c r="M208" s="228">
        <v>712.4</v>
      </c>
      <c r="N208" s="228">
        <v>703.55</v>
      </c>
      <c r="O208" s="228">
        <v>8.85</v>
      </c>
      <c r="P208" s="229">
        <v>1.26E-2</v>
      </c>
      <c r="Q208" s="228">
        <v>714.05</v>
      </c>
      <c r="R208" s="228">
        <v>704.85</v>
      </c>
      <c r="S208" s="228">
        <v>9.1999999999999993</v>
      </c>
      <c r="T208" s="229">
        <v>1.3100000000000001E-2</v>
      </c>
      <c r="U208" s="228">
        <v>715.6</v>
      </c>
      <c r="V208" s="228">
        <v>705.7</v>
      </c>
      <c r="W208" s="228">
        <v>9.9</v>
      </c>
      <c r="X208" s="229">
        <v>1.4E-2</v>
      </c>
      <c r="Y208" s="228">
        <v>1.1499999999999999</v>
      </c>
      <c r="Z208" s="228">
        <v>2.5499999999999998</v>
      </c>
      <c r="AA208" s="228">
        <v>-1.4</v>
      </c>
      <c r="AB208" s="229">
        <v>1.6000000000000001E-3</v>
      </c>
      <c r="AC208" s="228">
        <v>1.1499999999999999</v>
      </c>
      <c r="AD208" s="228">
        <v>2.5499999999999998</v>
      </c>
      <c r="AE208" s="228">
        <v>-1.4</v>
      </c>
      <c r="AF208" s="229">
        <v>1.6000000000000001E-3</v>
      </c>
      <c r="AG208" s="228">
        <v>2.8</v>
      </c>
      <c r="AH208" s="228">
        <v>3.85</v>
      </c>
      <c r="AI208" s="228">
        <v>-1.05</v>
      </c>
      <c r="AJ208" s="229">
        <v>3.8999999999999998E-3</v>
      </c>
      <c r="AK208" s="228">
        <v>4.3499999999999996</v>
      </c>
      <c r="AL208" s="228">
        <v>4.7</v>
      </c>
      <c r="AM208" s="228">
        <v>-0.35</v>
      </c>
      <c r="AN208" s="229">
        <v>6.1000000000000004E-3</v>
      </c>
      <c r="AO208" s="228">
        <v>722.52</v>
      </c>
      <c r="AP208" s="228">
        <v>724.19</v>
      </c>
      <c r="AQ208" s="228">
        <v>0</v>
      </c>
      <c r="AR208" s="230">
        <v>30075950</v>
      </c>
      <c r="AS208" s="230">
        <v>21960400</v>
      </c>
      <c r="AT208" s="230">
        <v>8115550</v>
      </c>
      <c r="AU208" s="229">
        <v>0.36959999999999998</v>
      </c>
      <c r="AV208" s="230">
        <v>28551050</v>
      </c>
      <c r="AW208" s="230">
        <v>17868700</v>
      </c>
      <c r="AX208" s="230">
        <v>10682350</v>
      </c>
      <c r="AY208" s="229">
        <v>0.5978</v>
      </c>
      <c r="AZ208" s="230">
        <v>1221300</v>
      </c>
      <c r="BA208" s="230">
        <v>1219000</v>
      </c>
      <c r="BB208" s="230">
        <v>2300</v>
      </c>
      <c r="BC208" s="229">
        <v>1.9E-3</v>
      </c>
      <c r="BD208" s="230">
        <v>303600</v>
      </c>
      <c r="BE208" s="230">
        <v>2872700</v>
      </c>
      <c r="BF208" s="230">
        <v>-2569100</v>
      </c>
      <c r="BG208" s="229">
        <v>-0.89429999999999998</v>
      </c>
      <c r="BH208" s="230">
        <v>88590250</v>
      </c>
      <c r="BI208" s="230">
        <v>41175750</v>
      </c>
      <c r="BJ208" s="230">
        <v>47414500</v>
      </c>
      <c r="BK208" s="229">
        <v>1.1515</v>
      </c>
      <c r="BL208" s="230">
        <v>39072400</v>
      </c>
      <c r="BM208" s="230">
        <v>31980350</v>
      </c>
      <c r="BN208" s="230">
        <v>7092050</v>
      </c>
      <c r="BO208" s="229">
        <v>0.2218</v>
      </c>
      <c r="BP208" s="230">
        <v>157738600</v>
      </c>
      <c r="BQ208" s="230">
        <v>95116500</v>
      </c>
      <c r="BR208" s="230">
        <v>62622100</v>
      </c>
      <c r="BS208" s="229">
        <v>0.65839999999999999</v>
      </c>
      <c r="BT208" s="230">
        <v>23336229</v>
      </c>
      <c r="BU208" s="230">
        <v>15569019</v>
      </c>
      <c r="BV208" s="230">
        <v>7767210</v>
      </c>
      <c r="BW208" s="229">
        <v>0.49890000000000001</v>
      </c>
      <c r="BX208" s="230">
        <v>71293100</v>
      </c>
      <c r="BY208" s="230">
        <v>70913600</v>
      </c>
      <c r="BZ208" s="230">
        <v>379500</v>
      </c>
      <c r="CA208" s="229">
        <v>5.4000000000000003E-3</v>
      </c>
      <c r="CB208" s="230">
        <v>64771450</v>
      </c>
      <c r="CC208" s="230">
        <v>64520750</v>
      </c>
      <c r="CD208" s="230">
        <v>250700</v>
      </c>
      <c r="CE208" s="229">
        <v>3.8999999999999998E-3</v>
      </c>
      <c r="CF208" s="230">
        <v>4207850</v>
      </c>
      <c r="CG208" s="230">
        <v>4075600</v>
      </c>
      <c r="CH208" s="230">
        <v>132250</v>
      </c>
      <c r="CI208" s="229">
        <v>3.2399999999999998E-2</v>
      </c>
      <c r="CJ208" s="230">
        <v>2313800</v>
      </c>
      <c r="CK208" s="230">
        <v>2317250</v>
      </c>
      <c r="CL208" s="230">
        <v>-3450</v>
      </c>
      <c r="CM208" s="229">
        <v>-1.5E-3</v>
      </c>
      <c r="CN208" s="230">
        <v>30863700</v>
      </c>
      <c r="CO208" s="230">
        <v>29098450</v>
      </c>
      <c r="CP208" s="230">
        <v>1765250</v>
      </c>
      <c r="CQ208" s="229">
        <v>6.0699999999999997E-2</v>
      </c>
      <c r="CR208" s="230">
        <v>20938050</v>
      </c>
      <c r="CS208" s="230">
        <v>19857050</v>
      </c>
      <c r="CT208" s="230">
        <v>1081000</v>
      </c>
      <c r="CU208" s="229">
        <v>5.4399999999999997E-2</v>
      </c>
      <c r="CV208" s="230">
        <v>123094850</v>
      </c>
      <c r="CW208" s="230">
        <v>119869100</v>
      </c>
      <c r="CX208" s="230">
        <v>3225750</v>
      </c>
      <c r="CY208" s="229">
        <v>2.69E-2</v>
      </c>
      <c r="CZ208" s="228">
        <v>37.5</v>
      </c>
      <c r="DA208" s="228">
        <v>40.21</v>
      </c>
      <c r="DB208" s="228">
        <v>-2.71</v>
      </c>
      <c r="DC208" s="228">
        <v>-2.71</v>
      </c>
      <c r="DD208" s="228">
        <v>40.9</v>
      </c>
      <c r="DE208" s="228">
        <v>40.96</v>
      </c>
      <c r="DF208" s="228">
        <v>-3.4</v>
      </c>
      <c r="DG208" s="228">
        <v>-0.06</v>
      </c>
      <c r="DH208" s="228">
        <v>37.590000000000003</v>
      </c>
      <c r="DI208" s="228">
        <v>39.369999999999997</v>
      </c>
      <c r="DJ208" s="228">
        <v>-1.78</v>
      </c>
      <c r="DK208" s="228">
        <v>-1.78</v>
      </c>
      <c r="DL208" s="228">
        <v>37.299999999999997</v>
      </c>
      <c r="DM208" s="228">
        <v>41.29</v>
      </c>
      <c r="DN208" s="228">
        <v>-3.99</v>
      </c>
      <c r="DO208" s="228">
        <v>-3.99</v>
      </c>
      <c r="DP208" s="228">
        <v>0.68</v>
      </c>
      <c r="DQ208" s="228">
        <v>0.68</v>
      </c>
      <c r="DR208" s="228">
        <v>0</v>
      </c>
      <c r="DS208" s="229">
        <v>0</v>
      </c>
      <c r="DT208" s="228">
        <v>750</v>
      </c>
      <c r="DU208" s="228">
        <v>700</v>
      </c>
      <c r="DV208" s="228">
        <v>0.44</v>
      </c>
      <c r="DW208" s="228">
        <v>0.78</v>
      </c>
      <c r="DX208" s="228">
        <v>-0.34</v>
      </c>
      <c r="DY208" s="229">
        <v>-0.43590000000000001</v>
      </c>
      <c r="DZ208" s="229">
        <v>9.1499999999999998E-2</v>
      </c>
      <c r="EA208" s="230">
        <v>6392850</v>
      </c>
      <c r="EB208" s="229">
        <v>2.3E-3</v>
      </c>
      <c r="EC208" s="229">
        <v>9.1499999999999998E-2</v>
      </c>
      <c r="ED208" s="228">
        <v>1.67</v>
      </c>
      <c r="EE208" s="229">
        <v>2.3E-3</v>
      </c>
      <c r="EF208" s="230">
        <v>8660093</v>
      </c>
      <c r="EG208" s="230">
        <v>6943643</v>
      </c>
      <c r="EH208" s="229">
        <v>0.2472</v>
      </c>
      <c r="EI208" s="229">
        <v>0.37109999999999999</v>
      </c>
      <c r="EJ208" s="231">
        <v>683149.46</v>
      </c>
      <c r="EK208" s="231">
        <v>279121.53000000003</v>
      </c>
      <c r="EL208" s="231">
        <v>217335.52</v>
      </c>
      <c r="EM208" s="231">
        <v>13790</v>
      </c>
      <c r="EN208" s="231">
        <v>1179606.51</v>
      </c>
      <c r="EO208" s="231">
        <v>688473.37</v>
      </c>
      <c r="EP208" s="231">
        <v>491133.14</v>
      </c>
      <c r="EQ208" s="229">
        <v>0.71340000000000003</v>
      </c>
      <c r="ER208" s="231">
        <v>229779</v>
      </c>
      <c r="ES208" s="231">
        <v>141968</v>
      </c>
      <c r="ET208" s="231">
        <v>508036</v>
      </c>
      <c r="EU208" s="231">
        <v>255091106</v>
      </c>
      <c r="EV208" s="231">
        <v>879782</v>
      </c>
      <c r="EW208" s="231">
        <v>848152</v>
      </c>
      <c r="EX208" s="231">
        <v>31630</v>
      </c>
      <c r="EY208" s="229">
        <v>3.73E-2</v>
      </c>
      <c r="EZ208" s="229">
        <v>0.48259999999999997</v>
      </c>
      <c r="FA208" s="227" t="s">
        <v>555</v>
      </c>
      <c r="FB208" s="161">
        <f t="shared" si="5"/>
        <v>0</v>
      </c>
    </row>
    <row r="209" spans="1:158" ht="17.25" thickBot="1" x14ac:dyDescent="0.3">
      <c r="A209" s="226">
        <v>46086</v>
      </c>
      <c r="B209" s="227" t="s">
        <v>184</v>
      </c>
      <c r="C209" s="227" t="s">
        <v>305</v>
      </c>
      <c r="D209" s="228">
        <v>375</v>
      </c>
      <c r="E209" s="231">
        <v>1488.4</v>
      </c>
      <c r="F209" s="231">
        <v>1436.4</v>
      </c>
      <c r="G209" s="228">
        <v>52</v>
      </c>
      <c r="H209" s="229">
        <v>3.6200000000000003E-2</v>
      </c>
      <c r="I209" s="231">
        <v>1485.3</v>
      </c>
      <c r="J209" s="231">
        <v>1438.9</v>
      </c>
      <c r="K209" s="228">
        <v>46.4</v>
      </c>
      <c r="L209" s="229">
        <v>3.2199999999999999E-2</v>
      </c>
      <c r="M209" s="231">
        <v>1488.4</v>
      </c>
      <c r="N209" s="231">
        <v>1436.4</v>
      </c>
      <c r="O209" s="228">
        <v>52</v>
      </c>
      <c r="P209" s="229">
        <v>3.6200000000000003E-2</v>
      </c>
      <c r="Q209" s="231">
        <v>1484.3</v>
      </c>
      <c r="R209" s="231">
        <v>1427</v>
      </c>
      <c r="S209" s="228">
        <v>57.3</v>
      </c>
      <c r="T209" s="229">
        <v>4.02E-2</v>
      </c>
      <c r="U209" s="231">
        <v>1490.1</v>
      </c>
      <c r="V209" s="231">
        <v>1422</v>
      </c>
      <c r="W209" s="228">
        <v>68.099999999999994</v>
      </c>
      <c r="X209" s="229">
        <v>4.7899999999999998E-2</v>
      </c>
      <c r="Y209" s="228">
        <v>3.1</v>
      </c>
      <c r="Z209" s="228">
        <v>-2.5</v>
      </c>
      <c r="AA209" s="228">
        <v>5.6</v>
      </c>
      <c r="AB209" s="229">
        <v>2.0999999999999999E-3</v>
      </c>
      <c r="AC209" s="228">
        <v>3.1</v>
      </c>
      <c r="AD209" s="228">
        <v>-2.5</v>
      </c>
      <c r="AE209" s="228">
        <v>5.6</v>
      </c>
      <c r="AF209" s="229">
        <v>2.0999999999999999E-3</v>
      </c>
      <c r="AG209" s="228">
        <v>-1</v>
      </c>
      <c r="AH209" s="228">
        <v>-11.9</v>
      </c>
      <c r="AI209" s="228">
        <v>10.9</v>
      </c>
      <c r="AJ209" s="229">
        <v>-6.9999999999999999E-4</v>
      </c>
      <c r="AK209" s="228">
        <v>4.8</v>
      </c>
      <c r="AL209" s="228">
        <v>-16.899999999999999</v>
      </c>
      <c r="AM209" s="228">
        <v>21.7</v>
      </c>
      <c r="AN209" s="229">
        <v>3.2000000000000002E-3</v>
      </c>
      <c r="AO209" s="231">
        <v>1465.44</v>
      </c>
      <c r="AP209" s="231">
        <v>1461.24</v>
      </c>
      <c r="AQ209" s="228">
        <v>0</v>
      </c>
      <c r="AR209" s="230">
        <v>2660625</v>
      </c>
      <c r="AS209" s="230">
        <v>2135625</v>
      </c>
      <c r="AT209" s="230">
        <v>525000</v>
      </c>
      <c r="AU209" s="229">
        <v>0.24579999999999999</v>
      </c>
      <c r="AV209" s="230">
        <v>2458500</v>
      </c>
      <c r="AW209" s="230">
        <v>2022750</v>
      </c>
      <c r="AX209" s="230">
        <v>435750</v>
      </c>
      <c r="AY209" s="229">
        <v>0.21540000000000001</v>
      </c>
      <c r="AZ209" s="230">
        <v>182625</v>
      </c>
      <c r="BA209" s="230">
        <v>105000</v>
      </c>
      <c r="BB209" s="230">
        <v>77625</v>
      </c>
      <c r="BC209" s="229">
        <v>0.73929999999999996</v>
      </c>
      <c r="BD209" s="230">
        <v>19500</v>
      </c>
      <c r="BE209" s="230">
        <v>7875</v>
      </c>
      <c r="BF209" s="230">
        <v>11625</v>
      </c>
      <c r="BG209" s="229">
        <v>1.4762</v>
      </c>
      <c r="BH209" s="230">
        <v>9518250</v>
      </c>
      <c r="BI209" s="230">
        <v>5557125</v>
      </c>
      <c r="BJ209" s="230">
        <v>3961125</v>
      </c>
      <c r="BK209" s="229">
        <v>0.71279999999999999</v>
      </c>
      <c r="BL209" s="230">
        <v>3772125</v>
      </c>
      <c r="BM209" s="230">
        <v>2991750</v>
      </c>
      <c r="BN209" s="230">
        <v>780375</v>
      </c>
      <c r="BO209" s="229">
        <v>0.26079999999999998</v>
      </c>
      <c r="BP209" s="230">
        <v>15951000</v>
      </c>
      <c r="BQ209" s="230">
        <v>10684500</v>
      </c>
      <c r="BR209" s="230">
        <v>5266500</v>
      </c>
      <c r="BS209" s="229">
        <v>0.4929</v>
      </c>
      <c r="BT209" s="230">
        <v>846868</v>
      </c>
      <c r="BU209" s="230">
        <v>706344</v>
      </c>
      <c r="BV209" s="230">
        <v>140524</v>
      </c>
      <c r="BW209" s="229">
        <v>0.19889999999999999</v>
      </c>
      <c r="BX209" s="230">
        <v>10053750</v>
      </c>
      <c r="BY209" s="230">
        <v>10174125</v>
      </c>
      <c r="BZ209" s="230">
        <v>-120375</v>
      </c>
      <c r="CA209" s="229">
        <v>-1.18E-2</v>
      </c>
      <c r="CB209" s="230">
        <v>9725625</v>
      </c>
      <c r="CC209" s="230">
        <v>9874500</v>
      </c>
      <c r="CD209" s="230">
        <v>-148875</v>
      </c>
      <c r="CE209" s="229">
        <v>-1.5100000000000001E-2</v>
      </c>
      <c r="CF209" s="230">
        <v>286875</v>
      </c>
      <c r="CG209" s="230">
        <v>267000</v>
      </c>
      <c r="CH209" s="230">
        <v>19875</v>
      </c>
      <c r="CI209" s="229">
        <v>7.4399999999999994E-2</v>
      </c>
      <c r="CJ209" s="230">
        <v>41250</v>
      </c>
      <c r="CK209" s="230">
        <v>32625</v>
      </c>
      <c r="CL209" s="230">
        <v>8625</v>
      </c>
      <c r="CM209" s="229">
        <v>0.26440000000000002</v>
      </c>
      <c r="CN209" s="230">
        <v>4352250</v>
      </c>
      <c r="CO209" s="230">
        <v>4053000</v>
      </c>
      <c r="CP209" s="230">
        <v>299250</v>
      </c>
      <c r="CQ209" s="229">
        <v>7.3800000000000004E-2</v>
      </c>
      <c r="CR209" s="230">
        <v>2892375</v>
      </c>
      <c r="CS209" s="230">
        <v>2640375</v>
      </c>
      <c r="CT209" s="230">
        <v>252000</v>
      </c>
      <c r="CU209" s="229">
        <v>9.5399999999999999E-2</v>
      </c>
      <c r="CV209" s="230">
        <v>17298375</v>
      </c>
      <c r="CW209" s="230">
        <v>16867500</v>
      </c>
      <c r="CX209" s="230">
        <v>430875</v>
      </c>
      <c r="CY209" s="229">
        <v>2.5499999999999998E-2</v>
      </c>
      <c r="CZ209" s="228">
        <v>33.47</v>
      </c>
      <c r="DA209" s="228">
        <v>39.29</v>
      </c>
      <c r="DB209" s="228">
        <v>-5.82</v>
      </c>
      <c r="DC209" s="228">
        <v>-5.82</v>
      </c>
      <c r="DD209" s="228">
        <v>37.5</v>
      </c>
      <c r="DE209" s="228">
        <v>37.28</v>
      </c>
      <c r="DF209" s="228">
        <v>-4.03</v>
      </c>
      <c r="DG209" s="228">
        <v>0.22</v>
      </c>
      <c r="DH209" s="228">
        <v>33.03</v>
      </c>
      <c r="DI209" s="228">
        <v>38.69</v>
      </c>
      <c r="DJ209" s="228">
        <v>-5.66</v>
      </c>
      <c r="DK209" s="228">
        <v>-5.66</v>
      </c>
      <c r="DL209" s="228">
        <v>34.56</v>
      </c>
      <c r="DM209" s="228">
        <v>40.409999999999997</v>
      </c>
      <c r="DN209" s="228">
        <v>-5.85</v>
      </c>
      <c r="DO209" s="228">
        <v>-5.85</v>
      </c>
      <c r="DP209" s="228">
        <v>0.66</v>
      </c>
      <c r="DQ209" s="228">
        <v>0.65</v>
      </c>
      <c r="DR209" s="228">
        <v>0.01</v>
      </c>
      <c r="DS209" s="229">
        <v>1.54E-2</v>
      </c>
      <c r="DT209" s="231">
        <v>1600</v>
      </c>
      <c r="DU209" s="231">
        <v>1500</v>
      </c>
      <c r="DV209" s="228">
        <v>0.4</v>
      </c>
      <c r="DW209" s="228">
        <v>0.54</v>
      </c>
      <c r="DX209" s="228">
        <v>-0.14000000000000001</v>
      </c>
      <c r="DY209" s="229">
        <v>-0.25929999999999997</v>
      </c>
      <c r="DZ209" s="229">
        <v>3.2599999999999997E-2</v>
      </c>
      <c r="EA209" s="230">
        <v>299625</v>
      </c>
      <c r="EB209" s="229">
        <v>-2.8E-3</v>
      </c>
      <c r="EC209" s="229">
        <v>3.2599999999999997E-2</v>
      </c>
      <c r="ED209" s="228">
        <v>-4.2</v>
      </c>
      <c r="EE209" s="229">
        <v>-2.8999999999999998E-3</v>
      </c>
      <c r="EF209" s="230">
        <v>276880</v>
      </c>
      <c r="EG209" s="230">
        <v>265379</v>
      </c>
      <c r="EH209" s="229">
        <v>4.3299999999999998E-2</v>
      </c>
      <c r="EI209" s="229">
        <v>0.32690000000000002</v>
      </c>
      <c r="EJ209" s="231">
        <v>148579.81</v>
      </c>
      <c r="EK209" s="231">
        <v>55373.58</v>
      </c>
      <c r="EL209" s="231">
        <v>38983.22</v>
      </c>
      <c r="EM209" s="231">
        <v>7146</v>
      </c>
      <c r="EN209" s="231">
        <v>242936.61</v>
      </c>
      <c r="EO209" s="231">
        <v>161910.21</v>
      </c>
      <c r="EP209" s="231">
        <v>81026.399999999994</v>
      </c>
      <c r="EQ209" s="229">
        <v>0.50039999999999996</v>
      </c>
      <c r="ER209" s="231">
        <v>68269</v>
      </c>
      <c r="ES209" s="231">
        <v>41810</v>
      </c>
      <c r="ET209" s="231">
        <v>149629</v>
      </c>
      <c r="EU209" s="231">
        <v>34594689</v>
      </c>
      <c r="EV209" s="231">
        <v>259708</v>
      </c>
      <c r="EW209" s="231">
        <v>248018</v>
      </c>
      <c r="EX209" s="231">
        <v>11690</v>
      </c>
      <c r="EY209" s="229">
        <v>4.7100000000000003E-2</v>
      </c>
      <c r="EZ209" s="229">
        <v>0.5</v>
      </c>
      <c r="FA209" s="227" t="s">
        <v>556</v>
      </c>
      <c r="FB209" s="161">
        <f t="shared" si="5"/>
        <v>0</v>
      </c>
    </row>
    <row r="210" spans="1:158" ht="17.25" thickBot="1" x14ac:dyDescent="0.3">
      <c r="A210" s="226">
        <v>46086</v>
      </c>
      <c r="B210" s="227" t="s">
        <v>184</v>
      </c>
      <c r="C210" s="227" t="s">
        <v>691</v>
      </c>
      <c r="D210" s="228">
        <v>175</v>
      </c>
      <c r="E210" s="231">
        <v>2658.8</v>
      </c>
      <c r="F210" s="231">
        <v>2646.2</v>
      </c>
      <c r="G210" s="228">
        <v>12.6</v>
      </c>
      <c r="H210" s="229">
        <v>4.7999999999999996E-3</v>
      </c>
      <c r="I210" s="231">
        <v>2646.2</v>
      </c>
      <c r="J210" s="231">
        <v>2634</v>
      </c>
      <c r="K210" s="228">
        <v>12.2</v>
      </c>
      <c r="L210" s="229">
        <v>4.5999999999999999E-3</v>
      </c>
      <c r="M210" s="231">
        <v>2658.8</v>
      </c>
      <c r="N210" s="231">
        <v>2646.2</v>
      </c>
      <c r="O210" s="228">
        <v>12.6</v>
      </c>
      <c r="P210" s="229">
        <v>4.7999999999999996E-3</v>
      </c>
      <c r="Q210" s="231">
        <v>2670.2</v>
      </c>
      <c r="R210" s="231">
        <v>2659.9</v>
      </c>
      <c r="S210" s="228">
        <v>10.3</v>
      </c>
      <c r="T210" s="229">
        <v>3.8999999999999998E-3</v>
      </c>
      <c r="U210" s="231">
        <v>2691</v>
      </c>
      <c r="V210" s="231">
        <v>2667.6</v>
      </c>
      <c r="W210" s="228">
        <v>23.4</v>
      </c>
      <c r="X210" s="229">
        <v>8.8000000000000005E-3</v>
      </c>
      <c r="Y210" s="228">
        <v>12.6</v>
      </c>
      <c r="Z210" s="228">
        <v>12.2</v>
      </c>
      <c r="AA210" s="228">
        <v>0.4</v>
      </c>
      <c r="AB210" s="229">
        <v>4.7999999999999996E-3</v>
      </c>
      <c r="AC210" s="228">
        <v>12.6</v>
      </c>
      <c r="AD210" s="228">
        <v>12.2</v>
      </c>
      <c r="AE210" s="228">
        <v>0.4</v>
      </c>
      <c r="AF210" s="229">
        <v>4.7999999999999996E-3</v>
      </c>
      <c r="AG210" s="228">
        <v>24</v>
      </c>
      <c r="AH210" s="228">
        <v>25.9</v>
      </c>
      <c r="AI210" s="228">
        <v>-1.9</v>
      </c>
      <c r="AJ210" s="229">
        <v>9.1000000000000004E-3</v>
      </c>
      <c r="AK210" s="228">
        <v>44.8</v>
      </c>
      <c r="AL210" s="228">
        <v>33.6</v>
      </c>
      <c r="AM210" s="228">
        <v>11.2</v>
      </c>
      <c r="AN210" s="229">
        <v>1.6899999999999998E-2</v>
      </c>
      <c r="AO210" s="231">
        <v>2636.79</v>
      </c>
      <c r="AP210" s="231">
        <v>2640.33</v>
      </c>
      <c r="AQ210" s="228">
        <v>0</v>
      </c>
      <c r="AR210" s="230">
        <v>1174600</v>
      </c>
      <c r="AS210" s="230">
        <v>780850</v>
      </c>
      <c r="AT210" s="230">
        <v>393750</v>
      </c>
      <c r="AU210" s="229">
        <v>0.50429999999999997</v>
      </c>
      <c r="AV210" s="230">
        <v>1076075</v>
      </c>
      <c r="AW210" s="230">
        <v>742350</v>
      </c>
      <c r="AX210" s="230">
        <v>333725</v>
      </c>
      <c r="AY210" s="229">
        <v>0.4496</v>
      </c>
      <c r="AZ210" s="230">
        <v>92925</v>
      </c>
      <c r="BA210" s="230">
        <v>34650</v>
      </c>
      <c r="BB210" s="230">
        <v>58275</v>
      </c>
      <c r="BC210" s="229">
        <v>1.6818</v>
      </c>
      <c r="BD210" s="230">
        <v>5600</v>
      </c>
      <c r="BE210" s="230">
        <v>3850</v>
      </c>
      <c r="BF210" s="230">
        <v>1750</v>
      </c>
      <c r="BG210" s="229">
        <v>0.45450000000000002</v>
      </c>
      <c r="BH210" s="230">
        <v>2797725</v>
      </c>
      <c r="BI210" s="230">
        <v>2364600</v>
      </c>
      <c r="BJ210" s="230">
        <v>433125</v>
      </c>
      <c r="BK210" s="229">
        <v>0.1832</v>
      </c>
      <c r="BL210" s="230">
        <v>1119125</v>
      </c>
      <c r="BM210" s="230">
        <v>1038275</v>
      </c>
      <c r="BN210" s="230">
        <v>80850</v>
      </c>
      <c r="BO210" s="229">
        <v>7.7899999999999997E-2</v>
      </c>
      <c r="BP210" s="230">
        <v>5091450</v>
      </c>
      <c r="BQ210" s="230">
        <v>4183725</v>
      </c>
      <c r="BR210" s="230">
        <v>907725</v>
      </c>
      <c r="BS210" s="229">
        <v>0.217</v>
      </c>
      <c r="BT210" s="230">
        <v>1237673</v>
      </c>
      <c r="BU210" s="230">
        <v>1084934</v>
      </c>
      <c r="BV210" s="230">
        <v>152739</v>
      </c>
      <c r="BW210" s="229">
        <v>0.14080000000000001</v>
      </c>
      <c r="BX210" s="230">
        <v>4103050</v>
      </c>
      <c r="BY210" s="230">
        <v>4151000</v>
      </c>
      <c r="BZ210" s="230">
        <v>-47950</v>
      </c>
      <c r="CA210" s="229">
        <v>-1.1599999999999999E-2</v>
      </c>
      <c r="CB210" s="230">
        <v>3658550</v>
      </c>
      <c r="CC210" s="230">
        <v>3694075</v>
      </c>
      <c r="CD210" s="230">
        <v>-35525</v>
      </c>
      <c r="CE210" s="229">
        <v>-9.5999999999999992E-3</v>
      </c>
      <c r="CF210" s="230">
        <v>415100</v>
      </c>
      <c r="CG210" s="230">
        <v>429275</v>
      </c>
      <c r="CH210" s="230">
        <v>-14175</v>
      </c>
      <c r="CI210" s="229">
        <v>-3.3000000000000002E-2</v>
      </c>
      <c r="CJ210" s="230">
        <v>29400</v>
      </c>
      <c r="CK210" s="230">
        <v>27650</v>
      </c>
      <c r="CL210" s="230">
        <v>1750</v>
      </c>
      <c r="CM210" s="229">
        <v>6.3299999999999995E-2</v>
      </c>
      <c r="CN210" s="230">
        <v>3182375</v>
      </c>
      <c r="CO210" s="230">
        <v>3114475</v>
      </c>
      <c r="CP210" s="230">
        <v>67900</v>
      </c>
      <c r="CQ210" s="229">
        <v>2.18E-2</v>
      </c>
      <c r="CR210" s="230">
        <v>1854300</v>
      </c>
      <c r="CS210" s="230">
        <v>1857100</v>
      </c>
      <c r="CT210" s="230">
        <v>-2800</v>
      </c>
      <c r="CU210" s="229">
        <v>-1.5E-3</v>
      </c>
      <c r="CV210" s="230">
        <v>9139725</v>
      </c>
      <c r="CW210" s="230">
        <v>9122575</v>
      </c>
      <c r="CX210" s="230">
        <v>17150</v>
      </c>
      <c r="CY210" s="229">
        <v>1.9E-3</v>
      </c>
      <c r="CZ210" s="228">
        <v>44.05</v>
      </c>
      <c r="DA210" s="228">
        <v>50.48</v>
      </c>
      <c r="DB210" s="228">
        <v>-6.43</v>
      </c>
      <c r="DC210" s="228">
        <v>-6.43</v>
      </c>
      <c r="DD210" s="228">
        <v>53.35</v>
      </c>
      <c r="DE210" s="228">
        <v>53.48</v>
      </c>
      <c r="DF210" s="228">
        <v>-9.3000000000000007</v>
      </c>
      <c r="DG210" s="228">
        <v>-0.13</v>
      </c>
      <c r="DH210" s="228">
        <v>43.9</v>
      </c>
      <c r="DI210" s="228">
        <v>49.8</v>
      </c>
      <c r="DJ210" s="228">
        <v>-5.9</v>
      </c>
      <c r="DK210" s="228">
        <v>-5.9</v>
      </c>
      <c r="DL210" s="228">
        <v>44.42</v>
      </c>
      <c r="DM210" s="228">
        <v>52.02</v>
      </c>
      <c r="DN210" s="228">
        <v>-7.6</v>
      </c>
      <c r="DO210" s="228">
        <v>-7.6</v>
      </c>
      <c r="DP210" s="228">
        <v>0.57999999999999996</v>
      </c>
      <c r="DQ210" s="228">
        <v>0.6</v>
      </c>
      <c r="DR210" s="228">
        <v>-0.02</v>
      </c>
      <c r="DS210" s="229">
        <v>-3.3300000000000003E-2</v>
      </c>
      <c r="DT210" s="231">
        <v>3000</v>
      </c>
      <c r="DU210" s="231">
        <v>2700</v>
      </c>
      <c r="DV210" s="228">
        <v>0.4</v>
      </c>
      <c r="DW210" s="228">
        <v>0.44</v>
      </c>
      <c r="DX210" s="228">
        <v>-0.04</v>
      </c>
      <c r="DY210" s="229">
        <v>-9.0899999999999995E-2</v>
      </c>
      <c r="DZ210" s="229">
        <v>0.10829999999999999</v>
      </c>
      <c r="EA210" s="230">
        <v>456925</v>
      </c>
      <c r="EB210" s="229">
        <v>4.3E-3</v>
      </c>
      <c r="EC210" s="229">
        <v>0.10829999999999999</v>
      </c>
      <c r="ED210" s="228">
        <v>3.54</v>
      </c>
      <c r="EE210" s="229">
        <v>1.2999999999999999E-3</v>
      </c>
      <c r="EF210" s="230">
        <v>247576</v>
      </c>
      <c r="EG210" s="230">
        <v>289687</v>
      </c>
      <c r="EH210" s="229">
        <v>-0.1454</v>
      </c>
      <c r="EI210" s="229">
        <v>0.2</v>
      </c>
      <c r="EJ210" s="231">
        <v>81292.42</v>
      </c>
      <c r="EK210" s="231">
        <v>29454.89</v>
      </c>
      <c r="EL210" s="231">
        <v>30976.44</v>
      </c>
      <c r="EM210" s="231">
        <v>8692</v>
      </c>
      <c r="EN210" s="231">
        <v>141723.75</v>
      </c>
      <c r="EO210" s="231">
        <v>116493.83</v>
      </c>
      <c r="EP210" s="231">
        <v>25229.919999999998</v>
      </c>
      <c r="EQ210" s="229">
        <v>0.21659999999999999</v>
      </c>
      <c r="ER210" s="231">
        <v>93686</v>
      </c>
      <c r="ES210" s="231">
        <v>48183</v>
      </c>
      <c r="ET210" s="231">
        <v>109149</v>
      </c>
      <c r="EU210" s="231">
        <v>15436318</v>
      </c>
      <c r="EV210" s="231">
        <v>251018</v>
      </c>
      <c r="EW210" s="231">
        <v>250084</v>
      </c>
      <c r="EX210" s="228">
        <v>934</v>
      </c>
      <c r="EY210" s="229">
        <v>3.7000000000000002E-3</v>
      </c>
      <c r="EZ210" s="229">
        <v>0.59209999999999996</v>
      </c>
      <c r="FA210" s="227" t="s">
        <v>556</v>
      </c>
      <c r="FB210" s="161">
        <f t="shared" si="5"/>
        <v>0</v>
      </c>
    </row>
    <row r="211" spans="1:158" ht="17.25" thickBot="1" x14ac:dyDescent="0.3">
      <c r="A211" s="226">
        <v>46086</v>
      </c>
      <c r="B211" s="227" t="s">
        <v>221</v>
      </c>
      <c r="C211" s="227" t="s">
        <v>306</v>
      </c>
      <c r="D211" s="228">
        <v>3000</v>
      </c>
      <c r="E211" s="228">
        <v>196.02</v>
      </c>
      <c r="F211" s="228">
        <v>195.86</v>
      </c>
      <c r="G211" s="228">
        <v>0.16</v>
      </c>
      <c r="H211" s="229">
        <v>8.0000000000000004E-4</v>
      </c>
      <c r="I211" s="228">
        <v>195.68</v>
      </c>
      <c r="J211" s="228">
        <v>195.55</v>
      </c>
      <c r="K211" s="228">
        <v>0.13</v>
      </c>
      <c r="L211" s="229">
        <v>6.9999999999999999E-4</v>
      </c>
      <c r="M211" s="228">
        <v>196.02</v>
      </c>
      <c r="N211" s="228">
        <v>195.86</v>
      </c>
      <c r="O211" s="228">
        <v>0.16</v>
      </c>
      <c r="P211" s="229">
        <v>8.0000000000000004E-4</v>
      </c>
      <c r="Q211" s="228">
        <v>196.25</v>
      </c>
      <c r="R211" s="228">
        <v>196.03</v>
      </c>
      <c r="S211" s="228">
        <v>0.22</v>
      </c>
      <c r="T211" s="229">
        <v>1.1000000000000001E-3</v>
      </c>
      <c r="U211" s="228">
        <v>196.21</v>
      </c>
      <c r="V211" s="228">
        <v>196.05</v>
      </c>
      <c r="W211" s="228">
        <v>0.16</v>
      </c>
      <c r="X211" s="229">
        <v>8.0000000000000004E-4</v>
      </c>
      <c r="Y211" s="228">
        <v>0.34</v>
      </c>
      <c r="Z211" s="228">
        <v>0.31</v>
      </c>
      <c r="AA211" s="228">
        <v>0.03</v>
      </c>
      <c r="AB211" s="229">
        <v>1.6999999999999999E-3</v>
      </c>
      <c r="AC211" s="228">
        <v>0.34</v>
      </c>
      <c r="AD211" s="228">
        <v>0.31</v>
      </c>
      <c r="AE211" s="228">
        <v>0.03</v>
      </c>
      <c r="AF211" s="229">
        <v>1.6999999999999999E-3</v>
      </c>
      <c r="AG211" s="228">
        <v>0.56999999999999995</v>
      </c>
      <c r="AH211" s="228">
        <v>0.48</v>
      </c>
      <c r="AI211" s="228">
        <v>0.09</v>
      </c>
      <c r="AJ211" s="229">
        <v>2.8999999999999998E-3</v>
      </c>
      <c r="AK211" s="228">
        <v>0.53</v>
      </c>
      <c r="AL211" s="228">
        <v>0.5</v>
      </c>
      <c r="AM211" s="228">
        <v>0.03</v>
      </c>
      <c r="AN211" s="229">
        <v>2.7000000000000001E-3</v>
      </c>
      <c r="AO211" s="228">
        <v>195.36</v>
      </c>
      <c r="AP211" s="228">
        <v>195.67</v>
      </c>
      <c r="AQ211" s="228">
        <v>0</v>
      </c>
      <c r="AR211" s="230">
        <v>22632000</v>
      </c>
      <c r="AS211" s="230">
        <v>38250000</v>
      </c>
      <c r="AT211" s="230">
        <v>-15618000</v>
      </c>
      <c r="AU211" s="229">
        <v>-0.4083</v>
      </c>
      <c r="AV211" s="230">
        <v>20232000</v>
      </c>
      <c r="AW211" s="230">
        <v>35553000</v>
      </c>
      <c r="AX211" s="230">
        <v>-15321000</v>
      </c>
      <c r="AY211" s="229">
        <v>-0.43090000000000001</v>
      </c>
      <c r="AZ211" s="230">
        <v>2001000</v>
      </c>
      <c r="BA211" s="230">
        <v>2208000</v>
      </c>
      <c r="BB211" s="230">
        <v>-207000</v>
      </c>
      <c r="BC211" s="229">
        <v>-9.3799999999999994E-2</v>
      </c>
      <c r="BD211" s="230">
        <v>399000</v>
      </c>
      <c r="BE211" s="230">
        <v>489000</v>
      </c>
      <c r="BF211" s="230">
        <v>-90000</v>
      </c>
      <c r="BG211" s="229">
        <v>-0.184</v>
      </c>
      <c r="BH211" s="230">
        <v>46500000</v>
      </c>
      <c r="BI211" s="230">
        <v>74271000</v>
      </c>
      <c r="BJ211" s="230">
        <v>-27771000</v>
      </c>
      <c r="BK211" s="229">
        <v>-0.37390000000000001</v>
      </c>
      <c r="BL211" s="230">
        <v>25641000</v>
      </c>
      <c r="BM211" s="230">
        <v>38850000</v>
      </c>
      <c r="BN211" s="230">
        <v>-13209000</v>
      </c>
      <c r="BO211" s="229">
        <v>-0.34</v>
      </c>
      <c r="BP211" s="230">
        <v>94773000</v>
      </c>
      <c r="BQ211" s="230">
        <v>151371000</v>
      </c>
      <c r="BR211" s="230">
        <v>-56598000</v>
      </c>
      <c r="BS211" s="229">
        <v>-0.37390000000000001</v>
      </c>
      <c r="BT211" s="230">
        <v>13756001</v>
      </c>
      <c r="BU211" s="230">
        <v>19923379</v>
      </c>
      <c r="BV211" s="230">
        <v>-6167378</v>
      </c>
      <c r="BW211" s="229">
        <v>-0.30959999999999999</v>
      </c>
      <c r="BX211" s="230">
        <v>159624000</v>
      </c>
      <c r="BY211" s="230">
        <v>163308000</v>
      </c>
      <c r="BZ211" s="230">
        <v>-3684000</v>
      </c>
      <c r="CA211" s="229">
        <v>-2.2599999999999999E-2</v>
      </c>
      <c r="CB211" s="230">
        <v>147333000</v>
      </c>
      <c r="CC211" s="230">
        <v>151692000</v>
      </c>
      <c r="CD211" s="230">
        <v>-4359000</v>
      </c>
      <c r="CE211" s="229">
        <v>-2.87E-2</v>
      </c>
      <c r="CF211" s="230">
        <v>10776000</v>
      </c>
      <c r="CG211" s="230">
        <v>10236000</v>
      </c>
      <c r="CH211" s="230">
        <v>540000</v>
      </c>
      <c r="CI211" s="229">
        <v>5.28E-2</v>
      </c>
      <c r="CJ211" s="230">
        <v>1515000</v>
      </c>
      <c r="CK211" s="230">
        <v>1380000</v>
      </c>
      <c r="CL211" s="230">
        <v>135000</v>
      </c>
      <c r="CM211" s="229">
        <v>9.7799999999999998E-2</v>
      </c>
      <c r="CN211" s="230">
        <v>78747000</v>
      </c>
      <c r="CO211" s="230">
        <v>76026000</v>
      </c>
      <c r="CP211" s="230">
        <v>2721000</v>
      </c>
      <c r="CQ211" s="229">
        <v>3.5799999999999998E-2</v>
      </c>
      <c r="CR211" s="230">
        <v>40428000</v>
      </c>
      <c r="CS211" s="230">
        <v>39069000</v>
      </c>
      <c r="CT211" s="230">
        <v>1359000</v>
      </c>
      <c r="CU211" s="229">
        <v>3.4799999999999998E-2</v>
      </c>
      <c r="CV211" s="230">
        <v>278799000</v>
      </c>
      <c r="CW211" s="230">
        <v>278403000</v>
      </c>
      <c r="CX211" s="230">
        <v>396000</v>
      </c>
      <c r="CY211" s="229">
        <v>1.4E-3</v>
      </c>
      <c r="CZ211" s="228">
        <v>31.32</v>
      </c>
      <c r="DA211" s="228">
        <v>33.99</v>
      </c>
      <c r="DB211" s="228">
        <v>-2.67</v>
      </c>
      <c r="DC211" s="228">
        <v>-2.67</v>
      </c>
      <c r="DD211" s="228">
        <v>31.17</v>
      </c>
      <c r="DE211" s="228">
        <v>31.25</v>
      </c>
      <c r="DF211" s="228">
        <v>0.15</v>
      </c>
      <c r="DG211" s="228">
        <v>-0.08</v>
      </c>
      <c r="DH211" s="228">
        <v>31.05</v>
      </c>
      <c r="DI211" s="228">
        <v>33.71</v>
      </c>
      <c r="DJ211" s="228">
        <v>-2.66</v>
      </c>
      <c r="DK211" s="228">
        <v>-2.66</v>
      </c>
      <c r="DL211" s="228">
        <v>31.81</v>
      </c>
      <c r="DM211" s="228">
        <v>34.53</v>
      </c>
      <c r="DN211" s="228">
        <v>-2.72</v>
      </c>
      <c r="DO211" s="228">
        <v>-2.72</v>
      </c>
      <c r="DP211" s="228">
        <v>0.51</v>
      </c>
      <c r="DQ211" s="228">
        <v>0.51</v>
      </c>
      <c r="DR211" s="228">
        <v>0</v>
      </c>
      <c r="DS211" s="229">
        <v>0</v>
      </c>
      <c r="DT211" s="228">
        <v>210</v>
      </c>
      <c r="DU211" s="228">
        <v>200</v>
      </c>
      <c r="DV211" s="228">
        <v>0.55000000000000004</v>
      </c>
      <c r="DW211" s="228">
        <v>0.52</v>
      </c>
      <c r="DX211" s="228">
        <v>0.03</v>
      </c>
      <c r="DY211" s="229">
        <v>5.7700000000000001E-2</v>
      </c>
      <c r="DZ211" s="229">
        <v>7.6999999999999999E-2</v>
      </c>
      <c r="EA211" s="230">
        <v>11616000</v>
      </c>
      <c r="EB211" s="229">
        <v>1.1999999999999999E-3</v>
      </c>
      <c r="EC211" s="229">
        <v>7.6999999999999999E-2</v>
      </c>
      <c r="ED211" s="228">
        <v>0.31</v>
      </c>
      <c r="EE211" s="229">
        <v>1.6000000000000001E-3</v>
      </c>
      <c r="EF211" s="230">
        <v>6329726</v>
      </c>
      <c r="EG211" s="230">
        <v>10187373</v>
      </c>
      <c r="EH211" s="229">
        <v>-0.37869999999999998</v>
      </c>
      <c r="EI211" s="229">
        <v>0.46010000000000001</v>
      </c>
      <c r="EJ211" s="231">
        <v>99258.42</v>
      </c>
      <c r="EK211" s="231">
        <v>49180.98</v>
      </c>
      <c r="EL211" s="231">
        <v>44220.480000000003</v>
      </c>
      <c r="EM211" s="231">
        <v>9013</v>
      </c>
      <c r="EN211" s="231">
        <v>192659.88</v>
      </c>
      <c r="EO211" s="231">
        <v>308997.76000000001</v>
      </c>
      <c r="EP211" s="231">
        <v>-116337.88</v>
      </c>
      <c r="EQ211" s="229">
        <v>-0.3765</v>
      </c>
      <c r="ER211" s="231">
        <v>175012</v>
      </c>
      <c r="ES211" s="231">
        <v>82037</v>
      </c>
      <c r="ET211" s="231">
        <v>312923</v>
      </c>
      <c r="EU211" s="231">
        <v>358423198</v>
      </c>
      <c r="EV211" s="231">
        <v>569972</v>
      </c>
      <c r="EW211" s="231">
        <v>568618</v>
      </c>
      <c r="EX211" s="231">
        <v>1354</v>
      </c>
      <c r="EY211" s="229">
        <v>2.3999999999999998E-3</v>
      </c>
      <c r="EZ211" s="229">
        <v>0.77780000000000005</v>
      </c>
      <c r="FA211" s="227" t="s">
        <v>556</v>
      </c>
      <c r="FB211" s="161">
        <f t="shared" si="5"/>
        <v>0</v>
      </c>
    </row>
    <row r="212" spans="1:158" ht="17.25" thickBot="1" x14ac:dyDescent="0.3">
      <c r="A212" s="226">
        <v>46086</v>
      </c>
      <c r="B212" s="227" t="s">
        <v>172</v>
      </c>
      <c r="C212" s="227" t="s">
        <v>590</v>
      </c>
      <c r="D212" s="228">
        <v>31100</v>
      </c>
      <c r="E212" s="228">
        <v>20.32</v>
      </c>
      <c r="F212" s="228">
        <v>20.11</v>
      </c>
      <c r="G212" s="228">
        <v>0.21</v>
      </c>
      <c r="H212" s="229">
        <v>1.04E-2</v>
      </c>
      <c r="I212" s="228">
        <v>20.23</v>
      </c>
      <c r="J212" s="228">
        <v>20.010000000000002</v>
      </c>
      <c r="K212" s="228">
        <v>0.22</v>
      </c>
      <c r="L212" s="229">
        <v>1.0999999999999999E-2</v>
      </c>
      <c r="M212" s="228">
        <v>20.32</v>
      </c>
      <c r="N212" s="228">
        <v>20.11</v>
      </c>
      <c r="O212" s="228">
        <v>0.21</v>
      </c>
      <c r="P212" s="229">
        <v>1.04E-2</v>
      </c>
      <c r="Q212" s="228">
        <v>20.45</v>
      </c>
      <c r="R212" s="228">
        <v>20.25</v>
      </c>
      <c r="S212" s="228">
        <v>0.2</v>
      </c>
      <c r="T212" s="229">
        <v>9.9000000000000008E-3</v>
      </c>
      <c r="U212" s="228">
        <v>20.57</v>
      </c>
      <c r="V212" s="228">
        <v>20.34</v>
      </c>
      <c r="W212" s="228">
        <v>0.23</v>
      </c>
      <c r="X212" s="229">
        <v>1.1299999999999999E-2</v>
      </c>
      <c r="Y212" s="228">
        <v>0.09</v>
      </c>
      <c r="Z212" s="228">
        <v>0.1</v>
      </c>
      <c r="AA212" s="228">
        <v>-0.01</v>
      </c>
      <c r="AB212" s="229">
        <v>4.4000000000000003E-3</v>
      </c>
      <c r="AC212" s="228">
        <v>0.09</v>
      </c>
      <c r="AD212" s="228">
        <v>0.1</v>
      </c>
      <c r="AE212" s="228">
        <v>-0.01</v>
      </c>
      <c r="AF212" s="229">
        <v>4.4000000000000003E-3</v>
      </c>
      <c r="AG212" s="228">
        <v>0.22</v>
      </c>
      <c r="AH212" s="228">
        <v>0.24</v>
      </c>
      <c r="AI212" s="228">
        <v>-0.02</v>
      </c>
      <c r="AJ212" s="229">
        <v>1.09E-2</v>
      </c>
      <c r="AK212" s="228">
        <v>0.34</v>
      </c>
      <c r="AL212" s="228">
        <v>0.33</v>
      </c>
      <c r="AM212" s="228">
        <v>0.01</v>
      </c>
      <c r="AN212" s="229">
        <v>1.6799999999999999E-2</v>
      </c>
      <c r="AO212" s="228">
        <v>20.16</v>
      </c>
      <c r="AP212" s="228">
        <v>20.32</v>
      </c>
      <c r="AQ212" s="228">
        <v>0</v>
      </c>
      <c r="AR212" s="230">
        <v>159232000</v>
      </c>
      <c r="AS212" s="230">
        <v>222800400</v>
      </c>
      <c r="AT212" s="230">
        <v>-63568400</v>
      </c>
      <c r="AU212" s="229">
        <v>-0.2853</v>
      </c>
      <c r="AV212" s="230">
        <v>142997800</v>
      </c>
      <c r="AW212" s="230">
        <v>186942100</v>
      </c>
      <c r="AX212" s="230">
        <v>-43944300</v>
      </c>
      <c r="AY212" s="229">
        <v>-0.2351</v>
      </c>
      <c r="AZ212" s="230">
        <v>14585900</v>
      </c>
      <c r="BA212" s="230">
        <v>25346500</v>
      </c>
      <c r="BB212" s="230">
        <v>-10760600</v>
      </c>
      <c r="BC212" s="229">
        <v>-0.42449999999999999</v>
      </c>
      <c r="BD212" s="230">
        <v>1648300</v>
      </c>
      <c r="BE212" s="230">
        <v>10511800</v>
      </c>
      <c r="BF212" s="230">
        <v>-8863500</v>
      </c>
      <c r="BG212" s="229">
        <v>-0.84319999999999995</v>
      </c>
      <c r="BH212" s="230">
        <v>173631300</v>
      </c>
      <c r="BI212" s="230">
        <v>256232900</v>
      </c>
      <c r="BJ212" s="230">
        <v>-82601600</v>
      </c>
      <c r="BK212" s="229">
        <v>-0.32240000000000002</v>
      </c>
      <c r="BL212" s="230">
        <v>77843300</v>
      </c>
      <c r="BM212" s="230">
        <v>142717900</v>
      </c>
      <c r="BN212" s="230">
        <v>-64874600</v>
      </c>
      <c r="BO212" s="229">
        <v>-0.4546</v>
      </c>
      <c r="BP212" s="230">
        <v>410706600</v>
      </c>
      <c r="BQ212" s="230">
        <v>621751200</v>
      </c>
      <c r="BR212" s="230">
        <v>-211044600</v>
      </c>
      <c r="BS212" s="229">
        <v>-0.33939999999999998</v>
      </c>
      <c r="BT212" s="230">
        <v>74052261</v>
      </c>
      <c r="BU212" s="230">
        <v>119093402</v>
      </c>
      <c r="BV212" s="230">
        <v>-45041141</v>
      </c>
      <c r="BW212" s="229">
        <v>-0.37819999999999998</v>
      </c>
      <c r="BX212" s="230">
        <v>1074878200</v>
      </c>
      <c r="BY212" s="230">
        <v>1071115100</v>
      </c>
      <c r="BZ212" s="230">
        <v>3763100</v>
      </c>
      <c r="CA212" s="229">
        <v>3.5000000000000001E-3</v>
      </c>
      <c r="CB212" s="230">
        <v>992991900</v>
      </c>
      <c r="CC212" s="230">
        <v>991312500</v>
      </c>
      <c r="CD212" s="230">
        <v>1679400</v>
      </c>
      <c r="CE212" s="229">
        <v>1.6999999999999999E-3</v>
      </c>
      <c r="CF212" s="230">
        <v>66989400</v>
      </c>
      <c r="CG212" s="230">
        <v>65403300</v>
      </c>
      <c r="CH212" s="230">
        <v>1586100</v>
      </c>
      <c r="CI212" s="229">
        <v>2.4299999999999999E-2</v>
      </c>
      <c r="CJ212" s="230">
        <v>14896900</v>
      </c>
      <c r="CK212" s="230">
        <v>14399300</v>
      </c>
      <c r="CL212" s="230">
        <v>497600</v>
      </c>
      <c r="CM212" s="229">
        <v>3.4599999999999999E-2</v>
      </c>
      <c r="CN212" s="230">
        <v>328353800</v>
      </c>
      <c r="CO212" s="230">
        <v>312834900</v>
      </c>
      <c r="CP212" s="230">
        <v>15518900</v>
      </c>
      <c r="CQ212" s="229">
        <v>4.9599999999999998E-2</v>
      </c>
      <c r="CR212" s="230">
        <v>231632800</v>
      </c>
      <c r="CS212" s="230">
        <v>227372100</v>
      </c>
      <c r="CT212" s="230">
        <v>4260700</v>
      </c>
      <c r="CU212" s="229">
        <v>1.8700000000000001E-2</v>
      </c>
      <c r="CV212" s="230">
        <v>1634864800</v>
      </c>
      <c r="CW212" s="230">
        <v>1611322100</v>
      </c>
      <c r="CX212" s="230">
        <v>23542700</v>
      </c>
      <c r="CY212" s="229">
        <v>1.46E-2</v>
      </c>
      <c r="CZ212" s="228">
        <v>27.89</v>
      </c>
      <c r="DA212" s="228">
        <v>29.53</v>
      </c>
      <c r="DB212" s="228">
        <v>-1.64</v>
      </c>
      <c r="DC212" s="228">
        <v>-1.64</v>
      </c>
      <c r="DD212" s="228">
        <v>37.42</v>
      </c>
      <c r="DE212" s="228">
        <v>37.49</v>
      </c>
      <c r="DF212" s="228">
        <v>-9.5299999999999994</v>
      </c>
      <c r="DG212" s="228">
        <v>-7.0000000000000007E-2</v>
      </c>
      <c r="DH212" s="228">
        <v>27.65</v>
      </c>
      <c r="DI212" s="228">
        <v>29.86</v>
      </c>
      <c r="DJ212" s="228">
        <v>-2.21</v>
      </c>
      <c r="DK212" s="228">
        <v>-2.21</v>
      </c>
      <c r="DL212" s="228">
        <v>28.42</v>
      </c>
      <c r="DM212" s="228">
        <v>28.94</v>
      </c>
      <c r="DN212" s="228">
        <v>-0.52</v>
      </c>
      <c r="DO212" s="228">
        <v>-0.52</v>
      </c>
      <c r="DP212" s="228">
        <v>0.71</v>
      </c>
      <c r="DQ212" s="228">
        <v>0.73</v>
      </c>
      <c r="DR212" s="228">
        <v>-0.02</v>
      </c>
      <c r="DS212" s="229">
        <v>-2.7400000000000001E-2</v>
      </c>
      <c r="DT212" s="228">
        <v>22</v>
      </c>
      <c r="DU212" s="228">
        <v>20</v>
      </c>
      <c r="DV212" s="228">
        <v>0.45</v>
      </c>
      <c r="DW212" s="228">
        <v>0.56000000000000005</v>
      </c>
      <c r="DX212" s="228">
        <v>-0.11</v>
      </c>
      <c r="DY212" s="229">
        <v>-0.19639999999999999</v>
      </c>
      <c r="DZ212" s="229">
        <v>7.6200000000000004E-2</v>
      </c>
      <c r="EA212" s="230">
        <v>79802600</v>
      </c>
      <c r="EB212" s="229">
        <v>6.4000000000000003E-3</v>
      </c>
      <c r="EC212" s="229">
        <v>7.6200000000000004E-2</v>
      </c>
      <c r="ED212" s="228">
        <v>0.16</v>
      </c>
      <c r="EE212" s="229">
        <v>7.9000000000000008E-3</v>
      </c>
      <c r="EF212" s="230">
        <v>29159156</v>
      </c>
      <c r="EG212" s="230">
        <v>58372590</v>
      </c>
      <c r="EH212" s="229">
        <v>-0.50049999999999994</v>
      </c>
      <c r="EI212" s="229">
        <v>0.39379999999999998</v>
      </c>
      <c r="EJ212" s="231">
        <v>37648.239999999998</v>
      </c>
      <c r="EK212" s="231">
        <v>15331.04</v>
      </c>
      <c r="EL212" s="231">
        <v>32126.880000000001</v>
      </c>
      <c r="EM212" s="231">
        <v>7235</v>
      </c>
      <c r="EN212" s="231">
        <v>85106.16</v>
      </c>
      <c r="EO212" s="231">
        <v>129197.57</v>
      </c>
      <c r="EP212" s="231">
        <v>-44091.41</v>
      </c>
      <c r="EQ212" s="229">
        <v>-0.34129999999999999</v>
      </c>
      <c r="ER212" s="231">
        <v>73082</v>
      </c>
      <c r="ES212" s="231">
        <v>47219</v>
      </c>
      <c r="ET212" s="231">
        <v>218540</v>
      </c>
      <c r="EU212" s="231">
        <v>3547322779</v>
      </c>
      <c r="EV212" s="231">
        <v>338841</v>
      </c>
      <c r="EW212" s="231">
        <v>331687</v>
      </c>
      <c r="EX212" s="231">
        <v>7154</v>
      </c>
      <c r="EY212" s="229">
        <v>2.1600000000000001E-2</v>
      </c>
      <c r="EZ212" s="229">
        <v>0.46089999999999998</v>
      </c>
      <c r="FA212" s="227" t="s">
        <v>555</v>
      </c>
      <c r="FB212" s="161">
        <f t="shared" si="5"/>
        <v>0</v>
      </c>
    </row>
    <row r="213" spans="1:158" ht="17.25" thickBot="1" x14ac:dyDescent="0.3">
      <c r="A213" s="226">
        <v>46086</v>
      </c>
      <c r="B213" s="227" t="s">
        <v>170</v>
      </c>
      <c r="C213" s="227" t="s">
        <v>557</v>
      </c>
      <c r="D213" s="228">
        <v>900</v>
      </c>
      <c r="E213" s="228">
        <v>916.4</v>
      </c>
      <c r="F213" s="228">
        <v>900.65</v>
      </c>
      <c r="G213" s="228">
        <v>15.75</v>
      </c>
      <c r="H213" s="229">
        <v>1.7500000000000002E-2</v>
      </c>
      <c r="I213" s="228">
        <v>914.65</v>
      </c>
      <c r="J213" s="228">
        <v>896.9</v>
      </c>
      <c r="K213" s="228">
        <v>17.75</v>
      </c>
      <c r="L213" s="229">
        <v>1.9800000000000002E-2</v>
      </c>
      <c r="M213" s="228">
        <v>916.4</v>
      </c>
      <c r="N213" s="228">
        <v>900.65</v>
      </c>
      <c r="O213" s="228">
        <v>15.75</v>
      </c>
      <c r="P213" s="229">
        <v>1.7500000000000002E-2</v>
      </c>
      <c r="Q213" s="228">
        <v>921.95</v>
      </c>
      <c r="R213" s="228">
        <v>905.8</v>
      </c>
      <c r="S213" s="228">
        <v>16.149999999999999</v>
      </c>
      <c r="T213" s="229">
        <v>1.78E-2</v>
      </c>
      <c r="U213" s="228">
        <v>925.95</v>
      </c>
      <c r="V213" s="228">
        <v>908.75</v>
      </c>
      <c r="W213" s="228">
        <v>17.2</v>
      </c>
      <c r="X213" s="229">
        <v>1.89E-2</v>
      </c>
      <c r="Y213" s="228">
        <v>1.75</v>
      </c>
      <c r="Z213" s="228">
        <v>3.75</v>
      </c>
      <c r="AA213" s="228">
        <v>-2</v>
      </c>
      <c r="AB213" s="229">
        <v>1.9E-3</v>
      </c>
      <c r="AC213" s="228">
        <v>1.75</v>
      </c>
      <c r="AD213" s="228">
        <v>3.75</v>
      </c>
      <c r="AE213" s="228">
        <v>-2</v>
      </c>
      <c r="AF213" s="229">
        <v>1.9E-3</v>
      </c>
      <c r="AG213" s="228">
        <v>7.3</v>
      </c>
      <c r="AH213" s="228">
        <v>8.9</v>
      </c>
      <c r="AI213" s="228">
        <v>-1.6</v>
      </c>
      <c r="AJ213" s="229">
        <v>8.0000000000000002E-3</v>
      </c>
      <c r="AK213" s="228">
        <v>11.3</v>
      </c>
      <c r="AL213" s="228">
        <v>11.85</v>
      </c>
      <c r="AM213" s="228">
        <v>-0.55000000000000004</v>
      </c>
      <c r="AN213" s="229">
        <v>1.24E-2</v>
      </c>
      <c r="AO213" s="228">
        <v>914.29</v>
      </c>
      <c r="AP213" s="228">
        <v>919.41</v>
      </c>
      <c r="AQ213" s="228">
        <v>0</v>
      </c>
      <c r="AR213" s="230">
        <v>1249200</v>
      </c>
      <c r="AS213" s="230">
        <v>1807200</v>
      </c>
      <c r="AT213" s="230">
        <v>-558000</v>
      </c>
      <c r="AU213" s="229">
        <v>-0.30880000000000002</v>
      </c>
      <c r="AV213" s="230">
        <v>1165500</v>
      </c>
      <c r="AW213" s="230">
        <v>1732500</v>
      </c>
      <c r="AX213" s="230">
        <v>-567000</v>
      </c>
      <c r="AY213" s="229">
        <v>-0.32729999999999998</v>
      </c>
      <c r="AZ213" s="230">
        <v>78300</v>
      </c>
      <c r="BA213" s="230">
        <v>69300</v>
      </c>
      <c r="BB213" s="230">
        <v>9000</v>
      </c>
      <c r="BC213" s="229">
        <v>0.12989999999999999</v>
      </c>
      <c r="BD213" s="230">
        <v>5400</v>
      </c>
      <c r="BE213" s="230">
        <v>5400</v>
      </c>
      <c r="BF213" s="228">
        <v>0</v>
      </c>
      <c r="BG213" s="229">
        <v>0</v>
      </c>
      <c r="BH213" s="230">
        <v>5110200</v>
      </c>
      <c r="BI213" s="230">
        <v>3519000</v>
      </c>
      <c r="BJ213" s="230">
        <v>1591200</v>
      </c>
      <c r="BK213" s="229">
        <v>0.45219999999999999</v>
      </c>
      <c r="BL213" s="230">
        <v>1400400</v>
      </c>
      <c r="BM213" s="230">
        <v>1986300</v>
      </c>
      <c r="BN213" s="230">
        <v>-585900</v>
      </c>
      <c r="BO213" s="229">
        <v>-0.29499999999999998</v>
      </c>
      <c r="BP213" s="230">
        <v>7759800</v>
      </c>
      <c r="BQ213" s="230">
        <v>7312500</v>
      </c>
      <c r="BR213" s="230">
        <v>447300</v>
      </c>
      <c r="BS213" s="229">
        <v>6.1199999999999997E-2</v>
      </c>
      <c r="BT213" s="230">
        <v>486410</v>
      </c>
      <c r="BU213" s="230">
        <v>1292097</v>
      </c>
      <c r="BV213" s="230">
        <v>-805687</v>
      </c>
      <c r="BW213" s="229">
        <v>-0.62350000000000005</v>
      </c>
      <c r="BX213" s="230">
        <v>9607500</v>
      </c>
      <c r="BY213" s="230">
        <v>9706500</v>
      </c>
      <c r="BZ213" s="230">
        <v>-99000</v>
      </c>
      <c r="CA213" s="229">
        <v>-1.0200000000000001E-2</v>
      </c>
      <c r="CB213" s="230">
        <v>9366300</v>
      </c>
      <c r="CC213" s="230">
        <v>9475200</v>
      </c>
      <c r="CD213" s="230">
        <v>-108900</v>
      </c>
      <c r="CE213" s="229">
        <v>-1.15E-2</v>
      </c>
      <c r="CF213" s="230">
        <v>233100</v>
      </c>
      <c r="CG213" s="230">
        <v>223200</v>
      </c>
      <c r="CH213" s="230">
        <v>9900</v>
      </c>
      <c r="CI213" s="229">
        <v>4.4400000000000002E-2</v>
      </c>
      <c r="CJ213" s="230">
        <v>8100</v>
      </c>
      <c r="CK213" s="230">
        <v>8100</v>
      </c>
      <c r="CL213" s="228">
        <v>0</v>
      </c>
      <c r="CM213" s="229">
        <v>0</v>
      </c>
      <c r="CN213" s="230">
        <v>4688100</v>
      </c>
      <c r="CO213" s="230">
        <v>4806900</v>
      </c>
      <c r="CP213" s="230">
        <v>-118800</v>
      </c>
      <c r="CQ213" s="229">
        <v>-2.47E-2</v>
      </c>
      <c r="CR213" s="230">
        <v>2664900</v>
      </c>
      <c r="CS213" s="230">
        <v>2613600</v>
      </c>
      <c r="CT213" s="230">
        <v>51300</v>
      </c>
      <c r="CU213" s="229">
        <v>1.9599999999999999E-2</v>
      </c>
      <c r="CV213" s="230">
        <v>16960500</v>
      </c>
      <c r="CW213" s="230">
        <v>17127000</v>
      </c>
      <c r="CX213" s="230">
        <v>-166500</v>
      </c>
      <c r="CY213" s="229">
        <v>-9.7000000000000003E-3</v>
      </c>
      <c r="CZ213" s="228">
        <v>23.18</v>
      </c>
      <c r="DA213" s="228">
        <v>25.27</v>
      </c>
      <c r="DB213" s="228">
        <v>-2.09</v>
      </c>
      <c r="DC213" s="228">
        <v>-2.09</v>
      </c>
      <c r="DD213" s="228">
        <v>27.99</v>
      </c>
      <c r="DE213" s="228">
        <v>27.97</v>
      </c>
      <c r="DF213" s="228">
        <v>-4.8099999999999996</v>
      </c>
      <c r="DG213" s="228">
        <v>0.02</v>
      </c>
      <c r="DH213" s="228">
        <v>22.84</v>
      </c>
      <c r="DI213" s="228">
        <v>24.97</v>
      </c>
      <c r="DJ213" s="228">
        <v>-2.13</v>
      </c>
      <c r="DK213" s="228">
        <v>-2.13</v>
      </c>
      <c r="DL213" s="228">
        <v>24.41</v>
      </c>
      <c r="DM213" s="228">
        <v>25.81</v>
      </c>
      <c r="DN213" s="228">
        <v>-1.4</v>
      </c>
      <c r="DO213" s="228">
        <v>-1.4</v>
      </c>
      <c r="DP213" s="228">
        <v>0.56999999999999995</v>
      </c>
      <c r="DQ213" s="228">
        <v>0.54</v>
      </c>
      <c r="DR213" s="228">
        <v>0.03</v>
      </c>
      <c r="DS213" s="229">
        <v>5.5599999999999997E-2</v>
      </c>
      <c r="DT213" s="228">
        <v>950</v>
      </c>
      <c r="DU213" s="228">
        <v>900</v>
      </c>
      <c r="DV213" s="228">
        <v>0.27</v>
      </c>
      <c r="DW213" s="228">
        <v>0.56000000000000005</v>
      </c>
      <c r="DX213" s="228">
        <v>-0.28999999999999998</v>
      </c>
      <c r="DY213" s="229">
        <v>-0.51790000000000003</v>
      </c>
      <c r="DZ213" s="229">
        <v>2.5100000000000001E-2</v>
      </c>
      <c r="EA213" s="230">
        <v>231300</v>
      </c>
      <c r="EB213" s="229">
        <v>6.1000000000000004E-3</v>
      </c>
      <c r="EC213" s="229">
        <v>2.5100000000000001E-2</v>
      </c>
      <c r="ED213" s="228">
        <v>5.12</v>
      </c>
      <c r="EE213" s="229">
        <v>5.5999999999999999E-3</v>
      </c>
      <c r="EF213" s="230">
        <v>252526</v>
      </c>
      <c r="EG213" s="230">
        <v>856763</v>
      </c>
      <c r="EH213" s="229">
        <v>-0.70530000000000004</v>
      </c>
      <c r="EI213" s="229">
        <v>0.51919999999999999</v>
      </c>
      <c r="EJ213" s="231">
        <v>48750.38</v>
      </c>
      <c r="EK213" s="231">
        <v>12595.75</v>
      </c>
      <c r="EL213" s="231">
        <v>11425.83</v>
      </c>
      <c r="EM213" s="231">
        <v>2577</v>
      </c>
      <c r="EN213" s="231">
        <v>72771.960000000006</v>
      </c>
      <c r="EO213" s="231">
        <v>67733.73</v>
      </c>
      <c r="EP213" s="231">
        <v>5038.2299999999996</v>
      </c>
      <c r="EQ213" s="229">
        <v>7.4399999999999994E-2</v>
      </c>
      <c r="ER213" s="231">
        <v>45129</v>
      </c>
      <c r="ES213" s="231">
        <v>24478</v>
      </c>
      <c r="ET213" s="231">
        <v>88057</v>
      </c>
      <c r="EU213" s="231">
        <v>37741451</v>
      </c>
      <c r="EV213" s="231">
        <v>157664</v>
      </c>
      <c r="EW213" s="231">
        <v>157647</v>
      </c>
      <c r="EX213" s="228">
        <v>17</v>
      </c>
      <c r="EY213" s="229">
        <v>1E-4</v>
      </c>
      <c r="EZ213" s="229">
        <v>0.44940000000000002</v>
      </c>
      <c r="FA213" s="227" t="s">
        <v>556</v>
      </c>
      <c r="FB213" s="161">
        <f t="shared" si="5"/>
        <v>0</v>
      </c>
    </row>
    <row r="214" spans="1:158" x14ac:dyDescent="0.25">
      <c r="FB214" s="161">
        <f t="shared" si="5"/>
        <v>0</v>
      </c>
    </row>
    <row r="215" spans="1:158" x14ac:dyDescent="0.25">
      <c r="FB215" s="161">
        <f t="shared" si="5"/>
        <v>0</v>
      </c>
    </row>
    <row r="216" spans="1:158" x14ac:dyDescent="0.25">
      <c r="FB216" s="161">
        <f t="shared" si="5"/>
        <v>0</v>
      </c>
    </row>
    <row r="217" spans="1:158" x14ac:dyDescent="0.25">
      <c r="FB217" s="161">
        <f t="shared" si="5"/>
        <v>0</v>
      </c>
    </row>
    <row r="218" spans="1:158" x14ac:dyDescent="0.25">
      <c r="FB218" s="161">
        <f t="shared" si="5"/>
        <v>0</v>
      </c>
    </row>
    <row r="219" spans="1:158" x14ac:dyDescent="0.25">
      <c r="FB219" s="161">
        <f t="shared" si="5"/>
        <v>0</v>
      </c>
    </row>
    <row r="220" spans="1:158" x14ac:dyDescent="0.25">
      <c r="FB220" s="161">
        <f t="shared" si="5"/>
        <v>0</v>
      </c>
    </row>
    <row r="221" spans="1:158" x14ac:dyDescent="0.25">
      <c r="FB221" s="161">
        <f t="shared" si="5"/>
        <v>0</v>
      </c>
    </row>
    <row r="222" spans="1:158" x14ac:dyDescent="0.25">
      <c r="FB222" s="161">
        <f t="shared" si="5"/>
        <v>0</v>
      </c>
    </row>
    <row r="223" spans="1:158" x14ac:dyDescent="0.25">
      <c r="FB223" s="161">
        <f t="shared" si="5"/>
        <v>0</v>
      </c>
    </row>
    <row r="224" spans="1:158" x14ac:dyDescent="0.25">
      <c r="FB224" s="161">
        <f t="shared" si="5"/>
        <v>0</v>
      </c>
    </row>
    <row r="225" spans="158:158" x14ac:dyDescent="0.25">
      <c r="FB225" s="161">
        <f t="shared" si="5"/>
        <v>0</v>
      </c>
    </row>
    <row r="226" spans="158:158" x14ac:dyDescent="0.25">
      <c r="FB226" s="161">
        <f t="shared" si="5"/>
        <v>0</v>
      </c>
    </row>
    <row r="227" spans="158:158" x14ac:dyDescent="0.25">
      <c r="FB227" s="161">
        <f t="shared" si="5"/>
        <v>0</v>
      </c>
    </row>
    <row r="228" spans="158:158" x14ac:dyDescent="0.25">
      <c r="FB228" s="161">
        <f t="shared" si="5"/>
        <v>0</v>
      </c>
    </row>
    <row r="229" spans="158:158" x14ac:dyDescent="0.25">
      <c r="FB229" s="161">
        <f t="shared" si="5"/>
        <v>0</v>
      </c>
    </row>
    <row r="230" spans="158:158" x14ac:dyDescent="0.25">
      <c r="FB230" s="161">
        <f t="shared" si="5"/>
        <v>0</v>
      </c>
    </row>
    <row r="231" spans="158:158" x14ac:dyDescent="0.25">
      <c r="FB231" s="161">
        <f t="shared" si="5"/>
        <v>0</v>
      </c>
    </row>
    <row r="232" spans="158:158" x14ac:dyDescent="0.25">
      <c r="FB232" s="161">
        <f t="shared" si="5"/>
        <v>0</v>
      </c>
    </row>
    <row r="233" spans="158:158" x14ac:dyDescent="0.25">
      <c r="FB233" s="161">
        <f t="shared" si="5"/>
        <v>0</v>
      </c>
    </row>
    <row r="234" spans="158:158" x14ac:dyDescent="0.25">
      <c r="FB234" s="161">
        <f t="shared" si="5"/>
        <v>0</v>
      </c>
    </row>
    <row r="235" spans="158:158" x14ac:dyDescent="0.25">
      <c r="FB235" s="161">
        <f t="shared" si="5"/>
        <v>0</v>
      </c>
    </row>
    <row r="236" spans="158:158" x14ac:dyDescent="0.25">
      <c r="FB236" s="161">
        <f t="shared" si="5"/>
        <v>0</v>
      </c>
    </row>
    <row r="237" spans="158:158" x14ac:dyDescent="0.25">
      <c r="FB237" s="161">
        <f t="shared" si="5"/>
        <v>0</v>
      </c>
    </row>
    <row r="238" spans="158:158" x14ac:dyDescent="0.25">
      <c r="FB238" s="161">
        <f t="shared" si="5"/>
        <v>0</v>
      </c>
    </row>
    <row r="239" spans="158:158" x14ac:dyDescent="0.25">
      <c r="FB239" s="161">
        <f t="shared" si="5"/>
        <v>0</v>
      </c>
    </row>
    <row r="240" spans="158: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BX323-CB323</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J9" sqref="J9"/>
    </sheetView>
  </sheetViews>
  <sheetFormatPr defaultColWidth="13.7109375" defaultRowHeight="15" x14ac:dyDescent="0.25"/>
  <cols>
    <col min="1" max="1" width="23.85546875" customWidth="1"/>
    <col min="2" max="2" width="12.28515625" customWidth="1"/>
    <col min="3" max="3" width="12.7109375" customWidth="1"/>
    <col min="4" max="4" width="11.140625" customWidth="1"/>
    <col min="5" max="5" width="12.7109375" customWidth="1"/>
    <col min="6" max="6" width="11.140625" customWidth="1"/>
    <col min="7" max="7" width="9.28515625" customWidth="1"/>
    <col min="8" max="8" width="9.5703125" customWidth="1"/>
    <col min="9" max="9" width="12.7109375" customWidth="1"/>
    <col min="10" max="10" width="12.85546875" customWidth="1"/>
    <col min="11" max="11" width="11.140625" customWidth="1"/>
    <col min="12" max="12" width="11.85546875" customWidth="1"/>
    <col min="13" max="13" width="12.7109375" customWidth="1"/>
    <col min="14" max="14" width="11.140625"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616</v>
      </c>
      <c r="B2" s="226">
        <v>46086</v>
      </c>
      <c r="C2" s="230">
        <v>14621496</v>
      </c>
      <c r="D2" s="230">
        <v>2302428</v>
      </c>
      <c r="E2" s="230">
        <v>14681713</v>
      </c>
      <c r="F2" s="230">
        <v>2311680</v>
      </c>
      <c r="G2" s="230">
        <v>-60217</v>
      </c>
      <c r="H2" s="230">
        <v>-9253</v>
      </c>
      <c r="I2" s="230">
        <v>12040543</v>
      </c>
      <c r="J2" s="230">
        <v>1238505</v>
      </c>
      <c r="K2" s="230">
        <v>567071</v>
      </c>
      <c r="L2" s="230">
        <v>101674</v>
      </c>
      <c r="M2" s="230">
        <v>12607614</v>
      </c>
      <c r="N2" s="230">
        <v>1340179</v>
      </c>
      <c r="O2" s="61"/>
      <c r="P2" s="61"/>
      <c r="Q2" s="61"/>
      <c r="R2" s="61"/>
      <c r="S2" s="61"/>
      <c r="U2" t="s">
        <v>453</v>
      </c>
      <c r="V2">
        <f>SUM('Data Vlaue (Cr)'!CD:CD)</f>
        <v>531859</v>
      </c>
      <c r="W2" t="s">
        <v>454</v>
      </c>
    </row>
    <row r="3" spans="1:23" ht="17.25" thickBot="1" x14ac:dyDescent="0.3">
      <c r="A3" s="227" t="s">
        <v>617</v>
      </c>
      <c r="B3" s="226">
        <v>46086</v>
      </c>
      <c r="C3" s="230">
        <v>8485</v>
      </c>
      <c r="D3" s="230">
        <v>1510</v>
      </c>
      <c r="E3" s="230">
        <v>8340</v>
      </c>
      <c r="F3" s="230">
        <v>1484</v>
      </c>
      <c r="G3" s="228">
        <v>145</v>
      </c>
      <c r="H3" s="228">
        <v>26</v>
      </c>
      <c r="I3" s="230">
        <v>33913</v>
      </c>
      <c r="J3" s="230">
        <v>6015</v>
      </c>
      <c r="K3" s="228">
        <v>491</v>
      </c>
      <c r="L3" s="228">
        <v>116</v>
      </c>
      <c r="M3" s="230">
        <v>34404</v>
      </c>
      <c r="N3" s="230">
        <v>6131</v>
      </c>
      <c r="O3" s="61"/>
      <c r="P3" s="61"/>
      <c r="Q3" s="61"/>
      <c r="R3" s="61"/>
      <c r="S3" s="61"/>
      <c r="U3" t="s">
        <v>453</v>
      </c>
      <c r="V3">
        <f>SUM('Data shares'!CC:CC)</f>
        <v>16353116515</v>
      </c>
      <c r="W3" t="s">
        <v>455</v>
      </c>
    </row>
    <row r="4" spans="1:23" ht="17.25" thickBot="1" x14ac:dyDescent="0.3">
      <c r="A4" s="227" t="s">
        <v>618</v>
      </c>
      <c r="B4" s="226">
        <v>46086</v>
      </c>
      <c r="C4" s="230">
        <v>260621</v>
      </c>
      <c r="D4" s="230">
        <v>46704</v>
      </c>
      <c r="E4" s="230">
        <v>261307</v>
      </c>
      <c r="F4" s="230">
        <v>46958</v>
      </c>
      <c r="G4" s="228">
        <v>-686</v>
      </c>
      <c r="H4" s="228">
        <v>-254</v>
      </c>
      <c r="I4" s="230">
        <v>266769</v>
      </c>
      <c r="J4" s="230">
        <v>47022</v>
      </c>
      <c r="K4" s="230">
        <v>9502</v>
      </c>
      <c r="L4" s="230">
        <v>1924</v>
      </c>
      <c r="M4" s="230">
        <v>276271</v>
      </c>
      <c r="N4" s="230">
        <v>48946</v>
      </c>
      <c r="O4" s="61"/>
      <c r="P4" s="61"/>
      <c r="Q4" s="61"/>
      <c r="R4" s="61"/>
      <c r="S4" s="61"/>
    </row>
    <row r="5" spans="1:23" ht="17.25" thickBot="1" x14ac:dyDescent="0.3">
      <c r="A5" s="227" t="s">
        <v>619</v>
      </c>
      <c r="B5" s="226">
        <v>46086</v>
      </c>
      <c r="C5" s="228">
        <v>37</v>
      </c>
      <c r="D5" s="228">
        <v>6</v>
      </c>
      <c r="E5" s="228">
        <v>52</v>
      </c>
      <c r="F5" s="228">
        <v>9</v>
      </c>
      <c r="G5" s="228">
        <v>-15</v>
      </c>
      <c r="H5" s="228">
        <v>-2</v>
      </c>
      <c r="I5" s="228">
        <v>92</v>
      </c>
      <c r="J5" s="228">
        <v>15</v>
      </c>
      <c r="K5" s="228">
        <v>-25</v>
      </c>
      <c r="L5" s="228">
        <v>-4</v>
      </c>
      <c r="M5" s="228">
        <v>67</v>
      </c>
      <c r="N5" s="228">
        <v>11</v>
      </c>
      <c r="O5" s="61"/>
      <c r="P5" s="61"/>
      <c r="Q5" s="61"/>
      <c r="R5" s="61"/>
      <c r="S5" s="61"/>
    </row>
    <row r="6" spans="1:23" ht="17.25" thickBot="1" x14ac:dyDescent="0.3">
      <c r="A6" s="227" t="s">
        <v>620</v>
      </c>
      <c r="B6" s="226">
        <v>46086</v>
      </c>
      <c r="C6" s="230">
        <v>11937</v>
      </c>
      <c r="D6" s="230">
        <v>1960</v>
      </c>
      <c r="E6" s="230">
        <v>11788</v>
      </c>
      <c r="F6" s="230">
        <v>1935</v>
      </c>
      <c r="G6" s="228">
        <v>149</v>
      </c>
      <c r="H6" s="228">
        <v>25</v>
      </c>
      <c r="I6" s="230">
        <v>9625</v>
      </c>
      <c r="J6" s="230">
        <v>1560</v>
      </c>
      <c r="K6" s="230">
        <v>1263</v>
      </c>
      <c r="L6" s="228">
        <v>219</v>
      </c>
      <c r="M6" s="230">
        <v>10888</v>
      </c>
      <c r="N6" s="230">
        <v>1779</v>
      </c>
      <c r="O6" s="61"/>
      <c r="P6" s="61"/>
      <c r="Q6" s="61"/>
      <c r="R6" s="61"/>
      <c r="S6" s="61"/>
    </row>
    <row r="7" spans="1:23" ht="17.25" thickBot="1" x14ac:dyDescent="0.3">
      <c r="A7" s="227" t="s">
        <v>621</v>
      </c>
      <c r="B7" s="226">
        <v>46086</v>
      </c>
      <c r="C7" s="230">
        <v>31282</v>
      </c>
      <c r="D7" s="230">
        <v>5178</v>
      </c>
      <c r="E7" s="230">
        <v>29417</v>
      </c>
      <c r="F7" s="230">
        <v>4878</v>
      </c>
      <c r="G7" s="230">
        <v>1865</v>
      </c>
      <c r="H7" s="228">
        <v>300</v>
      </c>
      <c r="I7" s="230">
        <v>225439</v>
      </c>
      <c r="J7" s="230">
        <v>36550</v>
      </c>
      <c r="K7" s="230">
        <v>3309</v>
      </c>
      <c r="L7" s="228">
        <v>934</v>
      </c>
      <c r="M7" s="230">
        <v>228748</v>
      </c>
      <c r="N7" s="230">
        <v>37484</v>
      </c>
    </row>
    <row r="8" spans="1:23" ht="17.25" thickBot="1" x14ac:dyDescent="0.3">
      <c r="A8" s="227" t="s">
        <v>622</v>
      </c>
      <c r="B8" s="226">
        <v>46086</v>
      </c>
      <c r="C8" s="230">
        <v>6928260</v>
      </c>
      <c r="D8" s="230">
        <v>1122043</v>
      </c>
      <c r="E8" s="230">
        <v>6950388</v>
      </c>
      <c r="F8" s="230">
        <v>1126320</v>
      </c>
      <c r="G8" s="230">
        <v>-22128</v>
      </c>
      <c r="H8" s="230">
        <v>-4277</v>
      </c>
      <c r="I8" s="230">
        <v>2204119</v>
      </c>
      <c r="J8" s="230">
        <v>355248</v>
      </c>
      <c r="K8" s="230">
        <v>256092</v>
      </c>
      <c r="L8" s="230">
        <v>45240</v>
      </c>
      <c r="M8" s="230">
        <v>2460211</v>
      </c>
      <c r="N8" s="230">
        <v>400488</v>
      </c>
    </row>
    <row r="9" spans="1:23" ht="17.25" thickBot="1" x14ac:dyDescent="0.3">
      <c r="A9" s="227" t="s">
        <v>623</v>
      </c>
      <c r="B9" s="226">
        <v>46086</v>
      </c>
      <c r="C9" s="230">
        <v>2675</v>
      </c>
      <c r="D9" s="228">
        <v>424</v>
      </c>
      <c r="E9" s="228">
        <v>722</v>
      </c>
      <c r="F9" s="228">
        <v>114</v>
      </c>
      <c r="G9" s="230">
        <v>1953</v>
      </c>
      <c r="H9" s="228">
        <v>309</v>
      </c>
      <c r="I9" s="230">
        <v>28738</v>
      </c>
      <c r="J9" s="230">
        <v>4508</v>
      </c>
      <c r="K9" s="228">
        <v>897</v>
      </c>
      <c r="L9" s="228">
        <v>222</v>
      </c>
      <c r="M9" s="230">
        <v>29635</v>
      </c>
      <c r="N9" s="230">
        <v>4729</v>
      </c>
    </row>
    <row r="10" spans="1:23" ht="17.25" thickBot="1" x14ac:dyDescent="0.3">
      <c r="A10" s="227" t="s">
        <v>624</v>
      </c>
      <c r="B10" s="226">
        <v>46086</v>
      </c>
      <c r="C10" s="230">
        <v>40536</v>
      </c>
      <c r="D10" s="230">
        <v>6493</v>
      </c>
      <c r="E10" s="230">
        <v>41620</v>
      </c>
      <c r="F10" s="230">
        <v>6682</v>
      </c>
      <c r="G10" s="230">
        <v>-1084</v>
      </c>
      <c r="H10" s="228">
        <v>-189</v>
      </c>
      <c r="I10" s="230">
        <v>30812</v>
      </c>
      <c r="J10" s="230">
        <v>4819</v>
      </c>
      <c r="K10" s="228">
        <v>-504</v>
      </c>
      <c r="L10" s="228">
        <v>3</v>
      </c>
      <c r="M10" s="230">
        <v>30308</v>
      </c>
      <c r="N10" s="230">
        <v>4823</v>
      </c>
    </row>
    <row r="11" spans="1:23" ht="17.25" thickBot="1" x14ac:dyDescent="0.3">
      <c r="A11" s="227" t="s">
        <v>625</v>
      </c>
      <c r="B11" s="226">
        <v>46086</v>
      </c>
      <c r="C11" s="230">
        <v>19949</v>
      </c>
      <c r="D11" s="230">
        <v>3216</v>
      </c>
      <c r="E11" s="230">
        <v>20222</v>
      </c>
      <c r="F11" s="230">
        <v>3258</v>
      </c>
      <c r="G11" s="228">
        <v>-273</v>
      </c>
      <c r="H11" s="228">
        <v>-42</v>
      </c>
      <c r="I11" s="230">
        <v>162159</v>
      </c>
      <c r="J11" s="230">
        <v>25923</v>
      </c>
      <c r="K11" s="230">
        <v>2029</v>
      </c>
      <c r="L11" s="228">
        <v>614</v>
      </c>
      <c r="M11" s="230">
        <v>164188</v>
      </c>
      <c r="N11" s="230">
        <v>26536</v>
      </c>
    </row>
    <row r="12" spans="1:23" ht="17.25" thickBot="1" x14ac:dyDescent="0.3">
      <c r="A12" s="227" t="s">
        <v>626</v>
      </c>
      <c r="B12" s="226">
        <v>46086</v>
      </c>
      <c r="C12" s="230">
        <v>6614973</v>
      </c>
      <c r="D12" s="230">
        <v>1066853</v>
      </c>
      <c r="E12" s="230">
        <v>6635524</v>
      </c>
      <c r="F12" s="230">
        <v>1070719</v>
      </c>
      <c r="G12" s="230">
        <v>-20551</v>
      </c>
      <c r="H12" s="230">
        <v>-3866</v>
      </c>
      <c r="I12" s="230">
        <v>1896493</v>
      </c>
      <c r="J12" s="230">
        <v>301776</v>
      </c>
      <c r="K12" s="230">
        <v>245727</v>
      </c>
      <c r="L12" s="230">
        <v>43075</v>
      </c>
      <c r="M12" s="230">
        <v>2142220</v>
      </c>
      <c r="N12" s="230">
        <v>344851</v>
      </c>
    </row>
    <row r="13" spans="1:23" ht="17.25" thickBot="1" x14ac:dyDescent="0.3">
      <c r="A13" s="227" t="s">
        <v>627</v>
      </c>
      <c r="B13" s="226">
        <v>46086</v>
      </c>
      <c r="C13" s="228">
        <v>136</v>
      </c>
      <c r="D13" s="228">
        <v>23</v>
      </c>
      <c r="E13" s="228">
        <v>81</v>
      </c>
      <c r="F13" s="228">
        <v>14</v>
      </c>
      <c r="G13" s="228">
        <v>55</v>
      </c>
      <c r="H13" s="228">
        <v>9</v>
      </c>
      <c r="I13" s="228">
        <v>537</v>
      </c>
      <c r="J13" s="228">
        <v>90</v>
      </c>
      <c r="K13" s="228">
        <v>-83</v>
      </c>
      <c r="L13" s="228">
        <v>-13</v>
      </c>
      <c r="M13" s="228">
        <v>454</v>
      </c>
      <c r="N13" s="228">
        <v>77</v>
      </c>
    </row>
    <row r="14" spans="1:23" ht="17.25" thickBot="1" x14ac:dyDescent="0.3">
      <c r="A14" s="227" t="s">
        <v>628</v>
      </c>
      <c r="B14" s="226">
        <v>46086</v>
      </c>
      <c r="C14" s="228">
        <v>193</v>
      </c>
      <c r="D14" s="228">
        <v>33</v>
      </c>
      <c r="E14" s="228">
        <v>149</v>
      </c>
      <c r="F14" s="228">
        <v>26</v>
      </c>
      <c r="G14" s="228">
        <v>44</v>
      </c>
      <c r="H14" s="228">
        <v>8</v>
      </c>
      <c r="I14" s="228">
        <v>420</v>
      </c>
      <c r="J14" s="228">
        <v>70</v>
      </c>
      <c r="K14" s="228">
        <v>104</v>
      </c>
      <c r="L14" s="228">
        <v>19</v>
      </c>
      <c r="M14" s="228">
        <v>524</v>
      </c>
      <c r="N14" s="228">
        <v>89</v>
      </c>
    </row>
    <row r="15" spans="1:23" ht="17.25" thickBot="1" x14ac:dyDescent="0.3">
      <c r="A15" s="227" t="s">
        <v>629</v>
      </c>
      <c r="B15" s="226">
        <v>46086</v>
      </c>
      <c r="C15" s="230">
        <v>364714</v>
      </c>
      <c r="D15" s="230">
        <v>24620</v>
      </c>
      <c r="E15" s="230">
        <v>379386</v>
      </c>
      <c r="F15" s="230">
        <v>25488</v>
      </c>
      <c r="G15" s="230">
        <v>-14672</v>
      </c>
      <c r="H15" s="228">
        <v>-868</v>
      </c>
      <c r="I15" s="230">
        <v>6696762</v>
      </c>
      <c r="J15" s="230">
        <v>423039</v>
      </c>
      <c r="K15" s="230">
        <v>-28548</v>
      </c>
      <c r="L15" s="230">
        <v>3713</v>
      </c>
      <c r="M15" s="230">
        <v>6668214</v>
      </c>
      <c r="N15" s="230">
        <v>426752</v>
      </c>
    </row>
    <row r="16" spans="1:23" ht="17.25" thickBot="1" x14ac:dyDescent="0.3">
      <c r="A16" s="227" t="s">
        <v>630</v>
      </c>
      <c r="B16" s="226">
        <v>46086</v>
      </c>
      <c r="C16" s="230">
        <v>337698</v>
      </c>
      <c r="D16" s="230">
        <v>23368</v>
      </c>
      <c r="E16" s="230">
        <v>342717</v>
      </c>
      <c r="F16" s="230">
        <v>23797</v>
      </c>
      <c r="G16" s="230">
        <v>-5019</v>
      </c>
      <c r="H16" s="228">
        <v>-429</v>
      </c>
      <c r="I16" s="230">
        <v>484665</v>
      </c>
      <c r="J16" s="230">
        <v>31869</v>
      </c>
      <c r="K16" s="230">
        <v>76817</v>
      </c>
      <c r="L16" s="230">
        <v>5614</v>
      </c>
      <c r="M16" s="230">
        <v>561482</v>
      </c>
      <c r="N16" s="230">
        <v>37482</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zoomScale="85" zoomScaleNormal="85" workbookViewId="0">
      <pane ySplit="6" topLeftCell="A133" activePane="bottomLeft" state="frozen"/>
      <selection activeCell="E46" sqref="E46"/>
      <selection pane="bottomLeft" activeCell="A144" sqref="A144"/>
    </sheetView>
  </sheetViews>
  <sheetFormatPr defaultRowHeight="15" x14ac:dyDescent="0.25"/>
  <cols>
    <col min="1" max="1" width="14.5703125" style="74" bestFit="1" customWidth="1"/>
    <col min="6" max="6" width="14.7109375" bestFit="1" customWidth="1"/>
    <col min="7" max="7" width="14.42578125" bestFit="1" customWidth="1"/>
    <col min="8" max="8" width="6.42578125" bestFit="1" customWidth="1"/>
    <col min="9" max="9" width="14.42578125" bestFit="1" customWidth="1"/>
    <col min="10" max="10" width="14.140625" bestFit="1" customWidth="1"/>
    <col min="11" max="11" width="6.42578125" bestFit="1" customWidth="1"/>
  </cols>
  <sheetData>
    <row r="1" spans="1:17" hidden="1" x14ac:dyDescent="0.25"/>
    <row r="2" spans="1:17" ht="15.75" thickBot="1" x14ac:dyDescent="0.3"/>
    <row r="3" spans="1:17" s="70" customFormat="1" ht="21" customHeight="1" thickBot="1" x14ac:dyDescent="0.3">
      <c r="A3" s="262" t="s">
        <v>325</v>
      </c>
      <c r="B3" s="263"/>
      <c r="C3" s="263"/>
      <c r="D3" s="263"/>
      <c r="E3" s="263"/>
      <c r="F3" s="263"/>
      <c r="G3" s="263"/>
      <c r="H3" s="263"/>
      <c r="I3" s="263"/>
      <c r="J3" s="263"/>
      <c r="K3" s="263"/>
      <c r="L3" s="263"/>
      <c r="M3" s="263"/>
      <c r="N3" s="263"/>
      <c r="O3" s="263"/>
      <c r="P3" s="263"/>
      <c r="Q3" s="264"/>
    </row>
    <row r="4" spans="1:17" s="64" customFormat="1" x14ac:dyDescent="0.25">
      <c r="A4" s="265"/>
      <c r="B4" s="265" t="s">
        <v>308</v>
      </c>
      <c r="C4" s="265"/>
      <c r="D4" s="266"/>
      <c r="E4" s="266"/>
      <c r="F4" s="265" t="s">
        <v>326</v>
      </c>
      <c r="G4" s="265"/>
      <c r="H4" s="265"/>
      <c r="I4" s="265" t="s">
        <v>327</v>
      </c>
      <c r="J4" s="265"/>
      <c r="K4" s="265"/>
      <c r="L4" s="265" t="s">
        <v>311</v>
      </c>
      <c r="M4" s="265"/>
      <c r="N4" s="265"/>
      <c r="O4" s="265"/>
      <c r="P4" s="265"/>
      <c r="Q4" s="265"/>
    </row>
    <row r="5" spans="1:17" s="64" customFormat="1" x14ac:dyDescent="0.25">
      <c r="A5" s="260"/>
      <c r="B5" s="73" t="s">
        <v>312</v>
      </c>
      <c r="C5" s="260" t="s">
        <v>313</v>
      </c>
      <c r="D5" s="261"/>
      <c r="E5" s="261"/>
      <c r="F5" s="260" t="s">
        <v>314</v>
      </c>
      <c r="G5" s="260"/>
      <c r="H5" s="260"/>
      <c r="I5" s="260" t="s">
        <v>315</v>
      </c>
      <c r="J5" s="260"/>
      <c r="K5" s="260"/>
      <c r="L5" s="260" t="s">
        <v>316</v>
      </c>
      <c r="M5" s="260"/>
      <c r="N5" s="260"/>
      <c r="O5" s="260" t="s">
        <v>317</v>
      </c>
      <c r="P5" s="260"/>
      <c r="Q5" s="260"/>
    </row>
    <row r="6" spans="1:17" s="72" customFormat="1" ht="33.75" x14ac:dyDescent="0.25">
      <c r="A6" s="71" t="s">
        <v>558</v>
      </c>
      <c r="B6" s="66">
        <f>'Snapshot (Value)'!C10</f>
        <v>46086</v>
      </c>
      <c r="C6" s="66">
        <f>'Snapshot (Value)'!D10</f>
        <v>46086</v>
      </c>
      <c r="D6" s="71" t="s">
        <v>322</v>
      </c>
      <c r="E6" s="71" t="s">
        <v>328</v>
      </c>
      <c r="F6" s="66">
        <f>C6</f>
        <v>46086</v>
      </c>
      <c r="G6" s="71" t="s">
        <v>322</v>
      </c>
      <c r="H6" s="71" t="s">
        <v>328</v>
      </c>
      <c r="I6" s="66">
        <f>C6</f>
        <v>46086</v>
      </c>
      <c r="J6" s="71" t="s">
        <v>322</v>
      </c>
      <c r="K6" s="71" t="s">
        <v>328</v>
      </c>
      <c r="L6" s="66">
        <f>C6</f>
        <v>46086</v>
      </c>
      <c r="M6" s="71" t="s">
        <v>322</v>
      </c>
      <c r="N6" s="71" t="s">
        <v>328</v>
      </c>
      <c r="O6" s="66">
        <f>C6</f>
        <v>46086</v>
      </c>
      <c r="P6" s="71" t="s">
        <v>322</v>
      </c>
      <c r="Q6" s="71" t="s">
        <v>328</v>
      </c>
    </row>
    <row r="7" spans="1:17" x14ac:dyDescent="0.25">
      <c r="A7" s="97" t="str">
        <f>'Snapshot (Value)'!A11</f>
        <v>360ONE</v>
      </c>
      <c r="B7" s="140">
        <f>VLOOKUP($A7,'Data shares'!$C:$FB,7)</f>
        <v>1081</v>
      </c>
      <c r="C7" s="140">
        <f>VLOOKUP($A7,'Data shares'!$C:$FB,3)</f>
        <v>1083</v>
      </c>
      <c r="D7" s="140">
        <f>VLOOKUP($A7,'Data shares'!$C:$FB,4)</f>
        <v>1071.2</v>
      </c>
      <c r="E7" s="50">
        <f>(C7-D7)/D7*100</f>
        <v>1.1015683345780392</v>
      </c>
      <c r="F7" s="49">
        <f>VLOOKUP($A7,'Data shares'!$C:$FB,98)</f>
        <v>4273500</v>
      </c>
      <c r="G7" s="49">
        <f>VLOOKUP($A7,'Data shares'!$C:$FB,99)</f>
        <v>4268000</v>
      </c>
      <c r="H7" s="50">
        <f>(F7-G7)/G7*100</f>
        <v>0.12886597938144329</v>
      </c>
      <c r="I7" s="49">
        <f>VLOOKUP($A7,'Data shares'!$C:$FB,66)</f>
        <v>1090000</v>
      </c>
      <c r="J7" s="49">
        <f>VLOOKUP($A7,'Data shares'!$C:$FB,67)</f>
        <v>2311000</v>
      </c>
      <c r="K7" s="50">
        <f>(I7-J7)/I7*100</f>
        <v>-112.0183486238532</v>
      </c>
      <c r="L7" s="50">
        <f>VLOOKUP($A7,'Data shares'!$C:$FB,118)</f>
        <v>0.52</v>
      </c>
      <c r="M7" s="50">
        <f>VLOOKUP($A7,'Data shares'!$C:$FB,119)</f>
        <v>0.59</v>
      </c>
      <c r="N7" s="50">
        <f>VLOOKUP($A7,'Data shares'!$C:$FB,121)*100</f>
        <v>-11.86</v>
      </c>
      <c r="O7" s="50">
        <f>VLOOKUP($A7,'Data shares'!$C:$FB,124)</f>
        <v>0.23</v>
      </c>
      <c r="P7" s="50">
        <f>VLOOKUP($A7,'Data shares'!$C:$FB,125)</f>
        <v>0.68</v>
      </c>
      <c r="Q7" s="50">
        <f>VLOOKUP($A7,'Data shares'!$C:$FB,127)*100</f>
        <v>-66.180000000000007</v>
      </c>
    </row>
    <row r="8" spans="1:17" x14ac:dyDescent="0.25">
      <c r="A8" s="97" t="str">
        <f>'Snapshot (Value)'!A12</f>
        <v>ABB</v>
      </c>
      <c r="B8" s="140">
        <f>VLOOKUP($A8,'Data shares'!$C:$FB,7)</f>
        <v>5929</v>
      </c>
      <c r="C8" s="140">
        <f>VLOOKUP($A8,'Data shares'!$C:$FB,3)</f>
        <v>5943</v>
      </c>
      <c r="D8" s="140">
        <f>VLOOKUP($A8,'Data shares'!$C:$FB,4)</f>
        <v>5849</v>
      </c>
      <c r="E8" s="50">
        <f t="shared" ref="E8:E71" si="0">(C8-D8)/D8*100</f>
        <v>1.6071123268934859</v>
      </c>
      <c r="F8" s="49">
        <f>VLOOKUP($A8,'Data shares'!$C:$FB,98)</f>
        <v>3862000</v>
      </c>
      <c r="G8" s="49">
        <f>VLOOKUP($A8,'Data shares'!$C:$FB,99)</f>
        <v>3918875</v>
      </c>
      <c r="H8" s="50">
        <f t="shared" ref="H8:H71" si="1">(F8-G8)/G8*100</f>
        <v>-1.4513093681222289</v>
      </c>
      <c r="I8" s="49">
        <f>VLOOKUP($A8,'Data shares'!$C:$FB,66)</f>
        <v>2040500</v>
      </c>
      <c r="J8" s="49">
        <f>VLOOKUP($A8,'Data shares'!$C:$FB,67)</f>
        <v>2572000</v>
      </c>
      <c r="K8" s="50">
        <f t="shared" ref="K8:K71" si="2">(I8-J8)/I8*100</f>
        <v>-26.047537368292083</v>
      </c>
      <c r="L8" s="50">
        <f>VLOOKUP($A8,'Data shares'!$C:$FB,118)</f>
        <v>0.68</v>
      </c>
      <c r="M8" s="50">
        <f>VLOOKUP($A8,'Data shares'!$C:$FB,119)</f>
        <v>0.7</v>
      </c>
      <c r="N8" s="50">
        <f>VLOOKUP($A8,'Data shares'!$C:$FB,121)*100</f>
        <v>-2.86</v>
      </c>
      <c r="O8" s="50">
        <f>VLOOKUP($A8,'Data shares'!$C:$FB,124)</f>
        <v>0.66</v>
      </c>
      <c r="P8" s="50">
        <f>VLOOKUP($A8,'Data shares'!$C:$FB,125)</f>
        <v>1.06</v>
      </c>
      <c r="Q8" s="50">
        <f>VLOOKUP($A8,'Data shares'!$C:$FB,127)*100</f>
        <v>-37.74</v>
      </c>
    </row>
    <row r="9" spans="1:17" x14ac:dyDescent="0.25">
      <c r="A9" s="97" t="str">
        <f>'Snapshot (Value)'!A13</f>
        <v>ABCAPITAL</v>
      </c>
      <c r="B9" s="140">
        <f>VLOOKUP($A9,'Data shares'!$C:$FB,7)</f>
        <v>327.60000000000002</v>
      </c>
      <c r="C9" s="140">
        <f>VLOOKUP($A9,'Data shares'!$C:$FB,3)</f>
        <v>328.55</v>
      </c>
      <c r="D9" s="140">
        <f>VLOOKUP($A9,'Data shares'!$C:$FB,4)</f>
        <v>322.25</v>
      </c>
      <c r="E9" s="50">
        <f t="shared" si="0"/>
        <v>1.9550038789759538</v>
      </c>
      <c r="F9" s="49">
        <f>VLOOKUP($A9,'Data shares'!$C:$FB,98)</f>
        <v>76086400</v>
      </c>
      <c r="G9" s="49">
        <f>VLOOKUP($A9,'Data shares'!$C:$FB,99)</f>
        <v>76861400</v>
      </c>
      <c r="H9" s="50">
        <f t="shared" si="1"/>
        <v>-1.0083084617246107</v>
      </c>
      <c r="I9" s="49">
        <f>VLOOKUP($A9,'Data shares'!$C:$FB,66)</f>
        <v>32162500</v>
      </c>
      <c r="J9" s="49">
        <f>VLOOKUP($A9,'Data shares'!$C:$FB,67)</f>
        <v>67914800</v>
      </c>
      <c r="K9" s="50">
        <f t="shared" si="2"/>
        <v>-111.16144578313254</v>
      </c>
      <c r="L9" s="50">
        <f>VLOOKUP($A9,'Data shares'!$C:$FB,118)</f>
        <v>0.62</v>
      </c>
      <c r="M9" s="50">
        <f>VLOOKUP($A9,'Data shares'!$C:$FB,119)</f>
        <v>0.61</v>
      </c>
      <c r="N9" s="50">
        <f>VLOOKUP($A9,'Data shares'!$C:$FB,121)*100</f>
        <v>1.6400000000000001</v>
      </c>
      <c r="O9" s="50">
        <f>VLOOKUP($A9,'Data shares'!$C:$FB,124)</f>
        <v>0.52</v>
      </c>
      <c r="P9" s="50">
        <f>VLOOKUP($A9,'Data shares'!$C:$FB,125)</f>
        <v>0.49</v>
      </c>
      <c r="Q9" s="50">
        <f>VLOOKUP($A9,'Data shares'!$C:$FB,127)*100</f>
        <v>6.12</v>
      </c>
    </row>
    <row r="10" spans="1:17" x14ac:dyDescent="0.25">
      <c r="A10" s="97" t="str">
        <f>'Snapshot (Value)'!A14</f>
        <v>ADANIENSOL</v>
      </c>
      <c r="B10" s="140">
        <f>VLOOKUP($A10,'Data shares'!$C:$FB,7)</f>
        <v>987.9</v>
      </c>
      <c r="C10" s="140">
        <f>VLOOKUP($A10,'Data shares'!$C:$FB,3)</f>
        <v>991.9</v>
      </c>
      <c r="D10" s="140">
        <f>VLOOKUP($A10,'Data shares'!$C:$FB,4)</f>
        <v>962.3</v>
      </c>
      <c r="E10" s="50">
        <f t="shared" si="0"/>
        <v>3.0759638366413826</v>
      </c>
      <c r="F10" s="49">
        <f>VLOOKUP($A10,'Data shares'!$C:$FB,98)</f>
        <v>25394175</v>
      </c>
      <c r="G10" s="49">
        <f>VLOOKUP($A10,'Data shares'!$C:$FB,99)</f>
        <v>25067475</v>
      </c>
      <c r="H10" s="50">
        <f t="shared" si="1"/>
        <v>1.3032824406925707</v>
      </c>
      <c r="I10" s="49">
        <f>VLOOKUP($A10,'Data shares'!$C:$FB,66)</f>
        <v>4795875</v>
      </c>
      <c r="J10" s="49">
        <f>VLOOKUP($A10,'Data shares'!$C:$FB,67)</f>
        <v>7158375</v>
      </c>
      <c r="K10" s="50">
        <f t="shared" si="2"/>
        <v>-49.261083743842363</v>
      </c>
      <c r="L10" s="50">
        <f>VLOOKUP($A10,'Data shares'!$C:$FB,118)</f>
        <v>0.78</v>
      </c>
      <c r="M10" s="50">
        <f>VLOOKUP($A10,'Data shares'!$C:$FB,119)</f>
        <v>0.73</v>
      </c>
      <c r="N10" s="50">
        <f>VLOOKUP($A10,'Data shares'!$C:$FB,121)*100</f>
        <v>6.8500000000000005</v>
      </c>
      <c r="O10" s="50">
        <f>VLOOKUP($A10,'Data shares'!$C:$FB,124)</f>
        <v>0.66</v>
      </c>
      <c r="P10" s="50">
        <f>VLOOKUP($A10,'Data shares'!$C:$FB,125)</f>
        <v>0.92</v>
      </c>
      <c r="Q10" s="50">
        <f>VLOOKUP($A10,'Data shares'!$C:$FB,127)*100</f>
        <v>-28.26</v>
      </c>
    </row>
    <row r="11" spans="1:17" x14ac:dyDescent="0.25">
      <c r="A11" s="97" t="str">
        <f>'Snapshot (Value)'!A15</f>
        <v>ADANIENT</v>
      </c>
      <c r="B11" s="140">
        <f>VLOOKUP($A11,'Data shares'!$C:$FB,7)</f>
        <v>2089.1999999999998</v>
      </c>
      <c r="C11" s="140">
        <f>VLOOKUP($A11,'Data shares'!$C:$FB,3)</f>
        <v>2096.1999999999998</v>
      </c>
      <c r="D11" s="140">
        <f>VLOOKUP($A11,'Data shares'!$C:$FB,4)</f>
        <v>2070.5</v>
      </c>
      <c r="E11" s="50">
        <f t="shared" si="0"/>
        <v>1.241246075827086</v>
      </c>
      <c r="F11" s="49">
        <f>VLOOKUP($A11,'Data shares'!$C:$FB,98)</f>
        <v>28498143</v>
      </c>
      <c r="G11" s="49">
        <f>VLOOKUP($A11,'Data shares'!$C:$FB,99)</f>
        <v>27925875</v>
      </c>
      <c r="H11" s="50">
        <f t="shared" si="1"/>
        <v>2.0492392807745503</v>
      </c>
      <c r="I11" s="49">
        <f>VLOOKUP($A11,'Data shares'!$C:$FB,66)</f>
        <v>13992138</v>
      </c>
      <c r="J11" s="49">
        <f>VLOOKUP($A11,'Data shares'!$C:$FB,67)</f>
        <v>12114963</v>
      </c>
      <c r="K11" s="50">
        <f t="shared" si="2"/>
        <v>13.415926858354313</v>
      </c>
      <c r="L11" s="50">
        <f>VLOOKUP($A11,'Data shares'!$C:$FB,118)</f>
        <v>0.95</v>
      </c>
      <c r="M11" s="50">
        <f>VLOOKUP($A11,'Data shares'!$C:$FB,119)</f>
        <v>0.98</v>
      </c>
      <c r="N11" s="50">
        <f>VLOOKUP($A11,'Data shares'!$C:$FB,121)*100</f>
        <v>-3.06</v>
      </c>
      <c r="O11" s="50">
        <f>VLOOKUP($A11,'Data shares'!$C:$FB,124)</f>
        <v>0.67</v>
      </c>
      <c r="P11" s="50">
        <f>VLOOKUP($A11,'Data shares'!$C:$FB,125)</f>
        <v>0.97</v>
      </c>
      <c r="Q11" s="50">
        <f>VLOOKUP($A11,'Data shares'!$C:$FB,127)*100</f>
        <v>-30.930000000000003</v>
      </c>
    </row>
    <row r="12" spans="1:17" x14ac:dyDescent="0.25">
      <c r="A12" s="97" t="str">
        <f>'Snapshot (Value)'!A16</f>
        <v>ADANIGREEN</v>
      </c>
      <c r="B12" s="140">
        <f>VLOOKUP($A12,'Data shares'!$C:$FB,7)</f>
        <v>884.55</v>
      </c>
      <c r="C12" s="140">
        <f>VLOOKUP($A12,'Data shares'!$C:$FB,3)</f>
        <v>888.4</v>
      </c>
      <c r="D12" s="140">
        <f>VLOOKUP($A12,'Data shares'!$C:$FB,4)</f>
        <v>874.95</v>
      </c>
      <c r="E12" s="50">
        <f t="shared" si="0"/>
        <v>1.5372306988970721</v>
      </c>
      <c r="F12" s="49">
        <f>VLOOKUP($A12,'Data shares'!$C:$FB,98)</f>
        <v>34618200</v>
      </c>
      <c r="G12" s="49">
        <f>VLOOKUP($A12,'Data shares'!$C:$FB,99)</f>
        <v>32658600</v>
      </c>
      <c r="H12" s="50">
        <f t="shared" si="1"/>
        <v>6.0002572063713693</v>
      </c>
      <c r="I12" s="49">
        <f>VLOOKUP($A12,'Data shares'!$C:$FB,66)</f>
        <v>15218400</v>
      </c>
      <c r="J12" s="49">
        <f>VLOOKUP($A12,'Data shares'!$C:$FB,67)</f>
        <v>10039800</v>
      </c>
      <c r="K12" s="50">
        <f t="shared" si="2"/>
        <v>34.028544393628771</v>
      </c>
      <c r="L12" s="50">
        <f>VLOOKUP($A12,'Data shares'!$C:$FB,118)</f>
        <v>0.62</v>
      </c>
      <c r="M12" s="50">
        <f>VLOOKUP($A12,'Data shares'!$C:$FB,119)</f>
        <v>0.74</v>
      </c>
      <c r="N12" s="50">
        <f>VLOOKUP($A12,'Data shares'!$C:$FB,121)*100</f>
        <v>-16.220000000000002</v>
      </c>
      <c r="O12" s="50">
        <f>VLOOKUP($A12,'Data shares'!$C:$FB,124)</f>
        <v>0.39</v>
      </c>
      <c r="P12" s="50">
        <f>VLOOKUP($A12,'Data shares'!$C:$FB,125)</f>
        <v>0.78</v>
      </c>
      <c r="Q12" s="50">
        <f>VLOOKUP($A12,'Data shares'!$C:$FB,127)*100</f>
        <v>-50</v>
      </c>
    </row>
    <row r="13" spans="1:17" x14ac:dyDescent="0.25">
      <c r="A13" s="97" t="str">
        <f>'Snapshot (Value)'!A17</f>
        <v>ADANIPORTS</v>
      </c>
      <c r="B13" s="140">
        <f>VLOOKUP($A13,'Data shares'!$C:$FB,7)</f>
        <v>1499.3</v>
      </c>
      <c r="C13" s="140">
        <f>VLOOKUP($A13,'Data shares'!$C:$FB,3)</f>
        <v>1501.8</v>
      </c>
      <c r="D13" s="140">
        <f>VLOOKUP($A13,'Data shares'!$C:$FB,4)</f>
        <v>1440.9</v>
      </c>
      <c r="E13" s="50">
        <f t="shared" si="0"/>
        <v>4.226525088486353</v>
      </c>
      <c r="F13" s="49">
        <f>VLOOKUP($A13,'Data shares'!$C:$FB,98)</f>
        <v>34416600</v>
      </c>
      <c r="G13" s="49">
        <f>VLOOKUP($A13,'Data shares'!$C:$FB,99)</f>
        <v>34547225</v>
      </c>
      <c r="H13" s="50">
        <f t="shared" si="1"/>
        <v>-0.37810562208686804</v>
      </c>
      <c r="I13" s="49">
        <f>VLOOKUP($A13,'Data shares'!$C:$FB,66)</f>
        <v>26014325</v>
      </c>
      <c r="J13" s="49">
        <f>VLOOKUP($A13,'Data shares'!$C:$FB,67)</f>
        <v>29246225</v>
      </c>
      <c r="K13" s="50">
        <f t="shared" si="2"/>
        <v>-12.42353972282579</v>
      </c>
      <c r="L13" s="50">
        <f>VLOOKUP($A13,'Data shares'!$C:$FB,118)</f>
        <v>0.92</v>
      </c>
      <c r="M13" s="50">
        <f>VLOOKUP($A13,'Data shares'!$C:$FB,119)</f>
        <v>0.94</v>
      </c>
      <c r="N13" s="50">
        <f>VLOOKUP($A13,'Data shares'!$C:$FB,121)*100</f>
        <v>-2.13</v>
      </c>
      <c r="O13" s="50">
        <f>VLOOKUP($A13,'Data shares'!$C:$FB,124)</f>
        <v>0.83</v>
      </c>
      <c r="P13" s="50">
        <f>VLOOKUP($A13,'Data shares'!$C:$FB,125)</f>
        <v>1.6</v>
      </c>
      <c r="Q13" s="50">
        <f>VLOOKUP($A13,'Data shares'!$C:$FB,127)*100</f>
        <v>-48.13</v>
      </c>
    </row>
    <row r="14" spans="1:17" x14ac:dyDescent="0.25">
      <c r="A14" s="97" t="str">
        <f>'Snapshot (Value)'!A18</f>
        <v>ALKEM</v>
      </c>
      <c r="B14" s="140">
        <f>VLOOKUP($A14,'Data shares'!$C:$FB,7)</f>
        <v>5550</v>
      </c>
      <c r="C14" s="140">
        <f>VLOOKUP($A14,'Data shares'!$C:$FB,3)</f>
        <v>5574</v>
      </c>
      <c r="D14" s="140">
        <f>VLOOKUP($A14,'Data shares'!$C:$FB,4)</f>
        <v>5488</v>
      </c>
      <c r="E14" s="50">
        <f>(C14-D14)/D14*100</f>
        <v>1.5670553935860059</v>
      </c>
      <c r="F14" s="49">
        <f>VLOOKUP($A14,'Data shares'!$C:$FB,98)</f>
        <v>1608250</v>
      </c>
      <c r="G14" s="49">
        <f>VLOOKUP($A14,'Data shares'!$C:$FB,99)</f>
        <v>1567625</v>
      </c>
      <c r="H14" s="50">
        <f t="shared" si="1"/>
        <v>2.591499880392313</v>
      </c>
      <c r="I14" s="49">
        <f>VLOOKUP($A14,'Data shares'!$C:$FB,66)</f>
        <v>378750</v>
      </c>
      <c r="J14" s="49">
        <f>VLOOKUP($A14,'Data shares'!$C:$FB,67)</f>
        <v>415125</v>
      </c>
      <c r="K14" s="50">
        <f t="shared" si="2"/>
        <v>-9.6039603960396036</v>
      </c>
      <c r="L14" s="50">
        <f>VLOOKUP($A14,'Data shares'!$C:$FB,118)</f>
        <v>0.64</v>
      </c>
      <c r="M14" s="50">
        <f>VLOOKUP($A14,'Data shares'!$C:$FB,119)</f>
        <v>0.74</v>
      </c>
      <c r="N14" s="50">
        <f>VLOOKUP($A14,'Data shares'!$C:$FB,121)*100</f>
        <v>-13.51</v>
      </c>
      <c r="O14" s="50">
        <f>VLOOKUP($A14,'Data shares'!$C:$FB,124)</f>
        <v>0.21</v>
      </c>
      <c r="P14" s="50">
        <f>VLOOKUP($A14,'Data shares'!$C:$FB,125)</f>
        <v>0.74</v>
      </c>
      <c r="Q14" s="50">
        <f>VLOOKUP($A14,'Data shares'!$C:$FB,127)*100</f>
        <v>-71.61999999999999</v>
      </c>
    </row>
    <row r="15" spans="1:17" x14ac:dyDescent="0.25">
      <c r="A15" s="97" t="str">
        <f>'Snapshot (Value)'!A19</f>
        <v>AMBER</v>
      </c>
      <c r="B15" s="140">
        <f>VLOOKUP($A15,'Data shares'!$C:$FB,7)</f>
        <v>7825.5</v>
      </c>
      <c r="C15" s="140">
        <f>VLOOKUP($A15,'Data shares'!$C:$FB,3)</f>
        <v>7865</v>
      </c>
      <c r="D15" s="140">
        <f>VLOOKUP($A15,'Data shares'!$C:$FB,4)</f>
        <v>7691.5</v>
      </c>
      <c r="E15" s="50">
        <f t="shared" si="0"/>
        <v>2.2557368523694987</v>
      </c>
      <c r="F15" s="49">
        <f>VLOOKUP($A15,'Data shares'!$C:$FB,98)</f>
        <v>1943400</v>
      </c>
      <c r="G15" s="49">
        <f>VLOOKUP($A15,'Data shares'!$C:$FB,99)</f>
        <v>1825300</v>
      </c>
      <c r="H15" s="50">
        <f t="shared" si="1"/>
        <v>6.4701692872404539</v>
      </c>
      <c r="I15" s="49">
        <f>VLOOKUP($A15,'Data shares'!$C:$FB,66)</f>
        <v>1898000</v>
      </c>
      <c r="J15" s="49">
        <f>VLOOKUP($A15,'Data shares'!$C:$FB,67)</f>
        <v>1459800</v>
      </c>
      <c r="K15" s="50">
        <f t="shared" si="2"/>
        <v>23.087460484720758</v>
      </c>
      <c r="L15" s="50">
        <f>VLOOKUP($A15,'Data shares'!$C:$FB,118)</f>
        <v>0.66</v>
      </c>
      <c r="M15" s="50">
        <f>VLOOKUP($A15,'Data shares'!$C:$FB,119)</f>
        <v>0.56999999999999995</v>
      </c>
      <c r="N15" s="50">
        <f>VLOOKUP($A15,'Data shares'!$C:$FB,121)*100</f>
        <v>15.790000000000001</v>
      </c>
      <c r="O15" s="50">
        <f>VLOOKUP($A15,'Data shares'!$C:$FB,124)</f>
        <v>0.41</v>
      </c>
      <c r="P15" s="50">
        <f>VLOOKUP($A15,'Data shares'!$C:$FB,125)</f>
        <v>0.68</v>
      </c>
      <c r="Q15" s="50">
        <f>VLOOKUP($A15,'Data shares'!$C:$FB,127)*100</f>
        <v>-39.71</v>
      </c>
    </row>
    <row r="16" spans="1:17" x14ac:dyDescent="0.25">
      <c r="A16" s="97" t="str">
        <f>'Snapshot (Value)'!A20</f>
        <v>AMBUJACEM</v>
      </c>
      <c r="B16" s="140">
        <f>VLOOKUP($A16,'Data shares'!$C:$FB,7)</f>
        <v>480</v>
      </c>
      <c r="C16" s="140">
        <f>VLOOKUP($A16,'Data shares'!$C:$FB,3)</f>
        <v>482.35</v>
      </c>
      <c r="D16" s="140">
        <f>VLOOKUP($A16,'Data shares'!$C:$FB,4)</f>
        <v>478.25</v>
      </c>
      <c r="E16" s="50">
        <f t="shared" si="0"/>
        <v>0.85729221118662269</v>
      </c>
      <c r="F16" s="49">
        <f>VLOOKUP($A16,'Data shares'!$C:$FB,98)</f>
        <v>76030500</v>
      </c>
      <c r="G16" s="49">
        <f>VLOOKUP($A16,'Data shares'!$C:$FB,99)</f>
        <v>75224100</v>
      </c>
      <c r="H16" s="50">
        <f t="shared" si="1"/>
        <v>1.0719968733424527</v>
      </c>
      <c r="I16" s="49">
        <f>VLOOKUP($A16,'Data shares'!$C:$FB,66)</f>
        <v>15527400</v>
      </c>
      <c r="J16" s="49">
        <f>VLOOKUP($A16,'Data shares'!$C:$FB,67)</f>
        <v>19304250</v>
      </c>
      <c r="K16" s="50">
        <f t="shared" si="2"/>
        <v>-24.323776034622668</v>
      </c>
      <c r="L16" s="50">
        <f>VLOOKUP($A16,'Data shares'!$C:$FB,118)</f>
        <v>0.67</v>
      </c>
      <c r="M16" s="50">
        <f>VLOOKUP($A16,'Data shares'!$C:$FB,119)</f>
        <v>0.64</v>
      </c>
      <c r="N16" s="50">
        <f>VLOOKUP($A16,'Data shares'!$C:$FB,121)*100</f>
        <v>4.6899999999999995</v>
      </c>
      <c r="O16" s="50">
        <f>VLOOKUP($A16,'Data shares'!$C:$FB,124)</f>
        <v>0.41</v>
      </c>
      <c r="P16" s="50">
        <f>VLOOKUP($A16,'Data shares'!$C:$FB,125)</f>
        <v>0.46</v>
      </c>
      <c r="Q16" s="50">
        <f>VLOOKUP($A16,'Data shares'!$C:$FB,127)*100</f>
        <v>-10.870000000000001</v>
      </c>
    </row>
    <row r="17" spans="1:17" x14ac:dyDescent="0.25">
      <c r="A17" s="97" t="str">
        <f>'Snapshot (Value)'!A21</f>
        <v>ANGELONE</v>
      </c>
      <c r="B17" s="140">
        <f>VLOOKUP($A17,'Data shares'!$C:$FB,7)</f>
        <v>224.68</v>
      </c>
      <c r="C17" s="140">
        <f>VLOOKUP($A17,'Data shares'!$C:$FB,3)</f>
        <v>224.63</v>
      </c>
      <c r="D17" s="140">
        <f>VLOOKUP($A17,'Data shares'!$C:$FB,4)</f>
        <v>221.96</v>
      </c>
      <c r="E17" s="50">
        <f t="shared" si="0"/>
        <v>1.2029194449450296</v>
      </c>
      <c r="F17" s="49">
        <f>VLOOKUP($A17,'Data shares'!$C:$FB,98)</f>
        <v>72062500</v>
      </c>
      <c r="G17" s="49">
        <f>VLOOKUP($A17,'Data shares'!$C:$FB,99)</f>
        <v>69080000</v>
      </c>
      <c r="H17" s="50">
        <f t="shared" si="1"/>
        <v>4.3174580196873187</v>
      </c>
      <c r="I17" s="49">
        <f>VLOOKUP($A17,'Data shares'!$C:$FB,66)</f>
        <v>27280000</v>
      </c>
      <c r="J17" s="49">
        <f>VLOOKUP($A17,'Data shares'!$C:$FB,67)</f>
        <v>50410000</v>
      </c>
      <c r="K17" s="50">
        <f t="shared" si="2"/>
        <v>-84.787390029325522</v>
      </c>
      <c r="L17" s="50">
        <f>VLOOKUP($A17,'Data shares'!$C:$FB,118)</f>
        <v>0.59</v>
      </c>
      <c r="M17" s="50">
        <f>VLOOKUP($A17,'Data shares'!$C:$FB,119)</f>
        <v>0.6</v>
      </c>
      <c r="N17" s="50">
        <f>VLOOKUP($A17,'Data shares'!$C:$FB,121)*100</f>
        <v>-1.67</v>
      </c>
      <c r="O17" s="50">
        <f>VLOOKUP($A17,'Data shares'!$C:$FB,124)</f>
        <v>0.3</v>
      </c>
      <c r="P17" s="50">
        <f>VLOOKUP($A17,'Data shares'!$C:$FB,125)</f>
        <v>0.51</v>
      </c>
      <c r="Q17" s="50">
        <f>VLOOKUP($A17,'Data shares'!$C:$FB,127)*100</f>
        <v>-41.18</v>
      </c>
    </row>
    <row r="18" spans="1:17" x14ac:dyDescent="0.25">
      <c r="A18" s="97" t="str">
        <f>'Snapshot (Value)'!A22</f>
        <v>APLAPOLLO</v>
      </c>
      <c r="B18" s="140">
        <f>VLOOKUP($A18,'Data shares'!$C:$FB,7)</f>
        <v>2161.3000000000002</v>
      </c>
      <c r="C18" s="140">
        <f>VLOOKUP($A18,'Data shares'!$C:$FB,3)</f>
        <v>2170</v>
      </c>
      <c r="D18" s="140">
        <f>VLOOKUP($A18,'Data shares'!$C:$FB,4)</f>
        <v>2122.5</v>
      </c>
      <c r="E18" s="50">
        <f t="shared" si="0"/>
        <v>2.237926972909305</v>
      </c>
      <c r="F18" s="49">
        <f>VLOOKUP($A18,'Data shares'!$C:$FB,98)</f>
        <v>6862450</v>
      </c>
      <c r="G18" s="49">
        <f>VLOOKUP($A18,'Data shares'!$C:$FB,99)</f>
        <v>6850550</v>
      </c>
      <c r="H18" s="50">
        <f t="shared" si="1"/>
        <v>0.17370868032493741</v>
      </c>
      <c r="I18" s="49">
        <f>VLOOKUP($A18,'Data shares'!$C:$FB,66)</f>
        <v>1823150</v>
      </c>
      <c r="J18" s="49">
        <f>VLOOKUP($A18,'Data shares'!$C:$FB,67)</f>
        <v>9112950</v>
      </c>
      <c r="K18" s="50">
        <f t="shared" si="2"/>
        <v>-399.84641965828371</v>
      </c>
      <c r="L18" s="50">
        <f>VLOOKUP($A18,'Data shares'!$C:$FB,118)</f>
        <v>0.93</v>
      </c>
      <c r="M18" s="50">
        <f>VLOOKUP($A18,'Data shares'!$C:$FB,119)</f>
        <v>0.88</v>
      </c>
      <c r="N18" s="50">
        <f>VLOOKUP($A18,'Data shares'!$C:$FB,121)*100</f>
        <v>5.6800000000000006</v>
      </c>
      <c r="O18" s="50">
        <f>VLOOKUP($A18,'Data shares'!$C:$FB,124)</f>
        <v>0.9</v>
      </c>
      <c r="P18" s="50">
        <f>VLOOKUP($A18,'Data shares'!$C:$FB,125)</f>
        <v>1.03</v>
      </c>
      <c r="Q18" s="50">
        <f>VLOOKUP($A18,'Data shares'!$C:$FB,127)*100</f>
        <v>-12.620000000000001</v>
      </c>
    </row>
    <row r="19" spans="1:17" x14ac:dyDescent="0.25">
      <c r="A19" s="97" t="str">
        <f>'Snapshot (Value)'!A23</f>
        <v>APOLLOHOSP</v>
      </c>
      <c r="B19" s="140">
        <f>VLOOKUP($A19,'Data shares'!$C:$FB,7)</f>
        <v>7775</v>
      </c>
      <c r="C19" s="140">
        <f>VLOOKUP($A19,'Data shares'!$C:$FB,3)</f>
        <v>7787.5</v>
      </c>
      <c r="D19" s="140">
        <f>VLOOKUP($A19,'Data shares'!$C:$FB,4)</f>
        <v>7680</v>
      </c>
      <c r="E19" s="50">
        <f t="shared" si="0"/>
        <v>1.3997395833333335</v>
      </c>
      <c r="F19" s="49">
        <f>VLOOKUP($A19,'Data shares'!$C:$FB,98)</f>
        <v>4161750</v>
      </c>
      <c r="G19" s="49">
        <f>VLOOKUP($A19,'Data shares'!$C:$FB,99)</f>
        <v>4073250</v>
      </c>
      <c r="H19" s="50">
        <f t="shared" si="1"/>
        <v>2.1727122076965566</v>
      </c>
      <c r="I19" s="49">
        <f>VLOOKUP($A19,'Data shares'!$C:$FB,66)</f>
        <v>3149625</v>
      </c>
      <c r="J19" s="49">
        <f>VLOOKUP($A19,'Data shares'!$C:$FB,67)</f>
        <v>4595250</v>
      </c>
      <c r="K19" s="50">
        <f t="shared" si="2"/>
        <v>-45.898321228717705</v>
      </c>
      <c r="L19" s="50">
        <f>VLOOKUP($A19,'Data shares'!$C:$FB,118)</f>
        <v>0.75</v>
      </c>
      <c r="M19" s="50">
        <f>VLOOKUP($A19,'Data shares'!$C:$FB,119)</f>
        <v>0.68</v>
      </c>
      <c r="N19" s="50">
        <f>VLOOKUP($A19,'Data shares'!$C:$FB,121)*100</f>
        <v>10.290000000000001</v>
      </c>
      <c r="O19" s="50">
        <f>VLOOKUP($A19,'Data shares'!$C:$FB,124)</f>
        <v>0.56999999999999995</v>
      </c>
      <c r="P19" s="50">
        <f>VLOOKUP($A19,'Data shares'!$C:$FB,125)</f>
        <v>0.74</v>
      </c>
      <c r="Q19" s="50">
        <f>VLOOKUP($A19,'Data shares'!$C:$FB,127)*100</f>
        <v>-22.97</v>
      </c>
    </row>
    <row r="20" spans="1:17" x14ac:dyDescent="0.25">
      <c r="A20" s="97" t="str">
        <f>'Snapshot (Value)'!A24</f>
        <v>ASHOKLEY</v>
      </c>
      <c r="B20" s="140">
        <f>VLOOKUP($A20,'Data shares'!$C:$FB,7)</f>
        <v>203.04</v>
      </c>
      <c r="C20" s="140">
        <f>VLOOKUP($A20,'Data shares'!$C:$FB,3)</f>
        <v>203.21</v>
      </c>
      <c r="D20" s="140">
        <f>VLOOKUP($A20,'Data shares'!$C:$FB,4)</f>
        <v>200.11</v>
      </c>
      <c r="E20" s="50">
        <f t="shared" si="0"/>
        <v>1.5491479686172576</v>
      </c>
      <c r="F20" s="49">
        <f>VLOOKUP($A20,'Data shares'!$C:$FB,98)</f>
        <v>222560000</v>
      </c>
      <c r="G20" s="49">
        <f>VLOOKUP($A20,'Data shares'!$C:$FB,99)</f>
        <v>222120000</v>
      </c>
      <c r="H20" s="50">
        <f t="shared" si="1"/>
        <v>0.19809112191608139</v>
      </c>
      <c r="I20" s="49">
        <f>VLOOKUP($A20,'Data shares'!$C:$FB,66)</f>
        <v>123080000</v>
      </c>
      <c r="J20" s="49">
        <f>VLOOKUP($A20,'Data shares'!$C:$FB,67)</f>
        <v>183425000</v>
      </c>
      <c r="K20" s="50">
        <f t="shared" si="2"/>
        <v>-49.029086772830674</v>
      </c>
      <c r="L20" s="50">
        <f>VLOOKUP($A20,'Data shares'!$C:$FB,118)</f>
        <v>0.71</v>
      </c>
      <c r="M20" s="50">
        <f>VLOOKUP($A20,'Data shares'!$C:$FB,119)</f>
        <v>0.67</v>
      </c>
      <c r="N20" s="50">
        <f>VLOOKUP($A20,'Data shares'!$C:$FB,121)*100</f>
        <v>5.9700000000000006</v>
      </c>
      <c r="O20" s="50">
        <f>VLOOKUP($A20,'Data shares'!$C:$FB,124)</f>
        <v>0.56999999999999995</v>
      </c>
      <c r="P20" s="50">
        <f>VLOOKUP($A20,'Data shares'!$C:$FB,125)</f>
        <v>0.65</v>
      </c>
      <c r="Q20" s="50">
        <f>VLOOKUP($A20,'Data shares'!$C:$FB,127)*100</f>
        <v>-12.31</v>
      </c>
    </row>
    <row r="21" spans="1:17" x14ac:dyDescent="0.25">
      <c r="A21" s="97" t="str">
        <f>'Snapshot (Value)'!A25</f>
        <v>ASIANPAINT</v>
      </c>
      <c r="B21" s="140">
        <f>VLOOKUP($A21,'Data shares'!$C:$FB,7)</f>
        <v>2287.8000000000002</v>
      </c>
      <c r="C21" s="140">
        <f>VLOOKUP($A21,'Data shares'!$C:$FB,3)</f>
        <v>2298.8000000000002</v>
      </c>
      <c r="D21" s="140">
        <f>VLOOKUP($A21,'Data shares'!$C:$FB,4)</f>
        <v>2293.1</v>
      </c>
      <c r="E21" s="50">
        <f t="shared" si="0"/>
        <v>0.2485718023636245</v>
      </c>
      <c r="F21" s="49">
        <f>VLOOKUP($A21,'Data shares'!$C:$FB,98)</f>
        <v>20974000</v>
      </c>
      <c r="G21" s="49">
        <f>VLOOKUP($A21,'Data shares'!$C:$FB,99)</f>
        <v>20995250</v>
      </c>
      <c r="H21" s="50">
        <f t="shared" si="1"/>
        <v>-0.10121336969076339</v>
      </c>
      <c r="I21" s="49">
        <f>VLOOKUP($A21,'Data shares'!$C:$FB,66)</f>
        <v>10783500</v>
      </c>
      <c r="J21" s="49">
        <f>VLOOKUP($A21,'Data shares'!$C:$FB,67)</f>
        <v>16620500</v>
      </c>
      <c r="K21" s="50">
        <f t="shared" si="2"/>
        <v>-54.128993369499703</v>
      </c>
      <c r="L21" s="50">
        <f>VLOOKUP($A21,'Data shares'!$C:$FB,118)</f>
        <v>0.9</v>
      </c>
      <c r="M21" s="50">
        <f>VLOOKUP($A21,'Data shares'!$C:$FB,119)</f>
        <v>0.97</v>
      </c>
      <c r="N21" s="50">
        <f>VLOOKUP($A21,'Data shares'!$C:$FB,121)*100</f>
        <v>-7.22</v>
      </c>
      <c r="O21" s="50">
        <f>VLOOKUP($A21,'Data shares'!$C:$FB,124)</f>
        <v>0.88</v>
      </c>
      <c r="P21" s="50">
        <f>VLOOKUP($A21,'Data shares'!$C:$FB,125)</f>
        <v>1.63</v>
      </c>
      <c r="Q21" s="50">
        <f>VLOOKUP($A21,'Data shares'!$C:$FB,127)*100</f>
        <v>-46.01</v>
      </c>
    </row>
    <row r="22" spans="1:17" x14ac:dyDescent="0.25">
      <c r="A22" s="97" t="str">
        <f>'Snapshot (Value)'!A26</f>
        <v>ASTRAL</v>
      </c>
      <c r="B22" s="140">
        <f>VLOOKUP($A22,'Data shares'!$C:$FB,7)</f>
        <v>1663.1</v>
      </c>
      <c r="C22" s="140">
        <f>VLOOKUP($A22,'Data shares'!$C:$FB,3)</f>
        <v>1655.6</v>
      </c>
      <c r="D22" s="140">
        <f>VLOOKUP($A22,'Data shares'!$C:$FB,4)</f>
        <v>1617.8</v>
      </c>
      <c r="E22" s="50">
        <f t="shared" si="0"/>
        <v>2.3365063666707848</v>
      </c>
      <c r="F22" s="49">
        <f>VLOOKUP($A22,'Data shares'!$C:$FB,98)</f>
        <v>11826475</v>
      </c>
      <c r="G22" s="49">
        <f>VLOOKUP($A22,'Data shares'!$C:$FB,99)</f>
        <v>11436325</v>
      </c>
      <c r="H22" s="50">
        <f t="shared" si="1"/>
        <v>3.4114980118176077</v>
      </c>
      <c r="I22" s="49">
        <f>VLOOKUP($A22,'Data shares'!$C:$FB,66)</f>
        <v>4137375</v>
      </c>
      <c r="J22" s="49">
        <f>VLOOKUP($A22,'Data shares'!$C:$FB,67)</f>
        <v>4343075</v>
      </c>
      <c r="K22" s="50">
        <f t="shared" si="2"/>
        <v>-4.9717514124293789</v>
      </c>
      <c r="L22" s="50">
        <f>VLOOKUP($A22,'Data shares'!$C:$FB,118)</f>
        <v>0.53</v>
      </c>
      <c r="M22" s="50">
        <f>VLOOKUP($A22,'Data shares'!$C:$FB,119)</f>
        <v>0.55000000000000004</v>
      </c>
      <c r="N22" s="50">
        <f>VLOOKUP($A22,'Data shares'!$C:$FB,121)*100</f>
        <v>-3.64</v>
      </c>
      <c r="O22" s="50">
        <f>VLOOKUP($A22,'Data shares'!$C:$FB,124)</f>
        <v>0.38</v>
      </c>
      <c r="P22" s="50">
        <f>VLOOKUP($A22,'Data shares'!$C:$FB,125)</f>
        <v>0.72</v>
      </c>
      <c r="Q22" s="50">
        <f>VLOOKUP($A22,'Data shares'!$C:$FB,127)*100</f>
        <v>-47.22</v>
      </c>
    </row>
    <row r="23" spans="1:17" x14ac:dyDescent="0.25">
      <c r="A23" s="97" t="str">
        <f>'Snapshot (Value)'!A27</f>
        <v>AUBANK</v>
      </c>
      <c r="B23" s="140">
        <f>VLOOKUP($A23,'Data shares'!$C:$FB,7)</f>
        <v>973.45</v>
      </c>
      <c r="C23" s="140">
        <f>VLOOKUP($A23,'Data shares'!$C:$FB,3)</f>
        <v>974.9</v>
      </c>
      <c r="D23" s="140">
        <f>VLOOKUP($A23,'Data shares'!$C:$FB,4)</f>
        <v>949.6</v>
      </c>
      <c r="E23" s="50">
        <f t="shared" si="0"/>
        <v>2.6642796967144009</v>
      </c>
      <c r="F23" s="49">
        <f>VLOOKUP($A23,'Data shares'!$C:$FB,98)</f>
        <v>34004000</v>
      </c>
      <c r="G23" s="49">
        <f>VLOOKUP($A23,'Data shares'!$C:$FB,99)</f>
        <v>33813000</v>
      </c>
      <c r="H23" s="50">
        <f t="shared" si="1"/>
        <v>0.56487149912755452</v>
      </c>
      <c r="I23" s="49">
        <f>VLOOKUP($A23,'Data shares'!$C:$FB,66)</f>
        <v>19755000</v>
      </c>
      <c r="J23" s="49">
        <f>VLOOKUP($A23,'Data shares'!$C:$FB,67)</f>
        <v>29235000</v>
      </c>
      <c r="K23" s="50">
        <f t="shared" si="2"/>
        <v>-47.987851176917232</v>
      </c>
      <c r="L23" s="50">
        <f>VLOOKUP($A23,'Data shares'!$C:$FB,118)</f>
        <v>0.72</v>
      </c>
      <c r="M23" s="50">
        <f>VLOOKUP($A23,'Data shares'!$C:$FB,119)</f>
        <v>0.64</v>
      </c>
      <c r="N23" s="50">
        <f>VLOOKUP($A23,'Data shares'!$C:$FB,121)*100</f>
        <v>12.5</v>
      </c>
      <c r="O23" s="50">
        <f>VLOOKUP($A23,'Data shares'!$C:$FB,124)</f>
        <v>0.9</v>
      </c>
      <c r="P23" s="50">
        <f>VLOOKUP($A23,'Data shares'!$C:$FB,125)</f>
        <v>0.99</v>
      </c>
      <c r="Q23" s="50">
        <f>VLOOKUP($A23,'Data shares'!$C:$FB,127)*100</f>
        <v>-9.09</v>
      </c>
    </row>
    <row r="24" spans="1:17" x14ac:dyDescent="0.25">
      <c r="A24" s="97" t="str">
        <f>'Snapshot (Value)'!A28</f>
        <v>AUROPHARMA</v>
      </c>
      <c r="B24" s="140">
        <f>VLOOKUP($A24,'Data shares'!$C:$FB,7)</f>
        <v>1225.5</v>
      </c>
      <c r="C24" s="140">
        <f>VLOOKUP($A24,'Data shares'!$C:$FB,3)</f>
        <v>1228.3</v>
      </c>
      <c r="D24" s="140">
        <f>VLOOKUP($A24,'Data shares'!$C:$FB,4)</f>
        <v>1197.5999999999999</v>
      </c>
      <c r="E24" s="50">
        <f t="shared" si="0"/>
        <v>2.5634602538410194</v>
      </c>
      <c r="F24" s="49">
        <f>VLOOKUP($A24,'Data shares'!$C:$FB,98)</f>
        <v>28567550</v>
      </c>
      <c r="G24" s="49">
        <f>VLOOKUP($A24,'Data shares'!$C:$FB,99)</f>
        <v>28476800</v>
      </c>
      <c r="H24" s="50">
        <f t="shared" si="1"/>
        <v>0.31868046971569836</v>
      </c>
      <c r="I24" s="49">
        <f>VLOOKUP($A24,'Data shares'!$C:$FB,66)</f>
        <v>8075100</v>
      </c>
      <c r="J24" s="49">
        <f>VLOOKUP($A24,'Data shares'!$C:$FB,67)</f>
        <v>7866650</v>
      </c>
      <c r="K24" s="50">
        <f t="shared" si="2"/>
        <v>2.5813921809017848</v>
      </c>
      <c r="L24" s="50">
        <f>VLOOKUP($A24,'Data shares'!$C:$FB,118)</f>
        <v>0.66</v>
      </c>
      <c r="M24" s="50">
        <f>VLOOKUP($A24,'Data shares'!$C:$FB,119)</f>
        <v>0.63</v>
      </c>
      <c r="N24" s="50">
        <f>VLOOKUP($A24,'Data shares'!$C:$FB,121)*100</f>
        <v>4.7600000000000007</v>
      </c>
      <c r="O24" s="50">
        <f>VLOOKUP($A24,'Data shares'!$C:$FB,124)</f>
        <v>0.31</v>
      </c>
      <c r="P24" s="50">
        <f>VLOOKUP($A24,'Data shares'!$C:$FB,125)</f>
        <v>0.59</v>
      </c>
      <c r="Q24" s="50">
        <f>VLOOKUP($A24,'Data shares'!$C:$FB,127)*100</f>
        <v>-47.46</v>
      </c>
    </row>
    <row r="25" spans="1:17" x14ac:dyDescent="0.25">
      <c r="A25" s="97" t="str">
        <f>'Snapshot (Value)'!A29</f>
        <v>AXISBANK</v>
      </c>
      <c r="B25" s="140">
        <f>VLOOKUP($A25,'Data shares'!$C:$FB,7)</f>
        <v>1349.1</v>
      </c>
      <c r="C25" s="140">
        <f>VLOOKUP($A25,'Data shares'!$C:$FB,3)</f>
        <v>1356.1</v>
      </c>
      <c r="D25" s="140">
        <f>VLOOKUP($A25,'Data shares'!$C:$FB,4)</f>
        <v>1353.8</v>
      </c>
      <c r="E25" s="50">
        <f t="shared" si="0"/>
        <v>0.16989215541438576</v>
      </c>
      <c r="F25" s="49">
        <f>VLOOKUP($A25,'Data shares'!$C:$FB,98)</f>
        <v>88471875</v>
      </c>
      <c r="G25" s="49">
        <f>VLOOKUP($A25,'Data shares'!$C:$FB,99)</f>
        <v>86283125</v>
      </c>
      <c r="H25" s="50">
        <f t="shared" si="1"/>
        <v>2.5367069169087237</v>
      </c>
      <c r="I25" s="49">
        <f>VLOOKUP($A25,'Data shares'!$C:$FB,66)</f>
        <v>38904375</v>
      </c>
      <c r="J25" s="49">
        <f>VLOOKUP($A25,'Data shares'!$C:$FB,67)</f>
        <v>55476875</v>
      </c>
      <c r="K25" s="50">
        <f t="shared" si="2"/>
        <v>-42.598036853181682</v>
      </c>
      <c r="L25" s="50">
        <f>VLOOKUP($A25,'Data shares'!$C:$FB,118)</f>
        <v>0.57999999999999996</v>
      </c>
      <c r="M25" s="50">
        <f>VLOOKUP($A25,'Data shares'!$C:$FB,119)</f>
        <v>0.62</v>
      </c>
      <c r="N25" s="50">
        <f>VLOOKUP($A25,'Data shares'!$C:$FB,121)*100</f>
        <v>-6.45</v>
      </c>
      <c r="O25" s="50">
        <f>VLOOKUP($A25,'Data shares'!$C:$FB,124)</f>
        <v>0.77</v>
      </c>
      <c r="P25" s="50">
        <f>VLOOKUP($A25,'Data shares'!$C:$FB,125)</f>
        <v>0.73</v>
      </c>
      <c r="Q25" s="50">
        <f>VLOOKUP($A25,'Data shares'!$C:$FB,127)*100</f>
        <v>5.48</v>
      </c>
    </row>
    <row r="26" spans="1:17" x14ac:dyDescent="0.25">
      <c r="A26" s="97" t="str">
        <f>'Snapshot (Value)'!A30</f>
        <v>BAJAJ-AUTO</v>
      </c>
      <c r="B26" s="140">
        <f>VLOOKUP($A26,'Data shares'!$C:$FB,7)</f>
        <v>9804.5</v>
      </c>
      <c r="C26" s="140">
        <f>VLOOKUP($A26,'Data shares'!$C:$FB,3)</f>
        <v>9788.5</v>
      </c>
      <c r="D26" s="140">
        <f>VLOOKUP($A26,'Data shares'!$C:$FB,4)</f>
        <v>9645</v>
      </c>
      <c r="E26" s="50">
        <f t="shared" si="0"/>
        <v>1.487817522032141</v>
      </c>
      <c r="F26" s="49">
        <f>VLOOKUP($A26,'Data shares'!$C:$FB,98)</f>
        <v>5066325</v>
      </c>
      <c r="G26" s="49">
        <f>VLOOKUP($A26,'Data shares'!$C:$FB,99)</f>
        <v>5079675</v>
      </c>
      <c r="H26" s="50">
        <f t="shared" si="1"/>
        <v>-0.26281208935611039</v>
      </c>
      <c r="I26" s="49">
        <f>VLOOKUP($A26,'Data shares'!$C:$FB,66)</f>
        <v>2944125</v>
      </c>
      <c r="J26" s="49">
        <f>VLOOKUP($A26,'Data shares'!$C:$FB,67)</f>
        <v>3436875</v>
      </c>
      <c r="K26" s="50">
        <f t="shared" si="2"/>
        <v>-16.736721436759648</v>
      </c>
      <c r="L26" s="50">
        <f>VLOOKUP($A26,'Data shares'!$C:$FB,118)</f>
        <v>0.52</v>
      </c>
      <c r="M26" s="50">
        <f>VLOOKUP($A26,'Data shares'!$C:$FB,119)</f>
        <v>0.48</v>
      </c>
      <c r="N26" s="50">
        <f>VLOOKUP($A26,'Data shares'!$C:$FB,121)*100</f>
        <v>8.33</v>
      </c>
      <c r="O26" s="50">
        <f>VLOOKUP($A26,'Data shares'!$C:$FB,124)</f>
        <v>0.68</v>
      </c>
      <c r="P26" s="50">
        <f>VLOOKUP($A26,'Data shares'!$C:$FB,125)</f>
        <v>0.74</v>
      </c>
      <c r="Q26" s="50">
        <f>VLOOKUP($A26,'Data shares'!$C:$FB,127)*100</f>
        <v>-8.1100000000000012</v>
      </c>
    </row>
    <row r="27" spans="1:17" x14ac:dyDescent="0.25">
      <c r="A27" s="97" t="str">
        <f>'Snapshot (Value)'!A31</f>
        <v>BAJAJFINSV</v>
      </c>
      <c r="B27" s="140">
        <f>VLOOKUP($A27,'Data shares'!$C:$FB,7)</f>
        <v>1911.8</v>
      </c>
      <c r="C27" s="140">
        <f>VLOOKUP($A27,'Data shares'!$C:$FB,3)</f>
        <v>1917.9</v>
      </c>
      <c r="D27" s="140">
        <f>VLOOKUP($A27,'Data shares'!$C:$FB,4)</f>
        <v>1891.8</v>
      </c>
      <c r="E27" s="50">
        <f t="shared" si="0"/>
        <v>1.3796384395813583</v>
      </c>
      <c r="F27" s="49">
        <f>VLOOKUP($A27,'Data shares'!$C:$FB,98)</f>
        <v>21270250</v>
      </c>
      <c r="G27" s="49">
        <f>VLOOKUP($A27,'Data shares'!$C:$FB,99)</f>
        <v>21059250</v>
      </c>
      <c r="H27" s="50">
        <f t="shared" si="1"/>
        <v>1.0019350166791314</v>
      </c>
      <c r="I27" s="49">
        <f>VLOOKUP($A27,'Data shares'!$C:$FB,66)</f>
        <v>7950250</v>
      </c>
      <c r="J27" s="49">
        <f>VLOOKUP($A27,'Data shares'!$C:$FB,67)</f>
        <v>15339500</v>
      </c>
      <c r="K27" s="50">
        <f t="shared" si="2"/>
        <v>-92.94361812521619</v>
      </c>
      <c r="L27" s="50">
        <f>VLOOKUP($A27,'Data shares'!$C:$FB,118)</f>
        <v>0.56999999999999995</v>
      </c>
      <c r="M27" s="50">
        <f>VLOOKUP($A27,'Data shares'!$C:$FB,119)</f>
        <v>0.62</v>
      </c>
      <c r="N27" s="50">
        <f>VLOOKUP($A27,'Data shares'!$C:$FB,121)*100</f>
        <v>-8.06</v>
      </c>
      <c r="O27" s="50">
        <f>VLOOKUP($A27,'Data shares'!$C:$FB,124)</f>
        <v>0.4</v>
      </c>
      <c r="P27" s="50">
        <f>VLOOKUP($A27,'Data shares'!$C:$FB,125)</f>
        <v>0.56999999999999995</v>
      </c>
      <c r="Q27" s="50">
        <f>VLOOKUP($A27,'Data shares'!$C:$FB,127)*100</f>
        <v>-29.82</v>
      </c>
    </row>
    <row r="28" spans="1:17" x14ac:dyDescent="0.25">
      <c r="A28" s="97" t="str">
        <f>'Snapshot (Value)'!A32</f>
        <v>BAJAJHLDNG</v>
      </c>
      <c r="B28" s="140">
        <f>VLOOKUP($A28,'Data shares'!$C:$FB,7)</f>
        <v>10663</v>
      </c>
      <c r="C28" s="140">
        <f>VLOOKUP($A28,'Data shares'!$C:$FB,3)</f>
        <v>10710</v>
      </c>
      <c r="D28" s="140">
        <f>VLOOKUP($A28,'Data shares'!$C:$FB,4)</f>
        <v>10675</v>
      </c>
      <c r="E28" s="50">
        <f t="shared" si="0"/>
        <v>0.32786885245901637</v>
      </c>
      <c r="F28" s="49">
        <f>VLOOKUP($A28,'Data shares'!$C:$FB,98)</f>
        <v>363650</v>
      </c>
      <c r="G28" s="49">
        <f>VLOOKUP($A28,'Data shares'!$C:$FB,99)</f>
        <v>360100</v>
      </c>
      <c r="H28" s="50">
        <f t="shared" si="1"/>
        <v>0.98583726742571509</v>
      </c>
      <c r="I28" s="49">
        <f>VLOOKUP($A28,'Data shares'!$C:$FB,66)</f>
        <v>52100</v>
      </c>
      <c r="J28" s="49">
        <f>VLOOKUP($A28,'Data shares'!$C:$FB,67)</f>
        <v>98500</v>
      </c>
      <c r="K28" s="50">
        <f t="shared" si="2"/>
        <v>-89.059500959692897</v>
      </c>
      <c r="L28" s="50">
        <f>VLOOKUP($A28,'Data shares'!$C:$FB,118)</f>
        <v>0.49</v>
      </c>
      <c r="M28" s="50">
        <f>VLOOKUP($A28,'Data shares'!$C:$FB,119)</f>
        <v>0.49</v>
      </c>
      <c r="N28" s="50">
        <f>VLOOKUP($A28,'Data shares'!$C:$FB,121)*100</f>
        <v>0</v>
      </c>
      <c r="O28" s="50">
        <f>VLOOKUP($A28,'Data shares'!$C:$FB,124)</f>
        <v>0.48</v>
      </c>
      <c r="P28" s="50">
        <f>VLOOKUP($A28,'Data shares'!$C:$FB,125)</f>
        <v>1.41</v>
      </c>
      <c r="Q28" s="50">
        <f>VLOOKUP($A28,'Data shares'!$C:$FB,127)*100</f>
        <v>-65.959999999999994</v>
      </c>
    </row>
    <row r="29" spans="1:17" x14ac:dyDescent="0.25">
      <c r="A29" s="97" t="str">
        <f>'Snapshot (Value)'!A33</f>
        <v>BAJFINANCE</v>
      </c>
      <c r="B29" s="140">
        <f>VLOOKUP($A29,'Data shares'!$C:$FB,7)</f>
        <v>962.4</v>
      </c>
      <c r="C29" s="140">
        <f>VLOOKUP($A29,'Data shares'!$C:$FB,3)</f>
        <v>964.15</v>
      </c>
      <c r="D29" s="140">
        <f>VLOOKUP($A29,'Data shares'!$C:$FB,4)</f>
        <v>949.6</v>
      </c>
      <c r="E29" s="50">
        <f t="shared" si="0"/>
        <v>1.5322240943555132</v>
      </c>
      <c r="F29" s="49">
        <f>VLOOKUP($A29,'Data shares'!$C:$FB,98)</f>
        <v>104751750</v>
      </c>
      <c r="G29" s="49">
        <f>VLOOKUP($A29,'Data shares'!$C:$FB,99)</f>
        <v>105276000</v>
      </c>
      <c r="H29" s="50">
        <f t="shared" si="1"/>
        <v>-0.49797674683688586</v>
      </c>
      <c r="I29" s="49">
        <f>VLOOKUP($A29,'Data shares'!$C:$FB,66)</f>
        <v>31764000</v>
      </c>
      <c r="J29" s="49">
        <f>VLOOKUP($A29,'Data shares'!$C:$FB,67)</f>
        <v>39014250</v>
      </c>
      <c r="K29" s="50">
        <f t="shared" si="2"/>
        <v>-22.825368341518701</v>
      </c>
      <c r="L29" s="50">
        <f>VLOOKUP($A29,'Data shares'!$C:$FB,118)</f>
        <v>0.87</v>
      </c>
      <c r="M29" s="50">
        <f>VLOOKUP($A29,'Data shares'!$C:$FB,119)</f>
        <v>0.89</v>
      </c>
      <c r="N29" s="50">
        <f>VLOOKUP($A29,'Data shares'!$C:$FB,121)*100</f>
        <v>-2.25</v>
      </c>
      <c r="O29" s="50">
        <f>VLOOKUP($A29,'Data shares'!$C:$FB,124)</f>
        <v>0.72</v>
      </c>
      <c r="P29" s="50">
        <f>VLOOKUP($A29,'Data shares'!$C:$FB,125)</f>
        <v>0.9</v>
      </c>
      <c r="Q29" s="50">
        <f>VLOOKUP($A29,'Data shares'!$C:$FB,127)*100</f>
        <v>-20</v>
      </c>
    </row>
    <row r="30" spans="1:17" x14ac:dyDescent="0.25">
      <c r="A30" s="97" t="str">
        <f>'Snapshot (Value)'!A34</f>
        <v>BANDHANBNK</v>
      </c>
      <c r="B30" s="176">
        <f>VLOOKUP($A30,'Data shares'!$C:$FB,7)</f>
        <v>185.03</v>
      </c>
      <c r="C30" s="176">
        <f>VLOOKUP($A30,'Data shares'!$C:$FB,3)</f>
        <v>185.56</v>
      </c>
      <c r="D30" s="176">
        <f>VLOOKUP($A30,'Data shares'!$C:$FB,4)</f>
        <v>178.3</v>
      </c>
      <c r="E30" s="50">
        <f t="shared" si="0"/>
        <v>4.0717891194615756</v>
      </c>
      <c r="F30" s="49">
        <f>VLOOKUP($A30,'Data shares'!$C:$FB,98)</f>
        <v>137541600</v>
      </c>
      <c r="G30" s="49">
        <f>VLOOKUP($A30,'Data shares'!$C:$FB,99)</f>
        <v>136432800</v>
      </c>
      <c r="H30" s="50">
        <f t="shared" si="1"/>
        <v>0.8127077946065755</v>
      </c>
      <c r="I30" s="49">
        <f>VLOOKUP($A30,'Data shares'!$C:$FB,66)</f>
        <v>91494000</v>
      </c>
      <c r="J30" s="49">
        <f>VLOOKUP($A30,'Data shares'!$C:$FB,67)</f>
        <v>76500000</v>
      </c>
      <c r="K30" s="50">
        <f t="shared" si="2"/>
        <v>16.387959866220736</v>
      </c>
      <c r="L30" s="50">
        <f>VLOOKUP($A30,'Data shares'!$C:$FB,118)</f>
        <v>0.66</v>
      </c>
      <c r="M30" s="50">
        <f>VLOOKUP($A30,'Data shares'!$C:$FB,119)</f>
        <v>0.59</v>
      </c>
      <c r="N30" s="50">
        <f>VLOOKUP($A30,'Data shares'!$C:$FB,121)*100</f>
        <v>11.86</v>
      </c>
      <c r="O30" s="50">
        <f>VLOOKUP($A30,'Data shares'!$C:$FB,124)</f>
        <v>0.43</v>
      </c>
      <c r="P30" s="50">
        <f>VLOOKUP($A30,'Data shares'!$C:$FB,125)</f>
        <v>0.54</v>
      </c>
      <c r="Q30" s="50">
        <f>VLOOKUP($A30,'Data shares'!$C:$FB,127)*100</f>
        <v>-20.369999999999997</v>
      </c>
    </row>
    <row r="31" spans="1:17" x14ac:dyDescent="0.25">
      <c r="A31" s="97" t="str">
        <f>'Snapshot (Value)'!A35</f>
        <v>BANKBARODA</v>
      </c>
      <c r="B31" s="140">
        <f>VLOOKUP($A31,'Data shares'!$C:$FB,7)</f>
        <v>301.85000000000002</v>
      </c>
      <c r="C31" s="140">
        <f>VLOOKUP($A31,'Data shares'!$C:$FB,3)</f>
        <v>303.35000000000002</v>
      </c>
      <c r="D31" s="140">
        <f>VLOOKUP($A31,'Data shares'!$C:$FB,4)</f>
        <v>300.75</v>
      </c>
      <c r="E31" s="50">
        <f t="shared" si="0"/>
        <v>0.86450540315877733</v>
      </c>
      <c r="F31" s="49">
        <f>VLOOKUP($A31,'Data shares'!$C:$FB,98)</f>
        <v>162507150</v>
      </c>
      <c r="G31" s="49">
        <f>VLOOKUP($A31,'Data shares'!$C:$FB,99)</f>
        <v>152377875</v>
      </c>
      <c r="H31" s="50">
        <f t="shared" si="1"/>
        <v>6.6474709665035032</v>
      </c>
      <c r="I31" s="49">
        <f>VLOOKUP($A31,'Data shares'!$C:$FB,66)</f>
        <v>102503700</v>
      </c>
      <c r="J31" s="49">
        <f>VLOOKUP($A31,'Data shares'!$C:$FB,67)</f>
        <v>164970000</v>
      </c>
      <c r="K31" s="50">
        <f t="shared" si="2"/>
        <v>-60.940531902750827</v>
      </c>
      <c r="L31" s="50">
        <f>VLOOKUP($A31,'Data shares'!$C:$FB,118)</f>
        <v>0.83</v>
      </c>
      <c r="M31" s="50">
        <f>VLOOKUP($A31,'Data shares'!$C:$FB,119)</f>
        <v>0.87</v>
      </c>
      <c r="N31" s="50">
        <f>VLOOKUP($A31,'Data shares'!$C:$FB,121)*100</f>
        <v>-4.5999999999999996</v>
      </c>
      <c r="O31" s="50">
        <f>VLOOKUP($A31,'Data shares'!$C:$FB,124)</f>
        <v>0.79</v>
      </c>
      <c r="P31" s="50">
        <f>VLOOKUP($A31,'Data shares'!$C:$FB,125)</f>
        <v>0.82</v>
      </c>
      <c r="Q31" s="50">
        <f>VLOOKUP($A31,'Data shares'!$C:$FB,127)*100</f>
        <v>-3.66</v>
      </c>
    </row>
    <row r="32" spans="1:17" x14ac:dyDescent="0.25">
      <c r="A32" s="97" t="str">
        <f>'Snapshot (Value)'!A36</f>
        <v>BANKINDIA</v>
      </c>
      <c r="B32" s="140">
        <f>VLOOKUP($A32,'Data shares'!$C:$FB,7)</f>
        <v>164.18</v>
      </c>
      <c r="C32" s="140">
        <f>VLOOKUP($A32,'Data shares'!$C:$FB,3)</f>
        <v>164.96</v>
      </c>
      <c r="D32" s="140">
        <f>VLOOKUP($A32,'Data shares'!$C:$FB,4)</f>
        <v>164.14</v>
      </c>
      <c r="E32" s="50">
        <f t="shared" si="0"/>
        <v>0.49957353478738986</v>
      </c>
      <c r="F32" s="49">
        <f>VLOOKUP($A32,'Data shares'!$C:$FB,98)</f>
        <v>88649600</v>
      </c>
      <c r="G32" s="49">
        <f>VLOOKUP($A32,'Data shares'!$C:$FB,99)</f>
        <v>85160400</v>
      </c>
      <c r="H32" s="50">
        <f t="shared" si="1"/>
        <v>4.0972095011296332</v>
      </c>
      <c r="I32" s="49">
        <f>VLOOKUP($A32,'Data shares'!$C:$FB,66)</f>
        <v>43170400</v>
      </c>
      <c r="J32" s="49">
        <f>VLOOKUP($A32,'Data shares'!$C:$FB,67)</f>
        <v>80522000</v>
      </c>
      <c r="K32" s="50">
        <f t="shared" si="2"/>
        <v>-86.521320163815957</v>
      </c>
      <c r="L32" s="50">
        <f>VLOOKUP($A32,'Data shares'!$C:$FB,118)</f>
        <v>0.84</v>
      </c>
      <c r="M32" s="50">
        <f>VLOOKUP($A32,'Data shares'!$C:$FB,119)</f>
        <v>0.88</v>
      </c>
      <c r="N32" s="50">
        <f>VLOOKUP($A32,'Data shares'!$C:$FB,121)*100</f>
        <v>-4.55</v>
      </c>
      <c r="O32" s="50">
        <f>VLOOKUP($A32,'Data shares'!$C:$FB,124)</f>
        <v>0.65</v>
      </c>
      <c r="P32" s="50">
        <f>VLOOKUP($A32,'Data shares'!$C:$FB,125)</f>
        <v>0.88</v>
      </c>
      <c r="Q32" s="50">
        <f>VLOOKUP($A32,'Data shares'!$C:$FB,127)*100</f>
        <v>-26.14</v>
      </c>
    </row>
    <row r="33" spans="1:17" x14ac:dyDescent="0.25">
      <c r="A33" s="97" t="str">
        <f>'Snapshot (Value)'!A37</f>
        <v>BANKNIFTY</v>
      </c>
      <c r="B33" s="140">
        <f>VLOOKUP($A33,'Data shares'!$C:$FB,7)</f>
        <v>59055.85</v>
      </c>
      <c r="C33" s="140">
        <f>VLOOKUP($A33,'Data shares'!$C:$FB,3)</f>
        <v>59375.199999999997</v>
      </c>
      <c r="D33" s="140">
        <f>VLOOKUP($A33,'Data shares'!$C:$FB,4)</f>
        <v>59100.4</v>
      </c>
      <c r="E33" s="50">
        <f t="shared" si="0"/>
        <v>0.46497147227429192</v>
      </c>
      <c r="F33" s="49">
        <f>VLOOKUP($A33,'Data shares'!$C:$FB,98)</f>
        <v>29539550</v>
      </c>
      <c r="G33" s="49">
        <f>VLOOKUP($A33,'Data shares'!$C:$FB,99)</f>
        <v>27731430</v>
      </c>
      <c r="H33" s="50">
        <f t="shared" si="1"/>
        <v>6.5201109354980966</v>
      </c>
      <c r="I33" s="49">
        <f>VLOOKUP($A33,'Data shares'!$C:$FB,66)</f>
        <v>82076700</v>
      </c>
      <c r="J33" s="49">
        <f>VLOOKUP($A33,'Data shares'!$C:$FB,67)</f>
        <v>83011080</v>
      </c>
      <c r="K33" s="50">
        <f t="shared" si="2"/>
        <v>-1.1384229629115206</v>
      </c>
      <c r="L33" s="50">
        <f>VLOOKUP($A33,'Data shares'!$C:$FB,118)</f>
        <v>0.92</v>
      </c>
      <c r="M33" s="50">
        <f>VLOOKUP($A33,'Data shares'!$C:$FB,119)</f>
        <v>0.93</v>
      </c>
      <c r="N33" s="50">
        <f>VLOOKUP($A33,'Data shares'!$C:$FB,121)*100</f>
        <v>-1.08</v>
      </c>
      <c r="O33" s="50">
        <f>VLOOKUP($A33,'Data shares'!$C:$FB,124)</f>
        <v>0.86</v>
      </c>
      <c r="P33" s="50">
        <f>VLOOKUP($A33,'Data shares'!$C:$FB,125)</f>
        <v>1.1299999999999999</v>
      </c>
      <c r="Q33" s="50">
        <f>VLOOKUP($A33,'Data shares'!$C:$FB,127)*100</f>
        <v>-23.89</v>
      </c>
    </row>
    <row r="34" spans="1:17" x14ac:dyDescent="0.25">
      <c r="A34" s="97" t="str">
        <f>'Snapshot (Value)'!A38</f>
        <v>BDL</v>
      </c>
      <c r="B34" s="140">
        <f>VLOOKUP($A34,'Data shares'!$C:$FB,7)</f>
        <v>1280.5999999999999</v>
      </c>
      <c r="C34" s="140">
        <f>VLOOKUP($A34,'Data shares'!$C:$FB,3)</f>
        <v>1283</v>
      </c>
      <c r="D34" s="140">
        <f>VLOOKUP($A34,'Data shares'!$C:$FB,4)</f>
        <v>1254.9000000000001</v>
      </c>
      <c r="E34" s="50">
        <f t="shared" si="0"/>
        <v>2.2392222487847566</v>
      </c>
      <c r="F34" s="49">
        <f>VLOOKUP($A34,'Data shares'!$C:$FB,98)</f>
        <v>11420850</v>
      </c>
      <c r="G34" s="49">
        <f>VLOOKUP($A34,'Data shares'!$C:$FB,99)</f>
        <v>12071850</v>
      </c>
      <c r="H34" s="50">
        <f t="shared" si="1"/>
        <v>-5.3927111420370526</v>
      </c>
      <c r="I34" s="49">
        <f>VLOOKUP($A34,'Data shares'!$C:$FB,66)</f>
        <v>18485950</v>
      </c>
      <c r="J34" s="49">
        <f>VLOOKUP($A34,'Data shares'!$C:$FB,67)</f>
        <v>13186600</v>
      </c>
      <c r="K34" s="50">
        <f t="shared" si="2"/>
        <v>28.666906488441224</v>
      </c>
      <c r="L34" s="50">
        <f>VLOOKUP($A34,'Data shares'!$C:$FB,118)</f>
        <v>0.62</v>
      </c>
      <c r="M34" s="50">
        <f>VLOOKUP($A34,'Data shares'!$C:$FB,119)</f>
        <v>0.57999999999999996</v>
      </c>
      <c r="N34" s="50">
        <f>VLOOKUP($A34,'Data shares'!$C:$FB,121)*100</f>
        <v>6.9</v>
      </c>
      <c r="O34" s="50">
        <f>VLOOKUP($A34,'Data shares'!$C:$FB,124)</f>
        <v>0.21</v>
      </c>
      <c r="P34" s="50">
        <f>VLOOKUP($A34,'Data shares'!$C:$FB,125)</f>
        <v>0.3</v>
      </c>
      <c r="Q34" s="50">
        <f>VLOOKUP($A34,'Data shares'!$C:$FB,127)*100</f>
        <v>-30</v>
      </c>
    </row>
    <row r="35" spans="1:17" x14ac:dyDescent="0.25">
      <c r="A35" s="97" t="str">
        <f>'Snapshot (Value)'!A39</f>
        <v>BEL</v>
      </c>
      <c r="B35" s="140">
        <f>VLOOKUP($A35,'Data shares'!$C:$FB,7)</f>
        <v>460</v>
      </c>
      <c r="C35" s="140">
        <f>VLOOKUP($A35,'Data shares'!$C:$FB,3)</f>
        <v>459.85</v>
      </c>
      <c r="D35" s="140">
        <f>VLOOKUP($A35,'Data shares'!$C:$FB,4)</f>
        <v>445.8</v>
      </c>
      <c r="E35" s="50">
        <f t="shared" si="0"/>
        <v>3.1516375056078982</v>
      </c>
      <c r="F35" s="49">
        <f>VLOOKUP($A35,'Data shares'!$C:$FB,98)</f>
        <v>179225100</v>
      </c>
      <c r="G35" s="49">
        <f>VLOOKUP($A35,'Data shares'!$C:$FB,99)</f>
        <v>186216150</v>
      </c>
      <c r="H35" s="50">
        <f t="shared" si="1"/>
        <v>-3.7542662116040959</v>
      </c>
      <c r="I35" s="49">
        <f>VLOOKUP($A35,'Data shares'!$C:$FB,66)</f>
        <v>349203375</v>
      </c>
      <c r="J35" s="49">
        <f>VLOOKUP($A35,'Data shares'!$C:$FB,67)</f>
        <v>202455450</v>
      </c>
      <c r="K35" s="50">
        <f t="shared" si="2"/>
        <v>42.023627348962478</v>
      </c>
      <c r="L35" s="50">
        <f>VLOOKUP($A35,'Data shares'!$C:$FB,118)</f>
        <v>0.67</v>
      </c>
      <c r="M35" s="50">
        <f>VLOOKUP($A35,'Data shares'!$C:$FB,119)</f>
        <v>0.53</v>
      </c>
      <c r="N35" s="50">
        <f>VLOOKUP($A35,'Data shares'!$C:$FB,121)*100</f>
        <v>26.419999999999998</v>
      </c>
      <c r="O35" s="50">
        <f>VLOOKUP($A35,'Data shares'!$C:$FB,124)</f>
        <v>0.47</v>
      </c>
      <c r="P35" s="50">
        <f>VLOOKUP($A35,'Data shares'!$C:$FB,125)</f>
        <v>0.46</v>
      </c>
      <c r="Q35" s="50">
        <f>VLOOKUP($A35,'Data shares'!$C:$FB,127)*100</f>
        <v>2.17</v>
      </c>
    </row>
    <row r="36" spans="1:17" x14ac:dyDescent="0.25">
      <c r="A36" s="97" t="str">
        <f>'Snapshot (Value)'!A40</f>
        <v>BHARATFORG</v>
      </c>
      <c r="B36" s="140">
        <f>VLOOKUP($A36,'Data shares'!$C:$FB,7)</f>
        <v>1898.4</v>
      </c>
      <c r="C36" s="140">
        <f>VLOOKUP($A36,'Data shares'!$C:$FB,3)</f>
        <v>1902</v>
      </c>
      <c r="D36" s="140">
        <f>VLOOKUP($A36,'Data shares'!$C:$FB,4)</f>
        <v>1845.1</v>
      </c>
      <c r="E36" s="50">
        <f t="shared" si="0"/>
        <v>3.0838436941087255</v>
      </c>
      <c r="F36" s="49">
        <f>VLOOKUP($A36,'Data shares'!$C:$FB,98)</f>
        <v>13053000</v>
      </c>
      <c r="G36" s="49">
        <f>VLOOKUP($A36,'Data shares'!$C:$FB,99)</f>
        <v>11997500</v>
      </c>
      <c r="H36" s="50">
        <f t="shared" si="1"/>
        <v>8.7976661804542609</v>
      </c>
      <c r="I36" s="49">
        <f>VLOOKUP($A36,'Data shares'!$C:$FB,66)</f>
        <v>23483000</v>
      </c>
      <c r="J36" s="49">
        <f>VLOOKUP($A36,'Data shares'!$C:$FB,67)</f>
        <v>11253500</v>
      </c>
      <c r="K36" s="50">
        <f t="shared" si="2"/>
        <v>52.078099050376871</v>
      </c>
      <c r="L36" s="50">
        <f>VLOOKUP($A36,'Data shares'!$C:$FB,118)</f>
        <v>0.74</v>
      </c>
      <c r="M36" s="50">
        <f>VLOOKUP($A36,'Data shares'!$C:$FB,119)</f>
        <v>0.9</v>
      </c>
      <c r="N36" s="50">
        <f>VLOOKUP($A36,'Data shares'!$C:$FB,121)*100</f>
        <v>-17.78</v>
      </c>
      <c r="O36" s="50">
        <f>VLOOKUP($A36,'Data shares'!$C:$FB,124)</f>
        <v>0.32</v>
      </c>
      <c r="P36" s="50">
        <f>VLOOKUP($A36,'Data shares'!$C:$FB,125)</f>
        <v>0.85</v>
      </c>
      <c r="Q36" s="50">
        <f>VLOOKUP($A36,'Data shares'!$C:$FB,127)*100</f>
        <v>-62.350000000000009</v>
      </c>
    </row>
    <row r="37" spans="1:17" x14ac:dyDescent="0.25">
      <c r="A37" s="97" t="str">
        <f>'Snapshot (Value)'!A41</f>
        <v>BHARTIARTL</v>
      </c>
      <c r="B37" s="140">
        <f>VLOOKUP($A37,'Data shares'!$C:$FB,7)</f>
        <v>1907</v>
      </c>
      <c r="C37" s="140">
        <f>VLOOKUP($A37,'Data shares'!$C:$FB,3)</f>
        <v>1914.5</v>
      </c>
      <c r="D37" s="140">
        <f>VLOOKUP($A37,'Data shares'!$C:$FB,4)</f>
        <v>1912.3</v>
      </c>
      <c r="E37" s="50">
        <f t="shared" si="0"/>
        <v>0.11504471055796923</v>
      </c>
      <c r="F37" s="49">
        <f>VLOOKUP($A37,'Data shares'!$C:$FB,98)</f>
        <v>82147925</v>
      </c>
      <c r="G37" s="49">
        <f>VLOOKUP($A37,'Data shares'!$C:$FB,99)</f>
        <v>84154325</v>
      </c>
      <c r="H37" s="50">
        <f t="shared" si="1"/>
        <v>-2.384191186846309</v>
      </c>
      <c r="I37" s="49">
        <f>VLOOKUP($A37,'Data shares'!$C:$FB,66)</f>
        <v>41851775</v>
      </c>
      <c r="J37" s="49">
        <f>VLOOKUP($A37,'Data shares'!$C:$FB,67)</f>
        <v>88607925</v>
      </c>
      <c r="K37" s="50">
        <f t="shared" si="2"/>
        <v>-111.71843965996663</v>
      </c>
      <c r="L37" s="50">
        <f>VLOOKUP($A37,'Data shares'!$C:$FB,118)</f>
        <v>0.56000000000000005</v>
      </c>
      <c r="M37" s="50">
        <f>VLOOKUP($A37,'Data shares'!$C:$FB,119)</f>
        <v>0.61</v>
      </c>
      <c r="N37" s="50">
        <f>VLOOKUP($A37,'Data shares'!$C:$FB,121)*100</f>
        <v>-8.2000000000000011</v>
      </c>
      <c r="O37" s="50">
        <f>VLOOKUP($A37,'Data shares'!$C:$FB,124)</f>
        <v>0.64</v>
      </c>
      <c r="P37" s="50">
        <f>VLOOKUP($A37,'Data shares'!$C:$FB,125)</f>
        <v>0.48</v>
      </c>
      <c r="Q37" s="50">
        <f>VLOOKUP($A37,'Data shares'!$C:$FB,127)*100</f>
        <v>33.33</v>
      </c>
    </row>
    <row r="38" spans="1:17" x14ac:dyDescent="0.25">
      <c r="A38" s="97" t="str">
        <f>'Snapshot (Value)'!A42</f>
        <v>BHEL</v>
      </c>
      <c r="B38" s="140">
        <f>VLOOKUP($A38,'Data shares'!$C:$FB,7)</f>
        <v>257.25</v>
      </c>
      <c r="C38" s="140">
        <f>VLOOKUP($A38,'Data shares'!$C:$FB,3)</f>
        <v>257.64999999999998</v>
      </c>
      <c r="D38" s="140">
        <f>VLOOKUP($A38,'Data shares'!$C:$FB,4)</f>
        <v>248.9</v>
      </c>
      <c r="E38" s="50">
        <f t="shared" si="0"/>
        <v>3.5154680594616199</v>
      </c>
      <c r="F38" s="49">
        <f>VLOOKUP($A38,'Data shares'!$C:$FB,98)</f>
        <v>187871250</v>
      </c>
      <c r="G38" s="49">
        <f>VLOOKUP($A38,'Data shares'!$C:$FB,99)</f>
        <v>182440125</v>
      </c>
      <c r="H38" s="50">
        <f t="shared" si="1"/>
        <v>2.9769355836606666</v>
      </c>
      <c r="I38" s="49">
        <f>VLOOKUP($A38,'Data shares'!$C:$FB,66)</f>
        <v>92820000</v>
      </c>
      <c r="J38" s="49">
        <f>VLOOKUP($A38,'Data shares'!$C:$FB,67)</f>
        <v>111888000</v>
      </c>
      <c r="K38" s="50">
        <f t="shared" si="2"/>
        <v>-20.542986425339365</v>
      </c>
      <c r="L38" s="50">
        <f>VLOOKUP($A38,'Data shares'!$C:$FB,118)</f>
        <v>0.75</v>
      </c>
      <c r="M38" s="50">
        <f>VLOOKUP($A38,'Data shares'!$C:$FB,119)</f>
        <v>0.74</v>
      </c>
      <c r="N38" s="50">
        <f>VLOOKUP($A38,'Data shares'!$C:$FB,121)*100</f>
        <v>1.35</v>
      </c>
      <c r="O38" s="50">
        <f>VLOOKUP($A38,'Data shares'!$C:$FB,124)</f>
        <v>0.48</v>
      </c>
      <c r="P38" s="50">
        <f>VLOOKUP($A38,'Data shares'!$C:$FB,125)</f>
        <v>0.52</v>
      </c>
      <c r="Q38" s="50">
        <f>VLOOKUP($A38,'Data shares'!$C:$FB,127)*100</f>
        <v>-7.6899999999999995</v>
      </c>
    </row>
    <row r="39" spans="1:17" x14ac:dyDescent="0.25">
      <c r="A39" s="97" t="str">
        <f>'Snapshot (Value)'!A43</f>
        <v>BIOCON</v>
      </c>
      <c r="B39" s="140">
        <f>VLOOKUP($A39,'Data shares'!$C:$FB,7)</f>
        <v>386.8</v>
      </c>
      <c r="C39" s="140">
        <f>VLOOKUP($A39,'Data shares'!$C:$FB,3)</f>
        <v>388.6</v>
      </c>
      <c r="D39" s="140">
        <f>VLOOKUP($A39,'Data shares'!$C:$FB,4)</f>
        <v>379.3</v>
      </c>
      <c r="E39" s="50">
        <f t="shared" si="0"/>
        <v>2.4518850514104957</v>
      </c>
      <c r="F39" s="49">
        <f>VLOOKUP($A39,'Data shares'!$C:$FB,98)</f>
        <v>62855000</v>
      </c>
      <c r="G39" s="49">
        <f>VLOOKUP($A39,'Data shares'!$C:$FB,99)</f>
        <v>64007500</v>
      </c>
      <c r="H39" s="50">
        <f t="shared" si="1"/>
        <v>-1.8005702456743351</v>
      </c>
      <c r="I39" s="49">
        <f>VLOOKUP($A39,'Data shares'!$C:$FB,66)</f>
        <v>26592500</v>
      </c>
      <c r="J39" s="49">
        <f>VLOOKUP($A39,'Data shares'!$C:$FB,67)</f>
        <v>34117500</v>
      </c>
      <c r="K39" s="50">
        <f t="shared" si="2"/>
        <v>-28.297452289179283</v>
      </c>
      <c r="L39" s="50">
        <f>VLOOKUP($A39,'Data shares'!$C:$FB,118)</f>
        <v>0.66</v>
      </c>
      <c r="M39" s="50">
        <f>VLOOKUP($A39,'Data shares'!$C:$FB,119)</f>
        <v>0.67</v>
      </c>
      <c r="N39" s="50">
        <f>VLOOKUP($A39,'Data shares'!$C:$FB,121)*100</f>
        <v>-1.49</v>
      </c>
      <c r="O39" s="50">
        <f>VLOOKUP($A39,'Data shares'!$C:$FB,124)</f>
        <v>0.4</v>
      </c>
      <c r="P39" s="50">
        <f>VLOOKUP($A39,'Data shares'!$C:$FB,125)</f>
        <v>0.35</v>
      </c>
      <c r="Q39" s="50">
        <f>VLOOKUP($A39,'Data shares'!$C:$FB,127)*100</f>
        <v>14.29</v>
      </c>
    </row>
    <row r="40" spans="1:17" x14ac:dyDescent="0.25">
      <c r="A40" s="97" t="str">
        <f>'Snapshot (Value)'!A44</f>
        <v>BLUESTARCO</v>
      </c>
      <c r="B40" s="140">
        <f>VLOOKUP($A40,'Data shares'!$C:$FB,7)</f>
        <v>1946.7</v>
      </c>
      <c r="C40" s="140">
        <f>VLOOKUP($A40,'Data shares'!$C:$FB,3)</f>
        <v>1949.7</v>
      </c>
      <c r="D40" s="140">
        <f>VLOOKUP($A40,'Data shares'!$C:$FB,4)</f>
        <v>1846.4</v>
      </c>
      <c r="E40" s="50">
        <f t="shared" si="0"/>
        <v>5.5946707105719211</v>
      </c>
      <c r="F40" s="49">
        <f>VLOOKUP($A40,'Data shares'!$C:$FB,98)</f>
        <v>4253600</v>
      </c>
      <c r="G40" s="49">
        <f>VLOOKUP($A40,'Data shares'!$C:$FB,99)</f>
        <v>3949400</v>
      </c>
      <c r="H40" s="50">
        <f t="shared" si="1"/>
        <v>7.7024358130348913</v>
      </c>
      <c r="I40" s="49">
        <f>VLOOKUP($A40,'Data shares'!$C:$FB,66)</f>
        <v>5576025</v>
      </c>
      <c r="J40" s="49">
        <f>VLOOKUP($A40,'Data shares'!$C:$FB,67)</f>
        <v>2938650</v>
      </c>
      <c r="K40" s="50">
        <f t="shared" si="2"/>
        <v>47.298478755027098</v>
      </c>
      <c r="L40" s="50">
        <f>VLOOKUP($A40,'Data shares'!$C:$FB,118)</f>
        <v>0.49</v>
      </c>
      <c r="M40" s="50">
        <f>VLOOKUP($A40,'Data shares'!$C:$FB,119)</f>
        <v>0.45</v>
      </c>
      <c r="N40" s="50">
        <f>VLOOKUP($A40,'Data shares'!$C:$FB,121)*100</f>
        <v>8.89</v>
      </c>
      <c r="O40" s="50">
        <f>VLOOKUP($A40,'Data shares'!$C:$FB,124)</f>
        <v>0.15</v>
      </c>
      <c r="P40" s="50">
        <f>VLOOKUP($A40,'Data shares'!$C:$FB,125)</f>
        <v>0.56000000000000005</v>
      </c>
      <c r="Q40" s="50">
        <f>VLOOKUP($A40,'Data shares'!$C:$FB,127)*100</f>
        <v>-73.209999999999994</v>
      </c>
    </row>
    <row r="41" spans="1:17" x14ac:dyDescent="0.25">
      <c r="A41" s="97" t="str">
        <f>'Snapshot (Value)'!A45</f>
        <v>BOSCHLTD</v>
      </c>
      <c r="B41" s="140">
        <f>VLOOKUP($A41,'Data shares'!$C:$FB,7)</f>
        <v>33230</v>
      </c>
      <c r="C41" s="140">
        <f>VLOOKUP($A41,'Data shares'!$C:$FB,3)</f>
        <v>33400</v>
      </c>
      <c r="D41" s="140">
        <f>VLOOKUP($A41,'Data shares'!$C:$FB,4)</f>
        <v>33555</v>
      </c>
      <c r="E41" s="50">
        <f t="shared" si="0"/>
        <v>-0.46192817761883476</v>
      </c>
      <c r="F41" s="49">
        <f>VLOOKUP($A41,'Data shares'!$C:$FB,98)</f>
        <v>463650</v>
      </c>
      <c r="G41" s="49">
        <f>VLOOKUP($A41,'Data shares'!$C:$FB,99)</f>
        <v>445475</v>
      </c>
      <c r="H41" s="50">
        <f t="shared" si="1"/>
        <v>4.0799146977944893</v>
      </c>
      <c r="I41" s="49">
        <f>VLOOKUP($A41,'Data shares'!$C:$FB,66)</f>
        <v>259900</v>
      </c>
      <c r="J41" s="49">
        <f>VLOOKUP($A41,'Data shares'!$C:$FB,67)</f>
        <v>536025</v>
      </c>
      <c r="K41" s="50">
        <f t="shared" si="2"/>
        <v>-106.24278568680261</v>
      </c>
      <c r="L41" s="50">
        <f>VLOOKUP($A41,'Data shares'!$C:$FB,118)</f>
        <v>0.48</v>
      </c>
      <c r="M41" s="50">
        <f>VLOOKUP($A41,'Data shares'!$C:$FB,119)</f>
        <v>0.53</v>
      </c>
      <c r="N41" s="50">
        <f>VLOOKUP($A41,'Data shares'!$C:$FB,121)*100</f>
        <v>-9.43</v>
      </c>
      <c r="O41" s="50">
        <f>VLOOKUP($A41,'Data shares'!$C:$FB,124)</f>
        <v>0.54</v>
      </c>
      <c r="P41" s="50">
        <f>VLOOKUP($A41,'Data shares'!$C:$FB,125)</f>
        <v>0.97</v>
      </c>
      <c r="Q41" s="50">
        <f>VLOOKUP($A41,'Data shares'!$C:$FB,127)*100</f>
        <v>-44.330000000000005</v>
      </c>
    </row>
    <row r="42" spans="1:17" x14ac:dyDescent="0.25">
      <c r="A42" s="97" t="str">
        <f>'Snapshot (Value)'!A46</f>
        <v>BPCL</v>
      </c>
      <c r="B42" s="140">
        <f>VLOOKUP($A42,'Data shares'!$C:$FB,7)</f>
        <v>360.35</v>
      </c>
      <c r="C42" s="140">
        <f>VLOOKUP($A42,'Data shares'!$C:$FB,3)</f>
        <v>361.5</v>
      </c>
      <c r="D42" s="140">
        <f>VLOOKUP($A42,'Data shares'!$C:$FB,4)</f>
        <v>356.8</v>
      </c>
      <c r="E42" s="50">
        <f t="shared" si="0"/>
        <v>1.317264573991028</v>
      </c>
      <c r="F42" s="49">
        <f>VLOOKUP($A42,'Data shares'!$C:$FB,98)</f>
        <v>70430475</v>
      </c>
      <c r="G42" s="49">
        <f>VLOOKUP($A42,'Data shares'!$C:$FB,99)</f>
        <v>63745100</v>
      </c>
      <c r="H42" s="50">
        <f t="shared" si="1"/>
        <v>10.487668856115999</v>
      </c>
      <c r="I42" s="49">
        <f>VLOOKUP($A42,'Data shares'!$C:$FB,66)</f>
        <v>105595350</v>
      </c>
      <c r="J42" s="49">
        <f>VLOOKUP($A42,'Data shares'!$C:$FB,67)</f>
        <v>85865100</v>
      </c>
      <c r="K42" s="50">
        <f t="shared" si="2"/>
        <v>18.68477163056896</v>
      </c>
      <c r="L42" s="50">
        <f>VLOOKUP($A42,'Data shares'!$C:$FB,118)</f>
        <v>0.84</v>
      </c>
      <c r="M42" s="50">
        <f>VLOOKUP($A42,'Data shares'!$C:$FB,119)</f>
        <v>0.86</v>
      </c>
      <c r="N42" s="50">
        <f>VLOOKUP($A42,'Data shares'!$C:$FB,121)*100</f>
        <v>-2.33</v>
      </c>
      <c r="O42" s="50">
        <f>VLOOKUP($A42,'Data shares'!$C:$FB,124)</f>
        <v>1</v>
      </c>
      <c r="P42" s="50">
        <f>VLOOKUP($A42,'Data shares'!$C:$FB,125)</f>
        <v>1.62</v>
      </c>
      <c r="Q42" s="50">
        <f>VLOOKUP($A42,'Data shares'!$C:$FB,127)*100</f>
        <v>-38.269999999999996</v>
      </c>
    </row>
    <row r="43" spans="1:17" x14ac:dyDescent="0.25">
      <c r="A43" s="97" t="str">
        <f>'Snapshot (Value)'!A47</f>
        <v>BRITANNIA</v>
      </c>
      <c r="B43" s="140">
        <f>VLOOKUP($A43,'Data shares'!$C:$FB,7)</f>
        <v>5963</v>
      </c>
      <c r="C43" s="140">
        <f>VLOOKUP($A43,'Data shares'!$C:$FB,3)</f>
        <v>5982</v>
      </c>
      <c r="D43" s="140">
        <f>VLOOKUP($A43,'Data shares'!$C:$FB,4)</f>
        <v>5902.5</v>
      </c>
      <c r="E43" s="50">
        <f t="shared" si="0"/>
        <v>1.3468869123252858</v>
      </c>
      <c r="F43" s="49">
        <f>VLOOKUP($A43,'Data shares'!$C:$FB,98)</f>
        <v>4316500</v>
      </c>
      <c r="G43" s="49">
        <f>VLOOKUP($A43,'Data shares'!$C:$FB,99)</f>
        <v>4284250</v>
      </c>
      <c r="H43" s="50">
        <f t="shared" si="1"/>
        <v>0.75275719204061387</v>
      </c>
      <c r="I43" s="49">
        <f>VLOOKUP($A43,'Data shares'!$C:$FB,66)</f>
        <v>1189250</v>
      </c>
      <c r="J43" s="49">
        <f>VLOOKUP($A43,'Data shares'!$C:$FB,67)</f>
        <v>1217125</v>
      </c>
      <c r="K43" s="50">
        <f t="shared" si="2"/>
        <v>-2.3439142316586081</v>
      </c>
      <c r="L43" s="50">
        <f>VLOOKUP($A43,'Data shares'!$C:$FB,118)</f>
        <v>0.51</v>
      </c>
      <c r="M43" s="50">
        <f>VLOOKUP($A43,'Data shares'!$C:$FB,119)</f>
        <v>0.49</v>
      </c>
      <c r="N43" s="50">
        <f>VLOOKUP($A43,'Data shares'!$C:$FB,121)*100</f>
        <v>4.08</v>
      </c>
      <c r="O43" s="50">
        <f>VLOOKUP($A43,'Data shares'!$C:$FB,124)</f>
        <v>0.66</v>
      </c>
      <c r="P43" s="50">
        <f>VLOOKUP($A43,'Data shares'!$C:$FB,125)</f>
        <v>0.73</v>
      </c>
      <c r="Q43" s="50">
        <f>VLOOKUP($A43,'Data shares'!$C:$FB,127)*100</f>
        <v>-9.59</v>
      </c>
    </row>
    <row r="44" spans="1:17" x14ac:dyDescent="0.25">
      <c r="A44" s="97" t="str">
        <f>'Snapshot (Value)'!A48</f>
        <v>BSE</v>
      </c>
      <c r="B44" s="140">
        <f>VLOOKUP($A44,'Data shares'!$C:$FB,7)</f>
        <v>2761.4</v>
      </c>
      <c r="C44" s="140">
        <f>VLOOKUP($A44,'Data shares'!$C:$FB,3)</f>
        <v>2765</v>
      </c>
      <c r="D44" s="140">
        <f>VLOOKUP($A44,'Data shares'!$C:$FB,4)</f>
        <v>2628.9</v>
      </c>
      <c r="E44" s="50">
        <f t="shared" si="0"/>
        <v>5.1770702575221534</v>
      </c>
      <c r="F44" s="49">
        <f>VLOOKUP($A44,'Data shares'!$C:$FB,98)</f>
        <v>21330750</v>
      </c>
      <c r="G44" s="49">
        <f>VLOOKUP($A44,'Data shares'!$C:$FB,99)</f>
        <v>21620250</v>
      </c>
      <c r="H44" s="50">
        <f t="shared" si="1"/>
        <v>-1.3390224442363061</v>
      </c>
      <c r="I44" s="49">
        <f>VLOOKUP($A44,'Data shares'!$C:$FB,66)</f>
        <v>41337000</v>
      </c>
      <c r="J44" s="49">
        <f>VLOOKUP($A44,'Data shares'!$C:$FB,67)</f>
        <v>28159875</v>
      </c>
      <c r="K44" s="50">
        <f t="shared" si="2"/>
        <v>31.877313302852166</v>
      </c>
      <c r="L44" s="50">
        <f>VLOOKUP($A44,'Data shares'!$C:$FB,118)</f>
        <v>0.76</v>
      </c>
      <c r="M44" s="50">
        <f>VLOOKUP($A44,'Data shares'!$C:$FB,119)</f>
        <v>0.73</v>
      </c>
      <c r="N44" s="50">
        <f>VLOOKUP($A44,'Data shares'!$C:$FB,121)*100</f>
        <v>4.1099999999999994</v>
      </c>
      <c r="O44" s="50">
        <f>VLOOKUP($A44,'Data shares'!$C:$FB,124)</f>
        <v>0.51</v>
      </c>
      <c r="P44" s="50">
        <f>VLOOKUP($A44,'Data shares'!$C:$FB,125)</f>
        <v>0.71</v>
      </c>
      <c r="Q44" s="50">
        <f>VLOOKUP($A44,'Data shares'!$C:$FB,127)*100</f>
        <v>-28.17</v>
      </c>
    </row>
    <row r="45" spans="1:17" x14ac:dyDescent="0.25">
      <c r="A45" s="97" t="str">
        <f>'Snapshot (Value)'!A49</f>
        <v>CAMS</v>
      </c>
      <c r="B45" s="140">
        <f>VLOOKUP($A45,'Data shares'!$C:$FB,7)</f>
        <v>652.35</v>
      </c>
      <c r="C45" s="140">
        <f>VLOOKUP($A45,'Data shares'!$C:$FB,3)</f>
        <v>654.85</v>
      </c>
      <c r="D45" s="140">
        <f>VLOOKUP($A45,'Data shares'!$C:$FB,4)</f>
        <v>633.25</v>
      </c>
      <c r="E45" s="50">
        <f t="shared" si="0"/>
        <v>3.4109751283063594</v>
      </c>
      <c r="F45" s="49">
        <f>VLOOKUP($A45,'Data shares'!$C:$FB,98)</f>
        <v>12657750</v>
      </c>
      <c r="G45" s="49">
        <f>VLOOKUP($A45,'Data shares'!$C:$FB,99)</f>
        <v>12496500</v>
      </c>
      <c r="H45" s="50">
        <f t="shared" si="1"/>
        <v>1.290361301164326</v>
      </c>
      <c r="I45" s="49">
        <f>VLOOKUP($A45,'Data shares'!$C:$FB,66)</f>
        <v>7764750</v>
      </c>
      <c r="J45" s="49">
        <f>VLOOKUP($A45,'Data shares'!$C:$FB,67)</f>
        <v>8640750</v>
      </c>
      <c r="K45" s="50">
        <f t="shared" si="2"/>
        <v>-11.281754080942722</v>
      </c>
      <c r="L45" s="50">
        <f>VLOOKUP($A45,'Data shares'!$C:$FB,118)</f>
        <v>0.81</v>
      </c>
      <c r="M45" s="50">
        <f>VLOOKUP($A45,'Data shares'!$C:$FB,119)</f>
        <v>0.79</v>
      </c>
      <c r="N45" s="50">
        <f>VLOOKUP($A45,'Data shares'!$C:$FB,121)*100</f>
        <v>2.5299999999999998</v>
      </c>
      <c r="O45" s="50">
        <f>VLOOKUP($A45,'Data shares'!$C:$FB,124)</f>
        <v>0.56999999999999995</v>
      </c>
      <c r="P45" s="50">
        <f>VLOOKUP($A45,'Data shares'!$C:$FB,125)</f>
        <v>0.79</v>
      </c>
      <c r="Q45" s="50">
        <f>VLOOKUP($A45,'Data shares'!$C:$FB,127)*100</f>
        <v>-27.85</v>
      </c>
    </row>
    <row r="46" spans="1:17" x14ac:dyDescent="0.25">
      <c r="A46" s="97" t="str">
        <f>'Snapshot (Value)'!A50</f>
        <v>CANBK</v>
      </c>
      <c r="B46" s="140">
        <f>VLOOKUP($A46,'Data shares'!$C:$FB,7)</f>
        <v>148.51</v>
      </c>
      <c r="C46" s="140">
        <f>VLOOKUP($A46,'Data shares'!$C:$FB,3)</f>
        <v>149.19</v>
      </c>
      <c r="D46" s="140">
        <f>VLOOKUP($A46,'Data shares'!$C:$FB,4)</f>
        <v>147.57</v>
      </c>
      <c r="E46" s="50">
        <f t="shared" si="0"/>
        <v>1.0977841024598527</v>
      </c>
      <c r="F46" s="49">
        <f>VLOOKUP($A46,'Data shares'!$C:$FB,98)</f>
        <v>327496500</v>
      </c>
      <c r="G46" s="49">
        <f>VLOOKUP($A46,'Data shares'!$C:$FB,99)</f>
        <v>306261000</v>
      </c>
      <c r="H46" s="50">
        <f t="shared" si="1"/>
        <v>6.9337917658467783</v>
      </c>
      <c r="I46" s="49">
        <f>VLOOKUP($A46,'Data shares'!$C:$FB,66)</f>
        <v>235284750</v>
      </c>
      <c r="J46" s="49">
        <f>VLOOKUP($A46,'Data shares'!$C:$FB,67)</f>
        <v>272605500</v>
      </c>
      <c r="K46" s="50">
        <f t="shared" si="2"/>
        <v>-15.861950253894483</v>
      </c>
      <c r="L46" s="50">
        <f>VLOOKUP($A46,'Data shares'!$C:$FB,118)</f>
        <v>0.76</v>
      </c>
      <c r="M46" s="50">
        <f>VLOOKUP($A46,'Data shares'!$C:$FB,119)</f>
        <v>0.79</v>
      </c>
      <c r="N46" s="50">
        <f>VLOOKUP($A46,'Data shares'!$C:$FB,121)*100</f>
        <v>-3.8</v>
      </c>
      <c r="O46" s="50">
        <f>VLOOKUP($A46,'Data shares'!$C:$FB,124)</f>
        <v>0.61</v>
      </c>
      <c r="P46" s="50">
        <f>VLOOKUP($A46,'Data shares'!$C:$FB,125)</f>
        <v>0.85</v>
      </c>
      <c r="Q46" s="50">
        <f>VLOOKUP($A46,'Data shares'!$C:$FB,127)*100</f>
        <v>-28.24</v>
      </c>
    </row>
    <row r="47" spans="1:17" x14ac:dyDescent="0.25">
      <c r="A47" s="97" t="str">
        <f>'Snapshot (Value)'!A51</f>
        <v>CDSL</v>
      </c>
      <c r="B47" s="140">
        <f>VLOOKUP($A47,'Data shares'!$C:$FB,7)</f>
        <v>1239.5999999999999</v>
      </c>
      <c r="C47" s="140">
        <f>VLOOKUP($A47,'Data shares'!$C:$FB,3)</f>
        <v>1242.2</v>
      </c>
      <c r="D47" s="140">
        <f>VLOOKUP($A47,'Data shares'!$C:$FB,4)</f>
        <v>1211.5999999999999</v>
      </c>
      <c r="E47" s="50">
        <f t="shared" si="0"/>
        <v>2.5255860019808631</v>
      </c>
      <c r="F47" s="49">
        <f>VLOOKUP($A47,'Data shares'!$C:$FB,98)</f>
        <v>22648950</v>
      </c>
      <c r="G47" s="49">
        <f>VLOOKUP($A47,'Data shares'!$C:$FB,99)</f>
        <v>22563450</v>
      </c>
      <c r="H47" s="50">
        <f t="shared" si="1"/>
        <v>0.37893141341417202</v>
      </c>
      <c r="I47" s="49">
        <f>VLOOKUP($A47,'Data shares'!$C:$FB,66)</f>
        <v>9676225</v>
      </c>
      <c r="J47" s="49">
        <f>VLOOKUP($A47,'Data shares'!$C:$FB,67)</f>
        <v>13626325</v>
      </c>
      <c r="K47" s="50">
        <f t="shared" si="2"/>
        <v>-40.822738206273627</v>
      </c>
      <c r="L47" s="50">
        <f>VLOOKUP($A47,'Data shares'!$C:$FB,118)</f>
        <v>0.77</v>
      </c>
      <c r="M47" s="50">
        <f>VLOOKUP($A47,'Data shares'!$C:$FB,119)</f>
        <v>0.79</v>
      </c>
      <c r="N47" s="50">
        <f>VLOOKUP($A47,'Data shares'!$C:$FB,121)*100</f>
        <v>-2.5299999999999998</v>
      </c>
      <c r="O47" s="50">
        <f>VLOOKUP($A47,'Data shares'!$C:$FB,124)</f>
        <v>0.41</v>
      </c>
      <c r="P47" s="50">
        <f>VLOOKUP($A47,'Data shares'!$C:$FB,125)</f>
        <v>0.56000000000000005</v>
      </c>
      <c r="Q47" s="50">
        <f>VLOOKUP($A47,'Data shares'!$C:$FB,127)*100</f>
        <v>-26.790000000000003</v>
      </c>
    </row>
    <row r="48" spans="1:17" x14ac:dyDescent="0.25">
      <c r="A48" s="97" t="str">
        <f>'Snapshot (Value)'!A52</f>
        <v>CGPOWER</v>
      </c>
      <c r="B48" s="140">
        <f>VLOOKUP($A48,'Data shares'!$C:$FB,7)</f>
        <v>701.1</v>
      </c>
      <c r="C48" s="140">
        <f>VLOOKUP($A48,'Data shares'!$C:$FB,3)</f>
        <v>702.5</v>
      </c>
      <c r="D48" s="140">
        <f>VLOOKUP($A48,'Data shares'!$C:$FB,4)</f>
        <v>686.1</v>
      </c>
      <c r="E48" s="50">
        <f t="shared" si="0"/>
        <v>2.3903221104795187</v>
      </c>
      <c r="F48" s="49">
        <f>VLOOKUP($A48,'Data shares'!$C:$FB,98)</f>
        <v>20464600</v>
      </c>
      <c r="G48" s="49">
        <f>VLOOKUP($A48,'Data shares'!$C:$FB,99)</f>
        <v>20791850</v>
      </c>
      <c r="H48" s="50">
        <f t="shared" si="1"/>
        <v>-1.5739340174154779</v>
      </c>
      <c r="I48" s="49">
        <f>VLOOKUP($A48,'Data shares'!$C:$FB,66)</f>
        <v>6288300</v>
      </c>
      <c r="J48" s="49">
        <f>VLOOKUP($A48,'Data shares'!$C:$FB,67)</f>
        <v>13204750</v>
      </c>
      <c r="K48" s="50">
        <f t="shared" si="2"/>
        <v>-109.98918626655853</v>
      </c>
      <c r="L48" s="50">
        <f>VLOOKUP($A48,'Data shares'!$C:$FB,118)</f>
        <v>0.62</v>
      </c>
      <c r="M48" s="50">
        <f>VLOOKUP($A48,'Data shares'!$C:$FB,119)</f>
        <v>0.61</v>
      </c>
      <c r="N48" s="50">
        <f>VLOOKUP($A48,'Data shares'!$C:$FB,121)*100</f>
        <v>1.6400000000000001</v>
      </c>
      <c r="O48" s="50">
        <f>VLOOKUP($A48,'Data shares'!$C:$FB,124)</f>
        <v>0.45</v>
      </c>
      <c r="P48" s="50">
        <f>VLOOKUP($A48,'Data shares'!$C:$FB,125)</f>
        <v>0.69</v>
      </c>
      <c r="Q48" s="50">
        <f>VLOOKUP($A48,'Data shares'!$C:$FB,127)*100</f>
        <v>-34.78</v>
      </c>
    </row>
    <row r="49" spans="1:17" x14ac:dyDescent="0.25">
      <c r="A49" s="97" t="str">
        <f>'Snapshot (Value)'!A53</f>
        <v>CHOLAFIN</v>
      </c>
      <c r="B49" s="140">
        <f>VLOOKUP($A49,'Data shares'!$C:$FB,7)</f>
        <v>1669</v>
      </c>
      <c r="C49" s="140">
        <f>VLOOKUP($A49,'Data shares'!$C:$FB,3)</f>
        <v>1679.2</v>
      </c>
      <c r="D49" s="140">
        <f>VLOOKUP($A49,'Data shares'!$C:$FB,4)</f>
        <v>1661.6</v>
      </c>
      <c r="E49" s="50">
        <f t="shared" si="0"/>
        <v>1.0592200288878271</v>
      </c>
      <c r="F49" s="49">
        <f>VLOOKUP($A49,'Data shares'!$C:$FB,98)</f>
        <v>21763750</v>
      </c>
      <c r="G49" s="49">
        <f>VLOOKUP($A49,'Data shares'!$C:$FB,99)</f>
        <v>21930000</v>
      </c>
      <c r="H49" s="50">
        <f t="shared" si="1"/>
        <v>-0.75809393524851798</v>
      </c>
      <c r="I49" s="49">
        <f>VLOOKUP($A49,'Data shares'!$C:$FB,66)</f>
        <v>7795000</v>
      </c>
      <c r="J49" s="49">
        <f>VLOOKUP($A49,'Data shares'!$C:$FB,67)</f>
        <v>9091875</v>
      </c>
      <c r="K49" s="50">
        <f t="shared" si="2"/>
        <v>-16.637267479153302</v>
      </c>
      <c r="L49" s="50">
        <f>VLOOKUP($A49,'Data shares'!$C:$FB,118)</f>
        <v>1</v>
      </c>
      <c r="M49" s="50">
        <f>VLOOKUP($A49,'Data shares'!$C:$FB,119)</f>
        <v>1.1000000000000001</v>
      </c>
      <c r="N49" s="50">
        <f>VLOOKUP($A49,'Data shares'!$C:$FB,121)*100</f>
        <v>-9.09</v>
      </c>
      <c r="O49" s="50">
        <f>VLOOKUP($A49,'Data shares'!$C:$FB,124)</f>
        <v>0.83</v>
      </c>
      <c r="P49" s="50">
        <f>VLOOKUP($A49,'Data shares'!$C:$FB,125)</f>
        <v>1.1200000000000001</v>
      </c>
      <c r="Q49" s="50">
        <f>VLOOKUP($A49,'Data shares'!$C:$FB,127)*100</f>
        <v>-25.89</v>
      </c>
    </row>
    <row r="50" spans="1:17" x14ac:dyDescent="0.25">
      <c r="A50" s="97" t="str">
        <f>'Snapshot (Value)'!A54</f>
        <v>CIPLA</v>
      </c>
      <c r="B50" s="140">
        <f>VLOOKUP($A50,'Data shares'!$C:$FB,7)</f>
        <v>1326.4</v>
      </c>
      <c r="C50" s="140">
        <f>VLOOKUP($A50,'Data shares'!$C:$FB,3)</f>
        <v>1332.3</v>
      </c>
      <c r="D50" s="140">
        <f>VLOOKUP($A50,'Data shares'!$C:$FB,4)</f>
        <v>1319.7</v>
      </c>
      <c r="E50" s="50">
        <f t="shared" si="0"/>
        <v>0.95476244601045002</v>
      </c>
      <c r="F50" s="49">
        <f>VLOOKUP($A50,'Data shares'!$C:$FB,98)</f>
        <v>21161250</v>
      </c>
      <c r="G50" s="49">
        <f>VLOOKUP($A50,'Data shares'!$C:$FB,99)</f>
        <v>21444000</v>
      </c>
      <c r="H50" s="50">
        <f t="shared" si="1"/>
        <v>-1.3185506435366536</v>
      </c>
      <c r="I50" s="49">
        <f>VLOOKUP($A50,'Data shares'!$C:$FB,66)</f>
        <v>5572125</v>
      </c>
      <c r="J50" s="49">
        <f>VLOOKUP($A50,'Data shares'!$C:$FB,67)</f>
        <v>10720125</v>
      </c>
      <c r="K50" s="50">
        <f t="shared" si="2"/>
        <v>-92.388451443569551</v>
      </c>
      <c r="L50" s="50">
        <f>VLOOKUP($A50,'Data shares'!$C:$FB,118)</f>
        <v>0.62</v>
      </c>
      <c r="M50" s="50">
        <f>VLOOKUP($A50,'Data shares'!$C:$FB,119)</f>
        <v>0.59</v>
      </c>
      <c r="N50" s="50">
        <f>VLOOKUP($A50,'Data shares'!$C:$FB,121)*100</f>
        <v>5.08</v>
      </c>
      <c r="O50" s="50">
        <f>VLOOKUP($A50,'Data shares'!$C:$FB,124)</f>
        <v>0.47</v>
      </c>
      <c r="P50" s="50">
        <f>VLOOKUP($A50,'Data shares'!$C:$FB,125)</f>
        <v>0.47</v>
      </c>
      <c r="Q50" s="50">
        <f>VLOOKUP($A50,'Data shares'!$C:$FB,127)*100</f>
        <v>0</v>
      </c>
    </row>
    <row r="51" spans="1:17" x14ac:dyDescent="0.25">
      <c r="A51" s="97" t="str">
        <f>'Snapshot (Value)'!A55</f>
        <v>COALINDIA</v>
      </c>
      <c r="B51" s="140">
        <f>VLOOKUP($A51,'Data shares'!$C:$FB,7)</f>
        <v>449.4</v>
      </c>
      <c r="C51" s="140">
        <f>VLOOKUP($A51,'Data shares'!$C:$FB,3)</f>
        <v>450.5</v>
      </c>
      <c r="D51" s="140">
        <f>VLOOKUP($A51,'Data shares'!$C:$FB,4)</f>
        <v>436.85</v>
      </c>
      <c r="E51" s="50">
        <f t="shared" si="0"/>
        <v>3.1246423257410956</v>
      </c>
      <c r="F51" s="49">
        <f>VLOOKUP($A51,'Data shares'!$C:$FB,98)</f>
        <v>96304950</v>
      </c>
      <c r="G51" s="49">
        <f>VLOOKUP($A51,'Data shares'!$C:$FB,99)</f>
        <v>87330150</v>
      </c>
      <c r="H51" s="50">
        <f t="shared" si="1"/>
        <v>10.27686314520243</v>
      </c>
      <c r="I51" s="49">
        <f>VLOOKUP($A51,'Data shares'!$C:$FB,66)</f>
        <v>288503100</v>
      </c>
      <c r="J51" s="49">
        <f>VLOOKUP($A51,'Data shares'!$C:$FB,67)</f>
        <v>160629750</v>
      </c>
      <c r="K51" s="50">
        <f t="shared" si="2"/>
        <v>44.323041936117846</v>
      </c>
      <c r="L51" s="50">
        <f>VLOOKUP($A51,'Data shares'!$C:$FB,118)</f>
        <v>0.74</v>
      </c>
      <c r="M51" s="50">
        <f>VLOOKUP($A51,'Data shares'!$C:$FB,119)</f>
        <v>0.62</v>
      </c>
      <c r="N51" s="50">
        <f>VLOOKUP($A51,'Data shares'!$C:$FB,121)*100</f>
        <v>19.350000000000001</v>
      </c>
      <c r="O51" s="50">
        <f>VLOOKUP($A51,'Data shares'!$C:$FB,124)</f>
        <v>0.43</v>
      </c>
      <c r="P51" s="50">
        <f>VLOOKUP($A51,'Data shares'!$C:$FB,125)</f>
        <v>0.39</v>
      </c>
      <c r="Q51" s="50">
        <f>VLOOKUP($A51,'Data shares'!$C:$FB,127)*100</f>
        <v>10.26</v>
      </c>
    </row>
    <row r="52" spans="1:17" x14ac:dyDescent="0.25">
      <c r="A52" s="97" t="str">
        <f>'Snapshot (Value)'!A56</f>
        <v>COFORGE</v>
      </c>
      <c r="B52" s="140">
        <f>VLOOKUP($A52,'Data shares'!$C:$FB,7)</f>
        <v>1152.7</v>
      </c>
      <c r="C52" s="140">
        <f>VLOOKUP($A52,'Data shares'!$C:$FB,3)</f>
        <v>1158.2</v>
      </c>
      <c r="D52" s="140">
        <f>VLOOKUP($A52,'Data shares'!$C:$FB,4)</f>
        <v>1172.4000000000001</v>
      </c>
      <c r="E52" s="50">
        <f t="shared" si="0"/>
        <v>-1.2111907198908261</v>
      </c>
      <c r="F52" s="49">
        <f>VLOOKUP($A52,'Data shares'!$C:$FB,98)</f>
        <v>43167750</v>
      </c>
      <c r="G52" s="49">
        <f>VLOOKUP($A52,'Data shares'!$C:$FB,99)</f>
        <v>41282250</v>
      </c>
      <c r="H52" s="50">
        <f t="shared" si="1"/>
        <v>4.5673382628127097</v>
      </c>
      <c r="I52" s="49">
        <f>VLOOKUP($A52,'Data shares'!$C:$FB,66)</f>
        <v>18763500</v>
      </c>
      <c r="J52" s="49">
        <f>VLOOKUP($A52,'Data shares'!$C:$FB,67)</f>
        <v>16643250</v>
      </c>
      <c r="K52" s="50">
        <f t="shared" si="2"/>
        <v>11.299864097849548</v>
      </c>
      <c r="L52" s="50">
        <f>VLOOKUP($A52,'Data shares'!$C:$FB,118)</f>
        <v>0.43</v>
      </c>
      <c r="M52" s="50">
        <f>VLOOKUP($A52,'Data shares'!$C:$FB,119)</f>
        <v>0.44</v>
      </c>
      <c r="N52" s="50">
        <f>VLOOKUP($A52,'Data shares'!$C:$FB,121)*100</f>
        <v>-2.27</v>
      </c>
      <c r="O52" s="50">
        <f>VLOOKUP($A52,'Data shares'!$C:$FB,124)</f>
        <v>0.47</v>
      </c>
      <c r="P52" s="50">
        <f>VLOOKUP($A52,'Data shares'!$C:$FB,125)</f>
        <v>0.42</v>
      </c>
      <c r="Q52" s="50">
        <f>VLOOKUP($A52,'Data shares'!$C:$FB,127)*100</f>
        <v>11.899999999999999</v>
      </c>
    </row>
    <row r="53" spans="1:17" x14ac:dyDescent="0.25">
      <c r="A53" s="97" t="str">
        <f>'Snapshot (Value)'!A57</f>
        <v>COLPAL</v>
      </c>
      <c r="B53" s="140">
        <f>VLOOKUP($A53,'Data shares'!$C:$FB,7)</f>
        <v>2200.6</v>
      </c>
      <c r="C53" s="140">
        <f>VLOOKUP($A53,'Data shares'!$C:$FB,3)</f>
        <v>2209.1</v>
      </c>
      <c r="D53" s="140">
        <f>VLOOKUP($A53,'Data shares'!$C:$FB,4)</f>
        <v>2187.9</v>
      </c>
      <c r="E53" s="50">
        <f t="shared" si="0"/>
        <v>0.96896567484801943</v>
      </c>
      <c r="F53" s="49">
        <f>VLOOKUP($A53,'Data shares'!$C:$FB,98)</f>
        <v>8506575</v>
      </c>
      <c r="G53" s="49">
        <f>VLOOKUP($A53,'Data shares'!$C:$FB,99)</f>
        <v>8426025</v>
      </c>
      <c r="H53" s="50">
        <f t="shared" si="1"/>
        <v>0.95596678148949232</v>
      </c>
      <c r="I53" s="49">
        <f>VLOOKUP($A53,'Data shares'!$C:$FB,66)</f>
        <v>2137050</v>
      </c>
      <c r="J53" s="49">
        <f>VLOOKUP($A53,'Data shares'!$C:$FB,67)</f>
        <v>2122650</v>
      </c>
      <c r="K53" s="50">
        <f t="shared" si="2"/>
        <v>0.67382606864603067</v>
      </c>
      <c r="L53" s="50">
        <f>VLOOKUP($A53,'Data shares'!$C:$FB,118)</f>
        <v>0.68</v>
      </c>
      <c r="M53" s="50">
        <f>VLOOKUP($A53,'Data shares'!$C:$FB,119)</f>
        <v>0.61</v>
      </c>
      <c r="N53" s="50">
        <f>VLOOKUP($A53,'Data shares'!$C:$FB,121)*100</f>
        <v>11.48</v>
      </c>
      <c r="O53" s="50">
        <f>VLOOKUP($A53,'Data shares'!$C:$FB,124)</f>
        <v>0.37</v>
      </c>
      <c r="P53" s="50">
        <f>VLOOKUP($A53,'Data shares'!$C:$FB,125)</f>
        <v>0.43</v>
      </c>
      <c r="Q53" s="50">
        <f>VLOOKUP($A53,'Data shares'!$C:$FB,127)*100</f>
        <v>-13.950000000000001</v>
      </c>
    </row>
    <row r="54" spans="1:17" x14ac:dyDescent="0.25">
      <c r="A54" s="97" t="str">
        <f>'Snapshot (Value)'!A58</f>
        <v>CONCOR</v>
      </c>
      <c r="B54" s="140">
        <f>VLOOKUP($A54,'Data shares'!$C:$FB,7)</f>
        <v>479.95</v>
      </c>
      <c r="C54" s="140">
        <f>VLOOKUP($A54,'Data shares'!$C:$FB,3)</f>
        <v>481.15</v>
      </c>
      <c r="D54" s="140">
        <f>VLOOKUP($A54,'Data shares'!$C:$FB,4)</f>
        <v>463.25</v>
      </c>
      <c r="E54" s="50">
        <f t="shared" si="0"/>
        <v>3.8640043173232543</v>
      </c>
      <c r="F54" s="49">
        <f>VLOOKUP($A54,'Data shares'!$C:$FB,98)</f>
        <v>47403750</v>
      </c>
      <c r="G54" s="49">
        <f>VLOOKUP($A54,'Data shares'!$C:$FB,99)</f>
        <v>47748750</v>
      </c>
      <c r="H54" s="50">
        <f t="shared" si="1"/>
        <v>-0.72253200345558788</v>
      </c>
      <c r="I54" s="49">
        <f>VLOOKUP($A54,'Data shares'!$C:$FB,66)</f>
        <v>18126250</v>
      </c>
      <c r="J54" s="49">
        <f>VLOOKUP($A54,'Data shares'!$C:$FB,67)</f>
        <v>21456250</v>
      </c>
      <c r="K54" s="50">
        <f t="shared" si="2"/>
        <v>-18.371146817460865</v>
      </c>
      <c r="L54" s="50">
        <f>VLOOKUP($A54,'Data shares'!$C:$FB,118)</f>
        <v>0.76</v>
      </c>
      <c r="M54" s="50">
        <f>VLOOKUP($A54,'Data shares'!$C:$FB,119)</f>
        <v>0.68</v>
      </c>
      <c r="N54" s="50">
        <f>VLOOKUP($A54,'Data shares'!$C:$FB,121)*100</f>
        <v>11.76</v>
      </c>
      <c r="O54" s="50">
        <f>VLOOKUP($A54,'Data shares'!$C:$FB,124)</f>
        <v>0.52</v>
      </c>
      <c r="P54" s="50">
        <f>VLOOKUP($A54,'Data shares'!$C:$FB,125)</f>
        <v>0.65</v>
      </c>
      <c r="Q54" s="50">
        <f>VLOOKUP($A54,'Data shares'!$C:$FB,127)*100</f>
        <v>-20</v>
      </c>
    </row>
    <row r="55" spans="1:17" x14ac:dyDescent="0.25">
      <c r="A55" s="97" t="str">
        <f>'Snapshot (Value)'!A59</f>
        <v>CROMPTON</v>
      </c>
      <c r="B55" s="140">
        <f>VLOOKUP($A55,'Data shares'!$C:$FB,7)</f>
        <v>250.1</v>
      </c>
      <c r="C55" s="140">
        <f>VLOOKUP($A55,'Data shares'!$C:$FB,3)</f>
        <v>250.75</v>
      </c>
      <c r="D55" s="140">
        <f>VLOOKUP($A55,'Data shares'!$C:$FB,4)</f>
        <v>246.55</v>
      </c>
      <c r="E55" s="50">
        <f t="shared" si="0"/>
        <v>1.7035084161427654</v>
      </c>
      <c r="F55" s="49">
        <f>VLOOKUP($A55,'Data shares'!$C:$FB,98)</f>
        <v>61664400</v>
      </c>
      <c r="G55" s="49">
        <f>VLOOKUP($A55,'Data shares'!$C:$FB,99)</f>
        <v>60764400</v>
      </c>
      <c r="H55" s="50">
        <f t="shared" si="1"/>
        <v>1.4811303987203035</v>
      </c>
      <c r="I55" s="49">
        <f>VLOOKUP($A55,'Data shares'!$C:$FB,66)</f>
        <v>15186600</v>
      </c>
      <c r="J55" s="49">
        <f>VLOOKUP($A55,'Data shares'!$C:$FB,67)</f>
        <v>14099400</v>
      </c>
      <c r="K55" s="50">
        <f t="shared" si="2"/>
        <v>7.1589427521630915</v>
      </c>
      <c r="L55" s="50">
        <f>VLOOKUP($A55,'Data shares'!$C:$FB,118)</f>
        <v>0.51</v>
      </c>
      <c r="M55" s="50">
        <f>VLOOKUP($A55,'Data shares'!$C:$FB,119)</f>
        <v>0.5</v>
      </c>
      <c r="N55" s="50">
        <f>VLOOKUP($A55,'Data shares'!$C:$FB,121)*100</f>
        <v>2</v>
      </c>
      <c r="O55" s="50">
        <f>VLOOKUP($A55,'Data shares'!$C:$FB,124)</f>
        <v>0.36</v>
      </c>
      <c r="P55" s="50">
        <f>VLOOKUP($A55,'Data shares'!$C:$FB,125)</f>
        <v>0.46</v>
      </c>
      <c r="Q55" s="50">
        <f>VLOOKUP($A55,'Data shares'!$C:$FB,127)*100</f>
        <v>-21.740000000000002</v>
      </c>
    </row>
    <row r="56" spans="1:17" x14ac:dyDescent="0.25">
      <c r="A56" s="97" t="str">
        <f>'Snapshot (Value)'!A60</f>
        <v>CUMMINSIND</v>
      </c>
      <c r="B56" s="140">
        <f>VLOOKUP($A56,'Data shares'!$C:$FB,7)</f>
        <v>4791.3999999999996</v>
      </c>
      <c r="C56" s="140">
        <f>VLOOKUP($A56,'Data shares'!$C:$FB,3)</f>
        <v>4800.3999999999996</v>
      </c>
      <c r="D56" s="140">
        <f>VLOOKUP($A56,'Data shares'!$C:$FB,4)</f>
        <v>4607.7</v>
      </c>
      <c r="E56" s="50">
        <f t="shared" si="0"/>
        <v>4.1821299129717611</v>
      </c>
      <c r="F56" s="49">
        <f>VLOOKUP($A56,'Data shares'!$C:$FB,98)</f>
        <v>4685400</v>
      </c>
      <c r="G56" s="49">
        <f>VLOOKUP($A56,'Data shares'!$C:$FB,99)</f>
        <v>4645000</v>
      </c>
      <c r="H56" s="50">
        <f t="shared" si="1"/>
        <v>0.86975242195909586</v>
      </c>
      <c r="I56" s="49">
        <f>VLOOKUP($A56,'Data shares'!$C:$FB,66)</f>
        <v>3702400</v>
      </c>
      <c r="J56" s="49">
        <f>VLOOKUP($A56,'Data shares'!$C:$FB,67)</f>
        <v>4257800</v>
      </c>
      <c r="K56" s="50">
        <f t="shared" si="2"/>
        <v>-15.001080380293864</v>
      </c>
      <c r="L56" s="50">
        <f>VLOOKUP($A56,'Data shares'!$C:$FB,118)</f>
        <v>0.71</v>
      </c>
      <c r="M56" s="50">
        <f>VLOOKUP($A56,'Data shares'!$C:$FB,119)</f>
        <v>0.81</v>
      </c>
      <c r="N56" s="50">
        <f>VLOOKUP($A56,'Data shares'!$C:$FB,121)*100</f>
        <v>-12.35</v>
      </c>
      <c r="O56" s="50">
        <f>VLOOKUP($A56,'Data shares'!$C:$FB,124)</f>
        <v>0.39</v>
      </c>
      <c r="P56" s="50">
        <f>VLOOKUP($A56,'Data shares'!$C:$FB,125)</f>
        <v>1.27</v>
      </c>
      <c r="Q56" s="50">
        <f>VLOOKUP($A56,'Data shares'!$C:$FB,127)*100</f>
        <v>-69.289999999999992</v>
      </c>
    </row>
    <row r="57" spans="1:17" x14ac:dyDescent="0.25">
      <c r="A57" s="97" t="str">
        <f>'Snapshot (Value)'!A61</f>
        <v>DABUR</v>
      </c>
      <c r="B57" s="140">
        <f>VLOOKUP($A57,'Data shares'!$C:$FB,7)</f>
        <v>487.9</v>
      </c>
      <c r="C57" s="140">
        <f>VLOOKUP($A57,'Data shares'!$C:$FB,3)</f>
        <v>489.7</v>
      </c>
      <c r="D57" s="140">
        <f>VLOOKUP($A57,'Data shares'!$C:$FB,4)</f>
        <v>489.7</v>
      </c>
      <c r="E57" s="50">
        <f t="shared" si="0"/>
        <v>0</v>
      </c>
      <c r="F57" s="49">
        <f>VLOOKUP($A57,'Data shares'!$C:$FB,98)</f>
        <v>38438750</v>
      </c>
      <c r="G57" s="49">
        <f>VLOOKUP($A57,'Data shares'!$C:$FB,99)</f>
        <v>36936250</v>
      </c>
      <c r="H57" s="50">
        <f t="shared" si="1"/>
        <v>4.0678195539612165</v>
      </c>
      <c r="I57" s="49">
        <f>VLOOKUP($A57,'Data shares'!$C:$FB,66)</f>
        <v>15373750</v>
      </c>
      <c r="J57" s="49">
        <f>VLOOKUP($A57,'Data shares'!$C:$FB,67)</f>
        <v>16703750</v>
      </c>
      <c r="K57" s="50">
        <f t="shared" si="2"/>
        <v>-8.6511098463289695</v>
      </c>
      <c r="L57" s="50">
        <f>VLOOKUP($A57,'Data shares'!$C:$FB,118)</f>
        <v>0.49</v>
      </c>
      <c r="M57" s="50">
        <f>VLOOKUP($A57,'Data shares'!$C:$FB,119)</f>
        <v>0.54</v>
      </c>
      <c r="N57" s="50">
        <f>VLOOKUP($A57,'Data shares'!$C:$FB,121)*100</f>
        <v>-9.26</v>
      </c>
      <c r="O57" s="50">
        <f>VLOOKUP($A57,'Data shares'!$C:$FB,124)</f>
        <v>0.56999999999999995</v>
      </c>
      <c r="P57" s="50">
        <f>VLOOKUP($A57,'Data shares'!$C:$FB,125)</f>
        <v>0.66</v>
      </c>
      <c r="Q57" s="50">
        <f>VLOOKUP($A57,'Data shares'!$C:$FB,127)*100</f>
        <v>-13.639999999999999</v>
      </c>
    </row>
    <row r="58" spans="1:17" x14ac:dyDescent="0.25">
      <c r="A58" s="97" t="str">
        <f>'Snapshot (Value)'!A62</f>
        <v>DALBHARAT</v>
      </c>
      <c r="B58" s="140">
        <f>VLOOKUP($A58,'Data shares'!$C:$FB,7)</f>
        <v>1928.7</v>
      </c>
      <c r="C58" s="140">
        <f>VLOOKUP($A58,'Data shares'!$C:$FB,3)</f>
        <v>1932.6</v>
      </c>
      <c r="D58" s="140">
        <f>VLOOKUP($A58,'Data shares'!$C:$FB,4)</f>
        <v>1901.3</v>
      </c>
      <c r="E58" s="50">
        <f t="shared" si="0"/>
        <v>1.6462420449166337</v>
      </c>
      <c r="F58" s="49">
        <f>VLOOKUP($A58,'Data shares'!$C:$FB,98)</f>
        <v>3984500</v>
      </c>
      <c r="G58" s="49">
        <f>VLOOKUP($A58,'Data shares'!$C:$FB,99)</f>
        <v>3933800</v>
      </c>
      <c r="H58" s="50">
        <f t="shared" si="1"/>
        <v>1.288830138797092</v>
      </c>
      <c r="I58" s="49">
        <f>VLOOKUP($A58,'Data shares'!$C:$FB,66)</f>
        <v>1268475</v>
      </c>
      <c r="J58" s="49">
        <f>VLOOKUP($A58,'Data shares'!$C:$FB,67)</f>
        <v>1717625</v>
      </c>
      <c r="K58" s="50">
        <f t="shared" si="2"/>
        <v>-35.408660005124268</v>
      </c>
      <c r="L58" s="50">
        <f>VLOOKUP($A58,'Data shares'!$C:$FB,118)</f>
        <v>0.99</v>
      </c>
      <c r="M58" s="50">
        <f>VLOOKUP($A58,'Data shares'!$C:$FB,119)</f>
        <v>1.0900000000000001</v>
      </c>
      <c r="N58" s="50">
        <f>VLOOKUP($A58,'Data shares'!$C:$FB,121)*100</f>
        <v>-9.17</v>
      </c>
      <c r="O58" s="50">
        <f>VLOOKUP($A58,'Data shares'!$C:$FB,124)</f>
        <v>1.42</v>
      </c>
      <c r="P58" s="50">
        <f>VLOOKUP($A58,'Data shares'!$C:$FB,125)</f>
        <v>1.68</v>
      </c>
      <c r="Q58" s="50">
        <f>VLOOKUP($A58,'Data shares'!$C:$FB,127)*100</f>
        <v>-15.479999999999999</v>
      </c>
    </row>
    <row r="59" spans="1:17" x14ac:dyDescent="0.25">
      <c r="A59" s="97" t="str">
        <f>'Snapshot (Value)'!A63</f>
        <v>DELHIVERY</v>
      </c>
      <c r="B59" s="140">
        <f>VLOOKUP($A59,'Data shares'!$C:$FB,7)</f>
        <v>428.1</v>
      </c>
      <c r="C59" s="140">
        <f>VLOOKUP($A59,'Data shares'!$C:$FB,3)</f>
        <v>428.95</v>
      </c>
      <c r="D59" s="140">
        <f>VLOOKUP($A59,'Data shares'!$C:$FB,4)</f>
        <v>418.85</v>
      </c>
      <c r="E59" s="50">
        <f t="shared" si="0"/>
        <v>2.4113644502805216</v>
      </c>
      <c r="F59" s="49">
        <f>VLOOKUP($A59,'Data shares'!$C:$FB,98)</f>
        <v>32536000</v>
      </c>
      <c r="G59" s="49">
        <f>VLOOKUP($A59,'Data shares'!$C:$FB,99)</f>
        <v>30963150</v>
      </c>
      <c r="H59" s="50">
        <f t="shared" si="1"/>
        <v>5.0797480230532095</v>
      </c>
      <c r="I59" s="49">
        <f>VLOOKUP($A59,'Data shares'!$C:$FB,66)</f>
        <v>13620300</v>
      </c>
      <c r="J59" s="49">
        <f>VLOOKUP($A59,'Data shares'!$C:$FB,67)</f>
        <v>11804675</v>
      </c>
      <c r="K59" s="50">
        <f t="shared" si="2"/>
        <v>13.330286410725167</v>
      </c>
      <c r="L59" s="50">
        <f>VLOOKUP($A59,'Data shares'!$C:$FB,118)</f>
        <v>0.44</v>
      </c>
      <c r="M59" s="50">
        <f>VLOOKUP($A59,'Data shares'!$C:$FB,119)</f>
        <v>0.47</v>
      </c>
      <c r="N59" s="50">
        <f>VLOOKUP($A59,'Data shares'!$C:$FB,121)*100</f>
        <v>-6.38</v>
      </c>
      <c r="O59" s="50">
        <f>VLOOKUP($A59,'Data shares'!$C:$FB,124)</f>
        <v>0.24</v>
      </c>
      <c r="P59" s="50">
        <f>VLOOKUP($A59,'Data shares'!$C:$FB,125)</f>
        <v>0.62</v>
      </c>
      <c r="Q59" s="50">
        <f>VLOOKUP($A59,'Data shares'!$C:$FB,127)*100</f>
        <v>-61.29</v>
      </c>
    </row>
    <row r="60" spans="1:17" x14ac:dyDescent="0.25">
      <c r="A60" s="97" t="str">
        <f>'Snapshot (Value)'!A64</f>
        <v>DIVISLAB</v>
      </c>
      <c r="B60" s="140">
        <f>VLOOKUP($A60,'Data shares'!$C:$FB,7)</f>
        <v>6364.5</v>
      </c>
      <c r="C60" s="140">
        <f>VLOOKUP($A60,'Data shares'!$C:$FB,3)</f>
        <v>6392.5</v>
      </c>
      <c r="D60" s="140">
        <f>VLOOKUP($A60,'Data shares'!$C:$FB,4)</f>
        <v>6329</v>
      </c>
      <c r="E60" s="50">
        <f t="shared" si="0"/>
        <v>1.003318059725075</v>
      </c>
      <c r="F60" s="49">
        <f>VLOOKUP($A60,'Data shares'!$C:$FB,98)</f>
        <v>3831400</v>
      </c>
      <c r="G60" s="49">
        <f>VLOOKUP($A60,'Data shares'!$C:$FB,99)</f>
        <v>3792100</v>
      </c>
      <c r="H60" s="50">
        <f t="shared" si="1"/>
        <v>1.0363650747606867</v>
      </c>
      <c r="I60" s="49">
        <f>VLOOKUP($A60,'Data shares'!$C:$FB,66)</f>
        <v>1154500</v>
      </c>
      <c r="J60" s="49">
        <f>VLOOKUP($A60,'Data shares'!$C:$FB,67)</f>
        <v>1550500</v>
      </c>
      <c r="K60" s="50">
        <f t="shared" si="2"/>
        <v>-34.300563014291903</v>
      </c>
      <c r="L60" s="50">
        <f>VLOOKUP($A60,'Data shares'!$C:$FB,118)</f>
        <v>0.56999999999999995</v>
      </c>
      <c r="M60" s="50">
        <f>VLOOKUP($A60,'Data shares'!$C:$FB,119)</f>
        <v>0.57999999999999996</v>
      </c>
      <c r="N60" s="50">
        <f>VLOOKUP($A60,'Data shares'!$C:$FB,121)*100</f>
        <v>-1.72</v>
      </c>
      <c r="O60" s="50">
        <f>VLOOKUP($A60,'Data shares'!$C:$FB,124)</f>
        <v>0.27</v>
      </c>
      <c r="P60" s="50">
        <f>VLOOKUP($A60,'Data shares'!$C:$FB,125)</f>
        <v>0.71</v>
      </c>
      <c r="Q60" s="50">
        <f>VLOOKUP($A60,'Data shares'!$C:$FB,127)*100</f>
        <v>-61.970000000000006</v>
      </c>
    </row>
    <row r="61" spans="1:17" x14ac:dyDescent="0.25">
      <c r="A61" s="97" t="str">
        <f>'Snapshot (Value)'!A65</f>
        <v>DIXON</v>
      </c>
      <c r="B61" s="140">
        <f>VLOOKUP($A61,'Data shares'!$C:$FB,7)</f>
        <v>10224</v>
      </c>
      <c r="C61" s="140">
        <f>VLOOKUP($A61,'Data shares'!$C:$FB,3)</f>
        <v>10236</v>
      </c>
      <c r="D61" s="140">
        <f>VLOOKUP($A61,'Data shares'!$C:$FB,4)</f>
        <v>10175</v>
      </c>
      <c r="E61" s="50">
        <f t="shared" si="0"/>
        <v>0.59950859950859947</v>
      </c>
      <c r="F61" s="49">
        <f>VLOOKUP($A61,'Data shares'!$C:$FB,98)</f>
        <v>5607950</v>
      </c>
      <c r="G61" s="49">
        <f>VLOOKUP($A61,'Data shares'!$C:$FB,99)</f>
        <v>5647300</v>
      </c>
      <c r="H61" s="50">
        <f t="shared" si="1"/>
        <v>-0.69679315779221929</v>
      </c>
      <c r="I61" s="49">
        <f>VLOOKUP($A61,'Data shares'!$C:$FB,66)</f>
        <v>3962300</v>
      </c>
      <c r="J61" s="49">
        <f>VLOOKUP($A61,'Data shares'!$C:$FB,67)</f>
        <v>5298500</v>
      </c>
      <c r="K61" s="50">
        <f t="shared" si="2"/>
        <v>-33.722837745753729</v>
      </c>
      <c r="L61" s="50">
        <f>VLOOKUP($A61,'Data shares'!$C:$FB,118)</f>
        <v>0.61</v>
      </c>
      <c r="M61" s="50">
        <f>VLOOKUP($A61,'Data shares'!$C:$FB,119)</f>
        <v>0.61</v>
      </c>
      <c r="N61" s="50">
        <f>VLOOKUP($A61,'Data shares'!$C:$FB,121)*100</f>
        <v>0</v>
      </c>
      <c r="O61" s="50">
        <f>VLOOKUP($A61,'Data shares'!$C:$FB,124)</f>
        <v>0.48</v>
      </c>
      <c r="P61" s="50">
        <f>VLOOKUP($A61,'Data shares'!$C:$FB,125)</f>
        <v>0.59</v>
      </c>
      <c r="Q61" s="50">
        <f>VLOOKUP($A61,'Data shares'!$C:$FB,127)*100</f>
        <v>-18.64</v>
      </c>
    </row>
    <row r="62" spans="1:17" x14ac:dyDescent="0.25">
      <c r="A62" s="97" t="str">
        <f>'Snapshot (Value)'!A66</f>
        <v>DLF</v>
      </c>
      <c r="B62" s="140">
        <f>VLOOKUP($A62,'Data shares'!$C:$FB,7)</f>
        <v>585.15</v>
      </c>
      <c r="C62" s="140">
        <f>VLOOKUP($A62,'Data shares'!$C:$FB,3)</f>
        <v>587.29999999999995</v>
      </c>
      <c r="D62" s="140">
        <f>VLOOKUP($A62,'Data shares'!$C:$FB,4)</f>
        <v>571.54999999999995</v>
      </c>
      <c r="E62" s="50">
        <f t="shared" si="0"/>
        <v>2.7556644213104717</v>
      </c>
      <c r="F62" s="49">
        <f>VLOOKUP($A62,'Data shares'!$C:$FB,98)</f>
        <v>76043550</v>
      </c>
      <c r="G62" s="49">
        <f>VLOOKUP($A62,'Data shares'!$C:$FB,99)</f>
        <v>76732425</v>
      </c>
      <c r="H62" s="50">
        <f t="shared" si="1"/>
        <v>-0.89776258211570914</v>
      </c>
      <c r="I62" s="49">
        <f>VLOOKUP($A62,'Data shares'!$C:$FB,66)</f>
        <v>26420625</v>
      </c>
      <c r="J62" s="49">
        <f>VLOOKUP($A62,'Data shares'!$C:$FB,67)</f>
        <v>46324575</v>
      </c>
      <c r="K62" s="50">
        <f t="shared" si="2"/>
        <v>-75.334894613583131</v>
      </c>
      <c r="L62" s="50">
        <f>VLOOKUP($A62,'Data shares'!$C:$FB,118)</f>
        <v>0.84</v>
      </c>
      <c r="M62" s="50">
        <f>VLOOKUP($A62,'Data shares'!$C:$FB,119)</f>
        <v>0.82</v>
      </c>
      <c r="N62" s="50">
        <f>VLOOKUP($A62,'Data shares'!$C:$FB,121)*100</f>
        <v>2.44</v>
      </c>
      <c r="O62" s="50">
        <f>VLOOKUP($A62,'Data shares'!$C:$FB,124)</f>
        <v>0.52</v>
      </c>
      <c r="P62" s="50">
        <f>VLOOKUP($A62,'Data shares'!$C:$FB,125)</f>
        <v>0.84</v>
      </c>
      <c r="Q62" s="50">
        <f>VLOOKUP($A62,'Data shares'!$C:$FB,127)*100</f>
        <v>-38.1</v>
      </c>
    </row>
    <row r="63" spans="1:17" x14ac:dyDescent="0.25">
      <c r="A63" s="97" t="str">
        <f>'Snapshot (Value)'!A67</f>
        <v>DMART</v>
      </c>
      <c r="B63" s="140">
        <f>VLOOKUP($A63,'Data shares'!$C:$FB,7)</f>
        <v>3835.4</v>
      </c>
      <c r="C63" s="140">
        <f>VLOOKUP($A63,'Data shares'!$C:$FB,3)</f>
        <v>3844.7</v>
      </c>
      <c r="D63" s="140">
        <f>VLOOKUP($A63,'Data shares'!$C:$FB,4)</f>
        <v>3744.8</v>
      </c>
      <c r="E63" s="50">
        <f t="shared" si="0"/>
        <v>2.6676992095705945</v>
      </c>
      <c r="F63" s="49">
        <f>VLOOKUP($A63,'Data shares'!$C:$FB,98)</f>
        <v>7288650</v>
      </c>
      <c r="G63" s="49">
        <f>VLOOKUP($A63,'Data shares'!$C:$FB,99)</f>
        <v>7210500</v>
      </c>
      <c r="H63" s="50">
        <f t="shared" si="1"/>
        <v>1.0838360723944249</v>
      </c>
      <c r="I63" s="49">
        <f>VLOOKUP($A63,'Data shares'!$C:$FB,66)</f>
        <v>2643900</v>
      </c>
      <c r="J63" s="49">
        <f>VLOOKUP($A63,'Data shares'!$C:$FB,67)</f>
        <v>1852800</v>
      </c>
      <c r="K63" s="50">
        <f t="shared" si="2"/>
        <v>29.921706569840005</v>
      </c>
      <c r="L63" s="50">
        <f>VLOOKUP($A63,'Data shares'!$C:$FB,118)</f>
        <v>0.78</v>
      </c>
      <c r="M63" s="50">
        <f>VLOOKUP($A63,'Data shares'!$C:$FB,119)</f>
        <v>0.83</v>
      </c>
      <c r="N63" s="50">
        <f>VLOOKUP($A63,'Data shares'!$C:$FB,121)*100</f>
        <v>-6.02</v>
      </c>
      <c r="O63" s="50">
        <f>VLOOKUP($A63,'Data shares'!$C:$FB,124)</f>
        <v>0.4</v>
      </c>
      <c r="P63" s="50">
        <f>VLOOKUP($A63,'Data shares'!$C:$FB,125)</f>
        <v>0.93</v>
      </c>
      <c r="Q63" s="50">
        <f>VLOOKUP($A63,'Data shares'!$C:$FB,127)*100</f>
        <v>-56.989999999999995</v>
      </c>
    </row>
    <row r="64" spans="1:17" x14ac:dyDescent="0.25">
      <c r="A64" s="97" t="str">
        <f>'Snapshot (Value)'!A68</f>
        <v>DRREDDY</v>
      </c>
      <c r="B64" s="140">
        <f>VLOOKUP($A64,'Data shares'!$C:$FB,7)</f>
        <v>1313.5</v>
      </c>
      <c r="C64" s="140">
        <f>VLOOKUP($A64,'Data shares'!$C:$FB,3)</f>
        <v>1318</v>
      </c>
      <c r="D64" s="140">
        <f>VLOOKUP($A64,'Data shares'!$C:$FB,4)</f>
        <v>1293.8</v>
      </c>
      <c r="E64" s="50">
        <f t="shared" si="0"/>
        <v>1.8704591126913004</v>
      </c>
      <c r="F64" s="49">
        <f>VLOOKUP($A64,'Data shares'!$C:$FB,98)</f>
        <v>23436250</v>
      </c>
      <c r="G64" s="49">
        <f>VLOOKUP($A64,'Data shares'!$C:$FB,99)</f>
        <v>23218125</v>
      </c>
      <c r="H64" s="50">
        <f t="shared" si="1"/>
        <v>0.93946001238256749</v>
      </c>
      <c r="I64" s="49">
        <f>VLOOKUP($A64,'Data shares'!$C:$FB,66)</f>
        <v>12327500</v>
      </c>
      <c r="J64" s="49">
        <f>VLOOKUP($A64,'Data shares'!$C:$FB,67)</f>
        <v>11985000</v>
      </c>
      <c r="K64" s="50">
        <f t="shared" si="2"/>
        <v>2.7783411072804705</v>
      </c>
      <c r="L64" s="50">
        <f>VLOOKUP($A64,'Data shares'!$C:$FB,118)</f>
        <v>0.66</v>
      </c>
      <c r="M64" s="50">
        <f>VLOOKUP($A64,'Data shares'!$C:$FB,119)</f>
        <v>0.67</v>
      </c>
      <c r="N64" s="50">
        <f>VLOOKUP($A64,'Data shares'!$C:$FB,121)*100</f>
        <v>-1.49</v>
      </c>
      <c r="O64" s="50">
        <f>VLOOKUP($A64,'Data shares'!$C:$FB,124)</f>
        <v>0.36</v>
      </c>
      <c r="P64" s="50">
        <f>VLOOKUP($A64,'Data shares'!$C:$FB,125)</f>
        <v>0.55000000000000004</v>
      </c>
      <c r="Q64" s="50">
        <f>VLOOKUP($A64,'Data shares'!$C:$FB,127)*100</f>
        <v>-34.549999999999997</v>
      </c>
    </row>
    <row r="65" spans="1:17" x14ac:dyDescent="0.25">
      <c r="A65" s="97" t="str">
        <f>'Snapshot (Value)'!A69</f>
        <v>EICHERMOT</v>
      </c>
      <c r="B65" s="140">
        <f>VLOOKUP($A65,'Data shares'!$C:$FB,7)</f>
        <v>7755</v>
      </c>
      <c r="C65" s="140">
        <f>VLOOKUP($A65,'Data shares'!$C:$FB,3)</f>
        <v>7768</v>
      </c>
      <c r="D65" s="140">
        <f>VLOOKUP($A65,'Data shares'!$C:$FB,4)</f>
        <v>7654</v>
      </c>
      <c r="E65" s="50">
        <f t="shared" si="0"/>
        <v>1.4894172981447609</v>
      </c>
      <c r="F65" s="49">
        <f>VLOOKUP($A65,'Data shares'!$C:$FB,98)</f>
        <v>5913000</v>
      </c>
      <c r="G65" s="49">
        <f>VLOOKUP($A65,'Data shares'!$C:$FB,99)</f>
        <v>5861900</v>
      </c>
      <c r="H65" s="50">
        <f t="shared" si="1"/>
        <v>0.87173100871731013</v>
      </c>
      <c r="I65" s="49">
        <f>VLOOKUP($A65,'Data shares'!$C:$FB,66)</f>
        <v>3009500</v>
      </c>
      <c r="J65" s="49">
        <f>VLOOKUP($A65,'Data shares'!$C:$FB,67)</f>
        <v>3531500</v>
      </c>
      <c r="K65" s="50">
        <f t="shared" si="2"/>
        <v>-17.345073932546935</v>
      </c>
      <c r="L65" s="50">
        <f>VLOOKUP($A65,'Data shares'!$C:$FB,118)</f>
        <v>0.61</v>
      </c>
      <c r="M65" s="50">
        <f>VLOOKUP($A65,'Data shares'!$C:$FB,119)</f>
        <v>0.63</v>
      </c>
      <c r="N65" s="50">
        <f>VLOOKUP($A65,'Data shares'!$C:$FB,121)*100</f>
        <v>-3.17</v>
      </c>
      <c r="O65" s="50">
        <f>VLOOKUP($A65,'Data shares'!$C:$FB,124)</f>
        <v>0.47</v>
      </c>
      <c r="P65" s="50">
        <f>VLOOKUP($A65,'Data shares'!$C:$FB,125)</f>
        <v>0.96</v>
      </c>
      <c r="Q65" s="50">
        <f>VLOOKUP($A65,'Data shares'!$C:$FB,127)*100</f>
        <v>-51.04</v>
      </c>
    </row>
    <row r="66" spans="1:17" x14ac:dyDescent="0.25">
      <c r="A66" s="97" t="str">
        <f>'Snapshot (Value)'!A70</f>
        <v>ETERNAL</v>
      </c>
      <c r="B66" s="140">
        <f>VLOOKUP($A66,'Data shares'!$C:$FB,7)</f>
        <v>240.14</v>
      </c>
      <c r="C66" s="140">
        <f>VLOOKUP($A66,'Data shares'!$C:$FB,3)</f>
        <v>240.67</v>
      </c>
      <c r="D66" s="140">
        <f>VLOOKUP($A66,'Data shares'!$C:$FB,4)</f>
        <v>241.18</v>
      </c>
      <c r="E66" s="50">
        <f t="shared" si="0"/>
        <v>-0.21146032009288471</v>
      </c>
      <c r="F66" s="49">
        <f>VLOOKUP($A66,'Data shares'!$C:$FB,98)</f>
        <v>457733300</v>
      </c>
      <c r="G66" s="49">
        <f>VLOOKUP($A66,'Data shares'!$C:$FB,99)</f>
        <v>446772300</v>
      </c>
      <c r="H66" s="50">
        <f t="shared" si="1"/>
        <v>2.4533750189973729</v>
      </c>
      <c r="I66" s="49">
        <f>VLOOKUP($A66,'Data shares'!$C:$FB,66)</f>
        <v>197065200</v>
      </c>
      <c r="J66" s="49">
        <f>VLOOKUP($A66,'Data shares'!$C:$FB,67)</f>
        <v>152709525</v>
      </c>
      <c r="K66" s="50">
        <f t="shared" si="2"/>
        <v>22.50812167749557</v>
      </c>
      <c r="L66" s="50">
        <f>VLOOKUP($A66,'Data shares'!$C:$FB,118)</f>
        <v>0.49</v>
      </c>
      <c r="M66" s="50">
        <f>VLOOKUP($A66,'Data shares'!$C:$FB,119)</f>
        <v>0.49</v>
      </c>
      <c r="N66" s="50">
        <f>VLOOKUP($A66,'Data shares'!$C:$FB,121)*100</f>
        <v>0</v>
      </c>
      <c r="O66" s="50">
        <f>VLOOKUP($A66,'Data shares'!$C:$FB,124)</f>
        <v>0.47</v>
      </c>
      <c r="P66" s="50">
        <f>VLOOKUP($A66,'Data shares'!$C:$FB,125)</f>
        <v>0.48</v>
      </c>
      <c r="Q66" s="50">
        <f>VLOOKUP($A66,'Data shares'!$C:$FB,127)*100</f>
        <v>-2.08</v>
      </c>
    </row>
    <row r="67" spans="1:17" x14ac:dyDescent="0.25">
      <c r="A67" s="97" t="str">
        <f>'Snapshot (Value)'!A71</f>
        <v>EXIDEIND</v>
      </c>
      <c r="B67" s="140">
        <f>VLOOKUP($A67,'Data shares'!$C:$FB,7)</f>
        <v>319.64999999999998</v>
      </c>
      <c r="C67" s="140">
        <f>VLOOKUP($A67,'Data shares'!$C:$FB,3)</f>
        <v>320.95</v>
      </c>
      <c r="D67" s="140">
        <f>VLOOKUP($A67,'Data shares'!$C:$FB,4)</f>
        <v>315.14999999999998</v>
      </c>
      <c r="E67" s="50">
        <f t="shared" si="0"/>
        <v>1.8403934634301164</v>
      </c>
      <c r="F67" s="49">
        <f>VLOOKUP($A67,'Data shares'!$C:$FB,98)</f>
        <v>48416400</v>
      </c>
      <c r="G67" s="49">
        <f>VLOOKUP($A67,'Data shares'!$C:$FB,99)</f>
        <v>47977200</v>
      </c>
      <c r="H67" s="50">
        <f t="shared" si="1"/>
        <v>0.91543483154498395</v>
      </c>
      <c r="I67" s="49">
        <f>VLOOKUP($A67,'Data shares'!$C:$FB,66)</f>
        <v>12769200</v>
      </c>
      <c r="J67" s="49">
        <f>VLOOKUP($A67,'Data shares'!$C:$FB,67)</f>
        <v>12171600</v>
      </c>
      <c r="K67" s="50">
        <f t="shared" si="2"/>
        <v>4.6800112771356073</v>
      </c>
      <c r="L67" s="50">
        <f>VLOOKUP($A67,'Data shares'!$C:$FB,118)</f>
        <v>0.94</v>
      </c>
      <c r="M67" s="50">
        <f>VLOOKUP($A67,'Data shares'!$C:$FB,119)</f>
        <v>0.91</v>
      </c>
      <c r="N67" s="50">
        <f>VLOOKUP($A67,'Data shares'!$C:$FB,121)*100</f>
        <v>3.3000000000000003</v>
      </c>
      <c r="O67" s="50">
        <f>VLOOKUP($A67,'Data shares'!$C:$FB,124)</f>
        <v>0.55000000000000004</v>
      </c>
      <c r="P67" s="50">
        <f>VLOOKUP($A67,'Data shares'!$C:$FB,125)</f>
        <v>0.39</v>
      </c>
      <c r="Q67" s="50">
        <f>VLOOKUP($A67,'Data shares'!$C:$FB,127)*100</f>
        <v>41.03</v>
      </c>
    </row>
    <row r="68" spans="1:17" x14ac:dyDescent="0.25">
      <c r="A68" s="97" t="str">
        <f>'Snapshot (Value)'!A72</f>
        <v>FEDERALBNK</v>
      </c>
      <c r="B68" s="140">
        <f>VLOOKUP($A68,'Data shares'!$C:$FB,7)</f>
        <v>289.7</v>
      </c>
      <c r="C68" s="140">
        <f>VLOOKUP($A68,'Data shares'!$C:$FB,3)</f>
        <v>290.85000000000002</v>
      </c>
      <c r="D68" s="140">
        <f>VLOOKUP($A68,'Data shares'!$C:$FB,4)</f>
        <v>287.8</v>
      </c>
      <c r="E68" s="50">
        <f t="shared" si="0"/>
        <v>1.0597637248088991</v>
      </c>
      <c r="F68" s="49">
        <f>VLOOKUP($A68,'Data shares'!$C:$FB,98)</f>
        <v>125230000</v>
      </c>
      <c r="G68" s="49">
        <f>VLOOKUP($A68,'Data shares'!$C:$FB,99)</f>
        <v>116395000</v>
      </c>
      <c r="H68" s="50">
        <f t="shared" si="1"/>
        <v>7.5905322393573602</v>
      </c>
      <c r="I68" s="49">
        <f>VLOOKUP($A68,'Data shares'!$C:$FB,66)</f>
        <v>99470000</v>
      </c>
      <c r="J68" s="49">
        <f>VLOOKUP($A68,'Data shares'!$C:$FB,67)</f>
        <v>133930000</v>
      </c>
      <c r="K68" s="50">
        <f t="shared" si="2"/>
        <v>-34.643611139036892</v>
      </c>
      <c r="L68" s="50">
        <f>VLOOKUP($A68,'Data shares'!$C:$FB,118)</f>
        <v>0.7</v>
      </c>
      <c r="M68" s="50">
        <f>VLOOKUP($A68,'Data shares'!$C:$FB,119)</f>
        <v>0.72</v>
      </c>
      <c r="N68" s="50">
        <f>VLOOKUP($A68,'Data shares'!$C:$FB,121)*100</f>
        <v>-2.78</v>
      </c>
      <c r="O68" s="50">
        <f>VLOOKUP($A68,'Data shares'!$C:$FB,124)</f>
        <v>0.7</v>
      </c>
      <c r="P68" s="50">
        <f>VLOOKUP($A68,'Data shares'!$C:$FB,125)</f>
        <v>0.96</v>
      </c>
      <c r="Q68" s="50">
        <f>VLOOKUP($A68,'Data shares'!$C:$FB,127)*100</f>
        <v>-27.08</v>
      </c>
    </row>
    <row r="69" spans="1:17" x14ac:dyDescent="0.25">
      <c r="A69" s="97" t="str">
        <f>'Snapshot (Value)'!A73</f>
        <v>FINNIFTY</v>
      </c>
      <c r="B69" s="140">
        <f>VLOOKUP($A69,'Data shares'!$C:$FB,7)</f>
        <v>27235.8</v>
      </c>
      <c r="C69" s="140">
        <f>VLOOKUP($A69,'Data shares'!$C:$FB,3)</f>
        <v>27361.1</v>
      </c>
      <c r="D69" s="140">
        <f>VLOOKUP($A69,'Data shares'!$C:$FB,4)</f>
        <v>27137.3</v>
      </c>
      <c r="E69" s="50">
        <f t="shared" si="0"/>
        <v>0.82469516127248943</v>
      </c>
      <c r="F69" s="49">
        <f>VLOOKUP($A69,'Data shares'!$C:$FB,98)</f>
        <v>1395720</v>
      </c>
      <c r="G69" s="49">
        <f>VLOOKUP($A69,'Data shares'!$C:$FB,99)</f>
        <v>1345140</v>
      </c>
      <c r="H69" s="50">
        <f t="shared" si="1"/>
        <v>3.7602033989027164</v>
      </c>
      <c r="I69" s="49">
        <f>VLOOKUP($A69,'Data shares'!$C:$FB,66)</f>
        <v>2615760</v>
      </c>
      <c r="J69" s="49">
        <f>VLOOKUP($A69,'Data shares'!$C:$FB,67)</f>
        <v>2603400</v>
      </c>
      <c r="K69" s="50">
        <f t="shared" si="2"/>
        <v>0.4725204147169465</v>
      </c>
      <c r="L69" s="50">
        <f>VLOOKUP($A69,'Data shares'!$C:$FB,118)</f>
        <v>0.85</v>
      </c>
      <c r="M69" s="50">
        <f>VLOOKUP($A69,'Data shares'!$C:$FB,119)</f>
        <v>0.84</v>
      </c>
      <c r="N69" s="50">
        <f>VLOOKUP($A69,'Data shares'!$C:$FB,121)*100</f>
        <v>1.1900000000000002</v>
      </c>
      <c r="O69" s="50">
        <f>VLOOKUP($A69,'Data shares'!$C:$FB,124)</f>
        <v>1.08</v>
      </c>
      <c r="P69" s="50">
        <f>VLOOKUP($A69,'Data shares'!$C:$FB,125)</f>
        <v>1.29</v>
      </c>
      <c r="Q69" s="50">
        <f>VLOOKUP($A69,'Data shares'!$C:$FB,127)*100</f>
        <v>-16.28</v>
      </c>
    </row>
    <row r="70" spans="1:17" x14ac:dyDescent="0.25">
      <c r="A70" s="97" t="str">
        <f>'Snapshot (Value)'!A74</f>
        <v>FORTIS</v>
      </c>
      <c r="B70" s="140">
        <f>VLOOKUP($A70,'Data shares'!$C:$FB,7)</f>
        <v>920.95</v>
      </c>
      <c r="C70" s="140">
        <f>VLOOKUP($A70,'Data shares'!$C:$FB,3)</f>
        <v>922.7</v>
      </c>
      <c r="D70" s="140">
        <f>VLOOKUP($A70,'Data shares'!$C:$FB,4)</f>
        <v>914.95</v>
      </c>
      <c r="E70" s="50">
        <f t="shared" si="0"/>
        <v>0.84704082190283614</v>
      </c>
      <c r="F70" s="49">
        <f>VLOOKUP($A70,'Data shares'!$C:$FB,98)</f>
        <v>16643125</v>
      </c>
      <c r="G70" s="49">
        <f>VLOOKUP($A70,'Data shares'!$C:$FB,99)</f>
        <v>16219200</v>
      </c>
      <c r="H70" s="50">
        <f t="shared" si="1"/>
        <v>2.6137232415902139</v>
      </c>
      <c r="I70" s="49">
        <f>VLOOKUP($A70,'Data shares'!$C:$FB,66)</f>
        <v>5172350</v>
      </c>
      <c r="J70" s="49">
        <f>VLOOKUP($A70,'Data shares'!$C:$FB,67)</f>
        <v>7049400</v>
      </c>
      <c r="K70" s="50">
        <f t="shared" si="2"/>
        <v>-36.290080910997901</v>
      </c>
      <c r="L70" s="50">
        <f>VLOOKUP($A70,'Data shares'!$C:$FB,118)</f>
        <v>0.46</v>
      </c>
      <c r="M70" s="50">
        <f>VLOOKUP($A70,'Data shares'!$C:$FB,119)</f>
        <v>0.52</v>
      </c>
      <c r="N70" s="50">
        <f>VLOOKUP($A70,'Data shares'!$C:$FB,121)*100</f>
        <v>-11.540000000000001</v>
      </c>
      <c r="O70" s="50">
        <f>VLOOKUP($A70,'Data shares'!$C:$FB,124)</f>
        <v>0.5</v>
      </c>
      <c r="P70" s="50">
        <f>VLOOKUP($A70,'Data shares'!$C:$FB,125)</f>
        <v>0.46</v>
      </c>
      <c r="Q70" s="50">
        <f>VLOOKUP($A70,'Data shares'!$C:$FB,127)*100</f>
        <v>8.6999999999999993</v>
      </c>
    </row>
    <row r="71" spans="1:17" x14ac:dyDescent="0.25">
      <c r="A71" s="97" t="str">
        <f>'Snapshot (Value)'!A75</f>
        <v>GAIL</v>
      </c>
      <c r="B71" s="140">
        <f>VLOOKUP($A71,'Data shares'!$C:$FB,7)</f>
        <v>156.72999999999999</v>
      </c>
      <c r="C71" s="140">
        <f>VLOOKUP($A71,'Data shares'!$C:$FB,3)</f>
        <v>156.94</v>
      </c>
      <c r="D71" s="140">
        <f>VLOOKUP($A71,'Data shares'!$C:$FB,4)</f>
        <v>154.97999999999999</v>
      </c>
      <c r="E71" s="50">
        <f t="shared" si="0"/>
        <v>1.2646793134598064</v>
      </c>
      <c r="F71" s="49">
        <f>VLOOKUP($A71,'Data shares'!$C:$FB,98)</f>
        <v>169674750</v>
      </c>
      <c r="G71" s="49">
        <f>VLOOKUP($A71,'Data shares'!$C:$FB,99)</f>
        <v>166039650</v>
      </c>
      <c r="H71" s="50">
        <f t="shared" si="1"/>
        <v>2.1892963518051261</v>
      </c>
      <c r="I71" s="49">
        <f>VLOOKUP($A71,'Data shares'!$C:$FB,66)</f>
        <v>111409200</v>
      </c>
      <c r="J71" s="49">
        <f>VLOOKUP($A71,'Data shares'!$C:$FB,67)</f>
        <v>224106750</v>
      </c>
      <c r="K71" s="50">
        <f t="shared" si="2"/>
        <v>-101.1564125763402</v>
      </c>
      <c r="L71" s="50">
        <f>VLOOKUP($A71,'Data shares'!$C:$FB,118)</f>
        <v>1.22</v>
      </c>
      <c r="M71" s="50">
        <f>VLOOKUP($A71,'Data shares'!$C:$FB,119)</f>
        <v>1.33</v>
      </c>
      <c r="N71" s="50">
        <f>VLOOKUP($A71,'Data shares'!$C:$FB,121)*100</f>
        <v>-8.27</v>
      </c>
      <c r="O71" s="50">
        <f>VLOOKUP($A71,'Data shares'!$C:$FB,124)</f>
        <v>0.93</v>
      </c>
      <c r="P71" s="50">
        <f>VLOOKUP($A71,'Data shares'!$C:$FB,125)</f>
        <v>1.46</v>
      </c>
      <c r="Q71" s="50">
        <f>VLOOKUP($A71,'Data shares'!$C:$FB,127)*100</f>
        <v>-36.299999999999997</v>
      </c>
    </row>
    <row r="72" spans="1:17" x14ac:dyDescent="0.25">
      <c r="A72" s="97" t="str">
        <f>'Snapshot (Value)'!A76</f>
        <v>GLENMARK</v>
      </c>
      <c r="B72" s="140">
        <f>VLOOKUP($A72,'Data shares'!$C:$FB,7)</f>
        <v>2108.9</v>
      </c>
      <c r="C72" s="140">
        <f>VLOOKUP($A72,'Data shares'!$C:$FB,3)</f>
        <v>2111.9</v>
      </c>
      <c r="D72" s="140">
        <f>VLOOKUP($A72,'Data shares'!$C:$FB,4)</f>
        <v>2048.8000000000002</v>
      </c>
      <c r="E72" s="50">
        <f t="shared" ref="E72:E135" si="3">(C72-D72)/D72*100</f>
        <v>3.0798516204607527</v>
      </c>
      <c r="F72" s="49">
        <f>VLOOKUP($A72,'Data shares'!$C:$FB,98)</f>
        <v>13863000</v>
      </c>
      <c r="G72" s="49">
        <f>VLOOKUP($A72,'Data shares'!$C:$FB,99)</f>
        <v>13950000</v>
      </c>
      <c r="H72" s="50">
        <f t="shared" ref="H72:H135" si="4">(F72-G72)/G72*100</f>
        <v>-0.62365591397849462</v>
      </c>
      <c r="I72" s="49">
        <f>VLOOKUP($A72,'Data shares'!$C:$FB,66)</f>
        <v>4050000</v>
      </c>
      <c r="J72" s="49">
        <f>VLOOKUP($A72,'Data shares'!$C:$FB,67)</f>
        <v>4662000</v>
      </c>
      <c r="K72" s="50">
        <f t="shared" ref="K72:K135" si="5">(I72-J72)/I72*100</f>
        <v>-15.111111111111111</v>
      </c>
      <c r="L72" s="50">
        <f>VLOOKUP($A72,'Data shares'!$C:$FB,118)</f>
        <v>0.47</v>
      </c>
      <c r="M72" s="50">
        <f>VLOOKUP($A72,'Data shares'!$C:$FB,119)</f>
        <v>0.47</v>
      </c>
      <c r="N72" s="50">
        <f>VLOOKUP($A72,'Data shares'!$C:$FB,121)*100</f>
        <v>0</v>
      </c>
      <c r="O72" s="50">
        <f>VLOOKUP($A72,'Data shares'!$C:$FB,124)</f>
        <v>0.32</v>
      </c>
      <c r="P72" s="50">
        <f>VLOOKUP($A72,'Data shares'!$C:$FB,125)</f>
        <v>0.5</v>
      </c>
      <c r="Q72" s="50">
        <f>VLOOKUP($A72,'Data shares'!$C:$FB,127)*100</f>
        <v>-36</v>
      </c>
    </row>
    <row r="73" spans="1:17" x14ac:dyDescent="0.25">
      <c r="A73" s="97" t="str">
        <f>'Snapshot (Value)'!A77</f>
        <v>GMRAIRPORT</v>
      </c>
      <c r="B73" s="140">
        <f>VLOOKUP($A73,'Data shares'!$C:$FB,7)</f>
        <v>97.98</v>
      </c>
      <c r="C73" s="140">
        <f>VLOOKUP($A73,'Data shares'!$C:$FB,3)</f>
        <v>98.33</v>
      </c>
      <c r="D73" s="140">
        <f>VLOOKUP($A73,'Data shares'!$C:$FB,4)</f>
        <v>95.38</v>
      </c>
      <c r="E73" s="50">
        <f t="shared" si="3"/>
        <v>3.0928915915286255</v>
      </c>
      <c r="F73" s="49">
        <f>VLOOKUP($A73,'Data shares'!$C:$FB,98)</f>
        <v>234855225</v>
      </c>
      <c r="G73" s="49">
        <f>VLOOKUP($A73,'Data shares'!$C:$FB,99)</f>
        <v>235587600</v>
      </c>
      <c r="H73" s="50">
        <f t="shared" si="4"/>
        <v>-0.31087162482235908</v>
      </c>
      <c r="I73" s="49">
        <f>VLOOKUP($A73,'Data shares'!$C:$FB,66)</f>
        <v>68926950</v>
      </c>
      <c r="J73" s="49">
        <f>VLOOKUP($A73,'Data shares'!$C:$FB,67)</f>
        <v>103676400</v>
      </c>
      <c r="K73" s="50">
        <f t="shared" si="5"/>
        <v>-50.414895770087028</v>
      </c>
      <c r="L73" s="50">
        <f>VLOOKUP($A73,'Data shares'!$C:$FB,118)</f>
        <v>0.71</v>
      </c>
      <c r="M73" s="50">
        <f>VLOOKUP($A73,'Data shares'!$C:$FB,119)</f>
        <v>0.69</v>
      </c>
      <c r="N73" s="50">
        <f>VLOOKUP($A73,'Data shares'!$C:$FB,121)*100</f>
        <v>2.9000000000000004</v>
      </c>
      <c r="O73" s="50">
        <f>VLOOKUP($A73,'Data shares'!$C:$FB,124)</f>
        <v>0.69</v>
      </c>
      <c r="P73" s="50">
        <f>VLOOKUP($A73,'Data shares'!$C:$FB,125)</f>
        <v>1.1499999999999999</v>
      </c>
      <c r="Q73" s="50">
        <f>VLOOKUP($A73,'Data shares'!$C:$FB,127)*100</f>
        <v>-40</v>
      </c>
    </row>
    <row r="74" spans="1:17" x14ac:dyDescent="0.25">
      <c r="A74" s="97" t="str">
        <f>'Snapshot (Value)'!A78</f>
        <v>GODREJCP</v>
      </c>
      <c r="B74" s="140">
        <f>VLOOKUP($A74,'Data shares'!$C:$FB,7)</f>
        <v>1132.4000000000001</v>
      </c>
      <c r="C74" s="140">
        <f>VLOOKUP($A74,'Data shares'!$C:$FB,3)</f>
        <v>1138.4000000000001</v>
      </c>
      <c r="D74" s="140">
        <f>VLOOKUP($A74,'Data shares'!$C:$FB,4)</f>
        <v>1142.8</v>
      </c>
      <c r="E74" s="50">
        <f t="shared" si="3"/>
        <v>-0.3850192509625362</v>
      </c>
      <c r="F74" s="49">
        <f>VLOOKUP($A74,'Data shares'!$C:$FB,98)</f>
        <v>10767500</v>
      </c>
      <c r="G74" s="49">
        <f>VLOOKUP($A74,'Data shares'!$C:$FB,99)</f>
        <v>10380500</v>
      </c>
      <c r="H74" s="50">
        <f t="shared" si="4"/>
        <v>3.7281441163720439</v>
      </c>
      <c r="I74" s="49">
        <f>VLOOKUP($A74,'Data shares'!$C:$FB,66)</f>
        <v>2868000</v>
      </c>
      <c r="J74" s="49">
        <f>VLOOKUP($A74,'Data shares'!$C:$FB,67)</f>
        <v>6121500</v>
      </c>
      <c r="K74" s="50">
        <f t="shared" si="5"/>
        <v>-113.44142259414225</v>
      </c>
      <c r="L74" s="50">
        <f>VLOOKUP($A74,'Data shares'!$C:$FB,118)</f>
        <v>0.85</v>
      </c>
      <c r="M74" s="50">
        <f>VLOOKUP($A74,'Data shares'!$C:$FB,119)</f>
        <v>0.78</v>
      </c>
      <c r="N74" s="50">
        <f>VLOOKUP($A74,'Data shares'!$C:$FB,121)*100</f>
        <v>8.9700000000000006</v>
      </c>
      <c r="O74" s="50">
        <f>VLOOKUP($A74,'Data shares'!$C:$FB,124)</f>
        <v>0.72</v>
      </c>
      <c r="P74" s="50">
        <f>VLOOKUP($A74,'Data shares'!$C:$FB,125)</f>
        <v>0.78</v>
      </c>
      <c r="Q74" s="50">
        <f>VLOOKUP($A74,'Data shares'!$C:$FB,127)*100</f>
        <v>-7.6899999999999995</v>
      </c>
    </row>
    <row r="75" spans="1:17" x14ac:dyDescent="0.25">
      <c r="A75" s="97" t="str">
        <f>'Snapshot (Value)'!A79</f>
        <v>GODREJPROP</v>
      </c>
      <c r="B75" s="140">
        <f>VLOOKUP($A75,'Data shares'!$C:$FB,7)</f>
        <v>1743.8</v>
      </c>
      <c r="C75" s="140">
        <f>VLOOKUP($A75,'Data shares'!$C:$FB,3)</f>
        <v>1745.5</v>
      </c>
      <c r="D75" s="140">
        <f>VLOOKUP($A75,'Data shares'!$C:$FB,4)</f>
        <v>1695.9</v>
      </c>
      <c r="E75" s="50">
        <f t="shared" si="3"/>
        <v>2.9247007488649039</v>
      </c>
      <c r="F75" s="49">
        <f>VLOOKUP($A75,'Data shares'!$C:$FB,98)</f>
        <v>12076350</v>
      </c>
      <c r="G75" s="49">
        <f>VLOOKUP($A75,'Data shares'!$C:$FB,99)</f>
        <v>11914650</v>
      </c>
      <c r="H75" s="50">
        <f t="shared" si="4"/>
        <v>1.3571527489267414</v>
      </c>
      <c r="I75" s="49">
        <f>VLOOKUP($A75,'Data shares'!$C:$FB,66)</f>
        <v>6289250</v>
      </c>
      <c r="J75" s="49">
        <f>VLOOKUP($A75,'Data shares'!$C:$FB,67)</f>
        <v>8078950</v>
      </c>
      <c r="K75" s="50">
        <f t="shared" si="5"/>
        <v>-28.456493222562308</v>
      </c>
      <c r="L75" s="50">
        <f>VLOOKUP($A75,'Data shares'!$C:$FB,118)</f>
        <v>0.86</v>
      </c>
      <c r="M75" s="50">
        <f>VLOOKUP($A75,'Data shares'!$C:$FB,119)</f>
        <v>0.8</v>
      </c>
      <c r="N75" s="50">
        <f>VLOOKUP($A75,'Data shares'!$C:$FB,121)*100</f>
        <v>7.5</v>
      </c>
      <c r="O75" s="50">
        <f>VLOOKUP($A75,'Data shares'!$C:$FB,124)</f>
        <v>0.6</v>
      </c>
      <c r="P75" s="50">
        <f>VLOOKUP($A75,'Data shares'!$C:$FB,125)</f>
        <v>0.83</v>
      </c>
      <c r="Q75" s="50">
        <f>VLOOKUP($A75,'Data shares'!$C:$FB,127)*100</f>
        <v>-27.71</v>
      </c>
    </row>
    <row r="76" spans="1:17" x14ac:dyDescent="0.25">
      <c r="A76" s="97" t="str">
        <f>'Snapshot (Value)'!A80</f>
        <v>GRASIM</v>
      </c>
      <c r="B76" s="140">
        <f>VLOOKUP($A76,'Data shares'!$C:$FB,7)</f>
        <v>2724.1</v>
      </c>
      <c r="C76" s="140">
        <f>VLOOKUP($A76,'Data shares'!$C:$FB,3)</f>
        <v>2730</v>
      </c>
      <c r="D76" s="140">
        <f>VLOOKUP($A76,'Data shares'!$C:$FB,4)</f>
        <v>2688.3</v>
      </c>
      <c r="E76" s="50">
        <f t="shared" si="3"/>
        <v>1.5511661644905634</v>
      </c>
      <c r="F76" s="49">
        <f>VLOOKUP($A76,'Data shares'!$C:$FB,98)</f>
        <v>19212500</v>
      </c>
      <c r="G76" s="49">
        <f>VLOOKUP($A76,'Data shares'!$C:$FB,99)</f>
        <v>19125250</v>
      </c>
      <c r="H76" s="50">
        <f t="shared" si="4"/>
        <v>0.4562031868864459</v>
      </c>
      <c r="I76" s="49">
        <f>VLOOKUP($A76,'Data shares'!$C:$FB,66)</f>
        <v>5426500</v>
      </c>
      <c r="J76" s="49">
        <f>VLOOKUP($A76,'Data shares'!$C:$FB,67)</f>
        <v>6943500</v>
      </c>
      <c r="K76" s="50">
        <f t="shared" si="5"/>
        <v>-27.955404035750487</v>
      </c>
      <c r="L76" s="50">
        <f>VLOOKUP($A76,'Data shares'!$C:$FB,118)</f>
        <v>0.54</v>
      </c>
      <c r="M76" s="50">
        <f>VLOOKUP($A76,'Data shares'!$C:$FB,119)</f>
        <v>0.52</v>
      </c>
      <c r="N76" s="50">
        <f>VLOOKUP($A76,'Data shares'!$C:$FB,121)*100</f>
        <v>3.85</v>
      </c>
      <c r="O76" s="50">
        <f>VLOOKUP($A76,'Data shares'!$C:$FB,124)</f>
        <v>0.42</v>
      </c>
      <c r="P76" s="50">
        <f>VLOOKUP($A76,'Data shares'!$C:$FB,125)</f>
        <v>0.73</v>
      </c>
      <c r="Q76" s="50">
        <f>VLOOKUP($A76,'Data shares'!$C:$FB,127)*100</f>
        <v>-42.47</v>
      </c>
    </row>
    <row r="77" spans="1:17" x14ac:dyDescent="0.25">
      <c r="A77" s="97" t="str">
        <f>'Snapshot (Value)'!A81</f>
        <v>HAL</v>
      </c>
      <c r="B77" s="140">
        <f>VLOOKUP($A77,'Data shares'!$C:$FB,7)</f>
        <v>3891.8</v>
      </c>
      <c r="C77" s="140">
        <f>VLOOKUP($A77,'Data shares'!$C:$FB,3)</f>
        <v>3910.3</v>
      </c>
      <c r="D77" s="140">
        <f>VLOOKUP($A77,'Data shares'!$C:$FB,4)</f>
        <v>3889.9</v>
      </c>
      <c r="E77" s="50">
        <f t="shared" si="3"/>
        <v>0.52443507545181345</v>
      </c>
      <c r="F77" s="49">
        <f>VLOOKUP($A77,'Data shares'!$C:$FB,98)</f>
        <v>20043600</v>
      </c>
      <c r="G77" s="49">
        <f>VLOOKUP($A77,'Data shares'!$C:$FB,99)</f>
        <v>19523100</v>
      </c>
      <c r="H77" s="50">
        <f t="shared" si="4"/>
        <v>2.6660724987322708</v>
      </c>
      <c r="I77" s="49">
        <f>VLOOKUP($A77,'Data shares'!$C:$FB,66)</f>
        <v>15964650</v>
      </c>
      <c r="J77" s="49">
        <f>VLOOKUP($A77,'Data shares'!$C:$FB,67)</f>
        <v>11977950</v>
      </c>
      <c r="K77" s="50">
        <f t="shared" si="5"/>
        <v>24.972047617705368</v>
      </c>
      <c r="L77" s="50">
        <f>VLOOKUP($A77,'Data shares'!$C:$FB,118)</f>
        <v>0.64</v>
      </c>
      <c r="M77" s="50">
        <f>VLOOKUP($A77,'Data shares'!$C:$FB,119)</f>
        <v>0.66</v>
      </c>
      <c r="N77" s="50">
        <f>VLOOKUP($A77,'Data shares'!$C:$FB,121)*100</f>
        <v>-3.0300000000000002</v>
      </c>
      <c r="O77" s="50">
        <f>VLOOKUP($A77,'Data shares'!$C:$FB,124)</f>
        <v>0.35</v>
      </c>
      <c r="P77" s="50">
        <f>VLOOKUP($A77,'Data shares'!$C:$FB,125)</f>
        <v>0.4</v>
      </c>
      <c r="Q77" s="50">
        <f>VLOOKUP($A77,'Data shares'!$C:$FB,127)*100</f>
        <v>-12.5</v>
      </c>
    </row>
    <row r="78" spans="1:17" x14ac:dyDescent="0.25">
      <c r="A78" s="97" t="str">
        <f>'Snapshot (Value)'!A82</f>
        <v>HAVELLS</v>
      </c>
      <c r="B78" s="140">
        <f>VLOOKUP($A78,'Data shares'!$C:$FB,7)</f>
        <v>1352.5</v>
      </c>
      <c r="C78" s="140">
        <f>VLOOKUP($A78,'Data shares'!$C:$FB,3)</f>
        <v>1355.4</v>
      </c>
      <c r="D78" s="140">
        <f>VLOOKUP($A78,'Data shares'!$C:$FB,4)</f>
        <v>1324.2</v>
      </c>
      <c r="E78" s="50">
        <f t="shared" si="3"/>
        <v>2.3561395559583178</v>
      </c>
      <c r="F78" s="49">
        <f>VLOOKUP($A78,'Data shares'!$C:$FB,98)</f>
        <v>14686500</v>
      </c>
      <c r="G78" s="49">
        <f>VLOOKUP($A78,'Data shares'!$C:$FB,99)</f>
        <v>14604500</v>
      </c>
      <c r="H78" s="50">
        <f t="shared" si="4"/>
        <v>0.56147077955424696</v>
      </c>
      <c r="I78" s="49">
        <f>VLOOKUP($A78,'Data shares'!$C:$FB,66)</f>
        <v>3917000</v>
      </c>
      <c r="J78" s="49">
        <f>VLOOKUP($A78,'Data shares'!$C:$FB,67)</f>
        <v>5722000</v>
      </c>
      <c r="K78" s="50">
        <f t="shared" si="5"/>
        <v>-46.081184580035739</v>
      </c>
      <c r="L78" s="50">
        <f>VLOOKUP($A78,'Data shares'!$C:$FB,118)</f>
        <v>0.79</v>
      </c>
      <c r="M78" s="50">
        <f>VLOOKUP($A78,'Data shares'!$C:$FB,119)</f>
        <v>0.85</v>
      </c>
      <c r="N78" s="50">
        <f>VLOOKUP($A78,'Data shares'!$C:$FB,121)*100</f>
        <v>-7.06</v>
      </c>
      <c r="O78" s="50">
        <f>VLOOKUP($A78,'Data shares'!$C:$FB,124)</f>
        <v>0.32</v>
      </c>
      <c r="P78" s="50">
        <f>VLOOKUP($A78,'Data shares'!$C:$FB,125)</f>
        <v>0.91</v>
      </c>
      <c r="Q78" s="50">
        <f>VLOOKUP($A78,'Data shares'!$C:$FB,127)*100</f>
        <v>-64.84</v>
      </c>
    </row>
    <row r="79" spans="1:17" x14ac:dyDescent="0.25">
      <c r="A79" s="97" t="str">
        <f>'Snapshot (Value)'!A83</f>
        <v>HCLTECH</v>
      </c>
      <c r="B79" s="140">
        <f>VLOOKUP($A79,'Data shares'!$C:$FB,7)</f>
        <v>1354.1</v>
      </c>
      <c r="C79" s="140">
        <f>VLOOKUP($A79,'Data shares'!$C:$FB,3)</f>
        <v>1355.9</v>
      </c>
      <c r="D79" s="140">
        <f>VLOOKUP($A79,'Data shares'!$C:$FB,4)</f>
        <v>1366.8</v>
      </c>
      <c r="E79" s="50">
        <f t="shared" si="3"/>
        <v>-0.79748317237341693</v>
      </c>
      <c r="F79" s="49">
        <f>VLOOKUP($A79,'Data shares'!$C:$FB,98)</f>
        <v>36384600</v>
      </c>
      <c r="G79" s="49">
        <f>VLOOKUP($A79,'Data shares'!$C:$FB,99)</f>
        <v>35669900</v>
      </c>
      <c r="H79" s="50">
        <f t="shared" si="4"/>
        <v>2.003650136389505</v>
      </c>
      <c r="I79" s="49">
        <f>VLOOKUP($A79,'Data shares'!$C:$FB,66)</f>
        <v>13798050</v>
      </c>
      <c r="J79" s="49">
        <f>VLOOKUP($A79,'Data shares'!$C:$FB,67)</f>
        <v>10192700</v>
      </c>
      <c r="K79" s="50">
        <f t="shared" si="5"/>
        <v>26.129416837886517</v>
      </c>
      <c r="L79" s="50">
        <f>VLOOKUP($A79,'Data shares'!$C:$FB,118)</f>
        <v>0.6</v>
      </c>
      <c r="M79" s="50">
        <f>VLOOKUP($A79,'Data shares'!$C:$FB,119)</f>
        <v>0.6</v>
      </c>
      <c r="N79" s="50">
        <f>VLOOKUP($A79,'Data shares'!$C:$FB,121)*100</f>
        <v>0</v>
      </c>
      <c r="O79" s="50">
        <f>VLOOKUP($A79,'Data shares'!$C:$FB,124)</f>
        <v>0.77</v>
      </c>
      <c r="P79" s="50">
        <f>VLOOKUP($A79,'Data shares'!$C:$FB,125)</f>
        <v>0.57999999999999996</v>
      </c>
      <c r="Q79" s="50">
        <f>VLOOKUP($A79,'Data shares'!$C:$FB,127)*100</f>
        <v>32.76</v>
      </c>
    </row>
    <row r="80" spans="1:17" x14ac:dyDescent="0.25">
      <c r="A80" s="97" t="str">
        <f>'Snapshot (Value)'!A84</f>
        <v>HDFCAMC</v>
      </c>
      <c r="B80" s="140">
        <f>VLOOKUP($A80,'Data shares'!$C:$FB,7)</f>
        <v>2559</v>
      </c>
      <c r="C80" s="140">
        <f>VLOOKUP($A80,'Data shares'!$C:$FB,3)</f>
        <v>2570.1</v>
      </c>
      <c r="D80" s="140">
        <f>VLOOKUP($A80,'Data shares'!$C:$FB,4)</f>
        <v>2560.1</v>
      </c>
      <c r="E80" s="50">
        <f t="shared" si="3"/>
        <v>0.39060974180696068</v>
      </c>
      <c r="F80" s="49">
        <f>VLOOKUP($A80,'Data shares'!$C:$FB,98)</f>
        <v>6991200</v>
      </c>
      <c r="G80" s="49">
        <f>VLOOKUP($A80,'Data shares'!$C:$FB,99)</f>
        <v>6724200</v>
      </c>
      <c r="H80" s="50">
        <f t="shared" si="4"/>
        <v>3.9707325778531275</v>
      </c>
      <c r="I80" s="49">
        <f>VLOOKUP($A80,'Data shares'!$C:$FB,66)</f>
        <v>2262300</v>
      </c>
      <c r="J80" s="49">
        <f>VLOOKUP($A80,'Data shares'!$C:$FB,67)</f>
        <v>3001200</v>
      </c>
      <c r="K80" s="50">
        <f t="shared" si="5"/>
        <v>-32.661450735976658</v>
      </c>
      <c r="L80" s="50">
        <f>VLOOKUP($A80,'Data shares'!$C:$FB,118)</f>
        <v>0.71</v>
      </c>
      <c r="M80" s="50">
        <f>VLOOKUP($A80,'Data shares'!$C:$FB,119)</f>
        <v>0.62</v>
      </c>
      <c r="N80" s="50">
        <f>VLOOKUP($A80,'Data shares'!$C:$FB,121)*100</f>
        <v>14.52</v>
      </c>
      <c r="O80" s="50">
        <f>VLOOKUP($A80,'Data shares'!$C:$FB,124)</f>
        <v>0.56000000000000005</v>
      </c>
      <c r="P80" s="50">
        <f>VLOOKUP($A80,'Data shares'!$C:$FB,125)</f>
        <v>0.67</v>
      </c>
      <c r="Q80" s="50">
        <f>VLOOKUP($A80,'Data shares'!$C:$FB,127)*100</f>
        <v>-16.420000000000002</v>
      </c>
    </row>
    <row r="81" spans="1:17" x14ac:dyDescent="0.25">
      <c r="A81" s="97" t="str">
        <f>'Snapshot (Value)'!A85</f>
        <v>HDFCBANK</v>
      </c>
      <c r="B81" s="140">
        <f>VLOOKUP($A81,'Data shares'!$C:$FB,7)</f>
        <v>877.75</v>
      </c>
      <c r="C81" s="140">
        <f>VLOOKUP($A81,'Data shares'!$C:$FB,3)</f>
        <v>882.2</v>
      </c>
      <c r="D81" s="140">
        <f>VLOOKUP($A81,'Data shares'!$C:$FB,4)</f>
        <v>874.05</v>
      </c>
      <c r="E81" s="50">
        <f t="shared" si="3"/>
        <v>0.93244093587324417</v>
      </c>
      <c r="F81" s="49">
        <f>VLOOKUP($A81,'Data shares'!$C:$FB,98)</f>
        <v>414854550</v>
      </c>
      <c r="G81" s="49">
        <f>VLOOKUP($A81,'Data shares'!$C:$FB,99)</f>
        <v>409574550</v>
      </c>
      <c r="H81" s="50">
        <f t="shared" si="4"/>
        <v>1.2891425993143373</v>
      </c>
      <c r="I81" s="49">
        <f>VLOOKUP($A81,'Data shares'!$C:$FB,66)</f>
        <v>148439500</v>
      </c>
      <c r="J81" s="49">
        <f>VLOOKUP($A81,'Data shares'!$C:$FB,67)</f>
        <v>199778700</v>
      </c>
      <c r="K81" s="50">
        <f t="shared" si="5"/>
        <v>-34.585942420986328</v>
      </c>
      <c r="L81" s="50">
        <f>VLOOKUP($A81,'Data shares'!$C:$FB,118)</f>
        <v>0.59</v>
      </c>
      <c r="M81" s="50">
        <f>VLOOKUP($A81,'Data shares'!$C:$FB,119)</f>
        <v>0.6</v>
      </c>
      <c r="N81" s="50">
        <f>VLOOKUP($A81,'Data shares'!$C:$FB,121)*100</f>
        <v>-1.67</v>
      </c>
      <c r="O81" s="50">
        <f>VLOOKUP($A81,'Data shares'!$C:$FB,124)</f>
        <v>0.65</v>
      </c>
      <c r="P81" s="50">
        <f>VLOOKUP($A81,'Data shares'!$C:$FB,125)</f>
        <v>0.89</v>
      </c>
      <c r="Q81" s="50">
        <f>VLOOKUP($A81,'Data shares'!$C:$FB,127)*100</f>
        <v>-26.97</v>
      </c>
    </row>
    <row r="82" spans="1:17" x14ac:dyDescent="0.25">
      <c r="A82" s="97" t="str">
        <f>'Snapshot (Value)'!A86</f>
        <v>HDFCLIFE</v>
      </c>
      <c r="B82" s="140">
        <f>VLOOKUP($A82,'Data shares'!$C:$FB,7)</f>
        <v>684.3</v>
      </c>
      <c r="C82" s="140">
        <f>VLOOKUP($A82,'Data shares'!$C:$FB,3)</f>
        <v>686.35</v>
      </c>
      <c r="D82" s="140">
        <f>VLOOKUP($A82,'Data shares'!$C:$FB,4)</f>
        <v>687.65</v>
      </c>
      <c r="E82" s="50">
        <f t="shared" si="3"/>
        <v>-0.18904966189194425</v>
      </c>
      <c r="F82" s="49">
        <f>VLOOKUP($A82,'Data shares'!$C:$FB,98)</f>
        <v>53674500</v>
      </c>
      <c r="G82" s="49">
        <f>VLOOKUP($A82,'Data shares'!$C:$FB,99)</f>
        <v>50657200</v>
      </c>
      <c r="H82" s="50">
        <f t="shared" si="4"/>
        <v>5.9563102579692524</v>
      </c>
      <c r="I82" s="49">
        <f>VLOOKUP($A82,'Data shares'!$C:$FB,66)</f>
        <v>31111300</v>
      </c>
      <c r="J82" s="49">
        <f>VLOOKUP($A82,'Data shares'!$C:$FB,67)</f>
        <v>27423000</v>
      </c>
      <c r="K82" s="50">
        <f t="shared" si="5"/>
        <v>11.855178022133437</v>
      </c>
      <c r="L82" s="50">
        <f>VLOOKUP($A82,'Data shares'!$C:$FB,118)</f>
        <v>0.42</v>
      </c>
      <c r="M82" s="50">
        <f>VLOOKUP($A82,'Data shares'!$C:$FB,119)</f>
        <v>0.42</v>
      </c>
      <c r="N82" s="50">
        <f>VLOOKUP($A82,'Data shares'!$C:$FB,121)*100</f>
        <v>0</v>
      </c>
      <c r="O82" s="50">
        <f>VLOOKUP($A82,'Data shares'!$C:$FB,124)</f>
        <v>0.68</v>
      </c>
      <c r="P82" s="50">
        <f>VLOOKUP($A82,'Data shares'!$C:$FB,125)</f>
        <v>0.55000000000000004</v>
      </c>
      <c r="Q82" s="50">
        <f>VLOOKUP($A82,'Data shares'!$C:$FB,127)*100</f>
        <v>23.64</v>
      </c>
    </row>
    <row r="83" spans="1:17" x14ac:dyDescent="0.25">
      <c r="A83" s="97" t="str">
        <f>'Snapshot (Value)'!A87</f>
        <v>HEROMOTOCO</v>
      </c>
      <c r="B83" s="140">
        <f>VLOOKUP($A83,'Data shares'!$C:$FB,7)</f>
        <v>5588.5</v>
      </c>
      <c r="C83" s="140">
        <f>VLOOKUP($A83,'Data shares'!$C:$FB,3)</f>
        <v>5600.5</v>
      </c>
      <c r="D83" s="140">
        <f>VLOOKUP($A83,'Data shares'!$C:$FB,4)</f>
        <v>5511.5</v>
      </c>
      <c r="E83" s="50">
        <f t="shared" si="3"/>
        <v>1.6148054068765307</v>
      </c>
      <c r="F83" s="49">
        <f>VLOOKUP($A83,'Data shares'!$C:$FB,98)</f>
        <v>6058350</v>
      </c>
      <c r="G83" s="49">
        <f>VLOOKUP($A83,'Data shares'!$C:$FB,99)</f>
        <v>6069300</v>
      </c>
      <c r="H83" s="50">
        <f t="shared" si="4"/>
        <v>-0.18041619297118283</v>
      </c>
      <c r="I83" s="49">
        <f>VLOOKUP($A83,'Data shares'!$C:$FB,66)</f>
        <v>4247250</v>
      </c>
      <c r="J83" s="49">
        <f>VLOOKUP($A83,'Data shares'!$C:$FB,67)</f>
        <v>4135650</v>
      </c>
      <c r="K83" s="50">
        <f t="shared" si="5"/>
        <v>2.627582553416917</v>
      </c>
      <c r="L83" s="50">
        <f>VLOOKUP($A83,'Data shares'!$C:$FB,118)</f>
        <v>0.66</v>
      </c>
      <c r="M83" s="50">
        <f>VLOOKUP($A83,'Data shares'!$C:$FB,119)</f>
        <v>0.69</v>
      </c>
      <c r="N83" s="50">
        <f>VLOOKUP($A83,'Data shares'!$C:$FB,121)*100</f>
        <v>-4.3499999999999996</v>
      </c>
      <c r="O83" s="50">
        <f>VLOOKUP($A83,'Data shares'!$C:$FB,124)</f>
        <v>0.5</v>
      </c>
      <c r="P83" s="50">
        <f>VLOOKUP($A83,'Data shares'!$C:$FB,125)</f>
        <v>0.82</v>
      </c>
      <c r="Q83" s="50">
        <f>VLOOKUP($A83,'Data shares'!$C:$FB,127)*100</f>
        <v>-39.019999999999996</v>
      </c>
    </row>
    <row r="84" spans="1:17" x14ac:dyDescent="0.25">
      <c r="A84" s="97" t="str">
        <f>'Snapshot (Value)'!A88</f>
        <v>HINDALCO</v>
      </c>
      <c r="B84" s="140">
        <f>VLOOKUP($A84,'Data shares'!$C:$FB,7)</f>
        <v>954.95</v>
      </c>
      <c r="C84" s="140">
        <f>VLOOKUP($A84,'Data shares'!$C:$FB,3)</f>
        <v>956.75</v>
      </c>
      <c r="D84" s="140">
        <f>VLOOKUP($A84,'Data shares'!$C:$FB,4)</f>
        <v>925.95</v>
      </c>
      <c r="E84" s="50">
        <f t="shared" si="3"/>
        <v>3.3263135158485828</v>
      </c>
      <c r="F84" s="49">
        <f>VLOOKUP($A84,'Data shares'!$C:$FB,98)</f>
        <v>63000000</v>
      </c>
      <c r="G84" s="49">
        <f>VLOOKUP($A84,'Data shares'!$C:$FB,99)</f>
        <v>59881500</v>
      </c>
      <c r="H84" s="50">
        <f t="shared" si="4"/>
        <v>5.2077853761178332</v>
      </c>
      <c r="I84" s="49">
        <f>VLOOKUP($A84,'Data shares'!$C:$FB,66)</f>
        <v>151064900</v>
      </c>
      <c r="J84" s="49">
        <f>VLOOKUP($A84,'Data shares'!$C:$FB,67)</f>
        <v>48850200</v>
      </c>
      <c r="K84" s="50">
        <f t="shared" si="5"/>
        <v>67.662772755285971</v>
      </c>
      <c r="L84" s="50">
        <f>VLOOKUP($A84,'Data shares'!$C:$FB,118)</f>
        <v>0.85</v>
      </c>
      <c r="M84" s="50">
        <f>VLOOKUP($A84,'Data shares'!$C:$FB,119)</f>
        <v>0.84</v>
      </c>
      <c r="N84" s="50">
        <f>VLOOKUP($A84,'Data shares'!$C:$FB,121)*100</f>
        <v>1.1900000000000002</v>
      </c>
      <c r="O84" s="50">
        <f>VLOOKUP($A84,'Data shares'!$C:$FB,124)</f>
        <v>0.47</v>
      </c>
      <c r="P84" s="50">
        <f>VLOOKUP($A84,'Data shares'!$C:$FB,125)</f>
        <v>0.98</v>
      </c>
      <c r="Q84" s="50">
        <f>VLOOKUP($A84,'Data shares'!$C:$FB,127)*100</f>
        <v>-52.04</v>
      </c>
    </row>
    <row r="85" spans="1:17" x14ac:dyDescent="0.25">
      <c r="A85" s="97" t="str">
        <f>'Snapshot (Value)'!A89</f>
        <v>HINDPETRO</v>
      </c>
      <c r="B85" s="140">
        <f>VLOOKUP($A85,'Data shares'!$C:$FB,7)</f>
        <v>418.4</v>
      </c>
      <c r="C85" s="140">
        <f>VLOOKUP($A85,'Data shares'!$C:$FB,3)</f>
        <v>417.9</v>
      </c>
      <c r="D85" s="140">
        <f>VLOOKUP($A85,'Data shares'!$C:$FB,4)</f>
        <v>402.9</v>
      </c>
      <c r="E85" s="50">
        <f t="shared" si="3"/>
        <v>3.7230081906180197</v>
      </c>
      <c r="F85" s="49">
        <f>VLOOKUP($A85,'Data shares'!$C:$FB,98)</f>
        <v>70901325</v>
      </c>
      <c r="G85" s="49">
        <f>VLOOKUP($A85,'Data shares'!$C:$FB,99)</f>
        <v>69858450</v>
      </c>
      <c r="H85" s="50">
        <f t="shared" si="4"/>
        <v>1.4928401646472258</v>
      </c>
      <c r="I85" s="49">
        <f>VLOOKUP($A85,'Data shares'!$C:$FB,66)</f>
        <v>98694450</v>
      </c>
      <c r="J85" s="49">
        <f>VLOOKUP($A85,'Data shares'!$C:$FB,67)</f>
        <v>65929950</v>
      </c>
      <c r="K85" s="50">
        <f t="shared" si="5"/>
        <v>33.197915384299726</v>
      </c>
      <c r="L85" s="50">
        <f>VLOOKUP($A85,'Data shares'!$C:$FB,118)</f>
        <v>0.98</v>
      </c>
      <c r="M85" s="50">
        <f>VLOOKUP($A85,'Data shares'!$C:$FB,119)</f>
        <v>1.1200000000000001</v>
      </c>
      <c r="N85" s="50">
        <f>VLOOKUP($A85,'Data shares'!$C:$FB,121)*100</f>
        <v>-12.5</v>
      </c>
      <c r="O85" s="50">
        <f>VLOOKUP($A85,'Data shares'!$C:$FB,124)</f>
        <v>1.02</v>
      </c>
      <c r="P85" s="50">
        <f>VLOOKUP($A85,'Data shares'!$C:$FB,125)</f>
        <v>1.34</v>
      </c>
      <c r="Q85" s="50">
        <f>VLOOKUP($A85,'Data shares'!$C:$FB,127)*100</f>
        <v>-23.880000000000003</v>
      </c>
    </row>
    <row r="86" spans="1:17" x14ac:dyDescent="0.25">
      <c r="A86" s="97" t="str">
        <f>'Snapshot (Value)'!A90</f>
        <v>HINDUNILVR</v>
      </c>
      <c r="B86" s="140">
        <f>VLOOKUP($A86,'Data shares'!$C:$FB,7)</f>
        <v>2255</v>
      </c>
      <c r="C86" s="140">
        <f>VLOOKUP($A86,'Data shares'!$C:$FB,3)</f>
        <v>2266.6</v>
      </c>
      <c r="D86" s="140">
        <f>VLOOKUP($A86,'Data shares'!$C:$FB,4)</f>
        <v>2269.6999999999998</v>
      </c>
      <c r="E86" s="50">
        <f t="shared" si="3"/>
        <v>-0.13658192712692907</v>
      </c>
      <c r="F86" s="49">
        <f>VLOOKUP($A86,'Data shares'!$C:$FB,98)</f>
        <v>23574300</v>
      </c>
      <c r="G86" s="49">
        <f>VLOOKUP($A86,'Data shares'!$C:$FB,99)</f>
        <v>23109300</v>
      </c>
      <c r="H86" s="50">
        <f t="shared" si="4"/>
        <v>2.0121769157871503</v>
      </c>
      <c r="I86" s="49">
        <f>VLOOKUP($A86,'Data shares'!$C:$FB,66)</f>
        <v>14289300</v>
      </c>
      <c r="J86" s="49">
        <f>VLOOKUP($A86,'Data shares'!$C:$FB,67)</f>
        <v>14238600</v>
      </c>
      <c r="K86" s="50">
        <f t="shared" si="5"/>
        <v>0.35481094245344419</v>
      </c>
      <c r="L86" s="50">
        <f>VLOOKUP($A86,'Data shares'!$C:$FB,118)</f>
        <v>0.55000000000000004</v>
      </c>
      <c r="M86" s="50">
        <f>VLOOKUP($A86,'Data shares'!$C:$FB,119)</f>
        <v>0.52</v>
      </c>
      <c r="N86" s="50">
        <f>VLOOKUP($A86,'Data shares'!$C:$FB,121)*100</f>
        <v>5.7700000000000005</v>
      </c>
      <c r="O86" s="50">
        <f>VLOOKUP($A86,'Data shares'!$C:$FB,124)</f>
        <v>0.54</v>
      </c>
      <c r="P86" s="50">
        <f>VLOOKUP($A86,'Data shares'!$C:$FB,125)</f>
        <v>0.73</v>
      </c>
      <c r="Q86" s="50">
        <f>VLOOKUP($A86,'Data shares'!$C:$FB,127)*100</f>
        <v>-26.029999999999998</v>
      </c>
    </row>
    <row r="87" spans="1:17" x14ac:dyDescent="0.25">
      <c r="A87" s="97" t="str">
        <f>'Snapshot (Value)'!A91</f>
        <v>HINDZINC</v>
      </c>
      <c r="B87" s="140">
        <f>VLOOKUP($A87,'Data shares'!$C:$FB,7)</f>
        <v>595.65</v>
      </c>
      <c r="C87" s="140">
        <f>VLOOKUP($A87,'Data shares'!$C:$FB,3)</f>
        <v>596.6</v>
      </c>
      <c r="D87" s="140">
        <f>VLOOKUP($A87,'Data shares'!$C:$FB,4)</f>
        <v>592.95000000000005</v>
      </c>
      <c r="E87" s="50">
        <f t="shared" si="3"/>
        <v>0.6155662366135386</v>
      </c>
      <c r="F87" s="49">
        <f>VLOOKUP($A87,'Data shares'!$C:$FB,98)</f>
        <v>78243200</v>
      </c>
      <c r="G87" s="49">
        <f>VLOOKUP($A87,'Data shares'!$C:$FB,99)</f>
        <v>76359150</v>
      </c>
      <c r="H87" s="50">
        <f t="shared" si="4"/>
        <v>2.4673532903391409</v>
      </c>
      <c r="I87" s="49">
        <f>VLOOKUP($A87,'Data shares'!$C:$FB,66)</f>
        <v>53707675</v>
      </c>
      <c r="J87" s="49">
        <f>VLOOKUP($A87,'Data shares'!$C:$FB,67)</f>
        <v>65413775</v>
      </c>
      <c r="K87" s="50">
        <f t="shared" si="5"/>
        <v>-21.795953744041238</v>
      </c>
      <c r="L87" s="50">
        <f>VLOOKUP($A87,'Data shares'!$C:$FB,118)</f>
        <v>0.56000000000000005</v>
      </c>
      <c r="M87" s="50">
        <f>VLOOKUP($A87,'Data shares'!$C:$FB,119)</f>
        <v>0.62</v>
      </c>
      <c r="N87" s="50">
        <f>VLOOKUP($A87,'Data shares'!$C:$FB,121)*100</f>
        <v>-9.68</v>
      </c>
      <c r="O87" s="50">
        <f>VLOOKUP($A87,'Data shares'!$C:$FB,124)</f>
        <v>0.42</v>
      </c>
      <c r="P87" s="50">
        <f>VLOOKUP($A87,'Data shares'!$C:$FB,125)</f>
        <v>0.75</v>
      </c>
      <c r="Q87" s="50">
        <f>VLOOKUP($A87,'Data shares'!$C:$FB,127)*100</f>
        <v>-44</v>
      </c>
    </row>
    <row r="88" spans="1:17" x14ac:dyDescent="0.25">
      <c r="A88" s="97" t="str">
        <f>'Snapshot (Value)'!A92</f>
        <v>HUDCO</v>
      </c>
      <c r="B88" s="140">
        <f>VLOOKUP($A88,'Data shares'!$C:$FB,7)</f>
        <v>178.27</v>
      </c>
      <c r="C88" s="140">
        <f>VLOOKUP($A88,'Data shares'!$C:$FB,3)</f>
        <v>179.01</v>
      </c>
      <c r="D88" s="140">
        <f>VLOOKUP($A88,'Data shares'!$C:$FB,4)</f>
        <v>176.54</v>
      </c>
      <c r="E88" s="50">
        <f t="shared" si="3"/>
        <v>1.3991163475699553</v>
      </c>
      <c r="F88" s="140">
        <f>VLOOKUP($A88,'Data shares'!$C:$FB,98)</f>
        <v>72829875</v>
      </c>
      <c r="G88" s="140">
        <f>VLOOKUP($A88,'Data shares'!$C:$FB,99)</f>
        <v>72075075</v>
      </c>
      <c r="H88" s="50">
        <f t="shared" si="4"/>
        <v>1.0472413660339583</v>
      </c>
      <c r="I88" s="49">
        <f>VLOOKUP($A88,'Data shares'!$C:$FB,66)</f>
        <v>21078900</v>
      </c>
      <c r="J88" s="49">
        <f>VLOOKUP($A88,'Data shares'!$C:$FB,67)</f>
        <v>23088000</v>
      </c>
      <c r="K88" s="50">
        <f t="shared" si="5"/>
        <v>-9.5313322801474456</v>
      </c>
      <c r="L88" s="50">
        <f>VLOOKUP($A88,'Data shares'!$C:$FB,118)</f>
        <v>0.72</v>
      </c>
      <c r="M88" s="50">
        <f>VLOOKUP($A88,'Data shares'!$C:$FB,119)</f>
        <v>0.73</v>
      </c>
      <c r="N88" s="50">
        <f>VLOOKUP($A88,'Data shares'!$C:$FB,121)*100</f>
        <v>-1.37</v>
      </c>
      <c r="O88" s="50">
        <f>VLOOKUP($A88,'Data shares'!$C:$FB,124)</f>
        <v>0.42</v>
      </c>
      <c r="P88" s="50">
        <f>VLOOKUP($A88,'Data shares'!$C:$FB,125)</f>
        <v>0.57999999999999996</v>
      </c>
      <c r="Q88" s="50">
        <f>VLOOKUP($A88,'Data shares'!$C:$FB,127)*100</f>
        <v>-27.589999999999996</v>
      </c>
    </row>
    <row r="89" spans="1:17" x14ac:dyDescent="0.25">
      <c r="A89" s="97" t="str">
        <f>'Snapshot (Value)'!A93</f>
        <v>ICICIBANK</v>
      </c>
      <c r="B89" s="140">
        <f>VLOOKUP($A89,'Data shares'!$C:$FB,7)</f>
        <v>1357.6</v>
      </c>
      <c r="C89" s="140">
        <f>VLOOKUP($A89,'Data shares'!$C:$FB,3)</f>
        <v>1361.3</v>
      </c>
      <c r="D89" s="140">
        <f>VLOOKUP($A89,'Data shares'!$C:$FB,4)</f>
        <v>1369.5</v>
      </c>
      <c r="E89" s="50">
        <f t="shared" si="3"/>
        <v>-0.59875867104783098</v>
      </c>
      <c r="F89" s="49">
        <f>VLOOKUP($A89,'Data shares'!$C:$FB,98)</f>
        <v>155199800</v>
      </c>
      <c r="G89" s="49">
        <f>VLOOKUP($A89,'Data shares'!$C:$FB,99)</f>
        <v>150866800</v>
      </c>
      <c r="H89" s="50">
        <f t="shared" si="4"/>
        <v>2.8720699318869358</v>
      </c>
      <c r="I89" s="49">
        <f>VLOOKUP($A89,'Data shares'!$C:$FB,66)</f>
        <v>69061300</v>
      </c>
      <c r="J89" s="49">
        <f>VLOOKUP($A89,'Data shares'!$C:$FB,67)</f>
        <v>87950800</v>
      </c>
      <c r="K89" s="50">
        <f t="shared" si="5"/>
        <v>-27.351787469972326</v>
      </c>
      <c r="L89" s="50">
        <f>VLOOKUP($A89,'Data shares'!$C:$FB,118)</f>
        <v>0.63</v>
      </c>
      <c r="M89" s="50">
        <f>VLOOKUP($A89,'Data shares'!$C:$FB,119)</f>
        <v>0.71</v>
      </c>
      <c r="N89" s="50">
        <f>VLOOKUP($A89,'Data shares'!$C:$FB,121)*100</f>
        <v>-11.27</v>
      </c>
      <c r="O89" s="50">
        <f>VLOOKUP($A89,'Data shares'!$C:$FB,124)</f>
        <v>0.52</v>
      </c>
      <c r="P89" s="50">
        <f>VLOOKUP($A89,'Data shares'!$C:$FB,125)</f>
        <v>0.69</v>
      </c>
      <c r="Q89" s="50">
        <f>VLOOKUP($A89,'Data shares'!$C:$FB,127)*100</f>
        <v>-24.64</v>
      </c>
    </row>
    <row r="90" spans="1:17" x14ac:dyDescent="0.25">
      <c r="A90" s="97" t="str">
        <f>'Snapshot (Value)'!A94</f>
        <v>ICICIGI</v>
      </c>
      <c r="B90" s="140">
        <f>VLOOKUP($A90,'Data shares'!$C:$FB,7)</f>
        <v>1875.2</v>
      </c>
      <c r="C90" s="140">
        <f>VLOOKUP($A90,'Data shares'!$C:$FB,3)</f>
        <v>1879.9</v>
      </c>
      <c r="D90" s="140">
        <f>VLOOKUP($A90,'Data shares'!$C:$FB,4)</f>
        <v>1860.8</v>
      </c>
      <c r="E90" s="50">
        <f t="shared" si="3"/>
        <v>1.0264402407566713</v>
      </c>
      <c r="F90" s="49">
        <f>VLOOKUP($A90,'Data shares'!$C:$FB,98)</f>
        <v>6123650</v>
      </c>
      <c r="G90" s="49">
        <f>VLOOKUP($A90,'Data shares'!$C:$FB,99)</f>
        <v>6119750</v>
      </c>
      <c r="H90" s="50">
        <f t="shared" si="4"/>
        <v>6.3728093467870423E-2</v>
      </c>
      <c r="I90" s="49">
        <f>VLOOKUP($A90,'Data shares'!$C:$FB,66)</f>
        <v>1353300</v>
      </c>
      <c r="J90" s="49">
        <f>VLOOKUP($A90,'Data shares'!$C:$FB,67)</f>
        <v>2592525</v>
      </c>
      <c r="K90" s="50">
        <f t="shared" si="5"/>
        <v>-91.570605187319885</v>
      </c>
      <c r="L90" s="50">
        <f>VLOOKUP($A90,'Data shares'!$C:$FB,118)</f>
        <v>0.75</v>
      </c>
      <c r="M90" s="50">
        <f>VLOOKUP($A90,'Data shares'!$C:$FB,119)</f>
        <v>0.86</v>
      </c>
      <c r="N90" s="50">
        <f>VLOOKUP($A90,'Data shares'!$C:$FB,121)*100</f>
        <v>-12.790000000000001</v>
      </c>
      <c r="O90" s="50">
        <f>VLOOKUP($A90,'Data shares'!$C:$FB,124)</f>
        <v>0.6</v>
      </c>
      <c r="P90" s="50">
        <f>VLOOKUP($A90,'Data shares'!$C:$FB,125)</f>
        <v>0.84</v>
      </c>
      <c r="Q90" s="50">
        <f>VLOOKUP($A90,'Data shares'!$C:$FB,127)*100</f>
        <v>-28.57</v>
      </c>
    </row>
    <row r="91" spans="1:17" x14ac:dyDescent="0.25">
      <c r="A91" s="97" t="str">
        <f>'Snapshot (Value)'!A95</f>
        <v>ICICIPRULI</v>
      </c>
      <c r="B91" s="140">
        <f>VLOOKUP($A91,'Data shares'!$C:$FB,7)</f>
        <v>627.45000000000005</v>
      </c>
      <c r="C91" s="140">
        <f>VLOOKUP($A91,'Data shares'!$C:$FB,3)</f>
        <v>629.85</v>
      </c>
      <c r="D91" s="140">
        <f>VLOOKUP($A91,'Data shares'!$C:$FB,4)</f>
        <v>628</v>
      </c>
      <c r="E91" s="50">
        <f t="shared" si="3"/>
        <v>0.2945859872611501</v>
      </c>
      <c r="F91" s="49">
        <f>VLOOKUP($A91,'Data shares'!$C:$FB,98)</f>
        <v>23778050</v>
      </c>
      <c r="G91" s="49">
        <f>VLOOKUP($A91,'Data shares'!$C:$FB,99)</f>
        <v>23443200</v>
      </c>
      <c r="H91" s="50">
        <f t="shared" si="4"/>
        <v>1.4283459595959596</v>
      </c>
      <c r="I91" s="49">
        <f>VLOOKUP($A91,'Data shares'!$C:$FB,66)</f>
        <v>5184625</v>
      </c>
      <c r="J91" s="49">
        <f>VLOOKUP($A91,'Data shares'!$C:$FB,67)</f>
        <v>5846925</v>
      </c>
      <c r="K91" s="50">
        <f t="shared" si="5"/>
        <v>-12.774308652988402</v>
      </c>
      <c r="L91" s="50">
        <f>VLOOKUP($A91,'Data shares'!$C:$FB,118)</f>
        <v>0.68</v>
      </c>
      <c r="M91" s="50">
        <f>VLOOKUP($A91,'Data shares'!$C:$FB,119)</f>
        <v>0.67</v>
      </c>
      <c r="N91" s="50">
        <f>VLOOKUP($A91,'Data shares'!$C:$FB,121)*100</f>
        <v>1.49</v>
      </c>
      <c r="O91" s="50">
        <f>VLOOKUP($A91,'Data shares'!$C:$FB,124)</f>
        <v>0.95</v>
      </c>
      <c r="P91" s="50">
        <f>VLOOKUP($A91,'Data shares'!$C:$FB,125)</f>
        <v>0.72</v>
      </c>
      <c r="Q91" s="50">
        <f>VLOOKUP($A91,'Data shares'!$C:$FB,127)*100</f>
        <v>31.94</v>
      </c>
    </row>
    <row r="92" spans="1:17" x14ac:dyDescent="0.25">
      <c r="A92" s="97" t="str">
        <f>'Snapshot (Value)'!A96</f>
        <v>IDEA</v>
      </c>
      <c r="B92" s="140">
        <f>VLOOKUP($A92,'Data shares'!$C:$FB,7)</f>
        <v>10.220000000000001</v>
      </c>
      <c r="C92" s="140">
        <f>VLOOKUP($A92,'Data shares'!$C:$FB,3)</f>
        <v>10.28</v>
      </c>
      <c r="D92" s="140">
        <f>VLOOKUP($A92,'Data shares'!$C:$FB,4)</f>
        <v>10.039999999999999</v>
      </c>
      <c r="E92" s="50">
        <f t="shared" si="3"/>
        <v>2.3904382470119545</v>
      </c>
      <c r="F92" s="49">
        <f>VLOOKUP($A92,'Data shares'!$C:$FB,98)</f>
        <v>9802367400</v>
      </c>
      <c r="G92" s="49">
        <f>VLOOKUP($A92,'Data shares'!$C:$FB,99)</f>
        <v>9465291300</v>
      </c>
      <c r="H92" s="50">
        <f t="shared" si="4"/>
        <v>3.5611804150179718</v>
      </c>
      <c r="I92" s="49">
        <f>VLOOKUP($A92,'Data shares'!$C:$FB,66)</f>
        <v>3778025550</v>
      </c>
      <c r="J92" s="49">
        <f>VLOOKUP($A92,'Data shares'!$C:$FB,67)</f>
        <v>1971709350</v>
      </c>
      <c r="K92" s="50">
        <f t="shared" si="5"/>
        <v>47.811116576487947</v>
      </c>
      <c r="L92" s="50">
        <f>VLOOKUP($A92,'Data shares'!$C:$FB,118)</f>
        <v>0.52</v>
      </c>
      <c r="M92" s="50">
        <f>VLOOKUP($A92,'Data shares'!$C:$FB,119)</f>
        <v>0.57999999999999996</v>
      </c>
      <c r="N92" s="50">
        <f>VLOOKUP($A92,'Data shares'!$C:$FB,121)*100</f>
        <v>-10.34</v>
      </c>
      <c r="O92" s="50">
        <f>VLOOKUP($A92,'Data shares'!$C:$FB,124)</f>
        <v>0.33</v>
      </c>
      <c r="P92" s="50">
        <f>VLOOKUP($A92,'Data shares'!$C:$FB,125)</f>
        <v>0.61</v>
      </c>
      <c r="Q92" s="50">
        <f>VLOOKUP($A92,'Data shares'!$C:$FB,127)*100</f>
        <v>-45.9</v>
      </c>
    </row>
    <row r="93" spans="1:17" x14ac:dyDescent="0.25">
      <c r="A93" s="97" t="str">
        <f>'Snapshot (Value)'!A97</f>
        <v>IDFCFIRSTB</v>
      </c>
      <c r="B93" s="140">
        <f>VLOOKUP($A93,'Data shares'!$C:$FB,7)</f>
        <v>70.400000000000006</v>
      </c>
      <c r="C93" s="140">
        <f>VLOOKUP($A93,'Data shares'!$C:$FB,3)</f>
        <v>70.75</v>
      </c>
      <c r="D93" s="140">
        <f>VLOOKUP($A93,'Data shares'!$C:$FB,4)</f>
        <v>70.260000000000005</v>
      </c>
      <c r="E93" s="50">
        <f t="shared" si="3"/>
        <v>0.69740962140619811</v>
      </c>
      <c r="F93" s="49">
        <f>VLOOKUP($A93,'Data shares'!$C:$FB,98)</f>
        <v>1000522075</v>
      </c>
      <c r="G93" s="49">
        <f>VLOOKUP($A93,'Data shares'!$C:$FB,99)</f>
        <v>980367500</v>
      </c>
      <c r="H93" s="50">
        <f t="shared" si="4"/>
        <v>2.0558183538315991</v>
      </c>
      <c r="I93" s="49">
        <f>VLOOKUP($A93,'Data shares'!$C:$FB,66)</f>
        <v>330032325</v>
      </c>
      <c r="J93" s="49">
        <f>VLOOKUP($A93,'Data shares'!$C:$FB,67)</f>
        <v>377028750</v>
      </c>
      <c r="K93" s="50">
        <f t="shared" si="5"/>
        <v>-14.239946041649102</v>
      </c>
      <c r="L93" s="50">
        <f>VLOOKUP($A93,'Data shares'!$C:$FB,118)</f>
        <v>0.68</v>
      </c>
      <c r="M93" s="50">
        <f>VLOOKUP($A93,'Data shares'!$C:$FB,119)</f>
        <v>0.67</v>
      </c>
      <c r="N93" s="50">
        <f>VLOOKUP($A93,'Data shares'!$C:$FB,121)*100</f>
        <v>1.49</v>
      </c>
      <c r="O93" s="50">
        <f>VLOOKUP($A93,'Data shares'!$C:$FB,124)</f>
        <v>0.55000000000000004</v>
      </c>
      <c r="P93" s="50">
        <f>VLOOKUP($A93,'Data shares'!$C:$FB,125)</f>
        <v>0.78</v>
      </c>
      <c r="Q93" s="50">
        <f>VLOOKUP($A93,'Data shares'!$C:$FB,127)*100</f>
        <v>-29.49</v>
      </c>
    </row>
    <row r="94" spans="1:17" x14ac:dyDescent="0.25">
      <c r="A94" s="97" t="str">
        <f>'Snapshot (Value)'!A98</f>
        <v>IEX</v>
      </c>
      <c r="B94" s="140">
        <f>VLOOKUP($A94,'Data shares'!$C:$FB,7)</f>
        <v>121.63</v>
      </c>
      <c r="C94" s="140">
        <f>VLOOKUP($A94,'Data shares'!$C:$FB,3)</f>
        <v>121.97</v>
      </c>
      <c r="D94" s="140">
        <f>VLOOKUP($A94,'Data shares'!$C:$FB,4)</f>
        <v>118.97</v>
      </c>
      <c r="E94" s="50">
        <f t="shared" si="3"/>
        <v>2.5216441119609985</v>
      </c>
      <c r="F94" s="49">
        <f>VLOOKUP($A94,'Data shares'!$C:$FB,98)</f>
        <v>133398750</v>
      </c>
      <c r="G94" s="49">
        <f>VLOOKUP($A94,'Data shares'!$C:$FB,99)</f>
        <v>132855000</v>
      </c>
      <c r="H94" s="50">
        <f t="shared" si="4"/>
        <v>0.40928079485152991</v>
      </c>
      <c r="I94" s="49">
        <f>VLOOKUP($A94,'Data shares'!$C:$FB,66)</f>
        <v>37110000</v>
      </c>
      <c r="J94" s="49">
        <f>VLOOKUP($A94,'Data shares'!$C:$FB,67)</f>
        <v>43406250</v>
      </c>
      <c r="K94" s="50">
        <f t="shared" si="5"/>
        <v>-16.966451091350041</v>
      </c>
      <c r="L94" s="50">
        <f>VLOOKUP($A94,'Data shares'!$C:$FB,118)</f>
        <v>0.78</v>
      </c>
      <c r="M94" s="50">
        <f>VLOOKUP($A94,'Data shares'!$C:$FB,119)</f>
        <v>0.77</v>
      </c>
      <c r="N94" s="50">
        <f>VLOOKUP($A94,'Data shares'!$C:$FB,121)*100</f>
        <v>1.3</v>
      </c>
      <c r="O94" s="50">
        <f>VLOOKUP($A94,'Data shares'!$C:$FB,124)</f>
        <v>0.5</v>
      </c>
      <c r="P94" s="50">
        <f>VLOOKUP($A94,'Data shares'!$C:$FB,125)</f>
        <v>0.64</v>
      </c>
      <c r="Q94" s="50">
        <f>VLOOKUP($A94,'Data shares'!$C:$FB,127)*100</f>
        <v>-21.88</v>
      </c>
    </row>
    <row r="95" spans="1:17" x14ac:dyDescent="0.25">
      <c r="A95" s="97" t="str">
        <f>'Snapshot (Value)'!A99</f>
        <v>INDHOTEL</v>
      </c>
      <c r="B95" s="140">
        <f>VLOOKUP($A95,'Data shares'!$C:$FB,7)</f>
        <v>629.70000000000005</v>
      </c>
      <c r="C95" s="140">
        <f>VLOOKUP($A95,'Data shares'!$C:$FB,3)</f>
        <v>632.70000000000005</v>
      </c>
      <c r="D95" s="140">
        <f>VLOOKUP($A95,'Data shares'!$C:$FB,4)</f>
        <v>636.65</v>
      </c>
      <c r="E95" s="50">
        <f t="shared" si="3"/>
        <v>-0.62043508992380925</v>
      </c>
      <c r="F95" s="49">
        <f>VLOOKUP($A95,'Data shares'!$C:$FB,98)</f>
        <v>35842000</v>
      </c>
      <c r="G95" s="49">
        <f>VLOOKUP($A95,'Data shares'!$C:$FB,99)</f>
        <v>33832000</v>
      </c>
      <c r="H95" s="50">
        <f t="shared" si="4"/>
        <v>5.9411208323480729</v>
      </c>
      <c r="I95" s="49">
        <f>VLOOKUP($A95,'Data shares'!$C:$FB,66)</f>
        <v>24430000</v>
      </c>
      <c r="J95" s="49">
        <f>VLOOKUP($A95,'Data shares'!$C:$FB,67)</f>
        <v>14540000</v>
      </c>
      <c r="K95" s="50">
        <f t="shared" si="5"/>
        <v>40.483012689316418</v>
      </c>
      <c r="L95" s="50">
        <f>VLOOKUP($A95,'Data shares'!$C:$FB,118)</f>
        <v>0.76</v>
      </c>
      <c r="M95" s="50">
        <f>VLOOKUP($A95,'Data shares'!$C:$FB,119)</f>
        <v>0.85</v>
      </c>
      <c r="N95" s="50">
        <f>VLOOKUP($A95,'Data shares'!$C:$FB,121)*100</f>
        <v>-10.59</v>
      </c>
      <c r="O95" s="50">
        <f>VLOOKUP($A95,'Data shares'!$C:$FB,124)</f>
        <v>0.78</v>
      </c>
      <c r="P95" s="50">
        <f>VLOOKUP($A95,'Data shares'!$C:$FB,125)</f>
        <v>0.9</v>
      </c>
      <c r="Q95" s="50">
        <f>VLOOKUP($A95,'Data shares'!$C:$FB,127)*100</f>
        <v>-13.33</v>
      </c>
    </row>
    <row r="96" spans="1:17" x14ac:dyDescent="0.25">
      <c r="A96" s="97" t="str">
        <f>'Snapshot (Value)'!A100</f>
        <v>INDIANB</v>
      </c>
      <c r="B96" s="140">
        <f>VLOOKUP($A96,'Data shares'!$C:$FB,7)</f>
        <v>951.75</v>
      </c>
      <c r="C96" s="140">
        <f>VLOOKUP($A96,'Data shares'!$C:$FB,3)</f>
        <v>950.65</v>
      </c>
      <c r="D96" s="140">
        <f>VLOOKUP($A96,'Data shares'!$C:$FB,4)</f>
        <v>942.35</v>
      </c>
      <c r="E96" s="50">
        <f t="shared" si="3"/>
        <v>0.88077678145062399</v>
      </c>
      <c r="F96" s="49">
        <f>VLOOKUP($A96,'Data shares'!$C:$FB,98)</f>
        <v>14431000</v>
      </c>
      <c r="G96" s="49">
        <f>VLOOKUP($A96,'Data shares'!$C:$FB,99)</f>
        <v>14537000</v>
      </c>
      <c r="H96" s="50">
        <f t="shared" si="4"/>
        <v>-0.72917383229001853</v>
      </c>
      <c r="I96" s="49">
        <f>VLOOKUP($A96,'Data shares'!$C:$FB,66)</f>
        <v>10174000</v>
      </c>
      <c r="J96" s="49">
        <f>VLOOKUP($A96,'Data shares'!$C:$FB,67)</f>
        <v>22155000</v>
      </c>
      <c r="K96" s="50">
        <f t="shared" si="5"/>
        <v>-117.76095930804009</v>
      </c>
      <c r="L96" s="50">
        <f>VLOOKUP($A96,'Data shares'!$C:$FB,118)</f>
        <v>0.66</v>
      </c>
      <c r="M96" s="50">
        <f>VLOOKUP($A96,'Data shares'!$C:$FB,119)</f>
        <v>0.67</v>
      </c>
      <c r="N96" s="50">
        <f>VLOOKUP($A96,'Data shares'!$C:$FB,121)*100</f>
        <v>-1.49</v>
      </c>
      <c r="O96" s="50">
        <f>VLOOKUP($A96,'Data shares'!$C:$FB,124)</f>
        <v>0.57999999999999996</v>
      </c>
      <c r="P96" s="50">
        <f>VLOOKUP($A96,'Data shares'!$C:$FB,125)</f>
        <v>0.82</v>
      </c>
      <c r="Q96" s="50">
        <f>VLOOKUP($A96,'Data shares'!$C:$FB,127)*100</f>
        <v>-29.270000000000003</v>
      </c>
    </row>
    <row r="97" spans="1:17" x14ac:dyDescent="0.25">
      <c r="A97" s="97" t="str">
        <f>'Snapshot (Value)'!A101</f>
        <v>INDIAVIX</v>
      </c>
      <c r="B97" s="140">
        <f>VLOOKUP($A97,'Data shares'!$C:$FB,7)</f>
        <v>17.86</v>
      </c>
      <c r="C97" s="140">
        <f>VLOOKUP($A97,'Data shares'!$C:$FB,3)</f>
        <v>17.86</v>
      </c>
      <c r="D97" s="140">
        <f>VLOOKUP($A97,'Data shares'!$C:$FB,4)</f>
        <v>21.14</v>
      </c>
      <c r="E97" s="50">
        <f t="shared" si="3"/>
        <v>-15.515610217596979</v>
      </c>
      <c r="F97" s="49">
        <f>VLOOKUP($A97,'Data shares'!$C:$FB,98)</f>
        <v>0</v>
      </c>
      <c r="G97" s="49">
        <f>VLOOKUP($A97,'Data shares'!$C:$FB,99)</f>
        <v>0</v>
      </c>
      <c r="H97" s="50" t="e">
        <f t="shared" si="4"/>
        <v>#DIV/0!</v>
      </c>
      <c r="I97" s="49">
        <f>VLOOKUP($A97,'Data shares'!$C:$FB,66)</f>
        <v>0</v>
      </c>
      <c r="J97" s="49">
        <f>VLOOKUP($A97,'Data shares'!$C:$FB,67)</f>
        <v>0</v>
      </c>
      <c r="K97" s="50" t="e">
        <f t="shared" si="5"/>
        <v>#DIV/0!</v>
      </c>
      <c r="L97" s="50">
        <f>VLOOKUP($A97,'Data shares'!$C:$FB,118)</f>
        <v>0</v>
      </c>
      <c r="M97" s="50">
        <f>VLOOKUP($A97,'Data shares'!$C:$FB,119)</f>
        <v>0</v>
      </c>
      <c r="N97" s="50">
        <f>VLOOKUP($A97,'Data shares'!$C:$FB,121)*100</f>
        <v>0</v>
      </c>
      <c r="O97" s="50">
        <f>VLOOKUP($A97,'Data shares'!$C:$FB,124)</f>
        <v>0</v>
      </c>
      <c r="P97" s="50">
        <f>VLOOKUP($A97,'Data shares'!$C:$FB,125)</f>
        <v>0</v>
      </c>
      <c r="Q97" s="50">
        <f>VLOOKUP($A97,'Data shares'!$C:$FB,127)*100</f>
        <v>0</v>
      </c>
    </row>
    <row r="98" spans="1:17" x14ac:dyDescent="0.25">
      <c r="A98" s="97" t="str">
        <f>'Snapshot (Value)'!A102</f>
        <v>INDIGO</v>
      </c>
      <c r="B98" s="140">
        <f>VLOOKUP($A98,'Data shares'!$C:$FB,7)</f>
        <v>4512.8</v>
      </c>
      <c r="C98" s="140">
        <f>VLOOKUP($A98,'Data shares'!$C:$FB,3)</f>
        <v>4520.1000000000004</v>
      </c>
      <c r="D98" s="140">
        <f>VLOOKUP($A98,'Data shares'!$C:$FB,4)</f>
        <v>4412.3</v>
      </c>
      <c r="E98" s="50">
        <f t="shared" si="3"/>
        <v>2.4431702286789245</v>
      </c>
      <c r="F98" s="49">
        <f>VLOOKUP($A98,'Data shares'!$C:$FB,98)</f>
        <v>18290100</v>
      </c>
      <c r="G98" s="49">
        <f>VLOOKUP($A98,'Data shares'!$C:$FB,99)</f>
        <v>17345250</v>
      </c>
      <c r="H98" s="50">
        <f t="shared" si="4"/>
        <v>5.4473126648506076</v>
      </c>
      <c r="I98" s="49">
        <f>VLOOKUP($A98,'Data shares'!$C:$FB,66)</f>
        <v>23143500</v>
      </c>
      <c r="J98" s="49">
        <f>VLOOKUP($A98,'Data shares'!$C:$FB,67)</f>
        <v>25307850</v>
      </c>
      <c r="K98" s="50">
        <f t="shared" si="5"/>
        <v>-9.3518698554669779</v>
      </c>
      <c r="L98" s="50">
        <f>VLOOKUP($A98,'Data shares'!$C:$FB,118)</f>
        <v>0.73</v>
      </c>
      <c r="M98" s="50">
        <f>VLOOKUP($A98,'Data shares'!$C:$FB,119)</f>
        <v>0.76</v>
      </c>
      <c r="N98" s="50">
        <f>VLOOKUP($A98,'Data shares'!$C:$FB,121)*100</f>
        <v>-3.95</v>
      </c>
      <c r="O98" s="50">
        <f>VLOOKUP($A98,'Data shares'!$C:$FB,124)</f>
        <v>0.97</v>
      </c>
      <c r="P98" s="50">
        <f>VLOOKUP($A98,'Data shares'!$C:$FB,125)</f>
        <v>1.27</v>
      </c>
      <c r="Q98" s="50">
        <f>VLOOKUP($A98,'Data shares'!$C:$FB,127)*100</f>
        <v>-23.62</v>
      </c>
    </row>
    <row r="99" spans="1:17" x14ac:dyDescent="0.25">
      <c r="A99" s="97" t="str">
        <f>'Snapshot (Value)'!A103</f>
        <v>INDUSINDBK</v>
      </c>
      <c r="B99" s="140">
        <f>VLOOKUP($A99,'Data shares'!$C:$FB,7)</f>
        <v>937.2</v>
      </c>
      <c r="C99" s="140">
        <f>VLOOKUP($A99,'Data shares'!$C:$FB,3)</f>
        <v>940.45</v>
      </c>
      <c r="D99" s="140">
        <f>VLOOKUP($A99,'Data shares'!$C:$FB,4)</f>
        <v>929.95</v>
      </c>
      <c r="E99" s="50">
        <f t="shared" si="3"/>
        <v>1.1290929619872037</v>
      </c>
      <c r="F99" s="49">
        <f>VLOOKUP($A99,'Data shares'!$C:$FB,98)</f>
        <v>46287500</v>
      </c>
      <c r="G99" s="49">
        <f>VLOOKUP($A99,'Data shares'!$C:$FB,99)</f>
        <v>46073300</v>
      </c>
      <c r="H99" s="50">
        <f t="shared" si="4"/>
        <v>0.46491134778711313</v>
      </c>
      <c r="I99" s="49">
        <f>VLOOKUP($A99,'Data shares'!$C:$FB,66)</f>
        <v>18640300</v>
      </c>
      <c r="J99" s="49">
        <f>VLOOKUP($A99,'Data shares'!$C:$FB,67)</f>
        <v>21965300</v>
      </c>
      <c r="K99" s="50">
        <f t="shared" si="5"/>
        <v>-17.837695745240151</v>
      </c>
      <c r="L99" s="50">
        <f>VLOOKUP($A99,'Data shares'!$C:$FB,118)</f>
        <v>0.69</v>
      </c>
      <c r="M99" s="50">
        <f>VLOOKUP($A99,'Data shares'!$C:$FB,119)</f>
        <v>0.7</v>
      </c>
      <c r="N99" s="50">
        <f>VLOOKUP($A99,'Data shares'!$C:$FB,121)*100</f>
        <v>-1.43</v>
      </c>
      <c r="O99" s="50">
        <f>VLOOKUP($A99,'Data shares'!$C:$FB,124)</f>
        <v>0.77</v>
      </c>
      <c r="P99" s="50">
        <f>VLOOKUP($A99,'Data shares'!$C:$FB,125)</f>
        <v>0.83</v>
      </c>
      <c r="Q99" s="50">
        <f>VLOOKUP($A99,'Data shares'!$C:$FB,127)*100</f>
        <v>-7.23</v>
      </c>
    </row>
    <row r="100" spans="1:17" x14ac:dyDescent="0.25">
      <c r="A100" s="97" t="str">
        <f>'Snapshot (Value)'!A104</f>
        <v>INDUSTOWER</v>
      </c>
      <c r="B100" s="140">
        <f>VLOOKUP($A100,'Data shares'!$C:$FB,7)</f>
        <v>451.4</v>
      </c>
      <c r="C100" s="140">
        <f>VLOOKUP($A100,'Data shares'!$C:$FB,3)</f>
        <v>453.6</v>
      </c>
      <c r="D100" s="140">
        <f>VLOOKUP($A100,'Data shares'!$C:$FB,4)</f>
        <v>443.4</v>
      </c>
      <c r="E100" s="50">
        <f t="shared" si="3"/>
        <v>2.3004059539918913</v>
      </c>
      <c r="F100" s="49">
        <f>VLOOKUP($A100,'Data shares'!$C:$FB,98)</f>
        <v>88741700</v>
      </c>
      <c r="G100" s="49">
        <f>VLOOKUP($A100,'Data shares'!$C:$FB,99)</f>
        <v>88236800</v>
      </c>
      <c r="H100" s="50">
        <f t="shared" si="4"/>
        <v>0.57221023427866835</v>
      </c>
      <c r="I100" s="49">
        <f>VLOOKUP($A100,'Data shares'!$C:$FB,66)</f>
        <v>24973000</v>
      </c>
      <c r="J100" s="49">
        <f>VLOOKUP($A100,'Data shares'!$C:$FB,67)</f>
        <v>24864200</v>
      </c>
      <c r="K100" s="50">
        <f t="shared" si="5"/>
        <v>0.43567052416609942</v>
      </c>
      <c r="L100" s="50">
        <f>VLOOKUP($A100,'Data shares'!$C:$FB,118)</f>
        <v>0.54</v>
      </c>
      <c r="M100" s="50">
        <f>VLOOKUP($A100,'Data shares'!$C:$FB,119)</f>
        <v>0.49</v>
      </c>
      <c r="N100" s="50">
        <f>VLOOKUP($A100,'Data shares'!$C:$FB,121)*100</f>
        <v>10.199999999999999</v>
      </c>
      <c r="O100" s="50">
        <f>VLOOKUP($A100,'Data shares'!$C:$FB,124)</f>
        <v>0.39</v>
      </c>
      <c r="P100" s="50">
        <f>VLOOKUP($A100,'Data shares'!$C:$FB,125)</f>
        <v>0.48</v>
      </c>
      <c r="Q100" s="50">
        <f>VLOOKUP($A100,'Data shares'!$C:$FB,127)*100</f>
        <v>-18.75</v>
      </c>
    </row>
    <row r="101" spans="1:17" x14ac:dyDescent="0.25">
      <c r="A101" s="97" t="str">
        <f>'Snapshot (Value)'!A105</f>
        <v>INFY</v>
      </c>
      <c r="B101" s="140">
        <f>VLOOKUP($A101,'Data shares'!$C:$FB,7)</f>
        <v>1305.8</v>
      </c>
      <c r="C101" s="140">
        <f>VLOOKUP($A101,'Data shares'!$C:$FB,3)</f>
        <v>1309.3</v>
      </c>
      <c r="D101" s="140">
        <f>VLOOKUP($A101,'Data shares'!$C:$FB,4)</f>
        <v>1311.7</v>
      </c>
      <c r="E101" s="50">
        <f t="shared" si="3"/>
        <v>-0.18296866661584896</v>
      </c>
      <c r="F101" s="49">
        <f>VLOOKUP($A101,'Data shares'!$C:$FB,98)</f>
        <v>138706000</v>
      </c>
      <c r="G101" s="49">
        <f>VLOOKUP($A101,'Data shares'!$C:$FB,99)</f>
        <v>139228400</v>
      </c>
      <c r="H101" s="50">
        <f t="shared" si="4"/>
        <v>-0.37521080469214618</v>
      </c>
      <c r="I101" s="49">
        <f>VLOOKUP($A101,'Data shares'!$C:$FB,66)</f>
        <v>52420400</v>
      </c>
      <c r="J101" s="49">
        <f>VLOOKUP($A101,'Data shares'!$C:$FB,67)</f>
        <v>85874000</v>
      </c>
      <c r="K101" s="50">
        <f t="shared" si="5"/>
        <v>-63.817902953811881</v>
      </c>
      <c r="L101" s="50">
        <f>VLOOKUP($A101,'Data shares'!$C:$FB,118)</f>
        <v>0.55000000000000004</v>
      </c>
      <c r="M101" s="50">
        <f>VLOOKUP($A101,'Data shares'!$C:$FB,119)</f>
        <v>0.56999999999999995</v>
      </c>
      <c r="N101" s="50">
        <f>VLOOKUP($A101,'Data shares'!$C:$FB,121)*100</f>
        <v>-3.51</v>
      </c>
      <c r="O101" s="50">
        <f>VLOOKUP($A101,'Data shares'!$C:$FB,124)</f>
        <v>0.69</v>
      </c>
      <c r="P101" s="50">
        <f>VLOOKUP($A101,'Data shares'!$C:$FB,125)</f>
        <v>0.57999999999999996</v>
      </c>
      <c r="Q101" s="50">
        <f>VLOOKUP($A101,'Data shares'!$C:$FB,127)*100</f>
        <v>18.970000000000002</v>
      </c>
    </row>
    <row r="102" spans="1:17" x14ac:dyDescent="0.25">
      <c r="A102" s="97" t="str">
        <f>'Snapshot (Value)'!A106</f>
        <v>INOXWIND</v>
      </c>
      <c r="B102" s="140">
        <f>VLOOKUP($A102,'Data shares'!$C:$FB,7)</f>
        <v>86.32</v>
      </c>
      <c r="C102" s="140">
        <f>VLOOKUP($A102,'Data shares'!$C:$FB,3)</f>
        <v>86.57</v>
      </c>
      <c r="D102" s="140">
        <f>VLOOKUP($A102,'Data shares'!$C:$FB,4)</f>
        <v>86.22</v>
      </c>
      <c r="E102" s="50">
        <f t="shared" si="3"/>
        <v>0.40593829737879183</v>
      </c>
      <c r="F102" s="49">
        <f>VLOOKUP($A102,'Data shares'!$C:$FB,98)</f>
        <v>159180450</v>
      </c>
      <c r="G102" s="49">
        <f>VLOOKUP($A102,'Data shares'!$C:$FB,99)</f>
        <v>156095225</v>
      </c>
      <c r="H102" s="50">
        <f t="shared" si="4"/>
        <v>1.9765018436662622</v>
      </c>
      <c r="I102" s="49">
        <f>VLOOKUP($A102,'Data shares'!$C:$FB,66)</f>
        <v>77109175</v>
      </c>
      <c r="J102" s="49">
        <f>VLOOKUP($A102,'Data shares'!$C:$FB,67)</f>
        <v>49570950</v>
      </c>
      <c r="K102" s="50">
        <f t="shared" si="5"/>
        <v>35.713292224952475</v>
      </c>
      <c r="L102" s="50">
        <f>VLOOKUP($A102,'Data shares'!$C:$FB,118)</f>
        <v>0.74</v>
      </c>
      <c r="M102" s="50">
        <f>VLOOKUP($A102,'Data shares'!$C:$FB,119)</f>
        <v>0.71</v>
      </c>
      <c r="N102" s="50">
        <f>VLOOKUP($A102,'Data shares'!$C:$FB,121)*100</f>
        <v>4.2299999999999995</v>
      </c>
      <c r="O102" s="50">
        <f>VLOOKUP($A102,'Data shares'!$C:$FB,124)</f>
        <v>0.55000000000000004</v>
      </c>
      <c r="P102" s="50">
        <f>VLOOKUP($A102,'Data shares'!$C:$FB,125)</f>
        <v>0.48</v>
      </c>
      <c r="Q102" s="50">
        <f>VLOOKUP($A102,'Data shares'!$C:$FB,127)*100</f>
        <v>14.580000000000002</v>
      </c>
    </row>
    <row r="103" spans="1:17" x14ac:dyDescent="0.25">
      <c r="A103" s="97" t="str">
        <f>'Snapshot (Value)'!A107</f>
        <v>IOC</v>
      </c>
      <c r="B103" s="140">
        <f>VLOOKUP($A103,'Data shares'!$C:$FB,7)</f>
        <v>171.54</v>
      </c>
      <c r="C103" s="140">
        <f>VLOOKUP($A103,'Data shares'!$C:$FB,3)</f>
        <v>170.99</v>
      </c>
      <c r="D103" s="140">
        <f>VLOOKUP($A103,'Data shares'!$C:$FB,4)</f>
        <v>169.77</v>
      </c>
      <c r="E103" s="50">
        <f t="shared" si="3"/>
        <v>0.71861930847617295</v>
      </c>
      <c r="F103" s="49">
        <f>VLOOKUP($A103,'Data shares'!$C:$FB,98)</f>
        <v>189554625</v>
      </c>
      <c r="G103" s="49">
        <f>VLOOKUP($A103,'Data shares'!$C:$FB,99)</f>
        <v>173184375</v>
      </c>
      <c r="H103" s="50">
        <f t="shared" si="4"/>
        <v>9.4524982406755811</v>
      </c>
      <c r="I103" s="49">
        <f>VLOOKUP($A103,'Data shares'!$C:$FB,66)</f>
        <v>259111125</v>
      </c>
      <c r="J103" s="49">
        <f>VLOOKUP($A103,'Data shares'!$C:$FB,67)</f>
        <v>197213250</v>
      </c>
      <c r="K103" s="50">
        <f t="shared" si="5"/>
        <v>23.888543959662094</v>
      </c>
      <c r="L103" s="50">
        <f>VLOOKUP($A103,'Data shares'!$C:$FB,118)</f>
        <v>0.84</v>
      </c>
      <c r="M103" s="50">
        <f>VLOOKUP($A103,'Data shares'!$C:$FB,119)</f>
        <v>0.97</v>
      </c>
      <c r="N103" s="50">
        <f>VLOOKUP($A103,'Data shares'!$C:$FB,121)*100</f>
        <v>-13.4</v>
      </c>
      <c r="O103" s="50">
        <f>VLOOKUP($A103,'Data shares'!$C:$FB,124)</f>
        <v>0.97</v>
      </c>
      <c r="P103" s="50">
        <f>VLOOKUP($A103,'Data shares'!$C:$FB,125)</f>
        <v>1.88</v>
      </c>
      <c r="Q103" s="50">
        <f>VLOOKUP($A103,'Data shares'!$C:$FB,127)*100</f>
        <v>-48.4</v>
      </c>
    </row>
    <row r="104" spans="1:17" x14ac:dyDescent="0.25">
      <c r="A104" s="97" t="str">
        <f>'Snapshot (Value)'!A108</f>
        <v>IREDA</v>
      </c>
      <c r="B104" s="140">
        <f>VLOOKUP($A104,'Data shares'!$C:$FB,7)</f>
        <v>115.65</v>
      </c>
      <c r="C104" s="140">
        <f>VLOOKUP($A104,'Data shares'!$C:$FB,3)</f>
        <v>115.85</v>
      </c>
      <c r="D104" s="140">
        <f>VLOOKUP($A104,'Data shares'!$C:$FB,4)</f>
        <v>113.61</v>
      </c>
      <c r="E104" s="50">
        <f t="shared" si="3"/>
        <v>1.9716574245224847</v>
      </c>
      <c r="F104" s="49">
        <f>VLOOKUP($A104,'Data shares'!$C:$FB,98)</f>
        <v>113936250</v>
      </c>
      <c r="G104" s="49">
        <f>VLOOKUP($A104,'Data shares'!$C:$FB,99)</f>
        <v>113077200</v>
      </c>
      <c r="H104" s="50">
        <f t="shared" si="4"/>
        <v>0.75970222113741759</v>
      </c>
      <c r="I104" s="49">
        <f>VLOOKUP($A104,'Data shares'!$C:$FB,66)</f>
        <v>31895250</v>
      </c>
      <c r="J104" s="49">
        <f>VLOOKUP($A104,'Data shares'!$C:$FB,67)</f>
        <v>39423150</v>
      </c>
      <c r="K104" s="50">
        <f t="shared" si="5"/>
        <v>-23.601946998377503</v>
      </c>
      <c r="L104" s="50">
        <f>VLOOKUP($A104,'Data shares'!$C:$FB,118)</f>
        <v>0.68</v>
      </c>
      <c r="M104" s="50">
        <f>VLOOKUP($A104,'Data shares'!$C:$FB,119)</f>
        <v>0.7</v>
      </c>
      <c r="N104" s="50">
        <f>VLOOKUP($A104,'Data shares'!$C:$FB,121)*100</f>
        <v>-2.86</v>
      </c>
      <c r="O104" s="50">
        <f>VLOOKUP($A104,'Data shares'!$C:$FB,124)</f>
        <v>0.34</v>
      </c>
      <c r="P104" s="50">
        <f>VLOOKUP($A104,'Data shares'!$C:$FB,125)</f>
        <v>0.46</v>
      </c>
      <c r="Q104" s="50">
        <f>VLOOKUP($A104,'Data shares'!$C:$FB,127)*100</f>
        <v>-26.090000000000003</v>
      </c>
    </row>
    <row r="105" spans="1:17" x14ac:dyDescent="0.25">
      <c r="A105" s="97" t="str">
        <f>'Snapshot (Value)'!A109</f>
        <v>IRFC</v>
      </c>
      <c r="B105" s="140">
        <f>VLOOKUP($A105,'Data shares'!$C:$FB,7)</f>
        <v>98.85</v>
      </c>
      <c r="C105" s="140">
        <f>VLOOKUP($A105,'Data shares'!$C:$FB,3)</f>
        <v>98.04</v>
      </c>
      <c r="D105" s="140">
        <f>VLOOKUP($A105,'Data shares'!$C:$FB,4)</f>
        <v>96.83</v>
      </c>
      <c r="E105" s="50">
        <f t="shared" si="3"/>
        <v>1.2496127233295549</v>
      </c>
      <c r="F105" s="49">
        <f>VLOOKUP($A105,'Data shares'!$C:$FB,98)</f>
        <v>195491500</v>
      </c>
      <c r="G105" s="49">
        <f>VLOOKUP($A105,'Data shares'!$C:$FB,99)</f>
        <v>192984000</v>
      </c>
      <c r="H105" s="50">
        <f t="shared" si="4"/>
        <v>1.2993305144467937</v>
      </c>
      <c r="I105" s="49">
        <f>VLOOKUP($A105,'Data shares'!$C:$FB,66)</f>
        <v>81340750</v>
      </c>
      <c r="J105" s="49">
        <f>VLOOKUP($A105,'Data shares'!$C:$FB,67)</f>
        <v>109735000</v>
      </c>
      <c r="K105" s="50">
        <f t="shared" si="5"/>
        <v>-34.907779925805947</v>
      </c>
      <c r="L105" s="50">
        <f>VLOOKUP($A105,'Data shares'!$C:$FB,118)</f>
        <v>0.56000000000000005</v>
      </c>
      <c r="M105" s="50">
        <f>VLOOKUP($A105,'Data shares'!$C:$FB,119)</f>
        <v>0.56000000000000005</v>
      </c>
      <c r="N105" s="50">
        <f>VLOOKUP($A105,'Data shares'!$C:$FB,121)*100</f>
        <v>0</v>
      </c>
      <c r="O105" s="50">
        <f>VLOOKUP($A105,'Data shares'!$C:$FB,124)</f>
        <v>0.28999999999999998</v>
      </c>
      <c r="P105" s="50">
        <f>VLOOKUP($A105,'Data shares'!$C:$FB,125)</f>
        <v>0.44</v>
      </c>
      <c r="Q105" s="50">
        <f>VLOOKUP($A105,'Data shares'!$C:$FB,127)*100</f>
        <v>-34.089999999999996</v>
      </c>
    </row>
    <row r="106" spans="1:17" x14ac:dyDescent="0.25">
      <c r="A106" s="97" t="str">
        <f>'Snapshot (Value)'!A110</f>
        <v>ITC</v>
      </c>
      <c r="B106" s="140">
        <f>VLOOKUP($A106,'Data shares'!$C:$FB,7)</f>
        <v>311.5</v>
      </c>
      <c r="C106" s="140">
        <f>VLOOKUP($A106,'Data shares'!$C:$FB,3)</f>
        <v>312.89999999999998</v>
      </c>
      <c r="D106" s="140">
        <f>VLOOKUP($A106,'Data shares'!$C:$FB,4)</f>
        <v>312.60000000000002</v>
      </c>
      <c r="E106" s="50">
        <f t="shared" si="3"/>
        <v>9.596928982724072E-2</v>
      </c>
      <c r="F106" s="49">
        <f>VLOOKUP($A106,'Data shares'!$C:$FB,98)</f>
        <v>328963200</v>
      </c>
      <c r="G106" s="49">
        <f>VLOOKUP($A106,'Data shares'!$C:$FB,99)</f>
        <v>325204800</v>
      </c>
      <c r="H106" s="50">
        <f t="shared" si="4"/>
        <v>1.1557024988561055</v>
      </c>
      <c r="I106" s="49">
        <f>VLOOKUP($A106,'Data shares'!$C:$FB,66)</f>
        <v>142603200</v>
      </c>
      <c r="J106" s="49">
        <f>VLOOKUP($A106,'Data shares'!$C:$FB,67)</f>
        <v>145600000</v>
      </c>
      <c r="K106" s="50">
        <f t="shared" si="5"/>
        <v>-2.101495618611644</v>
      </c>
      <c r="L106" s="50">
        <f>VLOOKUP($A106,'Data shares'!$C:$FB,118)</f>
        <v>0.45</v>
      </c>
      <c r="M106" s="50">
        <f>VLOOKUP($A106,'Data shares'!$C:$FB,119)</f>
        <v>0.45</v>
      </c>
      <c r="N106" s="50">
        <f>VLOOKUP($A106,'Data shares'!$C:$FB,121)*100</f>
        <v>0</v>
      </c>
      <c r="O106" s="50">
        <f>VLOOKUP($A106,'Data shares'!$C:$FB,124)</f>
        <v>0.28999999999999998</v>
      </c>
      <c r="P106" s="50">
        <f>VLOOKUP($A106,'Data shares'!$C:$FB,125)</f>
        <v>0.43</v>
      </c>
      <c r="Q106" s="50">
        <f>VLOOKUP($A106,'Data shares'!$C:$FB,127)*100</f>
        <v>-32.56</v>
      </c>
    </row>
    <row r="107" spans="1:17" x14ac:dyDescent="0.25">
      <c r="A107" s="97" t="str">
        <f>'Snapshot (Value)'!A111</f>
        <v>JINDALSTEL</v>
      </c>
      <c r="B107" s="140">
        <f>VLOOKUP($A107,'Data shares'!$C:$FB,7)</f>
        <v>1184</v>
      </c>
      <c r="C107" s="140">
        <f>VLOOKUP($A107,'Data shares'!$C:$FB,3)</f>
        <v>1189</v>
      </c>
      <c r="D107" s="140">
        <f>VLOOKUP($A107,'Data shares'!$C:$FB,4)</f>
        <v>1173.0999999999999</v>
      </c>
      <c r="E107" s="50">
        <f t="shared" si="3"/>
        <v>1.3553831727900514</v>
      </c>
      <c r="F107" s="49">
        <f>VLOOKUP($A107,'Data shares'!$C:$FB,98)</f>
        <v>16203125</v>
      </c>
      <c r="G107" s="49">
        <f>VLOOKUP($A107,'Data shares'!$C:$FB,99)</f>
        <v>16076250</v>
      </c>
      <c r="H107" s="50">
        <f t="shared" si="4"/>
        <v>0.78920768213980252</v>
      </c>
      <c r="I107" s="49">
        <f>VLOOKUP($A107,'Data shares'!$C:$FB,66)</f>
        <v>9742500</v>
      </c>
      <c r="J107" s="49">
        <f>VLOOKUP($A107,'Data shares'!$C:$FB,67)</f>
        <v>18748750</v>
      </c>
      <c r="K107" s="50">
        <f t="shared" si="5"/>
        <v>-92.442904798562992</v>
      </c>
      <c r="L107" s="50">
        <f>VLOOKUP($A107,'Data shares'!$C:$FB,118)</f>
        <v>1.05</v>
      </c>
      <c r="M107" s="50">
        <f>VLOOKUP($A107,'Data shares'!$C:$FB,119)</f>
        <v>1.1599999999999999</v>
      </c>
      <c r="N107" s="50">
        <f>VLOOKUP($A107,'Data shares'!$C:$FB,121)*100</f>
        <v>-9.48</v>
      </c>
      <c r="O107" s="50">
        <f>VLOOKUP($A107,'Data shares'!$C:$FB,124)</f>
        <v>0.39</v>
      </c>
      <c r="P107" s="50">
        <f>VLOOKUP($A107,'Data shares'!$C:$FB,125)</f>
        <v>1.23</v>
      </c>
      <c r="Q107" s="50">
        <f>VLOOKUP($A107,'Data shares'!$C:$FB,127)*100</f>
        <v>-68.289999999999992</v>
      </c>
    </row>
    <row r="108" spans="1:17" x14ac:dyDescent="0.25">
      <c r="A108" s="97" t="str">
        <f>'Snapshot (Value)'!A112</f>
        <v>JIOFIN</v>
      </c>
      <c r="B108" s="140">
        <f>VLOOKUP($A108,'Data shares'!$C:$FB,7)</f>
        <v>243.1</v>
      </c>
      <c r="C108" s="140">
        <f>VLOOKUP($A108,'Data shares'!$C:$FB,3)</f>
        <v>244.1</v>
      </c>
      <c r="D108" s="140">
        <f>VLOOKUP($A108,'Data shares'!$C:$FB,4)</f>
        <v>242</v>
      </c>
      <c r="E108" s="50">
        <f t="shared" si="3"/>
        <v>0.86776859504132009</v>
      </c>
      <c r="F108" s="49">
        <f>VLOOKUP($A108,'Data shares'!$C:$FB,98)</f>
        <v>254479150</v>
      </c>
      <c r="G108" s="49">
        <f>VLOOKUP($A108,'Data shares'!$C:$FB,99)</f>
        <v>250155150</v>
      </c>
      <c r="H108" s="50">
        <f t="shared" si="4"/>
        <v>1.7285272759725314</v>
      </c>
      <c r="I108" s="49">
        <f>VLOOKUP($A108,'Data shares'!$C:$FB,66)</f>
        <v>88350600</v>
      </c>
      <c r="J108" s="49">
        <f>VLOOKUP($A108,'Data shares'!$C:$FB,67)</f>
        <v>86921800</v>
      </c>
      <c r="K108" s="50">
        <f t="shared" si="5"/>
        <v>1.617193318438132</v>
      </c>
      <c r="L108" s="50">
        <f>VLOOKUP($A108,'Data shares'!$C:$FB,118)</f>
        <v>0.8</v>
      </c>
      <c r="M108" s="50">
        <f>VLOOKUP($A108,'Data shares'!$C:$FB,119)</f>
        <v>0.83</v>
      </c>
      <c r="N108" s="50">
        <f>VLOOKUP($A108,'Data shares'!$C:$FB,121)*100</f>
        <v>-3.61</v>
      </c>
      <c r="O108" s="50">
        <f>VLOOKUP($A108,'Data shares'!$C:$FB,124)</f>
        <v>0.48</v>
      </c>
      <c r="P108" s="50">
        <f>VLOOKUP($A108,'Data shares'!$C:$FB,125)</f>
        <v>0.64</v>
      </c>
      <c r="Q108" s="50">
        <f>VLOOKUP($A108,'Data shares'!$C:$FB,127)*100</f>
        <v>-25</v>
      </c>
    </row>
    <row r="109" spans="1:17" x14ac:dyDescent="0.25">
      <c r="A109" s="97" t="str">
        <f>'Snapshot (Value)'!A113</f>
        <v>JSWENERGY</v>
      </c>
      <c r="B109" s="140">
        <f>VLOOKUP($A109,'Data shares'!$C:$FB,7)</f>
        <v>479.5</v>
      </c>
      <c r="C109" s="140">
        <f>VLOOKUP($A109,'Data shares'!$C:$FB,3)</f>
        <v>480.35</v>
      </c>
      <c r="D109" s="140">
        <f>VLOOKUP($A109,'Data shares'!$C:$FB,4)</f>
        <v>469.05</v>
      </c>
      <c r="E109" s="50">
        <f t="shared" si="3"/>
        <v>2.4091248267775316</v>
      </c>
      <c r="F109" s="49">
        <f>VLOOKUP($A109,'Data shares'!$C:$FB,98)</f>
        <v>39174000</v>
      </c>
      <c r="G109" s="49">
        <f>VLOOKUP($A109,'Data shares'!$C:$FB,99)</f>
        <v>39353000</v>
      </c>
      <c r="H109" s="50">
        <f t="shared" si="4"/>
        <v>-0.45485731710415978</v>
      </c>
      <c r="I109" s="49">
        <f>VLOOKUP($A109,'Data shares'!$C:$FB,66)</f>
        <v>6893000</v>
      </c>
      <c r="J109" s="49">
        <f>VLOOKUP($A109,'Data shares'!$C:$FB,67)</f>
        <v>9177000</v>
      </c>
      <c r="K109" s="50">
        <f t="shared" si="5"/>
        <v>-33.135064558247493</v>
      </c>
      <c r="L109" s="50">
        <f>VLOOKUP($A109,'Data shares'!$C:$FB,118)</f>
        <v>0.9</v>
      </c>
      <c r="M109" s="50">
        <f>VLOOKUP($A109,'Data shares'!$C:$FB,119)</f>
        <v>0.91</v>
      </c>
      <c r="N109" s="50">
        <f>VLOOKUP($A109,'Data shares'!$C:$FB,121)*100</f>
        <v>-1.0999999999999999</v>
      </c>
      <c r="O109" s="50">
        <f>VLOOKUP($A109,'Data shares'!$C:$FB,124)</f>
        <v>0.33</v>
      </c>
      <c r="P109" s="50">
        <f>VLOOKUP($A109,'Data shares'!$C:$FB,125)</f>
        <v>0.6</v>
      </c>
      <c r="Q109" s="50">
        <f>VLOOKUP($A109,'Data shares'!$C:$FB,127)*100</f>
        <v>-45</v>
      </c>
    </row>
    <row r="110" spans="1:17" x14ac:dyDescent="0.25">
      <c r="A110" s="97" t="str">
        <f>'Snapshot (Value)'!A114</f>
        <v>JSWSTEEL</v>
      </c>
      <c r="B110" s="140">
        <f>VLOOKUP($A110,'Data shares'!$C:$FB,7)</f>
        <v>1248.0999999999999</v>
      </c>
      <c r="C110" s="140">
        <f>VLOOKUP($A110,'Data shares'!$C:$FB,3)</f>
        <v>1251.2</v>
      </c>
      <c r="D110" s="140">
        <f>VLOOKUP($A110,'Data shares'!$C:$FB,4)</f>
        <v>1216.9000000000001</v>
      </c>
      <c r="E110" s="50">
        <f t="shared" si="3"/>
        <v>2.8186375215712016</v>
      </c>
      <c r="F110" s="49">
        <f>VLOOKUP($A110,'Data shares'!$C:$FB,98)</f>
        <v>62794575</v>
      </c>
      <c r="G110" s="49">
        <f>VLOOKUP($A110,'Data shares'!$C:$FB,99)</f>
        <v>62006175</v>
      </c>
      <c r="H110" s="50">
        <f t="shared" si="4"/>
        <v>1.2714862672951526</v>
      </c>
      <c r="I110" s="49">
        <f>VLOOKUP($A110,'Data shares'!$C:$FB,66)</f>
        <v>20989125</v>
      </c>
      <c r="J110" s="49">
        <f>VLOOKUP($A110,'Data shares'!$C:$FB,67)</f>
        <v>24642900</v>
      </c>
      <c r="K110" s="50">
        <f t="shared" si="5"/>
        <v>-17.407943399260333</v>
      </c>
      <c r="L110" s="50">
        <f>VLOOKUP($A110,'Data shares'!$C:$FB,118)</f>
        <v>0.6</v>
      </c>
      <c r="M110" s="50">
        <f>VLOOKUP($A110,'Data shares'!$C:$FB,119)</f>
        <v>0.59</v>
      </c>
      <c r="N110" s="50">
        <f>VLOOKUP($A110,'Data shares'!$C:$FB,121)*100</f>
        <v>1.69</v>
      </c>
      <c r="O110" s="50">
        <f>VLOOKUP($A110,'Data shares'!$C:$FB,124)</f>
        <v>0.55000000000000004</v>
      </c>
      <c r="P110" s="50">
        <f>VLOOKUP($A110,'Data shares'!$C:$FB,125)</f>
        <v>1.05</v>
      </c>
      <c r="Q110" s="50">
        <f>VLOOKUP($A110,'Data shares'!$C:$FB,127)*100</f>
        <v>-47.620000000000005</v>
      </c>
    </row>
    <row r="111" spans="1:17" x14ac:dyDescent="0.25">
      <c r="A111" s="97" t="str">
        <f>'Snapshot (Value)'!A115</f>
        <v>JUBLFOOD</v>
      </c>
      <c r="B111" s="140">
        <f>VLOOKUP($A111,'Data shares'!$C:$FB,7)</f>
        <v>500.5</v>
      </c>
      <c r="C111" s="140">
        <f>VLOOKUP($A111,'Data shares'!$C:$FB,3)</f>
        <v>501.55</v>
      </c>
      <c r="D111" s="140">
        <f>VLOOKUP($A111,'Data shares'!$C:$FB,4)</f>
        <v>500.3</v>
      </c>
      <c r="E111" s="50">
        <f t="shared" si="3"/>
        <v>0.24985008994603239</v>
      </c>
      <c r="F111" s="49">
        <f>VLOOKUP($A111,'Data shares'!$C:$FB,98)</f>
        <v>39740000</v>
      </c>
      <c r="G111" s="49">
        <f>VLOOKUP($A111,'Data shares'!$C:$FB,99)</f>
        <v>39738750</v>
      </c>
      <c r="H111" s="50">
        <f t="shared" si="4"/>
        <v>3.1455443364474221E-3</v>
      </c>
      <c r="I111" s="49">
        <f>VLOOKUP($A111,'Data shares'!$C:$FB,66)</f>
        <v>9496250</v>
      </c>
      <c r="J111" s="49">
        <f>VLOOKUP($A111,'Data shares'!$C:$FB,67)</f>
        <v>15498750</v>
      </c>
      <c r="K111" s="50">
        <f t="shared" si="5"/>
        <v>-63.209161511122815</v>
      </c>
      <c r="L111" s="50">
        <f>VLOOKUP($A111,'Data shares'!$C:$FB,118)</f>
        <v>0.64</v>
      </c>
      <c r="M111" s="50">
        <f>VLOOKUP($A111,'Data shares'!$C:$FB,119)</f>
        <v>0.68</v>
      </c>
      <c r="N111" s="50">
        <f>VLOOKUP($A111,'Data shares'!$C:$FB,121)*100</f>
        <v>-5.88</v>
      </c>
      <c r="O111" s="50">
        <f>VLOOKUP($A111,'Data shares'!$C:$FB,124)</f>
        <v>0.28000000000000003</v>
      </c>
      <c r="P111" s="50">
        <f>VLOOKUP($A111,'Data shares'!$C:$FB,125)</f>
        <v>0.43</v>
      </c>
      <c r="Q111" s="50">
        <f>VLOOKUP($A111,'Data shares'!$C:$FB,127)*100</f>
        <v>-34.880000000000003</v>
      </c>
    </row>
    <row r="112" spans="1:17" x14ac:dyDescent="0.25">
      <c r="A112" s="97" t="str">
        <f>'Snapshot (Value)'!A116</f>
        <v>KALYANKJIL</v>
      </c>
      <c r="B112" s="140">
        <f>VLOOKUP($A112,'Data shares'!$C:$FB,7)</f>
        <v>399.8</v>
      </c>
      <c r="C112" s="140">
        <f>VLOOKUP($A112,'Data shares'!$C:$FB,3)</f>
        <v>400.8</v>
      </c>
      <c r="D112" s="140">
        <f>VLOOKUP($A112,'Data shares'!$C:$FB,4)</f>
        <v>394.95</v>
      </c>
      <c r="E112" s="50">
        <f t="shared" si="3"/>
        <v>1.4812001519179701</v>
      </c>
      <c r="F112" s="49">
        <f>VLOOKUP($A112,'Data shares'!$C:$FB,98)</f>
        <v>37840875</v>
      </c>
      <c r="G112" s="49">
        <f>VLOOKUP($A112,'Data shares'!$C:$FB,99)</f>
        <v>37435500</v>
      </c>
      <c r="H112" s="50">
        <f t="shared" si="4"/>
        <v>1.0828625235404896</v>
      </c>
      <c r="I112" s="49">
        <f>VLOOKUP($A112,'Data shares'!$C:$FB,66)</f>
        <v>14229250</v>
      </c>
      <c r="J112" s="49">
        <f>VLOOKUP($A112,'Data shares'!$C:$FB,67)</f>
        <v>19203025</v>
      </c>
      <c r="K112" s="50">
        <f t="shared" si="5"/>
        <v>-34.95458298926507</v>
      </c>
      <c r="L112" s="50">
        <f>VLOOKUP($A112,'Data shares'!$C:$FB,118)</f>
        <v>0.7</v>
      </c>
      <c r="M112" s="50">
        <f>VLOOKUP($A112,'Data shares'!$C:$FB,119)</f>
        <v>0.73</v>
      </c>
      <c r="N112" s="50">
        <f>VLOOKUP($A112,'Data shares'!$C:$FB,121)*100</f>
        <v>-4.1099999999999994</v>
      </c>
      <c r="O112" s="50">
        <f>VLOOKUP($A112,'Data shares'!$C:$FB,124)</f>
        <v>0.48</v>
      </c>
      <c r="P112" s="50">
        <f>VLOOKUP($A112,'Data shares'!$C:$FB,125)</f>
        <v>1.03</v>
      </c>
      <c r="Q112" s="50">
        <f>VLOOKUP($A112,'Data shares'!$C:$FB,127)*100</f>
        <v>-53.400000000000006</v>
      </c>
    </row>
    <row r="113" spans="1:17" x14ac:dyDescent="0.25">
      <c r="A113" s="97" t="str">
        <f>'Snapshot (Value)'!A117</f>
        <v>KAYNES</v>
      </c>
      <c r="B113" s="140">
        <f>VLOOKUP($A113,'Data shares'!$C:$FB,7)</f>
        <v>3814.5</v>
      </c>
      <c r="C113" s="140">
        <f>VLOOKUP($A113,'Data shares'!$C:$FB,3)</f>
        <v>3826.7</v>
      </c>
      <c r="D113" s="140">
        <f>VLOOKUP($A113,'Data shares'!$C:$FB,4)</f>
        <v>3716.9</v>
      </c>
      <c r="E113" s="50">
        <f t="shared" si="3"/>
        <v>2.9540746320858706</v>
      </c>
      <c r="F113" s="49">
        <f>VLOOKUP($A113,'Data shares'!$C:$FB,98)</f>
        <v>6473600</v>
      </c>
      <c r="G113" s="49">
        <f>VLOOKUP($A113,'Data shares'!$C:$FB,99)</f>
        <v>5999900</v>
      </c>
      <c r="H113" s="50">
        <f t="shared" si="4"/>
        <v>7.8951315855264257</v>
      </c>
      <c r="I113" s="49">
        <f>VLOOKUP($A113,'Data shares'!$C:$FB,66)</f>
        <v>5588100</v>
      </c>
      <c r="J113" s="49">
        <f>VLOOKUP($A113,'Data shares'!$C:$FB,67)</f>
        <v>3795800</v>
      </c>
      <c r="K113" s="50">
        <f t="shared" si="5"/>
        <v>32.073513358744478</v>
      </c>
      <c r="L113" s="50">
        <f>VLOOKUP($A113,'Data shares'!$C:$FB,118)</f>
        <v>0.88</v>
      </c>
      <c r="M113" s="50">
        <f>VLOOKUP($A113,'Data shares'!$C:$FB,119)</f>
        <v>0.84</v>
      </c>
      <c r="N113" s="50">
        <f>VLOOKUP($A113,'Data shares'!$C:$FB,121)*100</f>
        <v>4.7600000000000007</v>
      </c>
      <c r="O113" s="50">
        <f>VLOOKUP($A113,'Data shares'!$C:$FB,124)</f>
        <v>0.59</v>
      </c>
      <c r="P113" s="50">
        <f>VLOOKUP($A113,'Data shares'!$C:$FB,125)</f>
        <v>0.56999999999999995</v>
      </c>
      <c r="Q113" s="50">
        <f>VLOOKUP($A113,'Data shares'!$C:$FB,127)*100</f>
        <v>3.51</v>
      </c>
    </row>
    <row r="114" spans="1:17" x14ac:dyDescent="0.25">
      <c r="A114" s="97" t="str">
        <f>'Snapshot (Value)'!A118</f>
        <v>KEI</v>
      </c>
      <c r="B114" s="140">
        <f>VLOOKUP($A114,'Data shares'!$C:$FB,7)</f>
        <v>4920.5</v>
      </c>
      <c r="C114" s="140">
        <f>VLOOKUP($A114,'Data shares'!$C:$FB,3)</f>
        <v>4939</v>
      </c>
      <c r="D114" s="140">
        <f>VLOOKUP($A114,'Data shares'!$C:$FB,4)</f>
        <v>4978.5</v>
      </c>
      <c r="E114" s="50">
        <f t="shared" si="3"/>
        <v>-0.79341167018178171</v>
      </c>
      <c r="F114" s="49">
        <f>VLOOKUP($A114,'Data shares'!$C:$FB,98)</f>
        <v>2662450</v>
      </c>
      <c r="G114" s="49">
        <f>VLOOKUP($A114,'Data shares'!$C:$FB,99)</f>
        <v>2771650</v>
      </c>
      <c r="H114" s="50">
        <f t="shared" si="4"/>
        <v>-3.9398914004293468</v>
      </c>
      <c r="I114" s="49">
        <f>VLOOKUP($A114,'Data shares'!$C:$FB,66)</f>
        <v>2264325</v>
      </c>
      <c r="J114" s="49">
        <f>VLOOKUP($A114,'Data shares'!$C:$FB,67)</f>
        <v>3007550</v>
      </c>
      <c r="K114" s="50">
        <f t="shared" si="5"/>
        <v>-32.823247546178216</v>
      </c>
      <c r="L114" s="50">
        <f>VLOOKUP($A114,'Data shares'!$C:$FB,118)</f>
        <v>0.79</v>
      </c>
      <c r="M114" s="50">
        <f>VLOOKUP($A114,'Data shares'!$C:$FB,119)</f>
        <v>0.79</v>
      </c>
      <c r="N114" s="50">
        <f>VLOOKUP($A114,'Data shares'!$C:$FB,121)*100</f>
        <v>0</v>
      </c>
      <c r="O114" s="50">
        <f>VLOOKUP($A114,'Data shares'!$C:$FB,124)</f>
        <v>0.85</v>
      </c>
      <c r="P114" s="50">
        <f>VLOOKUP($A114,'Data shares'!$C:$FB,125)</f>
        <v>0.8</v>
      </c>
      <c r="Q114" s="50">
        <f>VLOOKUP($A114,'Data shares'!$C:$FB,127)*100</f>
        <v>6.25</v>
      </c>
    </row>
    <row r="115" spans="1:17" x14ac:dyDescent="0.25">
      <c r="A115" s="97" t="str">
        <f>'Snapshot (Value)'!A119</f>
        <v>KFINTECH</v>
      </c>
      <c r="B115" s="140">
        <f>VLOOKUP($A115,'Data shares'!$C:$FB,7)</f>
        <v>927.9</v>
      </c>
      <c r="C115" s="140">
        <f>VLOOKUP($A115,'Data shares'!$C:$FB,3)</f>
        <v>926.45</v>
      </c>
      <c r="D115" s="140">
        <f>VLOOKUP($A115,'Data shares'!$C:$FB,4)</f>
        <v>911</v>
      </c>
      <c r="E115" s="50">
        <f t="shared" si="3"/>
        <v>1.6959385290889182</v>
      </c>
      <c r="F115" s="49">
        <f>VLOOKUP($A115,'Data shares'!$C:$FB,98)</f>
        <v>5431500</v>
      </c>
      <c r="G115" s="49">
        <f>VLOOKUP($A115,'Data shares'!$C:$FB,99)</f>
        <v>5248500</v>
      </c>
      <c r="H115" s="50">
        <f t="shared" si="4"/>
        <v>3.4867104887110605</v>
      </c>
      <c r="I115" s="49">
        <f>VLOOKUP($A115,'Data shares'!$C:$FB,66)</f>
        <v>3005500</v>
      </c>
      <c r="J115" s="49">
        <f>VLOOKUP($A115,'Data shares'!$C:$FB,67)</f>
        <v>1891000</v>
      </c>
      <c r="K115" s="50">
        <f t="shared" si="5"/>
        <v>37.082016303443687</v>
      </c>
      <c r="L115" s="50">
        <f>VLOOKUP($A115,'Data shares'!$C:$FB,118)</f>
        <v>0.64</v>
      </c>
      <c r="M115" s="50">
        <f>VLOOKUP($A115,'Data shares'!$C:$FB,119)</f>
        <v>0.66</v>
      </c>
      <c r="N115" s="50">
        <f>VLOOKUP($A115,'Data shares'!$C:$FB,121)*100</f>
        <v>-3.0300000000000002</v>
      </c>
      <c r="O115" s="50">
        <f>VLOOKUP($A115,'Data shares'!$C:$FB,124)</f>
        <v>0.51</v>
      </c>
      <c r="P115" s="50">
        <f>VLOOKUP($A115,'Data shares'!$C:$FB,125)</f>
        <v>0.64</v>
      </c>
      <c r="Q115" s="50">
        <f>VLOOKUP($A115,'Data shares'!$C:$FB,127)*100</f>
        <v>-20.309999999999999</v>
      </c>
    </row>
    <row r="116" spans="1:17" x14ac:dyDescent="0.25">
      <c r="A116" s="97" t="str">
        <f>'Snapshot (Value)'!A120</f>
        <v>KOTAKBANK</v>
      </c>
      <c r="B116" s="140">
        <f>VLOOKUP($A116,'Data shares'!$C:$FB,7)</f>
        <v>407.3</v>
      </c>
      <c r="C116" s="140">
        <f>VLOOKUP($A116,'Data shares'!$C:$FB,3)</f>
        <v>409.15</v>
      </c>
      <c r="D116" s="140">
        <f>VLOOKUP($A116,'Data shares'!$C:$FB,4)</f>
        <v>405.3</v>
      </c>
      <c r="E116" s="50">
        <f t="shared" si="3"/>
        <v>0.94991364421415392</v>
      </c>
      <c r="F116" s="49">
        <f>VLOOKUP($A116,'Data shares'!$C:$FB,98)</f>
        <v>252986000</v>
      </c>
      <c r="G116" s="49">
        <f>VLOOKUP($A116,'Data shares'!$C:$FB,99)</f>
        <v>248902000</v>
      </c>
      <c r="H116" s="50">
        <f t="shared" si="4"/>
        <v>1.6408064218045657</v>
      </c>
      <c r="I116" s="49">
        <f>VLOOKUP($A116,'Data shares'!$C:$FB,66)</f>
        <v>59288000</v>
      </c>
      <c r="J116" s="49">
        <f>VLOOKUP($A116,'Data shares'!$C:$FB,67)</f>
        <v>80052000</v>
      </c>
      <c r="K116" s="50">
        <f t="shared" si="5"/>
        <v>-35.0222642018621</v>
      </c>
      <c r="L116" s="50">
        <f>VLOOKUP($A116,'Data shares'!$C:$FB,118)</f>
        <v>0.65</v>
      </c>
      <c r="M116" s="50">
        <f>VLOOKUP($A116,'Data shares'!$C:$FB,119)</f>
        <v>0.7</v>
      </c>
      <c r="N116" s="50">
        <f>VLOOKUP($A116,'Data shares'!$C:$FB,121)*100</f>
        <v>-7.1400000000000006</v>
      </c>
      <c r="O116" s="50">
        <f>VLOOKUP($A116,'Data shares'!$C:$FB,124)</f>
        <v>0.64</v>
      </c>
      <c r="P116" s="50">
        <f>VLOOKUP($A116,'Data shares'!$C:$FB,125)</f>
        <v>0.61</v>
      </c>
      <c r="Q116" s="50">
        <f>VLOOKUP($A116,'Data shares'!$C:$FB,127)*100</f>
        <v>4.92</v>
      </c>
    </row>
    <row r="117" spans="1:17" x14ac:dyDescent="0.25">
      <c r="A117" s="97" t="str">
        <f>'Snapshot (Value)'!A121</f>
        <v>KPITTECH</v>
      </c>
      <c r="B117" s="140">
        <f>VLOOKUP($A117,'Data shares'!$C:$FB,7)</f>
        <v>717.5</v>
      </c>
      <c r="C117" s="140">
        <f>VLOOKUP($A117,'Data shares'!$C:$FB,3)</f>
        <v>721.2</v>
      </c>
      <c r="D117" s="140">
        <f>VLOOKUP($A117,'Data shares'!$C:$FB,4)</f>
        <v>739.4</v>
      </c>
      <c r="E117" s="50">
        <f t="shared" si="3"/>
        <v>-2.4614552339734828</v>
      </c>
      <c r="F117" s="49">
        <f>VLOOKUP($A117,'Data shares'!$C:$FB,98)</f>
        <v>13594900</v>
      </c>
      <c r="G117" s="49">
        <f>VLOOKUP($A117,'Data shares'!$C:$FB,99)</f>
        <v>12304600</v>
      </c>
      <c r="H117" s="50">
        <f t="shared" si="4"/>
        <v>10.486322188449847</v>
      </c>
      <c r="I117" s="49">
        <f>VLOOKUP($A117,'Data shares'!$C:$FB,66)</f>
        <v>7007400</v>
      </c>
      <c r="J117" s="49">
        <f>VLOOKUP($A117,'Data shares'!$C:$FB,67)</f>
        <v>6357575</v>
      </c>
      <c r="K117" s="50">
        <f t="shared" si="5"/>
        <v>9.2734109655507027</v>
      </c>
      <c r="L117" s="50">
        <f>VLOOKUP($A117,'Data shares'!$C:$FB,118)</f>
        <v>0.6</v>
      </c>
      <c r="M117" s="50">
        <f>VLOOKUP($A117,'Data shares'!$C:$FB,119)</f>
        <v>0.69</v>
      </c>
      <c r="N117" s="50">
        <f>VLOOKUP($A117,'Data shares'!$C:$FB,121)*100</f>
        <v>-13.04</v>
      </c>
      <c r="O117" s="50">
        <f>VLOOKUP($A117,'Data shares'!$C:$FB,124)</f>
        <v>0.4</v>
      </c>
      <c r="P117" s="50">
        <f>VLOOKUP($A117,'Data shares'!$C:$FB,125)</f>
        <v>0.57999999999999996</v>
      </c>
      <c r="Q117" s="50">
        <f>VLOOKUP($A117,'Data shares'!$C:$FB,127)*100</f>
        <v>-31.03</v>
      </c>
    </row>
    <row r="118" spans="1:17" x14ac:dyDescent="0.25">
      <c r="A118" s="97" t="str">
        <f>'Snapshot (Value)'!A122</f>
        <v>LAURUSLABS</v>
      </c>
      <c r="B118" s="140">
        <f>VLOOKUP($A118,'Data shares'!$C:$FB,7)</f>
        <v>1045.9000000000001</v>
      </c>
      <c r="C118" s="140">
        <f>VLOOKUP($A118,'Data shares'!$C:$FB,3)</f>
        <v>1050.2</v>
      </c>
      <c r="D118" s="140">
        <f>VLOOKUP($A118,'Data shares'!$C:$FB,4)</f>
        <v>1035.7</v>
      </c>
      <c r="E118" s="50">
        <f t="shared" si="3"/>
        <v>1.4000193106111807</v>
      </c>
      <c r="F118" s="49">
        <f>VLOOKUP($A118,'Data shares'!$C:$FB,98)</f>
        <v>30324600</v>
      </c>
      <c r="G118" s="49">
        <f>VLOOKUP($A118,'Data shares'!$C:$FB,99)</f>
        <v>29579150</v>
      </c>
      <c r="H118" s="50">
        <f t="shared" si="4"/>
        <v>2.5201873617057959</v>
      </c>
      <c r="I118" s="49">
        <f>VLOOKUP($A118,'Data shares'!$C:$FB,66)</f>
        <v>12220450</v>
      </c>
      <c r="J118" s="49">
        <f>VLOOKUP($A118,'Data shares'!$C:$FB,67)</f>
        <v>13931500</v>
      </c>
      <c r="K118" s="50">
        <f t="shared" si="5"/>
        <v>-14.001530221882172</v>
      </c>
      <c r="L118" s="50">
        <f>VLOOKUP($A118,'Data shares'!$C:$FB,118)</f>
        <v>0.56999999999999995</v>
      </c>
      <c r="M118" s="50">
        <f>VLOOKUP($A118,'Data shares'!$C:$FB,119)</f>
        <v>0.57999999999999996</v>
      </c>
      <c r="N118" s="50">
        <f>VLOOKUP($A118,'Data shares'!$C:$FB,121)*100</f>
        <v>-1.72</v>
      </c>
      <c r="O118" s="50">
        <f>VLOOKUP($A118,'Data shares'!$C:$FB,124)</f>
        <v>0.28000000000000003</v>
      </c>
      <c r="P118" s="50">
        <f>VLOOKUP($A118,'Data shares'!$C:$FB,125)</f>
        <v>0.54</v>
      </c>
      <c r="Q118" s="50">
        <f>VLOOKUP($A118,'Data shares'!$C:$FB,127)*100</f>
        <v>-48.15</v>
      </c>
    </row>
    <row r="119" spans="1:17" x14ac:dyDescent="0.25">
      <c r="A119" s="97" t="str">
        <f>'Snapshot (Value)'!A123</f>
        <v>LICHSGFIN</v>
      </c>
      <c r="B119" s="140">
        <f>VLOOKUP($A119,'Data shares'!$C:$FB,7)</f>
        <v>521.4</v>
      </c>
      <c r="C119" s="140">
        <f>VLOOKUP($A119,'Data shares'!$C:$FB,3)</f>
        <v>523.65</v>
      </c>
      <c r="D119" s="140">
        <f>VLOOKUP($A119,'Data shares'!$C:$FB,4)</f>
        <v>518.85</v>
      </c>
      <c r="E119" s="50">
        <f t="shared" si="3"/>
        <v>0.92512286788088172</v>
      </c>
      <c r="F119" s="49">
        <f>VLOOKUP($A119,'Data shares'!$C:$FB,98)</f>
        <v>44187000</v>
      </c>
      <c r="G119" s="49">
        <f>VLOOKUP($A119,'Data shares'!$C:$FB,99)</f>
        <v>43741000</v>
      </c>
      <c r="H119" s="50">
        <f t="shared" si="4"/>
        <v>1.0196383255984087</v>
      </c>
      <c r="I119" s="49">
        <f>VLOOKUP($A119,'Data shares'!$C:$FB,66)</f>
        <v>15513000</v>
      </c>
      <c r="J119" s="49">
        <f>VLOOKUP($A119,'Data shares'!$C:$FB,67)</f>
        <v>13099000</v>
      </c>
      <c r="K119" s="50">
        <f t="shared" si="5"/>
        <v>15.561142267775413</v>
      </c>
      <c r="L119" s="50">
        <f>VLOOKUP($A119,'Data shares'!$C:$FB,118)</f>
        <v>0.91</v>
      </c>
      <c r="M119" s="50">
        <f>VLOOKUP($A119,'Data shares'!$C:$FB,119)</f>
        <v>0.9</v>
      </c>
      <c r="N119" s="50">
        <f>VLOOKUP($A119,'Data shares'!$C:$FB,121)*100</f>
        <v>1.1100000000000001</v>
      </c>
      <c r="O119" s="50">
        <f>VLOOKUP($A119,'Data shares'!$C:$FB,124)</f>
        <v>0.63</v>
      </c>
      <c r="P119" s="50">
        <f>VLOOKUP($A119,'Data shares'!$C:$FB,125)</f>
        <v>0.61</v>
      </c>
      <c r="Q119" s="50">
        <f>VLOOKUP($A119,'Data shares'!$C:$FB,127)*100</f>
        <v>3.2800000000000002</v>
      </c>
    </row>
    <row r="120" spans="1:17" x14ac:dyDescent="0.25">
      <c r="A120" s="97" t="str">
        <f>'Snapshot (Value)'!A124</f>
        <v>LICI</v>
      </c>
      <c r="B120" s="140">
        <f>VLOOKUP($A120,'Data shares'!$C:$FB,7)</f>
        <v>832.95</v>
      </c>
      <c r="C120" s="140">
        <f>VLOOKUP($A120,'Data shares'!$C:$FB,3)</f>
        <v>832.2</v>
      </c>
      <c r="D120" s="140">
        <f>VLOOKUP($A120,'Data shares'!$C:$FB,4)</f>
        <v>827</v>
      </c>
      <c r="E120" s="50">
        <f t="shared" si="3"/>
        <v>0.62877871825877218</v>
      </c>
      <c r="F120" s="49">
        <f>VLOOKUP($A120,'Data shares'!$C:$FB,98)</f>
        <v>17814300</v>
      </c>
      <c r="G120" s="49">
        <f>VLOOKUP($A120,'Data shares'!$C:$FB,99)</f>
        <v>17522400</v>
      </c>
      <c r="H120" s="50">
        <f t="shared" si="4"/>
        <v>1.6658676893576225</v>
      </c>
      <c r="I120" s="49">
        <f>VLOOKUP($A120,'Data shares'!$C:$FB,66)</f>
        <v>4585700</v>
      </c>
      <c r="J120" s="49">
        <f>VLOOKUP($A120,'Data shares'!$C:$FB,67)</f>
        <v>6444200</v>
      </c>
      <c r="K120" s="50">
        <f t="shared" si="5"/>
        <v>-40.528163639139066</v>
      </c>
      <c r="L120" s="50">
        <f>VLOOKUP($A120,'Data shares'!$C:$FB,118)</f>
        <v>0.47</v>
      </c>
      <c r="M120" s="50">
        <f>VLOOKUP($A120,'Data shares'!$C:$FB,119)</f>
        <v>0.5</v>
      </c>
      <c r="N120" s="50">
        <f>VLOOKUP($A120,'Data shares'!$C:$FB,121)*100</f>
        <v>-6</v>
      </c>
      <c r="O120" s="50">
        <f>VLOOKUP($A120,'Data shares'!$C:$FB,124)</f>
        <v>0.42</v>
      </c>
      <c r="P120" s="50">
        <f>VLOOKUP($A120,'Data shares'!$C:$FB,125)</f>
        <v>0.63</v>
      </c>
      <c r="Q120" s="50">
        <f>VLOOKUP($A120,'Data shares'!$C:$FB,127)*100</f>
        <v>-33.33</v>
      </c>
    </row>
    <row r="121" spans="1:17" x14ac:dyDescent="0.25">
      <c r="A121" s="97" t="str">
        <f>'Snapshot (Value)'!A125</f>
        <v>LODHA</v>
      </c>
      <c r="B121" s="140">
        <f>VLOOKUP($A121,'Data shares'!$C:$FB,7)</f>
        <v>916.25</v>
      </c>
      <c r="C121" s="140">
        <f>VLOOKUP($A121,'Data shares'!$C:$FB,3)</f>
        <v>920.85</v>
      </c>
      <c r="D121" s="140">
        <f>VLOOKUP($A121,'Data shares'!$C:$FB,4)</f>
        <v>917.6</v>
      </c>
      <c r="E121" s="50">
        <f t="shared" si="3"/>
        <v>0.35418482999128159</v>
      </c>
      <c r="F121" s="49">
        <f>VLOOKUP($A121,'Data shares'!$C:$FB,98)</f>
        <v>13921650</v>
      </c>
      <c r="G121" s="49">
        <f>VLOOKUP($A121,'Data shares'!$C:$FB,99)</f>
        <v>12751650</v>
      </c>
      <c r="H121" s="50">
        <f t="shared" si="4"/>
        <v>9.1752831986448822</v>
      </c>
      <c r="I121" s="49">
        <f>VLOOKUP($A121,'Data shares'!$C:$FB,66)</f>
        <v>5358150</v>
      </c>
      <c r="J121" s="49">
        <f>VLOOKUP($A121,'Data shares'!$C:$FB,67)</f>
        <v>10690650</v>
      </c>
      <c r="K121" s="50">
        <f t="shared" si="5"/>
        <v>-99.52128999748048</v>
      </c>
      <c r="L121" s="50">
        <f>VLOOKUP($A121,'Data shares'!$C:$FB,118)</f>
        <v>1.19</v>
      </c>
      <c r="M121" s="50">
        <f>VLOOKUP($A121,'Data shares'!$C:$FB,119)</f>
        <v>1.1000000000000001</v>
      </c>
      <c r="N121" s="50">
        <f>VLOOKUP($A121,'Data shares'!$C:$FB,121)*100</f>
        <v>8.18</v>
      </c>
      <c r="O121" s="50">
        <f>VLOOKUP($A121,'Data shares'!$C:$FB,124)</f>
        <v>1.2</v>
      </c>
      <c r="P121" s="50">
        <f>VLOOKUP($A121,'Data shares'!$C:$FB,125)</f>
        <v>1.44</v>
      </c>
      <c r="Q121" s="50">
        <f>VLOOKUP($A121,'Data shares'!$C:$FB,127)*100</f>
        <v>-16.669999999999998</v>
      </c>
    </row>
    <row r="122" spans="1:17" x14ac:dyDescent="0.25">
      <c r="A122" s="97" t="str">
        <f>'Snapshot (Value)'!A126</f>
        <v>LT</v>
      </c>
      <c r="B122" s="140">
        <f>VLOOKUP($A122,'Data shares'!$C:$FB,7)</f>
        <v>4038.7</v>
      </c>
      <c r="C122" s="140">
        <f>VLOOKUP($A122,'Data shares'!$C:$FB,3)</f>
        <v>4039.9</v>
      </c>
      <c r="D122" s="140">
        <f>VLOOKUP($A122,'Data shares'!$C:$FB,4)</f>
        <v>3888.8</v>
      </c>
      <c r="E122" s="50">
        <f t="shared" si="3"/>
        <v>3.8855173832544718</v>
      </c>
      <c r="F122" s="49">
        <f>VLOOKUP($A122,'Data shares'!$C:$FB,98)</f>
        <v>30030350</v>
      </c>
      <c r="G122" s="49">
        <f>VLOOKUP($A122,'Data shares'!$C:$FB,99)</f>
        <v>28676200</v>
      </c>
      <c r="H122" s="50">
        <f t="shared" si="4"/>
        <v>4.722208660840697</v>
      </c>
      <c r="I122" s="49">
        <f>VLOOKUP($A122,'Data shares'!$C:$FB,66)</f>
        <v>43164450</v>
      </c>
      <c r="J122" s="49">
        <f>VLOOKUP($A122,'Data shares'!$C:$FB,67)</f>
        <v>48757975</v>
      </c>
      <c r="K122" s="50">
        <f t="shared" si="5"/>
        <v>-12.958638416567336</v>
      </c>
      <c r="L122" s="50">
        <f>VLOOKUP($A122,'Data shares'!$C:$FB,118)</f>
        <v>0.61</v>
      </c>
      <c r="M122" s="50">
        <f>VLOOKUP($A122,'Data shares'!$C:$FB,119)</f>
        <v>0.53</v>
      </c>
      <c r="N122" s="50">
        <f>VLOOKUP($A122,'Data shares'!$C:$FB,121)*100</f>
        <v>15.09</v>
      </c>
      <c r="O122" s="50">
        <f>VLOOKUP($A122,'Data shares'!$C:$FB,124)</f>
        <v>0.61</v>
      </c>
      <c r="P122" s="50">
        <f>VLOOKUP($A122,'Data shares'!$C:$FB,125)</f>
        <v>0.71</v>
      </c>
      <c r="Q122" s="50">
        <f>VLOOKUP($A122,'Data shares'!$C:$FB,127)*100</f>
        <v>-14.08</v>
      </c>
    </row>
    <row r="123" spans="1:17" x14ac:dyDescent="0.25">
      <c r="A123" s="97" t="str">
        <f>'Snapshot (Value)'!A127</f>
        <v>LTF</v>
      </c>
      <c r="B123" s="140">
        <f>VLOOKUP($A123,'Data shares'!$C:$FB,7)</f>
        <v>275.5</v>
      </c>
      <c r="C123" s="140">
        <f>VLOOKUP($A123,'Data shares'!$C:$FB,3)</f>
        <v>275.14999999999998</v>
      </c>
      <c r="D123" s="140">
        <f>VLOOKUP($A123,'Data shares'!$C:$FB,4)</f>
        <v>268.89999999999998</v>
      </c>
      <c r="E123" s="50">
        <f t="shared" si="3"/>
        <v>2.3242841204908888</v>
      </c>
      <c r="F123" s="49">
        <f>VLOOKUP($A123,'Data shares'!$C:$FB,98)</f>
        <v>117996750</v>
      </c>
      <c r="G123" s="49">
        <f>VLOOKUP($A123,'Data shares'!$C:$FB,99)</f>
        <v>119679750</v>
      </c>
      <c r="H123" s="50">
        <f t="shared" si="4"/>
        <v>-1.4062529375270254</v>
      </c>
      <c r="I123" s="49">
        <f>VLOOKUP($A123,'Data shares'!$C:$FB,66)</f>
        <v>51867000</v>
      </c>
      <c r="J123" s="49">
        <f>VLOOKUP($A123,'Data shares'!$C:$FB,67)</f>
        <v>68024250</v>
      </c>
      <c r="K123" s="50">
        <f t="shared" si="5"/>
        <v>-31.151310081554744</v>
      </c>
      <c r="L123" s="50">
        <f>VLOOKUP($A123,'Data shares'!$C:$FB,118)</f>
        <v>0.54</v>
      </c>
      <c r="M123" s="50">
        <f>VLOOKUP($A123,'Data shares'!$C:$FB,119)</f>
        <v>0.55000000000000004</v>
      </c>
      <c r="N123" s="50">
        <f>VLOOKUP($A123,'Data shares'!$C:$FB,121)*100</f>
        <v>-1.82</v>
      </c>
      <c r="O123" s="50">
        <f>VLOOKUP($A123,'Data shares'!$C:$FB,124)</f>
        <v>0.28999999999999998</v>
      </c>
      <c r="P123" s="50">
        <f>VLOOKUP($A123,'Data shares'!$C:$FB,125)</f>
        <v>0.44</v>
      </c>
      <c r="Q123" s="50">
        <f>VLOOKUP($A123,'Data shares'!$C:$FB,127)*100</f>
        <v>-34.089999999999996</v>
      </c>
    </row>
    <row r="124" spans="1:17" x14ac:dyDescent="0.25">
      <c r="A124" s="97" t="str">
        <f>'Snapshot (Value)'!A128</f>
        <v>LTM</v>
      </c>
      <c r="B124" s="140">
        <f>VLOOKUP($A124,'Data shares'!$C:$FB,7)</f>
        <v>4306.3999999999996</v>
      </c>
      <c r="C124" s="140">
        <f>VLOOKUP($A124,'Data shares'!$C:$FB,3)</f>
        <v>4316.8</v>
      </c>
      <c r="D124" s="140">
        <f>VLOOKUP($A124,'Data shares'!$C:$FB,4)</f>
        <v>4352.6000000000004</v>
      </c>
      <c r="E124" s="50">
        <f t="shared" si="3"/>
        <v>-0.82249689840555484</v>
      </c>
      <c r="F124" s="49">
        <f>VLOOKUP($A124,'Data shares'!$C:$FB,98)</f>
        <v>5340150</v>
      </c>
      <c r="G124" s="49">
        <f>VLOOKUP($A124,'Data shares'!$C:$FB,99)</f>
        <v>5049000</v>
      </c>
      <c r="H124" s="50">
        <f t="shared" si="4"/>
        <v>5.7664884135472372</v>
      </c>
      <c r="I124" s="49">
        <f>VLOOKUP($A124,'Data shares'!$C:$FB,66)</f>
        <v>2476200</v>
      </c>
      <c r="J124" s="49">
        <f>VLOOKUP($A124,'Data shares'!$C:$FB,67)</f>
        <v>1752900</v>
      </c>
      <c r="K124" s="50">
        <f t="shared" si="5"/>
        <v>29.210079961230917</v>
      </c>
      <c r="L124" s="50">
        <f>VLOOKUP($A124,'Data shares'!$C:$FB,118)</f>
        <v>0.62</v>
      </c>
      <c r="M124" s="50">
        <f>VLOOKUP($A124,'Data shares'!$C:$FB,119)</f>
        <v>0.64</v>
      </c>
      <c r="N124" s="50">
        <f>VLOOKUP($A124,'Data shares'!$C:$FB,121)*100</f>
        <v>-3.1300000000000003</v>
      </c>
      <c r="O124" s="50">
        <f>VLOOKUP($A124,'Data shares'!$C:$FB,124)</f>
        <v>0.89</v>
      </c>
      <c r="P124" s="50">
        <f>VLOOKUP($A124,'Data shares'!$C:$FB,125)</f>
        <v>0.68</v>
      </c>
      <c r="Q124" s="50">
        <f>VLOOKUP($A124,'Data shares'!$C:$FB,127)*100</f>
        <v>30.880000000000003</v>
      </c>
    </row>
    <row r="125" spans="1:17" x14ac:dyDescent="0.25">
      <c r="A125" s="97" t="str">
        <f>'Snapshot (Value)'!A129</f>
        <v>LUPIN</v>
      </c>
      <c r="B125" s="140">
        <f>VLOOKUP($A125,'Data shares'!$C:$FB,7)</f>
        <v>2332.9</v>
      </c>
      <c r="C125" s="140">
        <f>VLOOKUP($A125,'Data shares'!$C:$FB,3)</f>
        <v>2343.5</v>
      </c>
      <c r="D125" s="140">
        <f>VLOOKUP($A125,'Data shares'!$C:$FB,4)</f>
        <v>2308</v>
      </c>
      <c r="E125" s="50">
        <f t="shared" si="3"/>
        <v>1.5381282495667246</v>
      </c>
      <c r="F125" s="49">
        <f>VLOOKUP($A125,'Data shares'!$C:$FB,98)</f>
        <v>11395525</v>
      </c>
      <c r="G125" s="49">
        <f>VLOOKUP($A125,'Data shares'!$C:$FB,99)</f>
        <v>11087400</v>
      </c>
      <c r="H125" s="50">
        <f t="shared" si="4"/>
        <v>2.7790555044464886</v>
      </c>
      <c r="I125" s="49">
        <f>VLOOKUP($A125,'Data shares'!$C:$FB,66)</f>
        <v>12356875</v>
      </c>
      <c r="J125" s="49">
        <f>VLOOKUP($A125,'Data shares'!$C:$FB,67)</f>
        <v>6994650</v>
      </c>
      <c r="K125" s="50">
        <f t="shared" si="5"/>
        <v>43.394668959587271</v>
      </c>
      <c r="L125" s="50">
        <f>VLOOKUP($A125,'Data shares'!$C:$FB,118)</f>
        <v>0.7</v>
      </c>
      <c r="M125" s="50">
        <f>VLOOKUP($A125,'Data shares'!$C:$FB,119)</f>
        <v>0.74</v>
      </c>
      <c r="N125" s="50">
        <f>VLOOKUP($A125,'Data shares'!$C:$FB,121)*100</f>
        <v>-5.41</v>
      </c>
      <c r="O125" s="50">
        <f>VLOOKUP($A125,'Data shares'!$C:$FB,124)</f>
        <v>0.41</v>
      </c>
      <c r="P125" s="50">
        <f>VLOOKUP($A125,'Data shares'!$C:$FB,125)</f>
        <v>0.87</v>
      </c>
      <c r="Q125" s="50">
        <f>VLOOKUP($A125,'Data shares'!$C:$FB,127)*100</f>
        <v>-52.87</v>
      </c>
    </row>
    <row r="126" spans="1:17" x14ac:dyDescent="0.25">
      <c r="A126" s="97" t="str">
        <f>'Snapshot (Value)'!A130</f>
        <v>M&amp;M</v>
      </c>
      <c r="B126" s="140">
        <f>VLOOKUP($A126,'Data shares'!$C:$FB,7)</f>
        <v>3348</v>
      </c>
      <c r="C126" s="140">
        <f>VLOOKUP($A126,'Data shares'!$C:$FB,3)</f>
        <v>3352.8</v>
      </c>
      <c r="D126" s="140">
        <f>VLOOKUP($A126,'Data shares'!$C:$FB,4)</f>
        <v>3278.2</v>
      </c>
      <c r="E126" s="50">
        <f t="shared" si="3"/>
        <v>2.2756390702214744</v>
      </c>
      <c r="F126" s="49">
        <f>VLOOKUP($A126,'Data shares'!$C:$FB,98)</f>
        <v>25950600</v>
      </c>
      <c r="G126" s="49">
        <f>VLOOKUP($A126,'Data shares'!$C:$FB,99)</f>
        <v>26514200</v>
      </c>
      <c r="H126" s="50">
        <f t="shared" si="4"/>
        <v>-2.1256534234485671</v>
      </c>
      <c r="I126" s="49">
        <f>VLOOKUP($A126,'Data shares'!$C:$FB,66)</f>
        <v>11918600</v>
      </c>
      <c r="J126" s="49">
        <f>VLOOKUP($A126,'Data shares'!$C:$FB,67)</f>
        <v>12647800</v>
      </c>
      <c r="K126" s="50">
        <f t="shared" si="5"/>
        <v>-6.1181682412363863</v>
      </c>
      <c r="L126" s="50">
        <f>VLOOKUP($A126,'Data shares'!$C:$FB,118)</f>
        <v>0.64</v>
      </c>
      <c r="M126" s="50">
        <f>VLOOKUP($A126,'Data shares'!$C:$FB,119)</f>
        <v>0.64</v>
      </c>
      <c r="N126" s="50">
        <f>VLOOKUP($A126,'Data shares'!$C:$FB,121)*100</f>
        <v>0</v>
      </c>
      <c r="O126" s="50">
        <f>VLOOKUP($A126,'Data shares'!$C:$FB,124)</f>
        <v>0.65</v>
      </c>
      <c r="P126" s="50">
        <f>VLOOKUP($A126,'Data shares'!$C:$FB,125)</f>
        <v>0.81</v>
      </c>
      <c r="Q126" s="50">
        <f>VLOOKUP($A126,'Data shares'!$C:$FB,127)*100</f>
        <v>-19.75</v>
      </c>
    </row>
    <row r="127" spans="1:17" x14ac:dyDescent="0.25">
      <c r="A127" s="97" t="str">
        <f>'Snapshot (Value)'!A131</f>
        <v>MANAPPURAM</v>
      </c>
      <c r="B127" s="140">
        <f>VLOOKUP($A127,'Data shares'!$C:$FB,7)</f>
        <v>267.3</v>
      </c>
      <c r="C127" s="140">
        <f>VLOOKUP($A127,'Data shares'!$C:$FB,3)</f>
        <v>268.60000000000002</v>
      </c>
      <c r="D127" s="140">
        <f>VLOOKUP($A127,'Data shares'!$C:$FB,4)</f>
        <v>270.55</v>
      </c>
      <c r="E127" s="50">
        <f t="shared" si="3"/>
        <v>-0.72075401958972041</v>
      </c>
      <c r="F127" s="49">
        <f>VLOOKUP($A127,'Data shares'!$C:$FB,98)</f>
        <v>83232000</v>
      </c>
      <c r="G127" s="49">
        <f>VLOOKUP($A127,'Data shares'!$C:$FB,99)</f>
        <v>79446000</v>
      </c>
      <c r="H127" s="50">
        <f t="shared" si="4"/>
        <v>4.7655010950834527</v>
      </c>
      <c r="I127" s="49">
        <f>VLOOKUP($A127,'Data shares'!$C:$FB,66)</f>
        <v>22545000</v>
      </c>
      <c r="J127" s="49">
        <f>VLOOKUP($A127,'Data shares'!$C:$FB,67)</f>
        <v>42168000</v>
      </c>
      <c r="K127" s="50">
        <f t="shared" si="5"/>
        <v>-87.039254823685965</v>
      </c>
      <c r="L127" s="50">
        <f>VLOOKUP($A127,'Data shares'!$C:$FB,118)</f>
        <v>0.77</v>
      </c>
      <c r="M127" s="50">
        <f>VLOOKUP($A127,'Data shares'!$C:$FB,119)</f>
        <v>0.77</v>
      </c>
      <c r="N127" s="50">
        <f>VLOOKUP($A127,'Data shares'!$C:$FB,121)*100</f>
        <v>0</v>
      </c>
      <c r="O127" s="50">
        <f>VLOOKUP($A127,'Data shares'!$C:$FB,124)</f>
        <v>0.42</v>
      </c>
      <c r="P127" s="50">
        <f>VLOOKUP($A127,'Data shares'!$C:$FB,125)</f>
        <v>0.68</v>
      </c>
      <c r="Q127" s="50">
        <f>VLOOKUP($A127,'Data shares'!$C:$FB,127)*100</f>
        <v>-38.24</v>
      </c>
    </row>
    <row r="128" spans="1:17" x14ac:dyDescent="0.25">
      <c r="A128" s="97" t="str">
        <f>'Snapshot (Value)'!A132</f>
        <v>MANKIND</v>
      </c>
      <c r="B128" s="140">
        <f>VLOOKUP($A128,'Data shares'!$C:$FB,7)</f>
        <v>2226.4</v>
      </c>
      <c r="C128" s="140">
        <f>VLOOKUP($A128,'Data shares'!$C:$FB,3)</f>
        <v>2234</v>
      </c>
      <c r="D128" s="140">
        <f>VLOOKUP($A128,'Data shares'!$C:$FB,4)</f>
        <v>2209</v>
      </c>
      <c r="E128" s="50">
        <f t="shared" si="3"/>
        <v>1.1317338162064281</v>
      </c>
      <c r="F128" s="49">
        <f>VLOOKUP($A128,'Data shares'!$C:$FB,98)</f>
        <v>4112775</v>
      </c>
      <c r="G128" s="49">
        <f>VLOOKUP($A128,'Data shares'!$C:$FB,99)</f>
        <v>4081500</v>
      </c>
      <c r="H128" s="50">
        <f t="shared" si="4"/>
        <v>0.7662624035281147</v>
      </c>
      <c r="I128" s="49">
        <f>VLOOKUP($A128,'Data shares'!$C:$FB,66)</f>
        <v>1443375</v>
      </c>
      <c r="J128" s="49">
        <f>VLOOKUP($A128,'Data shares'!$C:$FB,67)</f>
        <v>1173150</v>
      </c>
      <c r="K128" s="50">
        <f t="shared" si="5"/>
        <v>18.721745908028058</v>
      </c>
      <c r="L128" s="50">
        <f>VLOOKUP($A128,'Data shares'!$C:$FB,118)</f>
        <v>0.59</v>
      </c>
      <c r="M128" s="50">
        <f>VLOOKUP($A128,'Data shares'!$C:$FB,119)</f>
        <v>0.65</v>
      </c>
      <c r="N128" s="50">
        <f>VLOOKUP($A128,'Data shares'!$C:$FB,121)*100</f>
        <v>-9.2299999999999986</v>
      </c>
      <c r="O128" s="50">
        <f>VLOOKUP($A128,'Data shares'!$C:$FB,124)</f>
        <v>0.17</v>
      </c>
      <c r="P128" s="50">
        <f>VLOOKUP($A128,'Data shares'!$C:$FB,125)</f>
        <v>0.6</v>
      </c>
      <c r="Q128" s="50">
        <f>VLOOKUP($A128,'Data shares'!$C:$FB,127)*100</f>
        <v>-71.67</v>
      </c>
    </row>
    <row r="129" spans="1:17" x14ac:dyDescent="0.25">
      <c r="A129" s="97" t="str">
        <f>'Snapshot (Value)'!A133</f>
        <v>MARICO</v>
      </c>
      <c r="B129" s="140">
        <f>VLOOKUP($A129,'Data shares'!$C:$FB,7)</f>
        <v>778.85</v>
      </c>
      <c r="C129" s="140">
        <f>VLOOKUP($A129,'Data shares'!$C:$FB,3)</f>
        <v>780.35</v>
      </c>
      <c r="D129" s="140">
        <f>VLOOKUP($A129,'Data shares'!$C:$FB,4)</f>
        <v>775.3</v>
      </c>
      <c r="E129" s="50">
        <f t="shared" si="3"/>
        <v>0.65136076357539907</v>
      </c>
      <c r="F129" s="49">
        <f>VLOOKUP($A129,'Data shares'!$C:$FB,98)</f>
        <v>33568800</v>
      </c>
      <c r="G129" s="49">
        <f>VLOOKUP($A129,'Data shares'!$C:$FB,99)</f>
        <v>33570000</v>
      </c>
      <c r="H129" s="50">
        <f t="shared" si="4"/>
        <v>-3.5746201966041107E-3</v>
      </c>
      <c r="I129" s="49">
        <f>VLOOKUP($A129,'Data shares'!$C:$FB,66)</f>
        <v>5085600</v>
      </c>
      <c r="J129" s="49">
        <f>VLOOKUP($A129,'Data shares'!$C:$FB,67)</f>
        <v>8467200</v>
      </c>
      <c r="K129" s="50">
        <f t="shared" si="5"/>
        <v>-66.493629070316189</v>
      </c>
      <c r="L129" s="50">
        <f>VLOOKUP($A129,'Data shares'!$C:$FB,118)</f>
        <v>0.46</v>
      </c>
      <c r="M129" s="50">
        <f>VLOOKUP($A129,'Data shares'!$C:$FB,119)</f>
        <v>0.46</v>
      </c>
      <c r="N129" s="50">
        <f>VLOOKUP($A129,'Data shares'!$C:$FB,121)*100</f>
        <v>0</v>
      </c>
      <c r="O129" s="50">
        <f>VLOOKUP($A129,'Data shares'!$C:$FB,124)</f>
        <v>0.41</v>
      </c>
      <c r="P129" s="50">
        <f>VLOOKUP($A129,'Data shares'!$C:$FB,125)</f>
        <v>0.83</v>
      </c>
      <c r="Q129" s="50">
        <f>VLOOKUP($A129,'Data shares'!$C:$FB,127)*100</f>
        <v>-50.6</v>
      </c>
    </row>
    <row r="130" spans="1:17" x14ac:dyDescent="0.25">
      <c r="A130" s="97" t="str">
        <f>'Snapshot (Value)'!A134</f>
        <v>MARUTI</v>
      </c>
      <c r="B130" s="140">
        <f>VLOOKUP($A130,'Data shares'!$C:$FB,7)</f>
        <v>14415</v>
      </c>
      <c r="C130" s="140">
        <f>VLOOKUP($A130,'Data shares'!$C:$FB,3)</f>
        <v>14439</v>
      </c>
      <c r="D130" s="140">
        <f>VLOOKUP($A130,'Data shares'!$C:$FB,4)</f>
        <v>14185</v>
      </c>
      <c r="E130" s="50">
        <f t="shared" si="3"/>
        <v>1.7906238984843141</v>
      </c>
      <c r="F130" s="49">
        <f>VLOOKUP($A130,'Data shares'!$C:$FB,98)</f>
        <v>5286200</v>
      </c>
      <c r="G130" s="49">
        <f>VLOOKUP($A130,'Data shares'!$C:$FB,99)</f>
        <v>5237900</v>
      </c>
      <c r="H130" s="50">
        <f t="shared" si="4"/>
        <v>0.92212527921495258</v>
      </c>
      <c r="I130" s="49">
        <f>VLOOKUP($A130,'Data shares'!$C:$FB,66)</f>
        <v>4086200</v>
      </c>
      <c r="J130" s="49">
        <f>VLOOKUP($A130,'Data shares'!$C:$FB,67)</f>
        <v>6913700</v>
      </c>
      <c r="K130" s="50">
        <f t="shared" si="5"/>
        <v>-69.196319318682399</v>
      </c>
      <c r="L130" s="50">
        <f>VLOOKUP($A130,'Data shares'!$C:$FB,118)</f>
        <v>0.51</v>
      </c>
      <c r="M130" s="50">
        <f>VLOOKUP($A130,'Data shares'!$C:$FB,119)</f>
        <v>0.51</v>
      </c>
      <c r="N130" s="50">
        <f>VLOOKUP($A130,'Data shares'!$C:$FB,121)*100</f>
        <v>0</v>
      </c>
      <c r="O130" s="50">
        <f>VLOOKUP($A130,'Data shares'!$C:$FB,124)</f>
        <v>0.61</v>
      </c>
      <c r="P130" s="50">
        <f>VLOOKUP($A130,'Data shares'!$C:$FB,125)</f>
        <v>0.8</v>
      </c>
      <c r="Q130" s="50">
        <f>VLOOKUP($A130,'Data shares'!$C:$FB,127)*100</f>
        <v>-23.75</v>
      </c>
    </row>
    <row r="131" spans="1:17" x14ac:dyDescent="0.25">
      <c r="A131" s="97" t="str">
        <f>'Snapshot (Value)'!A135</f>
        <v>MAXHEALTH</v>
      </c>
      <c r="B131" s="140">
        <f>VLOOKUP($A131,'Data shares'!$C:$FB,7)</f>
        <v>1058.2</v>
      </c>
      <c r="C131" s="140">
        <f>VLOOKUP($A131,'Data shares'!$C:$FB,3)</f>
        <v>1063</v>
      </c>
      <c r="D131" s="140">
        <f>VLOOKUP($A131,'Data shares'!$C:$FB,4)</f>
        <v>1058.5</v>
      </c>
      <c r="E131" s="50">
        <f t="shared" si="3"/>
        <v>0.4251299008030231</v>
      </c>
      <c r="F131" s="49">
        <f>VLOOKUP($A131,'Data shares'!$C:$FB,98)</f>
        <v>17584350</v>
      </c>
      <c r="G131" s="49">
        <f>VLOOKUP($A131,'Data shares'!$C:$FB,99)</f>
        <v>16897125</v>
      </c>
      <c r="H131" s="50">
        <f t="shared" si="4"/>
        <v>4.0671120086997048</v>
      </c>
      <c r="I131" s="49">
        <f>VLOOKUP($A131,'Data shares'!$C:$FB,66)</f>
        <v>9182250</v>
      </c>
      <c r="J131" s="49">
        <f>VLOOKUP($A131,'Data shares'!$C:$FB,67)</f>
        <v>6629175</v>
      </c>
      <c r="K131" s="50">
        <f t="shared" si="5"/>
        <v>27.804459691252141</v>
      </c>
      <c r="L131" s="50">
        <f>VLOOKUP($A131,'Data shares'!$C:$FB,118)</f>
        <v>0.79</v>
      </c>
      <c r="M131" s="50">
        <f>VLOOKUP($A131,'Data shares'!$C:$FB,119)</f>
        <v>0.78</v>
      </c>
      <c r="N131" s="50">
        <f>VLOOKUP($A131,'Data shares'!$C:$FB,121)*100</f>
        <v>1.28</v>
      </c>
      <c r="O131" s="50">
        <f>VLOOKUP($A131,'Data shares'!$C:$FB,124)</f>
        <v>1.1499999999999999</v>
      </c>
      <c r="P131" s="50">
        <f>VLOOKUP($A131,'Data shares'!$C:$FB,125)</f>
        <v>0.71</v>
      </c>
      <c r="Q131" s="50">
        <f>VLOOKUP($A131,'Data shares'!$C:$FB,127)*100</f>
        <v>61.970000000000006</v>
      </c>
    </row>
    <row r="132" spans="1:17" x14ac:dyDescent="0.25">
      <c r="A132" s="97" t="str">
        <f>'Snapshot (Value)'!A136</f>
        <v>MAZDOCK</v>
      </c>
      <c r="B132" s="140">
        <f>VLOOKUP($A132,'Data shares'!$C:$FB,7)</f>
        <v>2352.5</v>
      </c>
      <c r="C132" s="140">
        <f>VLOOKUP($A132,'Data shares'!$C:$FB,3)</f>
        <v>2359.4</v>
      </c>
      <c r="D132" s="140">
        <f>VLOOKUP($A132,'Data shares'!$C:$FB,4)</f>
        <v>2172.4</v>
      </c>
      <c r="E132" s="50">
        <f t="shared" si="3"/>
        <v>8.6079911618486467</v>
      </c>
      <c r="F132" s="49">
        <f>VLOOKUP($A132,'Data shares'!$C:$FB,98)</f>
        <v>9148000</v>
      </c>
      <c r="G132" s="49">
        <f>VLOOKUP($A132,'Data shares'!$C:$FB,99)</f>
        <v>7459000</v>
      </c>
      <c r="H132" s="50">
        <f t="shared" si="4"/>
        <v>22.643786030298969</v>
      </c>
      <c r="I132" s="49">
        <f>VLOOKUP($A132,'Data shares'!$C:$FB,66)</f>
        <v>49705000</v>
      </c>
      <c r="J132" s="49">
        <f>VLOOKUP($A132,'Data shares'!$C:$FB,67)</f>
        <v>4637800</v>
      </c>
      <c r="K132" s="50">
        <f t="shared" si="5"/>
        <v>90.669349160044263</v>
      </c>
      <c r="L132" s="50">
        <f>VLOOKUP($A132,'Data shares'!$C:$FB,118)</f>
        <v>0.53</v>
      </c>
      <c r="M132" s="50">
        <f>VLOOKUP($A132,'Data shares'!$C:$FB,119)</f>
        <v>0.61</v>
      </c>
      <c r="N132" s="50">
        <f>VLOOKUP($A132,'Data shares'!$C:$FB,121)*100</f>
        <v>-13.11</v>
      </c>
      <c r="O132" s="50">
        <f>VLOOKUP($A132,'Data shares'!$C:$FB,124)</f>
        <v>0.23</v>
      </c>
      <c r="P132" s="50">
        <f>VLOOKUP($A132,'Data shares'!$C:$FB,125)</f>
        <v>0.54</v>
      </c>
      <c r="Q132" s="50">
        <f>VLOOKUP($A132,'Data shares'!$C:$FB,127)*100</f>
        <v>-57.410000000000004</v>
      </c>
    </row>
    <row r="133" spans="1:17" x14ac:dyDescent="0.25">
      <c r="A133" s="97" t="str">
        <f>'Snapshot (Value)'!A137</f>
        <v>MCX</v>
      </c>
      <c r="B133" s="140">
        <f>VLOOKUP($A133,'Data shares'!$C:$FB,7)</f>
        <v>2553.5</v>
      </c>
      <c r="C133" s="140">
        <f>VLOOKUP($A133,'Data shares'!$C:$FB,3)</f>
        <v>2561</v>
      </c>
      <c r="D133" s="140">
        <f>VLOOKUP($A133,'Data shares'!$C:$FB,4)</f>
        <v>2488.9</v>
      </c>
      <c r="E133" s="50">
        <f t="shared" si="3"/>
        <v>2.8968620675800518</v>
      </c>
      <c r="F133" s="49">
        <f>VLOOKUP($A133,'Data shares'!$C:$FB,98)</f>
        <v>24286875</v>
      </c>
      <c r="G133" s="49">
        <f>VLOOKUP($A133,'Data shares'!$C:$FB,99)</f>
        <v>24640625</v>
      </c>
      <c r="H133" s="50">
        <f t="shared" si="4"/>
        <v>-1.4356372859860493</v>
      </c>
      <c r="I133" s="49">
        <f>VLOOKUP($A133,'Data shares'!$C:$FB,66)</f>
        <v>30621875</v>
      </c>
      <c r="J133" s="49">
        <f>VLOOKUP($A133,'Data shares'!$C:$FB,67)</f>
        <v>25426875</v>
      </c>
      <c r="K133" s="50">
        <f t="shared" si="5"/>
        <v>16.964996428206959</v>
      </c>
      <c r="L133" s="50">
        <f>VLOOKUP($A133,'Data shares'!$C:$FB,118)</f>
        <v>0.78</v>
      </c>
      <c r="M133" s="50">
        <f>VLOOKUP($A133,'Data shares'!$C:$FB,119)</f>
        <v>0.73</v>
      </c>
      <c r="N133" s="50">
        <f>VLOOKUP($A133,'Data shares'!$C:$FB,121)*100</f>
        <v>6.8500000000000005</v>
      </c>
      <c r="O133" s="50">
        <f>VLOOKUP($A133,'Data shares'!$C:$FB,124)</f>
        <v>0.42</v>
      </c>
      <c r="P133" s="50">
        <f>VLOOKUP($A133,'Data shares'!$C:$FB,125)</f>
        <v>0.76</v>
      </c>
      <c r="Q133" s="50">
        <f>VLOOKUP($A133,'Data shares'!$C:$FB,127)*100</f>
        <v>-44.74</v>
      </c>
    </row>
    <row r="134" spans="1:17" x14ac:dyDescent="0.25">
      <c r="A134" s="97" t="str">
        <f>'Snapshot (Value)'!A138</f>
        <v>MFSL</v>
      </c>
      <c r="B134" s="140">
        <f>VLOOKUP($A134,'Data shares'!$C:$FB,7)</f>
        <v>1748.6</v>
      </c>
      <c r="C134" s="140">
        <f>VLOOKUP($A134,'Data shares'!$C:$FB,3)</f>
        <v>1753.3</v>
      </c>
      <c r="D134" s="140">
        <f>VLOOKUP($A134,'Data shares'!$C:$FB,4)</f>
        <v>1752</v>
      </c>
      <c r="E134" s="50">
        <f t="shared" si="3"/>
        <v>7.4200913242006533E-2</v>
      </c>
      <c r="F134" s="49">
        <f>VLOOKUP($A134,'Data shares'!$C:$FB,98)</f>
        <v>9842800</v>
      </c>
      <c r="G134" s="49">
        <f>VLOOKUP($A134,'Data shares'!$C:$FB,99)</f>
        <v>9766400</v>
      </c>
      <c r="H134" s="50">
        <f t="shared" si="4"/>
        <v>0.78227391874180863</v>
      </c>
      <c r="I134" s="49">
        <f>VLOOKUP($A134,'Data shares'!$C:$FB,66)</f>
        <v>1963600</v>
      </c>
      <c r="J134" s="49">
        <f>VLOOKUP($A134,'Data shares'!$C:$FB,67)</f>
        <v>2349600</v>
      </c>
      <c r="K134" s="50">
        <f t="shared" si="5"/>
        <v>-19.657771440211853</v>
      </c>
      <c r="L134" s="50">
        <f>VLOOKUP($A134,'Data shares'!$C:$FB,118)</f>
        <v>0.71</v>
      </c>
      <c r="M134" s="50">
        <f>VLOOKUP($A134,'Data shares'!$C:$FB,119)</f>
        <v>0.84</v>
      </c>
      <c r="N134" s="50">
        <f>VLOOKUP($A134,'Data shares'!$C:$FB,121)*100</f>
        <v>-15.479999999999999</v>
      </c>
      <c r="O134" s="50">
        <f>VLOOKUP($A134,'Data shares'!$C:$FB,124)</f>
        <v>0.52</v>
      </c>
      <c r="P134" s="50">
        <f>VLOOKUP($A134,'Data shares'!$C:$FB,125)</f>
        <v>0.89</v>
      </c>
      <c r="Q134" s="50">
        <f>VLOOKUP($A134,'Data shares'!$C:$FB,127)*100</f>
        <v>-41.57</v>
      </c>
    </row>
    <row r="135" spans="1:17" x14ac:dyDescent="0.25">
      <c r="A135" s="97" t="str">
        <f>'Snapshot (Value)'!A139</f>
        <v>MIDCPNIFTY</v>
      </c>
      <c r="B135" s="140">
        <f>VLOOKUP($A135,'Data shares'!$C:$FB,7)</f>
        <v>13260.5</v>
      </c>
      <c r="C135" s="140">
        <f>VLOOKUP($A135,'Data shares'!$C:$FB,3)</f>
        <v>13298.85</v>
      </c>
      <c r="D135" s="140">
        <f>VLOOKUP($A135,'Data shares'!$C:$FB,4)</f>
        <v>13070.65</v>
      </c>
      <c r="E135" s="50">
        <f t="shared" si="3"/>
        <v>1.7458963402738252</v>
      </c>
      <c r="F135" s="49">
        <f>VLOOKUP($A135,'Data shares'!$C:$FB,98)</f>
        <v>13549800</v>
      </c>
      <c r="G135" s="49">
        <f>VLOOKUP($A135,'Data shares'!$C:$FB,99)</f>
        <v>13098240</v>
      </c>
      <c r="H135" s="50">
        <f t="shared" si="4"/>
        <v>3.4474860744649662</v>
      </c>
      <c r="I135" s="49">
        <f>VLOOKUP($A135,'Data shares'!$C:$FB,66)</f>
        <v>24413160</v>
      </c>
      <c r="J135" s="49">
        <f>VLOOKUP($A135,'Data shares'!$C:$FB,67)</f>
        <v>31646520</v>
      </c>
      <c r="K135" s="50">
        <f t="shared" si="5"/>
        <v>-29.628937835167591</v>
      </c>
      <c r="L135" s="50">
        <f>VLOOKUP($A135,'Data shares'!$C:$FB,118)</f>
        <v>0.97</v>
      </c>
      <c r="M135" s="50">
        <f>VLOOKUP($A135,'Data shares'!$C:$FB,119)</f>
        <v>0.95</v>
      </c>
      <c r="N135" s="50">
        <f>VLOOKUP($A135,'Data shares'!$C:$FB,121)*100</f>
        <v>2.11</v>
      </c>
      <c r="O135" s="50">
        <f>VLOOKUP($A135,'Data shares'!$C:$FB,124)</f>
        <v>1</v>
      </c>
      <c r="P135" s="50">
        <f>VLOOKUP($A135,'Data shares'!$C:$FB,125)</f>
        <v>0.98</v>
      </c>
      <c r="Q135" s="50">
        <f>VLOOKUP($A135,'Data shares'!$C:$FB,127)*100</f>
        <v>2.04</v>
      </c>
    </row>
    <row r="136" spans="1:17" x14ac:dyDescent="0.25">
      <c r="A136" s="97" t="str">
        <f>'Snapshot (Value)'!A140</f>
        <v>MOTHERSON</v>
      </c>
      <c r="B136" s="140">
        <f>VLOOKUP($A136,'Data shares'!$C:$FB,7)</f>
        <v>126.34</v>
      </c>
      <c r="C136" s="140">
        <f>VLOOKUP($A136,'Data shares'!$C:$FB,3)</f>
        <v>126.52</v>
      </c>
      <c r="D136" s="140">
        <f>VLOOKUP($A136,'Data shares'!$C:$FB,4)</f>
        <v>123.44</v>
      </c>
      <c r="E136" s="50">
        <f t="shared" ref="E136:E172" si="6">(C136-D136)/D136*100</f>
        <v>2.495139338950096</v>
      </c>
      <c r="F136" s="49">
        <f>VLOOKUP($A136,'Data shares'!$C:$FB,98)</f>
        <v>208097550</v>
      </c>
      <c r="G136" s="49">
        <f>VLOOKUP($A136,'Data shares'!$C:$FB,99)</f>
        <v>207328800</v>
      </c>
      <c r="H136" s="50">
        <f t="shared" ref="H136:H172" si="7">(F136-G136)/G136*100</f>
        <v>0.37078785002373044</v>
      </c>
      <c r="I136" s="49">
        <f>VLOOKUP($A136,'Data shares'!$C:$FB,66)</f>
        <v>102735750</v>
      </c>
      <c r="J136" s="49">
        <f>VLOOKUP($A136,'Data shares'!$C:$FB,67)</f>
        <v>96032250</v>
      </c>
      <c r="K136" s="50">
        <f t="shared" ref="K136:K172" si="8">(I136-J136)/I136*100</f>
        <v>6.5249925172104168</v>
      </c>
      <c r="L136" s="50">
        <f>VLOOKUP($A136,'Data shares'!$C:$FB,118)</f>
        <v>0.63</v>
      </c>
      <c r="M136" s="50">
        <f>VLOOKUP($A136,'Data shares'!$C:$FB,119)</f>
        <v>0.64</v>
      </c>
      <c r="N136" s="50">
        <f>VLOOKUP($A136,'Data shares'!$C:$FB,121)*100</f>
        <v>-1.5599999999999998</v>
      </c>
      <c r="O136" s="50">
        <f>VLOOKUP($A136,'Data shares'!$C:$FB,124)</f>
        <v>0.3</v>
      </c>
      <c r="P136" s="50">
        <f>VLOOKUP($A136,'Data shares'!$C:$FB,125)</f>
        <v>0.78</v>
      </c>
      <c r="Q136" s="50">
        <f>VLOOKUP($A136,'Data shares'!$C:$FB,127)*100</f>
        <v>-61.539999999999992</v>
      </c>
    </row>
    <row r="137" spans="1:17" x14ac:dyDescent="0.25">
      <c r="A137" s="97" t="str">
        <f>'Snapshot (Value)'!A141</f>
        <v>MPHASIS</v>
      </c>
      <c r="B137" s="140">
        <f>VLOOKUP($A137,'Data shares'!$C:$FB,7)</f>
        <v>2231.6</v>
      </c>
      <c r="C137" s="140">
        <f>VLOOKUP($A137,'Data shares'!$C:$FB,3)</f>
        <v>2242.4</v>
      </c>
      <c r="D137" s="140">
        <f>VLOOKUP($A137,'Data shares'!$C:$FB,4)</f>
        <v>2277.3000000000002</v>
      </c>
      <c r="E137" s="50">
        <f t="shared" si="6"/>
        <v>-1.5325165766477884</v>
      </c>
      <c r="F137" s="49">
        <f>VLOOKUP($A137,'Data shares'!$C:$FB,98)</f>
        <v>7190975</v>
      </c>
      <c r="G137" s="49">
        <f>VLOOKUP($A137,'Data shares'!$C:$FB,99)</f>
        <v>6958875</v>
      </c>
      <c r="H137" s="50">
        <f t="shared" si="7"/>
        <v>3.3353092274254101</v>
      </c>
      <c r="I137" s="49">
        <f>VLOOKUP($A137,'Data shares'!$C:$FB,66)</f>
        <v>2426050</v>
      </c>
      <c r="J137" s="49">
        <f>VLOOKUP($A137,'Data shares'!$C:$FB,67)</f>
        <v>2907850</v>
      </c>
      <c r="K137" s="50">
        <f t="shared" si="8"/>
        <v>-19.859442303332578</v>
      </c>
      <c r="L137" s="50">
        <f>VLOOKUP($A137,'Data shares'!$C:$FB,118)</f>
        <v>0.57999999999999996</v>
      </c>
      <c r="M137" s="50">
        <f>VLOOKUP($A137,'Data shares'!$C:$FB,119)</f>
        <v>0.67</v>
      </c>
      <c r="N137" s="50">
        <f>VLOOKUP($A137,'Data shares'!$C:$FB,121)*100</f>
        <v>-13.43</v>
      </c>
      <c r="O137" s="50">
        <f>VLOOKUP($A137,'Data shares'!$C:$FB,124)</f>
        <v>0.56999999999999995</v>
      </c>
      <c r="P137" s="50">
        <f>VLOOKUP($A137,'Data shares'!$C:$FB,125)</f>
        <v>0.45</v>
      </c>
      <c r="Q137" s="50">
        <f>VLOOKUP($A137,'Data shares'!$C:$FB,127)*100</f>
        <v>26.669999999999998</v>
      </c>
    </row>
    <row r="138" spans="1:17" x14ac:dyDescent="0.25">
      <c r="A138" s="97" t="str">
        <f>'Snapshot (Value)'!A142</f>
        <v>MUTHOOTFIN</v>
      </c>
      <c r="B138" s="140">
        <f>VLOOKUP($A138,'Data shares'!$C:$FB,7)</f>
        <v>3306.4</v>
      </c>
      <c r="C138" s="140">
        <f>VLOOKUP($A138,'Data shares'!$C:$FB,3)</f>
        <v>3318.5</v>
      </c>
      <c r="D138" s="140">
        <f>VLOOKUP($A138,'Data shares'!$C:$FB,4)</f>
        <v>3354.7</v>
      </c>
      <c r="E138" s="50">
        <f t="shared" si="6"/>
        <v>-1.0790830774733902</v>
      </c>
      <c r="F138" s="49">
        <f>VLOOKUP($A138,'Data shares'!$C:$FB,98)</f>
        <v>9971225</v>
      </c>
      <c r="G138" s="49">
        <f>VLOOKUP($A138,'Data shares'!$C:$FB,99)</f>
        <v>9724550</v>
      </c>
      <c r="H138" s="50">
        <f t="shared" si="7"/>
        <v>2.5366212318307788</v>
      </c>
      <c r="I138" s="49">
        <f>VLOOKUP($A138,'Data shares'!$C:$FB,66)</f>
        <v>8782400</v>
      </c>
      <c r="J138" s="49">
        <f>VLOOKUP($A138,'Data shares'!$C:$FB,67)</f>
        <v>8203800</v>
      </c>
      <c r="K138" s="50">
        <f t="shared" si="8"/>
        <v>6.5881763527054105</v>
      </c>
      <c r="L138" s="50">
        <f>VLOOKUP($A138,'Data shares'!$C:$FB,118)</f>
        <v>0.44</v>
      </c>
      <c r="M138" s="50">
        <f>VLOOKUP($A138,'Data shares'!$C:$FB,119)</f>
        <v>0.45</v>
      </c>
      <c r="N138" s="50">
        <f>VLOOKUP($A138,'Data shares'!$C:$FB,121)*100</f>
        <v>-2.2200000000000002</v>
      </c>
      <c r="O138" s="50">
        <f>VLOOKUP($A138,'Data shares'!$C:$FB,124)</f>
        <v>0.56999999999999995</v>
      </c>
      <c r="P138" s="50">
        <f>VLOOKUP($A138,'Data shares'!$C:$FB,125)</f>
        <v>0.61</v>
      </c>
      <c r="Q138" s="50">
        <f>VLOOKUP($A138,'Data shares'!$C:$FB,127)*100</f>
        <v>-6.5600000000000005</v>
      </c>
    </row>
    <row r="139" spans="1:17" x14ac:dyDescent="0.25">
      <c r="A139" s="97" t="str">
        <f>'Snapshot (Value)'!A143</f>
        <v>NATIONALUM</v>
      </c>
      <c r="B139" s="140">
        <f>VLOOKUP($A139,'Data shares'!$C:$FB,7)</f>
        <v>395.95</v>
      </c>
      <c r="C139" s="140">
        <f>VLOOKUP($A139,'Data shares'!$C:$FB,3)</f>
        <v>396.65</v>
      </c>
      <c r="D139" s="140">
        <f>VLOOKUP($A139,'Data shares'!$C:$FB,4)</f>
        <v>374.4</v>
      </c>
      <c r="E139" s="50">
        <f t="shared" si="6"/>
        <v>5.9428418803418808</v>
      </c>
      <c r="F139" s="49">
        <f>VLOOKUP($A139,'Data shares'!$C:$FB,98)</f>
        <v>118687500</v>
      </c>
      <c r="G139" s="49">
        <f>VLOOKUP($A139,'Data shares'!$C:$FB,99)</f>
        <v>105600000</v>
      </c>
      <c r="H139" s="50">
        <f t="shared" si="7"/>
        <v>12.393465909090908</v>
      </c>
      <c r="I139" s="49">
        <f>VLOOKUP($A139,'Data shares'!$C:$FB,66)</f>
        <v>377002500</v>
      </c>
      <c r="J139" s="49">
        <f>VLOOKUP($A139,'Data shares'!$C:$FB,67)</f>
        <v>163833750</v>
      </c>
      <c r="K139" s="50">
        <f t="shared" si="8"/>
        <v>56.54306005928342</v>
      </c>
      <c r="L139" s="50">
        <f>VLOOKUP($A139,'Data shares'!$C:$FB,118)</f>
        <v>0.81</v>
      </c>
      <c r="M139" s="50">
        <f>VLOOKUP($A139,'Data shares'!$C:$FB,119)</f>
        <v>0.84</v>
      </c>
      <c r="N139" s="50">
        <f>VLOOKUP($A139,'Data shares'!$C:$FB,121)*100</f>
        <v>-3.5700000000000003</v>
      </c>
      <c r="O139" s="50">
        <f>VLOOKUP($A139,'Data shares'!$C:$FB,124)</f>
        <v>0.4</v>
      </c>
      <c r="P139" s="50">
        <f>VLOOKUP($A139,'Data shares'!$C:$FB,125)</f>
        <v>0.51</v>
      </c>
      <c r="Q139" s="50">
        <f>VLOOKUP($A139,'Data shares'!$C:$FB,127)*100</f>
        <v>-21.57</v>
      </c>
    </row>
    <row r="140" spans="1:17" x14ac:dyDescent="0.25">
      <c r="A140" s="97" t="str">
        <f>'Snapshot (Value)'!A144</f>
        <v>NAUKRI</v>
      </c>
      <c r="B140" s="140">
        <f>VLOOKUP($A140,'Data shares'!$C:$FB,7)</f>
        <v>1015.3</v>
      </c>
      <c r="C140" s="140">
        <f>VLOOKUP($A140,'Data shares'!$C:$FB,3)</f>
        <v>1016.8</v>
      </c>
      <c r="D140" s="140">
        <f>VLOOKUP($A140,'Data shares'!$C:$FB,4)</f>
        <v>1002.4</v>
      </c>
      <c r="E140" s="50">
        <f t="shared" si="6"/>
        <v>1.4365522745410992</v>
      </c>
      <c r="F140" s="49">
        <f>VLOOKUP($A140,'Data shares'!$C:$FB,98)</f>
        <v>15366750</v>
      </c>
      <c r="G140" s="49">
        <f>VLOOKUP($A140,'Data shares'!$C:$FB,99)</f>
        <v>15529500</v>
      </c>
      <c r="H140" s="50">
        <f t="shared" si="7"/>
        <v>-1.0480054090601758</v>
      </c>
      <c r="I140" s="49">
        <f>VLOOKUP($A140,'Data shares'!$C:$FB,66)</f>
        <v>3715875</v>
      </c>
      <c r="J140" s="49">
        <f>VLOOKUP($A140,'Data shares'!$C:$FB,67)</f>
        <v>4714875</v>
      </c>
      <c r="K140" s="50">
        <f t="shared" si="8"/>
        <v>-26.88465031789282</v>
      </c>
      <c r="L140" s="50">
        <f>VLOOKUP($A140,'Data shares'!$C:$FB,118)</f>
        <v>0.5</v>
      </c>
      <c r="M140" s="50">
        <f>VLOOKUP($A140,'Data shares'!$C:$FB,119)</f>
        <v>0.5</v>
      </c>
      <c r="N140" s="50">
        <f>VLOOKUP($A140,'Data shares'!$C:$FB,121)*100</f>
        <v>0</v>
      </c>
      <c r="O140" s="50">
        <f>VLOOKUP($A140,'Data shares'!$C:$FB,124)</f>
        <v>0.21</v>
      </c>
      <c r="P140" s="50">
        <f>VLOOKUP($A140,'Data shares'!$C:$FB,125)</f>
        <v>0.48</v>
      </c>
      <c r="Q140" s="50">
        <f>VLOOKUP($A140,'Data shares'!$C:$FB,127)*100</f>
        <v>-56.25</v>
      </c>
    </row>
    <row r="141" spans="1:17" x14ac:dyDescent="0.25">
      <c r="A141" s="97" t="str">
        <f>'Snapshot (Value)'!A145</f>
        <v>NBCC</v>
      </c>
      <c r="B141" s="140">
        <f>VLOOKUP($A141,'Data shares'!$C:$FB,7)</f>
        <v>86.85</v>
      </c>
      <c r="C141" s="140">
        <f>VLOOKUP($A141,'Data shares'!$C:$FB,3)</f>
        <v>87.21</v>
      </c>
      <c r="D141" s="140">
        <f>VLOOKUP($A141,'Data shares'!$C:$FB,4)</f>
        <v>85.72</v>
      </c>
      <c r="E141" s="50">
        <f t="shared" si="6"/>
        <v>1.7382174521698495</v>
      </c>
      <c r="F141" s="49">
        <f>VLOOKUP($A141,'Data shares'!$C:$FB,98)</f>
        <v>139321000</v>
      </c>
      <c r="G141" s="49">
        <f>VLOOKUP($A141,'Data shares'!$C:$FB,99)</f>
        <v>136435000</v>
      </c>
      <c r="H141" s="50">
        <f t="shared" si="7"/>
        <v>2.1152929966650786</v>
      </c>
      <c r="I141" s="49">
        <f>VLOOKUP($A141,'Data shares'!$C:$FB,66)</f>
        <v>35217000</v>
      </c>
      <c r="J141" s="49">
        <f>VLOOKUP($A141,'Data shares'!$C:$FB,67)</f>
        <v>45740500</v>
      </c>
      <c r="K141" s="50">
        <f t="shared" si="8"/>
        <v>-29.881875230712438</v>
      </c>
      <c r="L141" s="50">
        <f>VLOOKUP($A141,'Data shares'!$C:$FB,118)</f>
        <v>0.57999999999999996</v>
      </c>
      <c r="M141" s="50">
        <f>VLOOKUP($A141,'Data shares'!$C:$FB,119)</f>
        <v>0.6</v>
      </c>
      <c r="N141" s="50">
        <f>VLOOKUP($A141,'Data shares'!$C:$FB,121)*100</f>
        <v>-3.3300000000000005</v>
      </c>
      <c r="O141" s="50">
        <f>VLOOKUP($A141,'Data shares'!$C:$FB,124)</f>
        <v>0.59</v>
      </c>
      <c r="P141" s="50">
        <f>VLOOKUP($A141,'Data shares'!$C:$FB,125)</f>
        <v>0.65</v>
      </c>
      <c r="Q141" s="50">
        <f>VLOOKUP($A141,'Data shares'!$C:$FB,127)*100</f>
        <v>-9.2299999999999986</v>
      </c>
    </row>
    <row r="142" spans="1:17" x14ac:dyDescent="0.25">
      <c r="A142" s="97" t="str">
        <f>'Snapshot (Value)'!A146</f>
        <v>NESTLEIND</v>
      </c>
      <c r="B142" s="140">
        <f>VLOOKUP($A142,'Data shares'!$C:$FB,7)</f>
        <v>1250.9000000000001</v>
      </c>
      <c r="C142" s="140">
        <f>VLOOKUP($A142,'Data shares'!$C:$FB,3)</f>
        <v>1256.3</v>
      </c>
      <c r="D142" s="140">
        <f>VLOOKUP($A142,'Data shares'!$C:$FB,4)</f>
        <v>1250.7</v>
      </c>
      <c r="E142" s="50">
        <f t="shared" si="6"/>
        <v>0.4477492604141608</v>
      </c>
      <c r="F142" s="49">
        <f>VLOOKUP($A142,'Data shares'!$C:$FB,98)</f>
        <v>20543000</v>
      </c>
      <c r="G142" s="49">
        <f>VLOOKUP($A142,'Data shares'!$C:$FB,99)</f>
        <v>20316500</v>
      </c>
      <c r="H142" s="50">
        <f t="shared" si="7"/>
        <v>1.1148573819309429</v>
      </c>
      <c r="I142" s="49">
        <f>VLOOKUP($A142,'Data shares'!$C:$FB,66)</f>
        <v>5525500</v>
      </c>
      <c r="J142" s="49">
        <f>VLOOKUP($A142,'Data shares'!$C:$FB,67)</f>
        <v>5789500</v>
      </c>
      <c r="K142" s="50">
        <f t="shared" si="8"/>
        <v>-4.7778481585376893</v>
      </c>
      <c r="L142" s="50">
        <f>VLOOKUP($A142,'Data shares'!$C:$FB,118)</f>
        <v>0.54</v>
      </c>
      <c r="M142" s="50">
        <f>VLOOKUP($A142,'Data shares'!$C:$FB,119)</f>
        <v>0.5</v>
      </c>
      <c r="N142" s="50">
        <f>VLOOKUP($A142,'Data shares'!$C:$FB,121)*100</f>
        <v>8</v>
      </c>
      <c r="O142" s="50">
        <f>VLOOKUP($A142,'Data shares'!$C:$FB,124)</f>
        <v>0.61</v>
      </c>
      <c r="P142" s="50">
        <f>VLOOKUP($A142,'Data shares'!$C:$FB,125)</f>
        <v>0.47</v>
      </c>
      <c r="Q142" s="50">
        <f>VLOOKUP($A142,'Data shares'!$C:$FB,127)*100</f>
        <v>29.79</v>
      </c>
    </row>
    <row r="143" spans="1:17" x14ac:dyDescent="0.25">
      <c r="A143" s="97" t="str">
        <f>'Snapshot (Value)'!A147</f>
        <v>NHPC</v>
      </c>
      <c r="B143" s="140">
        <f>VLOOKUP($A143,'Data shares'!$C:$FB,7)</f>
        <v>74.150000000000006</v>
      </c>
      <c r="C143" s="140">
        <f>VLOOKUP($A143,'Data shares'!$C:$FB,3)</f>
        <v>74.489999999999995</v>
      </c>
      <c r="D143" s="140">
        <f>VLOOKUP($A143,'Data shares'!$C:$FB,4)</f>
        <v>72.45</v>
      </c>
      <c r="E143" s="50">
        <f t="shared" si="6"/>
        <v>2.8157349896480222</v>
      </c>
      <c r="F143" s="49">
        <f>VLOOKUP($A143,'Data shares'!$C:$FB,98)</f>
        <v>128531200</v>
      </c>
      <c r="G143" s="49">
        <f>VLOOKUP($A143,'Data shares'!$C:$FB,99)</f>
        <v>128275200</v>
      </c>
      <c r="H143" s="50">
        <f t="shared" si="7"/>
        <v>0.19957092251658934</v>
      </c>
      <c r="I143" s="49">
        <f>VLOOKUP($A143,'Data shares'!$C:$FB,66)</f>
        <v>49004800</v>
      </c>
      <c r="J143" s="49">
        <f>VLOOKUP($A143,'Data shares'!$C:$FB,67)</f>
        <v>55628800</v>
      </c>
      <c r="K143" s="50">
        <f t="shared" si="8"/>
        <v>-13.517043228418441</v>
      </c>
      <c r="L143" s="50">
        <f>VLOOKUP($A143,'Data shares'!$C:$FB,118)</f>
        <v>0.6</v>
      </c>
      <c r="M143" s="50">
        <f>VLOOKUP($A143,'Data shares'!$C:$FB,119)</f>
        <v>0.56999999999999995</v>
      </c>
      <c r="N143" s="50">
        <f>VLOOKUP($A143,'Data shares'!$C:$FB,121)*100</f>
        <v>5.26</v>
      </c>
      <c r="O143" s="50">
        <f>VLOOKUP($A143,'Data shares'!$C:$FB,124)</f>
        <v>0.65</v>
      </c>
      <c r="P143" s="50">
        <f>VLOOKUP($A143,'Data shares'!$C:$FB,125)</f>
        <v>0.73</v>
      </c>
      <c r="Q143" s="50">
        <f>VLOOKUP($A143,'Data shares'!$C:$FB,127)*100</f>
        <v>-10.96</v>
      </c>
    </row>
    <row r="144" spans="1:17" x14ac:dyDescent="0.25">
      <c r="A144" s="97" t="str">
        <f>'Snapshot (Value)'!A148</f>
        <v>NIFTY</v>
      </c>
      <c r="B144" s="140">
        <f>VLOOKUP($A144,'Data shares'!$C:$FB,7)</f>
        <v>24765.9</v>
      </c>
      <c r="C144" s="140">
        <f>VLOOKUP($A144,'Data shares'!$C:$FB,3)</f>
        <v>24854.3</v>
      </c>
      <c r="D144" s="140">
        <f>VLOOKUP($A144,'Data shares'!$C:$FB,4)</f>
        <v>24584.7</v>
      </c>
      <c r="E144" s="50">
        <f t="shared" si="6"/>
        <v>1.0966170016310899</v>
      </c>
      <c r="F144" s="49">
        <f>VLOOKUP($A144,'Data shares'!$C:$FB,98)</f>
        <v>424718995</v>
      </c>
      <c r="G144" s="49">
        <f>VLOOKUP($A144,'Data shares'!$C:$FB,99)</f>
        <v>367014155</v>
      </c>
      <c r="H144" s="50">
        <f t="shared" si="7"/>
        <v>15.722783226167394</v>
      </c>
      <c r="I144" s="49">
        <f>VLOOKUP($A144,'Data shares'!$C:$FB,66)</f>
        <v>3977337455</v>
      </c>
      <c r="J144" s="49">
        <f>VLOOKUP($A144,'Data shares'!$C:$FB,67)</f>
        <v>3421224625</v>
      </c>
      <c r="K144" s="50">
        <f t="shared" si="8"/>
        <v>13.982037890722552</v>
      </c>
      <c r="L144" s="50">
        <f>VLOOKUP($A144,'Data shares'!$C:$FB,118)</f>
        <v>1.01</v>
      </c>
      <c r="M144" s="50">
        <f>VLOOKUP($A144,'Data shares'!$C:$FB,119)</f>
        <v>0.95</v>
      </c>
      <c r="N144" s="50">
        <f>VLOOKUP($A144,'Data shares'!$C:$FB,121)*100</f>
        <v>6.32</v>
      </c>
      <c r="O144" s="50">
        <f>VLOOKUP($A144,'Data shares'!$C:$FB,124)</f>
        <v>0.8</v>
      </c>
      <c r="P144" s="50">
        <f>VLOOKUP($A144,'Data shares'!$C:$FB,125)</f>
        <v>0.76</v>
      </c>
      <c r="Q144" s="50">
        <f>VLOOKUP($A144,'Data shares'!$C:$FB,127)*100</f>
        <v>5.26</v>
      </c>
    </row>
    <row r="145" spans="1:17" x14ac:dyDescent="0.25">
      <c r="A145" s="97" t="str">
        <f>'Snapshot (Value)'!A149</f>
        <v>NIFTYNXT50</v>
      </c>
      <c r="B145" s="140">
        <f>VLOOKUP($A145,'Data shares'!$C:$FB,7)</f>
        <v>67722.2</v>
      </c>
      <c r="C145" s="140">
        <f>VLOOKUP($A145,'Data shares'!$C:$FB,3)</f>
        <v>67928.399999999994</v>
      </c>
      <c r="D145" s="140">
        <f>VLOOKUP($A145,'Data shares'!$C:$FB,4)</f>
        <v>67008.800000000003</v>
      </c>
      <c r="E145" s="50">
        <f t="shared" si="6"/>
        <v>1.372357063549849</v>
      </c>
      <c r="F145" s="49">
        <f>VLOOKUP($A145,'Data shares'!$C:$FB,98)</f>
        <v>27500</v>
      </c>
      <c r="G145" s="49">
        <f>VLOOKUP($A145,'Data shares'!$C:$FB,99)</f>
        <v>26150</v>
      </c>
      <c r="H145" s="50">
        <f t="shared" si="7"/>
        <v>5.1625239005736141</v>
      </c>
      <c r="I145" s="49">
        <f>VLOOKUP($A145,'Data shares'!$C:$FB,66)</f>
        <v>18325</v>
      </c>
      <c r="J145" s="49">
        <f>VLOOKUP($A145,'Data shares'!$C:$FB,67)</f>
        <v>25400</v>
      </c>
      <c r="K145" s="50">
        <f t="shared" si="8"/>
        <v>-38.608458390177354</v>
      </c>
      <c r="L145" s="50">
        <f>VLOOKUP($A145,'Data shares'!$C:$FB,118)</f>
        <v>0.39</v>
      </c>
      <c r="M145" s="50">
        <f>VLOOKUP($A145,'Data shares'!$C:$FB,119)</f>
        <v>0.28000000000000003</v>
      </c>
      <c r="N145" s="50">
        <f>VLOOKUP($A145,'Data shares'!$C:$FB,121)*100</f>
        <v>39.290000000000006</v>
      </c>
      <c r="O145" s="50">
        <f>VLOOKUP($A145,'Data shares'!$C:$FB,124)</f>
        <v>0.44</v>
      </c>
      <c r="P145" s="50">
        <f>VLOOKUP($A145,'Data shares'!$C:$FB,125)</f>
        <v>0.05</v>
      </c>
      <c r="Q145" s="50">
        <f>VLOOKUP($A145,'Data shares'!$C:$FB,127)*100</f>
        <v>780</v>
      </c>
    </row>
    <row r="146" spans="1:17" x14ac:dyDescent="0.25">
      <c r="A146" s="97" t="str">
        <f>'Snapshot (Value)'!A150</f>
        <v>NMDC</v>
      </c>
      <c r="B146" s="140">
        <f>VLOOKUP($A146,'Data shares'!$C:$FB,7)</f>
        <v>78.44</v>
      </c>
      <c r="C146" s="140">
        <f>VLOOKUP($A146,'Data shares'!$C:$FB,3)</f>
        <v>78.69</v>
      </c>
      <c r="D146" s="140">
        <f>VLOOKUP($A146,'Data shares'!$C:$FB,4)</f>
        <v>76.95</v>
      </c>
      <c r="E146" s="50">
        <f t="shared" si="6"/>
        <v>2.2612085769980439</v>
      </c>
      <c r="F146" s="49">
        <f>VLOOKUP($A146,'Data shares'!$C:$FB,98)</f>
        <v>463272750</v>
      </c>
      <c r="G146" s="49">
        <f>VLOOKUP($A146,'Data shares'!$C:$FB,99)</f>
        <v>457528500</v>
      </c>
      <c r="H146" s="50">
        <f t="shared" si="7"/>
        <v>1.2554955592930275</v>
      </c>
      <c r="I146" s="49">
        <f>VLOOKUP($A146,'Data shares'!$C:$FB,66)</f>
        <v>122283000</v>
      </c>
      <c r="J146" s="49">
        <f>VLOOKUP($A146,'Data shares'!$C:$FB,67)</f>
        <v>135236250</v>
      </c>
      <c r="K146" s="50">
        <f t="shared" si="8"/>
        <v>-10.592846102892471</v>
      </c>
      <c r="L146" s="50">
        <f>VLOOKUP($A146,'Data shares'!$C:$FB,118)</f>
        <v>0.56999999999999995</v>
      </c>
      <c r="M146" s="50">
        <f>VLOOKUP($A146,'Data shares'!$C:$FB,119)</f>
        <v>0.59</v>
      </c>
      <c r="N146" s="50">
        <f>VLOOKUP($A146,'Data shares'!$C:$FB,121)*100</f>
        <v>-3.39</v>
      </c>
      <c r="O146" s="50">
        <f>VLOOKUP($A146,'Data shares'!$C:$FB,124)</f>
        <v>0.36</v>
      </c>
      <c r="P146" s="50">
        <f>VLOOKUP($A146,'Data shares'!$C:$FB,125)</f>
        <v>0.48</v>
      </c>
      <c r="Q146" s="50">
        <f>VLOOKUP($A146,'Data shares'!$C:$FB,127)*100</f>
        <v>-25</v>
      </c>
    </row>
    <row r="147" spans="1:17" x14ac:dyDescent="0.25">
      <c r="A147" s="97" t="str">
        <f>'Snapshot (Value)'!A151</f>
        <v>NTPC</v>
      </c>
      <c r="B147" s="140">
        <f>VLOOKUP($A147,'Data shares'!$C:$FB,7)</f>
        <v>378.05</v>
      </c>
      <c r="C147" s="140">
        <f>VLOOKUP($A147,'Data shares'!$C:$FB,3)</f>
        <v>378.65</v>
      </c>
      <c r="D147" s="140">
        <f>VLOOKUP($A147,'Data shares'!$C:$FB,4)</f>
        <v>366.95</v>
      </c>
      <c r="E147" s="50">
        <f t="shared" si="6"/>
        <v>3.1884452922741486</v>
      </c>
      <c r="F147" s="49">
        <f>VLOOKUP($A147,'Data shares'!$C:$FB,98)</f>
        <v>180358500</v>
      </c>
      <c r="G147" s="49">
        <f>VLOOKUP($A147,'Data shares'!$C:$FB,99)</f>
        <v>172335000</v>
      </c>
      <c r="H147" s="50">
        <f t="shared" si="7"/>
        <v>4.6557576812603365</v>
      </c>
      <c r="I147" s="49">
        <f>VLOOKUP($A147,'Data shares'!$C:$FB,66)</f>
        <v>123729000</v>
      </c>
      <c r="J147" s="49">
        <f>VLOOKUP($A147,'Data shares'!$C:$FB,67)</f>
        <v>100881000</v>
      </c>
      <c r="K147" s="50">
        <f t="shared" si="8"/>
        <v>18.466163955095411</v>
      </c>
      <c r="L147" s="50">
        <f>VLOOKUP($A147,'Data shares'!$C:$FB,118)</f>
        <v>0.39</v>
      </c>
      <c r="M147" s="50">
        <f>VLOOKUP($A147,'Data shares'!$C:$FB,119)</f>
        <v>0.36</v>
      </c>
      <c r="N147" s="50">
        <f>VLOOKUP($A147,'Data shares'!$C:$FB,121)*100</f>
        <v>8.33</v>
      </c>
      <c r="O147" s="50">
        <f>VLOOKUP($A147,'Data shares'!$C:$FB,124)</f>
        <v>0.46</v>
      </c>
      <c r="P147" s="50">
        <f>VLOOKUP($A147,'Data shares'!$C:$FB,125)</f>
        <v>0.4</v>
      </c>
      <c r="Q147" s="50">
        <f>VLOOKUP($A147,'Data shares'!$C:$FB,127)*100</f>
        <v>15</v>
      </c>
    </row>
    <row r="148" spans="1:17" x14ac:dyDescent="0.25">
      <c r="A148" s="97" t="str">
        <f>'Snapshot (Value)'!A152</f>
        <v>NUVAMA</v>
      </c>
      <c r="B148" s="140">
        <f>VLOOKUP($A148,'Data shares'!$C:$FB,7)</f>
        <v>1238.0999999999999</v>
      </c>
      <c r="C148" s="140">
        <f>VLOOKUP($A148,'Data shares'!$C:$FB,3)</f>
        <v>1231.8</v>
      </c>
      <c r="D148" s="140">
        <f>VLOOKUP($A148,'Data shares'!$C:$FB,4)</f>
        <v>1192.5999999999999</v>
      </c>
      <c r="E148" s="50">
        <f t="shared" si="6"/>
        <v>3.2869361059869235</v>
      </c>
      <c r="F148" s="49">
        <f>VLOOKUP($A148,'Data shares'!$C:$FB,98)</f>
        <v>3347500</v>
      </c>
      <c r="G148" s="49">
        <f>VLOOKUP($A148,'Data shares'!$C:$FB,99)</f>
        <v>3246000</v>
      </c>
      <c r="H148" s="50">
        <f t="shared" si="7"/>
        <v>3.1269254467036349</v>
      </c>
      <c r="I148" s="49">
        <f>VLOOKUP($A148,'Data shares'!$C:$FB,66)</f>
        <v>1974000</v>
      </c>
      <c r="J148" s="49">
        <f>VLOOKUP($A148,'Data shares'!$C:$FB,67)</f>
        <v>2542000</v>
      </c>
      <c r="K148" s="50">
        <f t="shared" si="8"/>
        <v>-28.774062816616009</v>
      </c>
      <c r="L148" s="50">
        <f>VLOOKUP($A148,'Data shares'!$C:$FB,118)</f>
        <v>0.65</v>
      </c>
      <c r="M148" s="50">
        <f>VLOOKUP($A148,'Data shares'!$C:$FB,119)</f>
        <v>0.66</v>
      </c>
      <c r="N148" s="50">
        <f>VLOOKUP($A148,'Data shares'!$C:$FB,121)*100</f>
        <v>-1.52</v>
      </c>
      <c r="O148" s="50">
        <f>VLOOKUP($A148,'Data shares'!$C:$FB,124)</f>
        <v>0.21</v>
      </c>
      <c r="P148" s="50">
        <f>VLOOKUP($A148,'Data shares'!$C:$FB,125)</f>
        <v>0.68</v>
      </c>
      <c r="Q148" s="50">
        <f>VLOOKUP($A148,'Data shares'!$C:$FB,127)*100</f>
        <v>-69.12</v>
      </c>
    </row>
    <row r="149" spans="1:17" x14ac:dyDescent="0.25">
      <c r="A149" s="97" t="str">
        <f>'Snapshot (Value)'!A153</f>
        <v>NYKAA</v>
      </c>
      <c r="B149" s="140">
        <f>VLOOKUP($A149,'Data shares'!$C:$FB,7)</f>
        <v>260.8</v>
      </c>
      <c r="C149" s="140">
        <f>VLOOKUP($A149,'Data shares'!$C:$FB,3)</f>
        <v>261.3</v>
      </c>
      <c r="D149" s="140">
        <f>VLOOKUP($A149,'Data shares'!$C:$FB,4)</f>
        <v>256.25</v>
      </c>
      <c r="E149" s="50">
        <f t="shared" si="6"/>
        <v>1.9707317073170776</v>
      </c>
      <c r="F149" s="49">
        <f>VLOOKUP($A149,'Data shares'!$C:$FB,98)</f>
        <v>56334375</v>
      </c>
      <c r="G149" s="49">
        <f>VLOOKUP($A149,'Data shares'!$C:$FB,99)</f>
        <v>55871875</v>
      </c>
      <c r="H149" s="50">
        <f t="shared" si="7"/>
        <v>0.82778678897030034</v>
      </c>
      <c r="I149" s="49">
        <f>VLOOKUP($A149,'Data shares'!$C:$FB,66)</f>
        <v>10193750</v>
      </c>
      <c r="J149" s="49">
        <f>VLOOKUP($A149,'Data shares'!$C:$FB,67)</f>
        <v>16353125</v>
      </c>
      <c r="K149" s="50">
        <f t="shared" si="8"/>
        <v>-60.423053341508279</v>
      </c>
      <c r="L149" s="50">
        <f>VLOOKUP($A149,'Data shares'!$C:$FB,118)</f>
        <v>0.56999999999999995</v>
      </c>
      <c r="M149" s="50">
        <f>VLOOKUP($A149,'Data shares'!$C:$FB,119)</f>
        <v>0.61</v>
      </c>
      <c r="N149" s="50">
        <f>VLOOKUP($A149,'Data shares'!$C:$FB,121)*100</f>
        <v>-6.5600000000000005</v>
      </c>
      <c r="O149" s="50">
        <f>VLOOKUP($A149,'Data shares'!$C:$FB,124)</f>
        <v>0.34</v>
      </c>
      <c r="P149" s="50">
        <f>VLOOKUP($A149,'Data shares'!$C:$FB,125)</f>
        <v>0.63</v>
      </c>
      <c r="Q149" s="50">
        <f>VLOOKUP($A149,'Data shares'!$C:$FB,127)*100</f>
        <v>-46.03</v>
      </c>
    </row>
    <row r="150" spans="1:17" x14ac:dyDescent="0.25">
      <c r="A150" s="97" t="str">
        <f>'Snapshot (Value)'!A154</f>
        <v>OBEROIRLTY</v>
      </c>
      <c r="B150" s="140">
        <f>VLOOKUP($A150,'Data shares'!$C:$FB,7)</f>
        <v>1482.1</v>
      </c>
      <c r="C150" s="140">
        <f>VLOOKUP($A150,'Data shares'!$C:$FB,3)</f>
        <v>1475.1</v>
      </c>
      <c r="D150" s="140">
        <f>VLOOKUP($A150,'Data shares'!$C:$FB,4)</f>
        <v>1436.9</v>
      </c>
      <c r="E150" s="50">
        <f t="shared" si="6"/>
        <v>2.6585009395225705</v>
      </c>
      <c r="F150" s="49">
        <f>VLOOKUP($A150,'Data shares'!$C:$FB,98)</f>
        <v>8502200</v>
      </c>
      <c r="G150" s="49">
        <f>VLOOKUP($A150,'Data shares'!$C:$FB,99)</f>
        <v>8353450</v>
      </c>
      <c r="H150" s="50">
        <f t="shared" si="7"/>
        <v>1.7807013868521391</v>
      </c>
      <c r="I150" s="49">
        <f>VLOOKUP($A150,'Data shares'!$C:$FB,66)</f>
        <v>2804200</v>
      </c>
      <c r="J150" s="49">
        <f>VLOOKUP($A150,'Data shares'!$C:$FB,67)</f>
        <v>5389300</v>
      </c>
      <c r="K150" s="50">
        <f t="shared" si="8"/>
        <v>-92.186719920119813</v>
      </c>
      <c r="L150" s="50">
        <f>VLOOKUP($A150,'Data shares'!$C:$FB,118)</f>
        <v>1.06</v>
      </c>
      <c r="M150" s="50">
        <f>VLOOKUP($A150,'Data shares'!$C:$FB,119)</f>
        <v>1.06</v>
      </c>
      <c r="N150" s="50">
        <f>VLOOKUP($A150,'Data shares'!$C:$FB,121)*100</f>
        <v>0</v>
      </c>
      <c r="O150" s="50">
        <f>VLOOKUP($A150,'Data shares'!$C:$FB,124)</f>
        <v>0.66</v>
      </c>
      <c r="P150" s="50">
        <f>VLOOKUP($A150,'Data shares'!$C:$FB,125)</f>
        <v>1.54</v>
      </c>
      <c r="Q150" s="50">
        <f>VLOOKUP($A150,'Data shares'!$C:$FB,127)*100</f>
        <v>-57.14</v>
      </c>
    </row>
    <row r="151" spans="1:17" x14ac:dyDescent="0.25">
      <c r="A151" s="97" t="str">
        <f>'Snapshot (Value)'!A155</f>
        <v>OFSS</v>
      </c>
      <c r="B151" s="140">
        <f>VLOOKUP($A151,'Data shares'!$C:$FB,7)</f>
        <v>6789.5</v>
      </c>
      <c r="C151" s="140">
        <f>VLOOKUP($A151,'Data shares'!$C:$FB,3)</f>
        <v>6789</v>
      </c>
      <c r="D151" s="140">
        <f>VLOOKUP($A151,'Data shares'!$C:$FB,4)</f>
        <v>6825.5</v>
      </c>
      <c r="E151" s="50">
        <f t="shared" si="6"/>
        <v>-0.53475935828876997</v>
      </c>
      <c r="F151" s="49">
        <f>VLOOKUP($A151,'Data shares'!$C:$FB,98)</f>
        <v>2207100</v>
      </c>
      <c r="G151" s="49">
        <f>VLOOKUP($A151,'Data shares'!$C:$FB,99)</f>
        <v>2174250</v>
      </c>
      <c r="H151" s="50">
        <f t="shared" si="7"/>
        <v>1.5108658157985513</v>
      </c>
      <c r="I151" s="49">
        <f>VLOOKUP($A151,'Data shares'!$C:$FB,66)</f>
        <v>1927875</v>
      </c>
      <c r="J151" s="49">
        <f>VLOOKUP($A151,'Data shares'!$C:$FB,67)</f>
        <v>1112550</v>
      </c>
      <c r="K151" s="50">
        <f t="shared" si="8"/>
        <v>42.291382999416456</v>
      </c>
      <c r="L151" s="50">
        <f>VLOOKUP($A151,'Data shares'!$C:$FB,118)</f>
        <v>0.71</v>
      </c>
      <c r="M151" s="50">
        <f>VLOOKUP($A151,'Data shares'!$C:$FB,119)</f>
        <v>0.77</v>
      </c>
      <c r="N151" s="50">
        <f>VLOOKUP($A151,'Data shares'!$C:$FB,121)*100</f>
        <v>-7.79</v>
      </c>
      <c r="O151" s="50">
        <f>VLOOKUP($A151,'Data shares'!$C:$FB,124)</f>
        <v>0.56000000000000005</v>
      </c>
      <c r="P151" s="50">
        <f>VLOOKUP($A151,'Data shares'!$C:$FB,125)</f>
        <v>1.01</v>
      </c>
      <c r="Q151" s="50">
        <f>VLOOKUP($A151,'Data shares'!$C:$FB,127)*100</f>
        <v>-44.55</v>
      </c>
    </row>
    <row r="152" spans="1:17" x14ac:dyDescent="0.25">
      <c r="A152" s="97" t="str">
        <f>'Snapshot (Value)'!A156</f>
        <v>OIL</v>
      </c>
      <c r="B152" s="140">
        <f>VLOOKUP($A152,'Data shares'!$C:$FB,7)</f>
        <v>479.1</v>
      </c>
      <c r="C152" s="140">
        <f>VLOOKUP($A152,'Data shares'!$C:$FB,3)</f>
        <v>481.25</v>
      </c>
      <c r="D152" s="140">
        <f>VLOOKUP($A152,'Data shares'!$C:$FB,4)</f>
        <v>490.2</v>
      </c>
      <c r="E152" s="50">
        <f t="shared" si="6"/>
        <v>-1.825785393716848</v>
      </c>
      <c r="F152" s="49">
        <f>VLOOKUP($A152,'Data shares'!$C:$FB,98)</f>
        <v>41739600</v>
      </c>
      <c r="G152" s="49">
        <f>VLOOKUP($A152,'Data shares'!$C:$FB,99)</f>
        <v>43318800</v>
      </c>
      <c r="H152" s="50">
        <f t="shared" si="7"/>
        <v>-3.6455303471010274</v>
      </c>
      <c r="I152" s="49">
        <f>VLOOKUP($A152,'Data shares'!$C:$FB,66)</f>
        <v>47814200</v>
      </c>
      <c r="J152" s="49">
        <f>VLOOKUP($A152,'Data shares'!$C:$FB,67)</f>
        <v>108025400</v>
      </c>
      <c r="K152" s="50">
        <f t="shared" si="8"/>
        <v>-125.92744414839106</v>
      </c>
      <c r="L152" s="50">
        <f>VLOOKUP($A152,'Data shares'!$C:$FB,118)</f>
        <v>0.53</v>
      </c>
      <c r="M152" s="50">
        <f>VLOOKUP($A152,'Data shares'!$C:$FB,119)</f>
        <v>0.54</v>
      </c>
      <c r="N152" s="50">
        <f>VLOOKUP($A152,'Data shares'!$C:$FB,121)*100</f>
        <v>-1.8499999999999999</v>
      </c>
      <c r="O152" s="50">
        <f>VLOOKUP($A152,'Data shares'!$C:$FB,124)</f>
        <v>0.31</v>
      </c>
      <c r="P152" s="50">
        <f>VLOOKUP($A152,'Data shares'!$C:$FB,125)</f>
        <v>0.23</v>
      </c>
      <c r="Q152" s="50">
        <f>VLOOKUP($A152,'Data shares'!$C:$FB,127)*100</f>
        <v>34.78</v>
      </c>
    </row>
    <row r="153" spans="1:17" x14ac:dyDescent="0.25">
      <c r="A153" s="97" t="str">
        <f>'Snapshot (Value)'!A157</f>
        <v>ONGC</v>
      </c>
      <c r="B153" s="140">
        <f>VLOOKUP($A153,'Data shares'!$C:$FB,7)</f>
        <v>276.35000000000002</v>
      </c>
      <c r="C153" s="140">
        <f>VLOOKUP($A153,'Data shares'!$C:$FB,3)</f>
        <v>277.3</v>
      </c>
      <c r="D153" s="140">
        <f>VLOOKUP($A153,'Data shares'!$C:$FB,4)</f>
        <v>277.5</v>
      </c>
      <c r="E153" s="50">
        <f t="shared" si="6"/>
        <v>-7.2072072072067977E-2</v>
      </c>
      <c r="F153" s="49">
        <f>VLOOKUP($A153,'Data shares'!$C:$FB,98)</f>
        <v>217820250</v>
      </c>
      <c r="G153" s="49">
        <f>VLOOKUP($A153,'Data shares'!$C:$FB,99)</f>
        <v>226185750</v>
      </c>
      <c r="H153" s="50">
        <f t="shared" si="7"/>
        <v>-3.698508858316671</v>
      </c>
      <c r="I153" s="49">
        <f>VLOOKUP($A153,'Data shares'!$C:$FB,66)</f>
        <v>220767750</v>
      </c>
      <c r="J153" s="49">
        <f>VLOOKUP($A153,'Data shares'!$C:$FB,67)</f>
        <v>247743000</v>
      </c>
      <c r="K153" s="50">
        <f t="shared" si="8"/>
        <v>-12.218836311010101</v>
      </c>
      <c r="L153" s="50">
        <f>VLOOKUP($A153,'Data shares'!$C:$FB,118)</f>
        <v>0.51</v>
      </c>
      <c r="M153" s="50">
        <f>VLOOKUP($A153,'Data shares'!$C:$FB,119)</f>
        <v>0.47</v>
      </c>
      <c r="N153" s="50">
        <f>VLOOKUP($A153,'Data shares'!$C:$FB,121)*100</f>
        <v>8.51</v>
      </c>
      <c r="O153" s="50">
        <f>VLOOKUP($A153,'Data shares'!$C:$FB,124)</f>
        <v>0.44</v>
      </c>
      <c r="P153" s="50">
        <f>VLOOKUP($A153,'Data shares'!$C:$FB,125)</f>
        <v>0.42</v>
      </c>
      <c r="Q153" s="50">
        <f>VLOOKUP($A153,'Data shares'!$C:$FB,127)*100</f>
        <v>4.7600000000000007</v>
      </c>
    </row>
    <row r="154" spans="1:17" x14ac:dyDescent="0.25">
      <c r="A154" s="97" t="str">
        <f>'Snapshot (Value)'!A158</f>
        <v>PAGEIND</v>
      </c>
      <c r="B154" s="140">
        <f>VLOOKUP($A154,'Data shares'!$C:$FB,7)</f>
        <v>31525</v>
      </c>
      <c r="C154" s="140">
        <f>VLOOKUP($A154,'Data shares'!$C:$FB,3)</f>
        <v>31680</v>
      </c>
      <c r="D154" s="140">
        <f>VLOOKUP($A154,'Data shares'!$C:$FB,4)</f>
        <v>31130</v>
      </c>
      <c r="E154" s="50">
        <f t="shared" si="6"/>
        <v>1.7667844522968199</v>
      </c>
      <c r="F154" s="49">
        <f>VLOOKUP($A154,'Data shares'!$C:$FB,98)</f>
        <v>359025</v>
      </c>
      <c r="G154" s="49">
        <f>VLOOKUP($A154,'Data shares'!$C:$FB,99)</f>
        <v>372720</v>
      </c>
      <c r="H154" s="50">
        <f t="shared" si="7"/>
        <v>-3.6743399871216997</v>
      </c>
      <c r="I154" s="49">
        <f>VLOOKUP($A154,'Data shares'!$C:$FB,66)</f>
        <v>145005</v>
      </c>
      <c r="J154" s="49">
        <f>VLOOKUP($A154,'Data shares'!$C:$FB,67)</f>
        <v>204885</v>
      </c>
      <c r="K154" s="50">
        <f t="shared" si="8"/>
        <v>-41.295127754215372</v>
      </c>
      <c r="L154" s="50">
        <f>VLOOKUP($A154,'Data shares'!$C:$FB,118)</f>
        <v>0.56999999999999995</v>
      </c>
      <c r="M154" s="50">
        <f>VLOOKUP($A154,'Data shares'!$C:$FB,119)</f>
        <v>0.53</v>
      </c>
      <c r="N154" s="50">
        <f>VLOOKUP($A154,'Data shares'!$C:$FB,121)*100</f>
        <v>7.55</v>
      </c>
      <c r="O154" s="50">
        <f>VLOOKUP($A154,'Data shares'!$C:$FB,124)</f>
        <v>0.38</v>
      </c>
      <c r="P154" s="50">
        <f>VLOOKUP($A154,'Data shares'!$C:$FB,125)</f>
        <v>0.17</v>
      </c>
      <c r="Q154" s="50">
        <f>VLOOKUP($A154,'Data shares'!$C:$FB,127)*100</f>
        <v>123.53</v>
      </c>
    </row>
    <row r="155" spans="1:17" x14ac:dyDescent="0.25">
      <c r="A155" s="97" t="str">
        <f>'Snapshot (Value)'!A159</f>
        <v>PATANJALI</v>
      </c>
      <c r="B155" s="140">
        <f>VLOOKUP($A155,'Data shares'!$C:$FB,7)</f>
        <v>499.8</v>
      </c>
      <c r="C155" s="140">
        <f>VLOOKUP($A155,'Data shares'!$C:$FB,3)</f>
        <v>501.4</v>
      </c>
      <c r="D155" s="140">
        <f>VLOOKUP($A155,'Data shares'!$C:$FB,4)</f>
        <v>503.3</v>
      </c>
      <c r="E155" s="50">
        <f t="shared" si="6"/>
        <v>-0.37750844426783908</v>
      </c>
      <c r="F155" s="49">
        <f>VLOOKUP($A155,'Data shares'!$C:$FB,98)</f>
        <v>42614100</v>
      </c>
      <c r="G155" s="49">
        <f>VLOOKUP($A155,'Data shares'!$C:$FB,99)</f>
        <v>42480000</v>
      </c>
      <c r="H155" s="50">
        <f t="shared" si="7"/>
        <v>0.31567796610169491</v>
      </c>
      <c r="I155" s="49">
        <f>VLOOKUP($A155,'Data shares'!$C:$FB,66)</f>
        <v>4457700</v>
      </c>
      <c r="J155" s="49">
        <f>VLOOKUP($A155,'Data shares'!$C:$FB,67)</f>
        <v>7859700</v>
      </c>
      <c r="K155" s="50">
        <f t="shared" si="8"/>
        <v>-76.317383403997567</v>
      </c>
      <c r="L155" s="50">
        <f>VLOOKUP($A155,'Data shares'!$C:$FB,118)</f>
        <v>0.63</v>
      </c>
      <c r="M155" s="50">
        <f>VLOOKUP($A155,'Data shares'!$C:$FB,119)</f>
        <v>0.72</v>
      </c>
      <c r="N155" s="50">
        <f>VLOOKUP($A155,'Data shares'!$C:$FB,121)*100</f>
        <v>-12.5</v>
      </c>
      <c r="O155" s="50">
        <f>VLOOKUP($A155,'Data shares'!$C:$FB,124)</f>
        <v>0.34</v>
      </c>
      <c r="P155" s="50">
        <f>VLOOKUP($A155,'Data shares'!$C:$FB,125)</f>
        <v>0.73</v>
      </c>
      <c r="Q155" s="50">
        <f>VLOOKUP($A155,'Data shares'!$C:$FB,127)*100</f>
        <v>-53.42</v>
      </c>
    </row>
    <row r="156" spans="1:17" x14ac:dyDescent="0.25">
      <c r="A156" s="97" t="str">
        <f>'Snapshot (Value)'!A160</f>
        <v>PAYTM</v>
      </c>
      <c r="B156" s="140">
        <f>VLOOKUP($A156,'Data shares'!$C:$FB,7)</f>
        <v>1052.9000000000001</v>
      </c>
      <c r="C156" s="140">
        <f>VLOOKUP($A156,'Data shares'!$C:$FB,3)</f>
        <v>1057.4000000000001</v>
      </c>
      <c r="D156" s="140">
        <f>VLOOKUP($A156,'Data shares'!$C:$FB,4)</f>
        <v>1048</v>
      </c>
      <c r="E156" s="50">
        <f t="shared" si="6"/>
        <v>0.89694656488550484</v>
      </c>
      <c r="F156" s="49">
        <f>VLOOKUP($A156,'Data shares'!$C:$FB,98)</f>
        <v>35056650</v>
      </c>
      <c r="G156" s="49">
        <f>VLOOKUP($A156,'Data shares'!$C:$FB,99)</f>
        <v>34267125</v>
      </c>
      <c r="H156" s="50">
        <f t="shared" si="7"/>
        <v>2.3040304665185656</v>
      </c>
      <c r="I156" s="49">
        <f>VLOOKUP($A156,'Data shares'!$C:$FB,66)</f>
        <v>18151825</v>
      </c>
      <c r="J156" s="49">
        <f>VLOOKUP($A156,'Data shares'!$C:$FB,67)</f>
        <v>22110325</v>
      </c>
      <c r="K156" s="50">
        <f t="shared" si="8"/>
        <v>-21.807724567639895</v>
      </c>
      <c r="L156" s="50">
        <f>VLOOKUP($A156,'Data shares'!$C:$FB,118)</f>
        <v>0.69</v>
      </c>
      <c r="M156" s="50">
        <f>VLOOKUP($A156,'Data shares'!$C:$FB,119)</f>
        <v>0.69</v>
      </c>
      <c r="N156" s="50">
        <f>VLOOKUP($A156,'Data shares'!$C:$FB,121)*100</f>
        <v>0</v>
      </c>
      <c r="O156" s="50">
        <f>VLOOKUP($A156,'Data shares'!$C:$FB,124)</f>
        <v>0.46</v>
      </c>
      <c r="P156" s="50">
        <f>VLOOKUP($A156,'Data shares'!$C:$FB,125)</f>
        <v>0.72</v>
      </c>
      <c r="Q156" s="50">
        <f>VLOOKUP($A156,'Data shares'!$C:$FB,127)*100</f>
        <v>-36.11</v>
      </c>
    </row>
    <row r="157" spans="1:17" x14ac:dyDescent="0.25">
      <c r="A157" s="97" t="str">
        <f>'Snapshot (Value)'!A161</f>
        <v>PERSISTENT</v>
      </c>
      <c r="B157" s="140">
        <f>VLOOKUP($A157,'Data shares'!$C:$FB,7)</f>
        <v>4641.7</v>
      </c>
      <c r="C157" s="140">
        <f>VLOOKUP($A157,'Data shares'!$C:$FB,3)</f>
        <v>4650.2</v>
      </c>
      <c r="D157" s="140">
        <f>VLOOKUP($A157,'Data shares'!$C:$FB,4)</f>
        <v>4716.2</v>
      </c>
      <c r="E157" s="50">
        <f t="shared" si="6"/>
        <v>-1.3994317458971206</v>
      </c>
      <c r="F157" s="49">
        <f>VLOOKUP($A157,'Data shares'!$C:$FB,98)</f>
        <v>7143100</v>
      </c>
      <c r="G157" s="49">
        <f>VLOOKUP($A157,'Data shares'!$C:$FB,99)</f>
        <v>7042400</v>
      </c>
      <c r="H157" s="50">
        <f t="shared" si="7"/>
        <v>1.4299102578666365</v>
      </c>
      <c r="I157" s="49">
        <f>VLOOKUP($A157,'Data shares'!$C:$FB,66)</f>
        <v>5221900</v>
      </c>
      <c r="J157" s="49">
        <f>VLOOKUP($A157,'Data shares'!$C:$FB,67)</f>
        <v>5074400</v>
      </c>
      <c r="K157" s="50">
        <f t="shared" si="8"/>
        <v>2.8246423715505848</v>
      </c>
      <c r="L157" s="50">
        <f>VLOOKUP($A157,'Data shares'!$C:$FB,118)</f>
        <v>0.71</v>
      </c>
      <c r="M157" s="50">
        <f>VLOOKUP($A157,'Data shares'!$C:$FB,119)</f>
        <v>0.72</v>
      </c>
      <c r="N157" s="50">
        <f>VLOOKUP($A157,'Data shares'!$C:$FB,121)*100</f>
        <v>-1.39</v>
      </c>
      <c r="O157" s="50">
        <f>VLOOKUP($A157,'Data shares'!$C:$FB,124)</f>
        <v>0.82</v>
      </c>
      <c r="P157" s="50">
        <f>VLOOKUP($A157,'Data shares'!$C:$FB,125)</f>
        <v>0.61</v>
      </c>
      <c r="Q157" s="50">
        <f>VLOOKUP($A157,'Data shares'!$C:$FB,127)*100</f>
        <v>34.43</v>
      </c>
    </row>
    <row r="158" spans="1:17" x14ac:dyDescent="0.25">
      <c r="A158" s="97" t="str">
        <f>'Snapshot (Value)'!A162</f>
        <v>PETRONET</v>
      </c>
      <c r="B158" s="140">
        <f>VLOOKUP($A158,'Data shares'!$C:$FB,7)</f>
        <v>293.05</v>
      </c>
      <c r="C158" s="140">
        <f>VLOOKUP($A158,'Data shares'!$C:$FB,3)</f>
        <v>292.45</v>
      </c>
      <c r="D158" s="140">
        <f>VLOOKUP($A158,'Data shares'!$C:$FB,4)</f>
        <v>280.14999999999998</v>
      </c>
      <c r="E158" s="50">
        <f t="shared" si="6"/>
        <v>4.3905050865607755</v>
      </c>
      <c r="F158" s="49">
        <f>VLOOKUP($A158,'Data shares'!$C:$FB,98)</f>
        <v>70586900</v>
      </c>
      <c r="G158" s="49">
        <f>VLOOKUP($A158,'Data shares'!$C:$FB,99)</f>
        <v>71322200</v>
      </c>
      <c r="H158" s="50">
        <f t="shared" si="7"/>
        <v>-1.0309552986307209</v>
      </c>
      <c r="I158" s="49">
        <f>VLOOKUP($A158,'Data shares'!$C:$FB,66)</f>
        <v>104564600</v>
      </c>
      <c r="J158" s="49">
        <f>VLOOKUP($A158,'Data shares'!$C:$FB,67)</f>
        <v>178332100</v>
      </c>
      <c r="K158" s="50">
        <f t="shared" si="8"/>
        <v>-70.547298033942653</v>
      </c>
      <c r="L158" s="50">
        <f>VLOOKUP($A158,'Data shares'!$C:$FB,118)</f>
        <v>1.07</v>
      </c>
      <c r="M158" s="50">
        <f>VLOOKUP($A158,'Data shares'!$C:$FB,119)</f>
        <v>1.1399999999999999</v>
      </c>
      <c r="N158" s="50">
        <f>VLOOKUP($A158,'Data shares'!$C:$FB,121)*100</f>
        <v>-6.1400000000000006</v>
      </c>
      <c r="O158" s="50">
        <f>VLOOKUP($A158,'Data shares'!$C:$FB,124)</f>
        <v>0.91</v>
      </c>
      <c r="P158" s="50">
        <f>VLOOKUP($A158,'Data shares'!$C:$FB,125)</f>
        <v>1.66</v>
      </c>
      <c r="Q158" s="50">
        <f>VLOOKUP($A158,'Data shares'!$C:$FB,127)*100</f>
        <v>-45.18</v>
      </c>
    </row>
    <row r="159" spans="1:17" x14ac:dyDescent="0.25">
      <c r="A159" s="97" t="str">
        <f>'Snapshot (Value)'!A163</f>
        <v>PFC</v>
      </c>
      <c r="B159" s="140">
        <f>VLOOKUP($A159,'Data shares'!$C:$FB,7)</f>
        <v>413.65</v>
      </c>
      <c r="C159" s="140">
        <f>VLOOKUP($A159,'Data shares'!$C:$FB,3)</f>
        <v>414.3</v>
      </c>
      <c r="D159" s="140">
        <f>VLOOKUP($A159,'Data shares'!$C:$FB,4)</f>
        <v>395.05</v>
      </c>
      <c r="E159" s="50">
        <f t="shared" si="6"/>
        <v>4.8728009112770536</v>
      </c>
      <c r="F159" s="49">
        <f>VLOOKUP($A159,'Data shares'!$C:$FB,98)</f>
        <v>109830500</v>
      </c>
      <c r="G159" s="49">
        <f>VLOOKUP($A159,'Data shares'!$C:$FB,99)</f>
        <v>108537000</v>
      </c>
      <c r="H159" s="50">
        <f t="shared" si="7"/>
        <v>1.1917594921547492</v>
      </c>
      <c r="I159" s="49">
        <f>VLOOKUP($A159,'Data shares'!$C:$FB,66)</f>
        <v>72846800</v>
      </c>
      <c r="J159" s="49">
        <f>VLOOKUP($A159,'Data shares'!$C:$FB,67)</f>
        <v>45818500</v>
      </c>
      <c r="K159" s="50">
        <f t="shared" si="8"/>
        <v>37.102933828253263</v>
      </c>
      <c r="L159" s="50">
        <f>VLOOKUP($A159,'Data shares'!$C:$FB,118)</f>
        <v>0.51</v>
      </c>
      <c r="M159" s="50">
        <f>VLOOKUP($A159,'Data shares'!$C:$FB,119)</f>
        <v>0.48</v>
      </c>
      <c r="N159" s="50">
        <f>VLOOKUP($A159,'Data shares'!$C:$FB,121)*100</f>
        <v>6.25</v>
      </c>
      <c r="O159" s="50">
        <f>VLOOKUP($A159,'Data shares'!$C:$FB,124)</f>
        <v>0.51</v>
      </c>
      <c r="P159" s="50">
        <f>VLOOKUP($A159,'Data shares'!$C:$FB,125)</f>
        <v>0.61</v>
      </c>
      <c r="Q159" s="50">
        <f>VLOOKUP($A159,'Data shares'!$C:$FB,127)*100</f>
        <v>-16.39</v>
      </c>
    </row>
    <row r="160" spans="1:17" x14ac:dyDescent="0.25">
      <c r="A160" s="97" t="str">
        <f>'Snapshot (Value)'!A164</f>
        <v>PGEL</v>
      </c>
      <c r="B160" s="140">
        <f>VLOOKUP($A160,'Data shares'!$C:$FB,7)</f>
        <v>614.45000000000005</v>
      </c>
      <c r="C160" s="140">
        <f>VLOOKUP($A160,'Data shares'!$C:$FB,3)</f>
        <v>616.95000000000005</v>
      </c>
      <c r="D160" s="140">
        <f>VLOOKUP($A160,'Data shares'!$C:$FB,4)</f>
        <v>595.85</v>
      </c>
      <c r="E160" s="50">
        <f t="shared" si="6"/>
        <v>3.5411596878409028</v>
      </c>
      <c r="F160" s="49">
        <f>VLOOKUP($A160,'Data shares'!$C:$FB,98)</f>
        <v>19164350</v>
      </c>
      <c r="G160" s="49">
        <f>VLOOKUP($A160,'Data shares'!$C:$FB,99)</f>
        <v>17569300</v>
      </c>
      <c r="H160" s="50">
        <f t="shared" si="7"/>
        <v>9.0786200930031349</v>
      </c>
      <c r="I160" s="49">
        <f>VLOOKUP($A160,'Data shares'!$C:$FB,66)</f>
        <v>17339400</v>
      </c>
      <c r="J160" s="49">
        <f>VLOOKUP($A160,'Data shares'!$C:$FB,67)</f>
        <v>16061650</v>
      </c>
      <c r="K160" s="50">
        <f t="shared" si="8"/>
        <v>7.3690554459785229</v>
      </c>
      <c r="L160" s="50">
        <f>VLOOKUP($A160,'Data shares'!$C:$FB,118)</f>
        <v>0.83</v>
      </c>
      <c r="M160" s="50">
        <f>VLOOKUP($A160,'Data shares'!$C:$FB,119)</f>
        <v>0.89</v>
      </c>
      <c r="N160" s="50">
        <f>VLOOKUP($A160,'Data shares'!$C:$FB,121)*100</f>
        <v>-6.74</v>
      </c>
      <c r="O160" s="50">
        <f>VLOOKUP($A160,'Data shares'!$C:$FB,124)</f>
        <v>0.45</v>
      </c>
      <c r="P160" s="50">
        <f>VLOOKUP($A160,'Data shares'!$C:$FB,125)</f>
        <v>0.98</v>
      </c>
      <c r="Q160" s="50">
        <f>VLOOKUP($A160,'Data shares'!$C:$FB,127)*100</f>
        <v>-54.08</v>
      </c>
    </row>
    <row r="161" spans="1:17" x14ac:dyDescent="0.25">
      <c r="A161" s="97" t="str">
        <f>'Snapshot (Value)'!A165</f>
        <v>PHOENIXLTD</v>
      </c>
      <c r="B161" s="140">
        <f>VLOOKUP($A161,'Data shares'!$C:$FB,7)</f>
        <v>1633.6</v>
      </c>
      <c r="C161" s="140">
        <f>VLOOKUP($A161,'Data shares'!$C:$FB,3)</f>
        <v>1637.3</v>
      </c>
      <c r="D161" s="140">
        <f>VLOOKUP($A161,'Data shares'!$C:$FB,4)</f>
        <v>1617.1</v>
      </c>
      <c r="E161" s="50">
        <f t="shared" si="6"/>
        <v>1.2491497124482127</v>
      </c>
      <c r="F161" s="49">
        <f>VLOOKUP($A161,'Data shares'!$C:$FB,98)</f>
        <v>5604900</v>
      </c>
      <c r="G161" s="49">
        <f>VLOOKUP($A161,'Data shares'!$C:$FB,99)</f>
        <v>5314750</v>
      </c>
      <c r="H161" s="50">
        <f t="shared" si="7"/>
        <v>5.4593348699374387</v>
      </c>
      <c r="I161" s="49">
        <f>VLOOKUP($A161,'Data shares'!$C:$FB,66)</f>
        <v>6462750</v>
      </c>
      <c r="J161" s="49">
        <f>VLOOKUP($A161,'Data shares'!$C:$FB,67)</f>
        <v>1541400</v>
      </c>
      <c r="K161" s="50">
        <f t="shared" si="8"/>
        <v>76.149471974004882</v>
      </c>
      <c r="L161" s="50">
        <f>VLOOKUP($A161,'Data shares'!$C:$FB,118)</f>
        <v>0.57999999999999996</v>
      </c>
      <c r="M161" s="50">
        <f>VLOOKUP($A161,'Data shares'!$C:$FB,119)</f>
        <v>0.63</v>
      </c>
      <c r="N161" s="50">
        <f>VLOOKUP($A161,'Data shares'!$C:$FB,121)*100</f>
        <v>-7.9399999999999995</v>
      </c>
      <c r="O161" s="50">
        <f>VLOOKUP($A161,'Data shares'!$C:$FB,124)</f>
        <v>0.56000000000000005</v>
      </c>
      <c r="P161" s="50">
        <f>VLOOKUP($A161,'Data shares'!$C:$FB,125)</f>
        <v>0.66</v>
      </c>
      <c r="Q161" s="50">
        <f>VLOOKUP($A161,'Data shares'!$C:$FB,127)*100</f>
        <v>-15.15</v>
      </c>
    </row>
    <row r="162" spans="1:17" x14ac:dyDescent="0.25">
      <c r="A162" s="97" t="str">
        <f>'Snapshot (Value)'!A166</f>
        <v>PIDILITIND</v>
      </c>
      <c r="B162" s="140">
        <f>VLOOKUP($A162,'Data shares'!$C:$FB,7)</f>
        <v>1445.9</v>
      </c>
      <c r="C162" s="140">
        <f>VLOOKUP($A162,'Data shares'!$C:$FB,3)</f>
        <v>1446.6</v>
      </c>
      <c r="D162" s="140">
        <f>VLOOKUP($A162,'Data shares'!$C:$FB,4)</f>
        <v>1440.8</v>
      </c>
      <c r="E162" s="50">
        <f t="shared" si="6"/>
        <v>0.40255413659077977</v>
      </c>
      <c r="F162" s="49">
        <f>VLOOKUP($A162,'Data shares'!$C:$FB,98)</f>
        <v>10011500</v>
      </c>
      <c r="G162" s="49">
        <f>VLOOKUP($A162,'Data shares'!$C:$FB,99)</f>
        <v>9924500</v>
      </c>
      <c r="H162" s="50">
        <f t="shared" si="7"/>
        <v>0.87661846944430444</v>
      </c>
      <c r="I162" s="49">
        <f>VLOOKUP($A162,'Data shares'!$C:$FB,66)</f>
        <v>2797000</v>
      </c>
      <c r="J162" s="49">
        <f>VLOOKUP($A162,'Data shares'!$C:$FB,67)</f>
        <v>3642500</v>
      </c>
      <c r="K162" s="50">
        <f t="shared" si="8"/>
        <v>-30.228816589202719</v>
      </c>
      <c r="L162" s="50">
        <f>VLOOKUP($A162,'Data shares'!$C:$FB,118)</f>
        <v>0.52</v>
      </c>
      <c r="M162" s="50">
        <f>VLOOKUP($A162,'Data shares'!$C:$FB,119)</f>
        <v>0.56999999999999995</v>
      </c>
      <c r="N162" s="50">
        <f>VLOOKUP($A162,'Data shares'!$C:$FB,121)*100</f>
        <v>-8.77</v>
      </c>
      <c r="O162" s="50">
        <f>VLOOKUP($A162,'Data shares'!$C:$FB,124)</f>
        <v>0.45</v>
      </c>
      <c r="P162" s="50">
        <f>VLOOKUP($A162,'Data shares'!$C:$FB,125)</f>
        <v>0.61</v>
      </c>
      <c r="Q162" s="50">
        <f>VLOOKUP($A162,'Data shares'!$C:$FB,127)*100</f>
        <v>-26.229999999999997</v>
      </c>
    </row>
    <row r="163" spans="1:17" x14ac:dyDescent="0.25">
      <c r="A163" s="97" t="str">
        <f>'Snapshot (Value)'!A167</f>
        <v>PIIND</v>
      </c>
      <c r="B163" s="140">
        <f>VLOOKUP($A163,'Data shares'!$C:$FB,7)</f>
        <v>3089</v>
      </c>
      <c r="C163" s="140">
        <f>VLOOKUP($A163,'Data shares'!$C:$FB,3)</f>
        <v>3080.4</v>
      </c>
      <c r="D163" s="140">
        <f>VLOOKUP($A163,'Data shares'!$C:$FB,4)</f>
        <v>3038.6</v>
      </c>
      <c r="E163" s="50">
        <f t="shared" si="6"/>
        <v>1.3756335154347457</v>
      </c>
      <c r="F163" s="49">
        <f>VLOOKUP($A163,'Data shares'!$C:$FB,98)</f>
        <v>4611950</v>
      </c>
      <c r="G163" s="49">
        <f>VLOOKUP($A163,'Data shares'!$C:$FB,99)</f>
        <v>4606525</v>
      </c>
      <c r="H163" s="50">
        <f t="shared" si="7"/>
        <v>0.11776773164153022</v>
      </c>
      <c r="I163" s="49">
        <f>VLOOKUP($A163,'Data shares'!$C:$FB,66)</f>
        <v>1044400</v>
      </c>
      <c r="J163" s="49">
        <f>VLOOKUP($A163,'Data shares'!$C:$FB,67)</f>
        <v>1416100</v>
      </c>
      <c r="K163" s="50">
        <f t="shared" si="8"/>
        <v>-35.589812332439678</v>
      </c>
      <c r="L163" s="50">
        <f>VLOOKUP($A163,'Data shares'!$C:$FB,118)</f>
        <v>0.64</v>
      </c>
      <c r="M163" s="50">
        <f>VLOOKUP($A163,'Data shares'!$C:$FB,119)</f>
        <v>0.69</v>
      </c>
      <c r="N163" s="50">
        <f>VLOOKUP($A163,'Data shares'!$C:$FB,121)*100</f>
        <v>-7.2499999999999991</v>
      </c>
      <c r="O163" s="50">
        <f>VLOOKUP($A163,'Data shares'!$C:$FB,124)</f>
        <v>0.39</v>
      </c>
      <c r="P163" s="50">
        <f>VLOOKUP($A163,'Data shares'!$C:$FB,125)</f>
        <v>0.68</v>
      </c>
      <c r="Q163" s="50">
        <f>VLOOKUP($A163,'Data shares'!$C:$FB,127)*100</f>
        <v>-42.65</v>
      </c>
    </row>
    <row r="164" spans="1:17" x14ac:dyDescent="0.25">
      <c r="A164" s="97" t="str">
        <f>'Snapshot (Value)'!A168</f>
        <v>PNB</v>
      </c>
      <c r="B164" s="140">
        <f>VLOOKUP($A164,'Data shares'!$C:$FB,7)</f>
        <v>122.2</v>
      </c>
      <c r="C164" s="140">
        <f>VLOOKUP($A164,'Data shares'!$C:$FB,3)</f>
        <v>122.79</v>
      </c>
      <c r="D164" s="140">
        <f>VLOOKUP($A164,'Data shares'!$C:$FB,4)</f>
        <v>121.98</v>
      </c>
      <c r="E164" s="50">
        <f t="shared" si="6"/>
        <v>0.66404328578455674</v>
      </c>
      <c r="F164" s="49">
        <f>VLOOKUP($A164,'Data shares'!$C:$FB,98)</f>
        <v>432440000</v>
      </c>
      <c r="G164" s="49">
        <f>VLOOKUP($A164,'Data shares'!$C:$FB,99)</f>
        <v>404880000</v>
      </c>
      <c r="H164" s="50">
        <f t="shared" si="7"/>
        <v>6.8069551472041097</v>
      </c>
      <c r="I164" s="49">
        <f>VLOOKUP($A164,'Data shares'!$C:$FB,66)</f>
        <v>234560000</v>
      </c>
      <c r="J164" s="49">
        <f>VLOOKUP($A164,'Data shares'!$C:$FB,67)</f>
        <v>301448000</v>
      </c>
      <c r="K164" s="50">
        <f t="shared" si="8"/>
        <v>-28.516371077762621</v>
      </c>
      <c r="L164" s="50">
        <f>VLOOKUP($A164,'Data shares'!$C:$FB,118)</f>
        <v>0.67</v>
      </c>
      <c r="M164" s="50">
        <f>VLOOKUP($A164,'Data shares'!$C:$FB,119)</f>
        <v>0.67</v>
      </c>
      <c r="N164" s="50">
        <f>VLOOKUP($A164,'Data shares'!$C:$FB,121)*100</f>
        <v>0</v>
      </c>
      <c r="O164" s="50">
        <f>VLOOKUP($A164,'Data shares'!$C:$FB,124)</f>
        <v>0.76</v>
      </c>
      <c r="P164" s="50">
        <f>VLOOKUP($A164,'Data shares'!$C:$FB,125)</f>
        <v>0.81</v>
      </c>
      <c r="Q164" s="50">
        <f>VLOOKUP($A164,'Data shares'!$C:$FB,127)*100</f>
        <v>-6.17</v>
      </c>
    </row>
    <row r="165" spans="1:17" x14ac:dyDescent="0.25">
      <c r="A165" s="97" t="str">
        <f>'Snapshot (Value)'!A169</f>
        <v>PNBHOUSING</v>
      </c>
      <c r="B165" s="140">
        <f>VLOOKUP($A165,'Data shares'!$C:$FB,7)</f>
        <v>790.65</v>
      </c>
      <c r="C165" s="140">
        <f>VLOOKUP($A165,'Data shares'!$C:$FB,3)</f>
        <v>795.35</v>
      </c>
      <c r="D165" s="140">
        <f>VLOOKUP($A165,'Data shares'!$C:$FB,4)</f>
        <v>786.3</v>
      </c>
      <c r="E165" s="50">
        <f t="shared" si="6"/>
        <v>1.1509601933104501</v>
      </c>
      <c r="F165" s="49">
        <f>VLOOKUP($A165,'Data shares'!$C:$FB,98)</f>
        <v>16102450</v>
      </c>
      <c r="G165" s="49">
        <f>VLOOKUP($A165,'Data shares'!$C:$FB,99)</f>
        <v>15580500</v>
      </c>
      <c r="H165" s="50">
        <f t="shared" si="7"/>
        <v>3.3500208594075929</v>
      </c>
      <c r="I165" s="49">
        <f>VLOOKUP($A165,'Data shares'!$C:$FB,66)</f>
        <v>3798600</v>
      </c>
      <c r="J165" s="49">
        <f>VLOOKUP($A165,'Data shares'!$C:$FB,67)</f>
        <v>5975450</v>
      </c>
      <c r="K165" s="50">
        <f t="shared" si="8"/>
        <v>-57.306639288158799</v>
      </c>
      <c r="L165" s="50">
        <f>VLOOKUP($A165,'Data shares'!$C:$FB,118)</f>
        <v>0.75</v>
      </c>
      <c r="M165" s="50">
        <f>VLOOKUP($A165,'Data shares'!$C:$FB,119)</f>
        <v>0.8</v>
      </c>
      <c r="N165" s="50">
        <f>VLOOKUP($A165,'Data shares'!$C:$FB,121)*100</f>
        <v>-6.25</v>
      </c>
      <c r="O165" s="50">
        <f>VLOOKUP($A165,'Data shares'!$C:$FB,124)</f>
        <v>0.76</v>
      </c>
      <c r="P165" s="50">
        <f>VLOOKUP($A165,'Data shares'!$C:$FB,125)</f>
        <v>0.73</v>
      </c>
      <c r="Q165" s="50">
        <f>VLOOKUP($A165,'Data shares'!$C:$FB,127)*100</f>
        <v>4.1099999999999994</v>
      </c>
    </row>
    <row r="166" spans="1:17" x14ac:dyDescent="0.25">
      <c r="A166" s="97" t="str">
        <f>'Snapshot (Value)'!A170</f>
        <v>POLICYBZR</v>
      </c>
      <c r="B166" s="140">
        <f>VLOOKUP($A166,'Data shares'!$C:$FB,7)</f>
        <v>1472.8</v>
      </c>
      <c r="C166" s="140">
        <f>VLOOKUP($A166,'Data shares'!$C:$FB,3)</f>
        <v>1478.8</v>
      </c>
      <c r="D166" s="140">
        <f>VLOOKUP($A166,'Data shares'!$C:$FB,4)</f>
        <v>1483</v>
      </c>
      <c r="E166" s="50">
        <f t="shared" si="6"/>
        <v>-0.28320971004720469</v>
      </c>
      <c r="F166" s="49">
        <f>VLOOKUP($A166,'Data shares'!$C:$FB,98)</f>
        <v>11667950</v>
      </c>
      <c r="G166" s="49">
        <f>VLOOKUP($A166,'Data shares'!$C:$FB,99)</f>
        <v>11647300</v>
      </c>
      <c r="H166" s="50">
        <f t="shared" si="7"/>
        <v>0.17729430855219663</v>
      </c>
      <c r="I166" s="49">
        <f>VLOOKUP($A166,'Data shares'!$C:$FB,66)</f>
        <v>3437000</v>
      </c>
      <c r="J166" s="49">
        <f>VLOOKUP($A166,'Data shares'!$C:$FB,67)</f>
        <v>4517100</v>
      </c>
      <c r="K166" s="50">
        <f t="shared" si="8"/>
        <v>-31.425661914460285</v>
      </c>
      <c r="L166" s="50">
        <f>VLOOKUP($A166,'Data shares'!$C:$FB,118)</f>
        <v>0.79</v>
      </c>
      <c r="M166" s="50">
        <f>VLOOKUP($A166,'Data shares'!$C:$FB,119)</f>
        <v>0.75</v>
      </c>
      <c r="N166" s="50">
        <f>VLOOKUP($A166,'Data shares'!$C:$FB,121)*100</f>
        <v>5.33</v>
      </c>
      <c r="O166" s="50">
        <f>VLOOKUP($A166,'Data shares'!$C:$FB,124)</f>
        <v>0.51</v>
      </c>
      <c r="P166" s="50">
        <f>VLOOKUP($A166,'Data shares'!$C:$FB,125)</f>
        <v>0.66</v>
      </c>
      <c r="Q166" s="50">
        <f>VLOOKUP($A166,'Data shares'!$C:$FB,127)*100</f>
        <v>-22.73</v>
      </c>
    </row>
    <row r="167" spans="1:17" x14ac:dyDescent="0.25">
      <c r="A167" s="97" t="str">
        <f>'Snapshot (Value)'!A171</f>
        <v>POLYCAB</v>
      </c>
      <c r="B167" s="140">
        <f>VLOOKUP($A167,'Data shares'!$C:$FB,7)</f>
        <v>8564</v>
      </c>
      <c r="C167" s="140">
        <f>VLOOKUP($A167,'Data shares'!$C:$FB,3)</f>
        <v>8575.5</v>
      </c>
      <c r="D167" s="140">
        <f>VLOOKUP($A167,'Data shares'!$C:$FB,4)</f>
        <v>8317.5</v>
      </c>
      <c r="E167" s="50">
        <f t="shared" si="6"/>
        <v>3.1018935978358879</v>
      </c>
      <c r="F167" s="49">
        <f>VLOOKUP($A167,'Data shares'!$C:$FB,98)</f>
        <v>4627000</v>
      </c>
      <c r="G167" s="49">
        <f>VLOOKUP($A167,'Data shares'!$C:$FB,99)</f>
        <v>4454625</v>
      </c>
      <c r="H167" s="50">
        <f t="shared" si="7"/>
        <v>3.8695737576114713</v>
      </c>
      <c r="I167" s="49">
        <f>VLOOKUP($A167,'Data shares'!$C:$FB,66)</f>
        <v>5454375</v>
      </c>
      <c r="J167" s="49">
        <f>VLOOKUP($A167,'Data shares'!$C:$FB,67)</f>
        <v>6490125</v>
      </c>
      <c r="K167" s="50">
        <f t="shared" si="8"/>
        <v>-18.989343416981779</v>
      </c>
      <c r="L167" s="50">
        <f>VLOOKUP($A167,'Data shares'!$C:$FB,118)</f>
        <v>1.07</v>
      </c>
      <c r="M167" s="50">
        <f>VLOOKUP($A167,'Data shares'!$C:$FB,119)</f>
        <v>1.0900000000000001</v>
      </c>
      <c r="N167" s="50">
        <f>VLOOKUP($A167,'Data shares'!$C:$FB,121)*100</f>
        <v>-1.83</v>
      </c>
      <c r="O167" s="50">
        <f>VLOOKUP($A167,'Data shares'!$C:$FB,124)</f>
        <v>0.9</v>
      </c>
      <c r="P167" s="50">
        <f>VLOOKUP($A167,'Data shares'!$C:$FB,125)</f>
        <v>2.0299999999999998</v>
      </c>
      <c r="Q167" s="50">
        <f>VLOOKUP($A167,'Data shares'!$C:$FB,127)*100</f>
        <v>-55.669999999999995</v>
      </c>
    </row>
    <row r="168" spans="1:17" x14ac:dyDescent="0.25">
      <c r="A168" s="97" t="str">
        <f>'Snapshot (Value)'!A172</f>
        <v>POWERGRID</v>
      </c>
      <c r="B168" s="140">
        <f>VLOOKUP($A168,'Data shares'!$C:$FB,7)</f>
        <v>299.45</v>
      </c>
      <c r="C168" s="140">
        <f>VLOOKUP($A168,'Data shares'!$C:$FB,3)</f>
        <v>299.89999999999998</v>
      </c>
      <c r="D168" s="140">
        <f>VLOOKUP($A168,'Data shares'!$C:$FB,4)</f>
        <v>293.10000000000002</v>
      </c>
      <c r="E168" s="50">
        <f t="shared" si="6"/>
        <v>2.3200272944387423</v>
      </c>
      <c r="F168" s="49">
        <f>VLOOKUP($A168,'Data shares'!$C:$FB,98)</f>
        <v>133704900</v>
      </c>
      <c r="G168" s="49">
        <f>VLOOKUP($A168,'Data shares'!$C:$FB,99)</f>
        <v>132331200</v>
      </c>
      <c r="H168" s="50">
        <f t="shared" si="7"/>
        <v>1.0380771881461062</v>
      </c>
      <c r="I168" s="49">
        <f>VLOOKUP($A168,'Data shares'!$C:$FB,66)</f>
        <v>64738700</v>
      </c>
      <c r="J168" s="49">
        <f>VLOOKUP($A168,'Data shares'!$C:$FB,67)</f>
        <v>68403800</v>
      </c>
      <c r="K168" s="50">
        <f t="shared" si="8"/>
        <v>-5.6613741085316818</v>
      </c>
      <c r="L168" s="50">
        <f>VLOOKUP($A168,'Data shares'!$C:$FB,118)</f>
        <v>0.42</v>
      </c>
      <c r="M168" s="50">
        <f>VLOOKUP($A168,'Data shares'!$C:$FB,119)</f>
        <v>0.44</v>
      </c>
      <c r="N168" s="50">
        <f>VLOOKUP($A168,'Data shares'!$C:$FB,121)*100</f>
        <v>-4.55</v>
      </c>
      <c r="O168" s="50">
        <f>VLOOKUP($A168,'Data shares'!$C:$FB,124)</f>
        <v>0.42</v>
      </c>
      <c r="P168" s="50">
        <f>VLOOKUP($A168,'Data shares'!$C:$FB,125)</f>
        <v>0.64</v>
      </c>
      <c r="Q168" s="50">
        <f>VLOOKUP($A168,'Data shares'!$C:$FB,127)*100</f>
        <v>-34.380000000000003</v>
      </c>
    </row>
    <row r="169" spans="1:17" x14ac:dyDescent="0.25">
      <c r="A169" s="97" t="str">
        <f>'Snapshot (Value)'!A173</f>
        <v>POWERINDIA</v>
      </c>
      <c r="B169" s="140">
        <f>VLOOKUP($A169,'Data shares'!$C:$FB,7)</f>
        <v>25305</v>
      </c>
      <c r="C169" s="140">
        <f>VLOOKUP($A169,'Data shares'!$C:$FB,3)</f>
        <v>25390</v>
      </c>
      <c r="D169" s="140">
        <f>VLOOKUP($A169,'Data shares'!$C:$FB,4)</f>
        <v>24600</v>
      </c>
      <c r="E169" s="50">
        <f t="shared" si="6"/>
        <v>3.2113821138211383</v>
      </c>
      <c r="F169" s="49">
        <f>VLOOKUP($A169,'Data shares'!$C:$FB,98)</f>
        <v>588100</v>
      </c>
      <c r="G169" s="49">
        <f>VLOOKUP($A169,'Data shares'!$C:$FB,99)</f>
        <v>542400</v>
      </c>
      <c r="H169" s="50">
        <f t="shared" si="7"/>
        <v>8.4255162241887902</v>
      </c>
      <c r="I169" s="49">
        <f>VLOOKUP($A169,'Data shares'!$C:$FB,66)</f>
        <v>624050</v>
      </c>
      <c r="J169" s="49">
        <f>VLOOKUP($A169,'Data shares'!$C:$FB,67)</f>
        <v>546650</v>
      </c>
      <c r="K169" s="50">
        <f t="shared" si="8"/>
        <v>12.402852335550037</v>
      </c>
      <c r="L169" s="50">
        <f>VLOOKUP($A169,'Data shares'!$C:$FB,118)</f>
        <v>0.91</v>
      </c>
      <c r="M169" s="50">
        <f>VLOOKUP($A169,'Data shares'!$C:$FB,119)</f>
        <v>0.92</v>
      </c>
      <c r="N169" s="50">
        <f>VLOOKUP($A169,'Data shares'!$C:$FB,121)*100</f>
        <v>-1.0900000000000001</v>
      </c>
      <c r="O169" s="50">
        <f>VLOOKUP($A169,'Data shares'!$C:$FB,124)</f>
        <v>0.38</v>
      </c>
      <c r="P169" s="50">
        <f>VLOOKUP($A169,'Data shares'!$C:$FB,125)</f>
        <v>1.05</v>
      </c>
      <c r="Q169" s="50">
        <f>VLOOKUP($A169,'Data shares'!$C:$FB,127)*100</f>
        <v>-63.81</v>
      </c>
    </row>
    <row r="170" spans="1:17" x14ac:dyDescent="0.25">
      <c r="A170" s="97" t="str">
        <f>'Snapshot (Value)'!A174</f>
        <v>PPLPHARMA</v>
      </c>
      <c r="B170" s="140">
        <f>VLOOKUP($A170,'Data shares'!$C:$FB,7)</f>
        <v>153.30000000000001</v>
      </c>
      <c r="C170" s="140">
        <f>VLOOKUP($A170,'Data shares'!$C:$FB,3)</f>
        <v>153.93</v>
      </c>
      <c r="D170" s="140">
        <f>VLOOKUP($A170,'Data shares'!$C:$FB,4)</f>
        <v>152.66999999999999</v>
      </c>
      <c r="E170" s="50">
        <f t="shared" si="6"/>
        <v>0.82530949105915996</v>
      </c>
      <c r="F170" s="49">
        <f>VLOOKUP($A170,'Data shares'!$C:$FB,98)</f>
        <v>27853875</v>
      </c>
      <c r="G170" s="49">
        <f>VLOOKUP($A170,'Data shares'!$C:$FB,99)</f>
        <v>27651750</v>
      </c>
      <c r="H170" s="50">
        <f t="shared" si="7"/>
        <v>0.73096639453199164</v>
      </c>
      <c r="I170" s="49">
        <f>VLOOKUP($A170,'Data shares'!$C:$FB,66)</f>
        <v>6181875</v>
      </c>
      <c r="J170" s="49">
        <f>VLOOKUP($A170,'Data shares'!$C:$FB,67)</f>
        <v>7943250</v>
      </c>
      <c r="K170" s="50">
        <f t="shared" si="8"/>
        <v>-28.49256900212314</v>
      </c>
      <c r="L170" s="50">
        <f>VLOOKUP($A170,'Data shares'!$C:$FB,118)</f>
        <v>0.61</v>
      </c>
      <c r="M170" s="50">
        <f>VLOOKUP($A170,'Data shares'!$C:$FB,119)</f>
        <v>0.63</v>
      </c>
      <c r="N170" s="50">
        <f>VLOOKUP($A170,'Data shares'!$C:$FB,121)*100</f>
        <v>-3.17</v>
      </c>
      <c r="O170" s="50">
        <f>VLOOKUP($A170,'Data shares'!$C:$FB,124)</f>
        <v>0.27</v>
      </c>
      <c r="P170" s="50">
        <f>VLOOKUP($A170,'Data shares'!$C:$FB,125)</f>
        <v>0.45</v>
      </c>
      <c r="Q170" s="50">
        <f>VLOOKUP($A170,'Data shares'!$C:$FB,127)*100</f>
        <v>-40</v>
      </c>
    </row>
    <row r="171" spans="1:17" x14ac:dyDescent="0.25">
      <c r="A171" s="97" t="str">
        <f>'Snapshot (Value)'!A175</f>
        <v>PREMIERENE</v>
      </c>
      <c r="B171" s="140">
        <f>VLOOKUP($A171,'Data shares'!$C:$FB,7)</f>
        <v>720.1</v>
      </c>
      <c r="C171" s="140">
        <f>VLOOKUP($A171,'Data shares'!$C:$FB,3)</f>
        <v>719.85</v>
      </c>
      <c r="D171" s="140">
        <f>VLOOKUP($A171,'Data shares'!$C:$FB,4)</f>
        <v>709.6</v>
      </c>
      <c r="E171" s="50">
        <f t="shared" si="6"/>
        <v>1.4444757609921082</v>
      </c>
      <c r="F171" s="49">
        <f>VLOOKUP($A171,'Data shares'!$C:$FB,98)</f>
        <v>15381250</v>
      </c>
      <c r="G171" s="49">
        <f>VLOOKUP($A171,'Data shares'!$C:$FB,99)</f>
        <v>15085700</v>
      </c>
      <c r="H171" s="50">
        <f t="shared" si="7"/>
        <v>1.9591401128220765</v>
      </c>
      <c r="I171" s="49">
        <f>VLOOKUP($A171,'Data shares'!$C:$FB,66)</f>
        <v>6957500</v>
      </c>
      <c r="J171" s="49">
        <f>VLOOKUP($A171,'Data shares'!$C:$FB,67)</f>
        <v>4539050</v>
      </c>
      <c r="K171" s="50">
        <f t="shared" si="8"/>
        <v>34.760330578512395</v>
      </c>
      <c r="L171" s="50">
        <f>VLOOKUP($A171,'Data shares'!$C:$FB,118)</f>
        <v>0.98</v>
      </c>
      <c r="M171" s="50">
        <f>VLOOKUP($A171,'Data shares'!$C:$FB,119)</f>
        <v>0.98</v>
      </c>
      <c r="N171" s="50">
        <f>VLOOKUP($A171,'Data shares'!$C:$FB,121)*100</f>
        <v>0</v>
      </c>
      <c r="O171" s="50">
        <f>VLOOKUP($A171,'Data shares'!$C:$FB,124)</f>
        <v>0.64</v>
      </c>
      <c r="P171" s="50">
        <f>VLOOKUP($A171,'Data shares'!$C:$FB,125)</f>
        <v>0.62</v>
      </c>
      <c r="Q171" s="50">
        <f>VLOOKUP($A171,'Data shares'!$C:$FB,127)*100</f>
        <v>3.2300000000000004</v>
      </c>
    </row>
    <row r="172" spans="1:17" x14ac:dyDescent="0.25">
      <c r="A172" s="97" t="str">
        <f>'Snapshot (Value)'!A176</f>
        <v>PRESTIGE</v>
      </c>
      <c r="B172" s="140">
        <f>VLOOKUP($A172,'Data shares'!$C:$FB,7)</f>
        <v>1375.6</v>
      </c>
      <c r="C172" s="140">
        <f>VLOOKUP($A172,'Data shares'!$C:$FB,3)</f>
        <v>1380.1</v>
      </c>
      <c r="D172" s="140">
        <f>VLOOKUP($A172,'Data shares'!$C:$FB,4)</f>
        <v>1353.6</v>
      </c>
      <c r="E172" s="50">
        <f t="shared" si="6"/>
        <v>1.95774231678487</v>
      </c>
      <c r="F172" s="49">
        <f>VLOOKUP($A172,'Data shares'!$C:$FB,98)</f>
        <v>6705000</v>
      </c>
      <c r="G172" s="49">
        <f>VLOOKUP($A172,'Data shares'!$C:$FB,99)</f>
        <v>6745500</v>
      </c>
      <c r="H172" s="50">
        <f t="shared" si="7"/>
        <v>-0.60040026684456305</v>
      </c>
      <c r="I172" s="49">
        <f>VLOOKUP($A172,'Data shares'!$C:$FB,66)</f>
        <v>2493900</v>
      </c>
      <c r="J172" s="49">
        <f>VLOOKUP($A172,'Data shares'!$C:$FB,67)</f>
        <v>3022200</v>
      </c>
      <c r="K172" s="50">
        <f t="shared" si="8"/>
        <v>-21.183688199206063</v>
      </c>
      <c r="L172" s="50">
        <f>VLOOKUP($A172,'Data shares'!$C:$FB,118)</f>
        <v>1.0900000000000001</v>
      </c>
      <c r="M172" s="50">
        <f>VLOOKUP($A172,'Data shares'!$C:$FB,119)</f>
        <v>1.04</v>
      </c>
      <c r="N172" s="50">
        <f>VLOOKUP($A172,'Data shares'!$C:$FB,121)*100</f>
        <v>4.8099999999999996</v>
      </c>
      <c r="O172" s="50">
        <f>VLOOKUP($A172,'Data shares'!$C:$FB,124)</f>
        <v>0.42</v>
      </c>
      <c r="P172" s="50">
        <f>VLOOKUP($A172,'Data shares'!$C:$FB,125)</f>
        <v>1.53</v>
      </c>
      <c r="Q172" s="50">
        <f>VLOOKUP($A172,'Data shares'!$C:$FB,127)*100</f>
        <v>-72.55</v>
      </c>
    </row>
    <row r="173" spans="1:17" x14ac:dyDescent="0.25">
      <c r="A173" s="97" t="str">
        <f>'Snapshot (Value)'!A177</f>
        <v>RBLBANK</v>
      </c>
      <c r="B173" s="140">
        <f>VLOOKUP($A173,'Data shares'!$C:$FB,7)</f>
        <v>310.10000000000002</v>
      </c>
      <c r="C173" s="140">
        <f>VLOOKUP($A173,'Data shares'!$C:$FB,3)</f>
        <v>311.64999999999998</v>
      </c>
      <c r="D173" s="140">
        <f>VLOOKUP($A173,'Data shares'!$C:$FB,4)</f>
        <v>307.7</v>
      </c>
      <c r="E173" s="50">
        <f t="shared" ref="E173:E182" si="9">(C173-D173)/D173*100</f>
        <v>1.2837179070523201</v>
      </c>
      <c r="F173" s="49">
        <f>VLOOKUP($A173,'Data shares'!$C:$FB,98)</f>
        <v>100126800</v>
      </c>
      <c r="G173" s="49">
        <f>VLOOKUP($A173,'Data shares'!$C:$FB,99)</f>
        <v>98345625</v>
      </c>
      <c r="H173" s="50">
        <f t="shared" ref="H173:H182" si="10">(F173-G173)/G173*100</f>
        <v>1.8111380145278448</v>
      </c>
      <c r="I173" s="49">
        <f>VLOOKUP($A173,'Data shares'!$C:$FB,66)</f>
        <v>43322875</v>
      </c>
      <c r="J173" s="49">
        <f>VLOOKUP($A173,'Data shares'!$C:$FB,67)</f>
        <v>76120625</v>
      </c>
      <c r="K173" s="50">
        <f t="shared" ref="K173:K182" si="11">(I173-J173)/I173*100</f>
        <v>-75.705386588493951</v>
      </c>
      <c r="L173" s="50">
        <f>VLOOKUP($A173,'Data shares'!$C:$FB,118)</f>
        <v>0.84</v>
      </c>
      <c r="M173" s="50">
        <f>VLOOKUP($A173,'Data shares'!$C:$FB,119)</f>
        <v>0.84</v>
      </c>
      <c r="N173" s="50">
        <f>VLOOKUP($A173,'Data shares'!$C:$FB,121)*100</f>
        <v>0</v>
      </c>
      <c r="O173" s="50">
        <f>VLOOKUP($A173,'Data shares'!$C:$FB,124)</f>
        <v>0.47</v>
      </c>
      <c r="P173" s="50">
        <f>VLOOKUP($A173,'Data shares'!$C:$FB,125)</f>
        <v>0.82</v>
      </c>
      <c r="Q173" s="50">
        <f>VLOOKUP($A173,'Data shares'!$C:$FB,127)*100</f>
        <v>-42.68</v>
      </c>
    </row>
    <row r="174" spans="1:17" x14ac:dyDescent="0.25">
      <c r="A174" s="97" t="str">
        <f>'Snapshot (Value)'!A178</f>
        <v>RECLTD</v>
      </c>
      <c r="B174" s="140">
        <f>VLOOKUP($A174,'Data shares'!$C:$FB,7)</f>
        <v>341.85</v>
      </c>
      <c r="C174" s="140">
        <f>VLOOKUP($A174,'Data shares'!$C:$FB,3)</f>
        <v>342.2</v>
      </c>
      <c r="D174" s="140">
        <f>VLOOKUP($A174,'Data shares'!$C:$FB,4)</f>
        <v>327.7</v>
      </c>
      <c r="E174" s="50">
        <f t="shared" si="9"/>
        <v>4.4247787610619467</v>
      </c>
      <c r="F174" s="49">
        <f>VLOOKUP($A174,'Data shares'!$C:$FB,98)</f>
        <v>133852600</v>
      </c>
      <c r="G174" s="49">
        <f>VLOOKUP($A174,'Data shares'!$C:$FB,99)</f>
        <v>130295200</v>
      </c>
      <c r="H174" s="50">
        <f t="shared" si="10"/>
        <v>2.7302617441010875</v>
      </c>
      <c r="I174" s="49">
        <f>VLOOKUP($A174,'Data shares'!$C:$FB,66)</f>
        <v>85047200</v>
      </c>
      <c r="J174" s="49">
        <f>VLOOKUP($A174,'Data shares'!$C:$FB,67)</f>
        <v>65325400</v>
      </c>
      <c r="K174" s="50">
        <f t="shared" si="11"/>
        <v>23.189240798050964</v>
      </c>
      <c r="L174" s="50">
        <f>VLOOKUP($A174,'Data shares'!$C:$FB,118)</f>
        <v>1.1299999999999999</v>
      </c>
      <c r="M174" s="50">
        <f>VLOOKUP($A174,'Data shares'!$C:$FB,119)</f>
        <v>1.04</v>
      </c>
      <c r="N174" s="50">
        <f>VLOOKUP($A174,'Data shares'!$C:$FB,121)*100</f>
        <v>8.6499999999999986</v>
      </c>
      <c r="O174" s="50">
        <f>VLOOKUP($A174,'Data shares'!$C:$FB,124)</f>
        <v>0.69</v>
      </c>
      <c r="P174" s="50">
        <f>VLOOKUP($A174,'Data shares'!$C:$FB,125)</f>
        <v>0.62</v>
      </c>
      <c r="Q174" s="50">
        <f>VLOOKUP($A174,'Data shares'!$C:$FB,127)*100</f>
        <v>11.29</v>
      </c>
    </row>
    <row r="175" spans="1:17" x14ac:dyDescent="0.25">
      <c r="A175" s="97" t="str">
        <f>'Snapshot (Value)'!A179</f>
        <v>RELIANCE</v>
      </c>
      <c r="B175" s="140">
        <f>VLOOKUP($A175,'Data shares'!$C:$FB,7)</f>
        <v>1389.4</v>
      </c>
      <c r="C175" s="140">
        <f>VLOOKUP($A175,'Data shares'!$C:$FB,3)</f>
        <v>1393</v>
      </c>
      <c r="D175" s="140">
        <f>VLOOKUP($A175,'Data shares'!$C:$FB,4)</f>
        <v>1349.5</v>
      </c>
      <c r="E175" s="50">
        <f t="shared" si="9"/>
        <v>3.2234160800296405</v>
      </c>
      <c r="F175" s="49">
        <f>VLOOKUP($A175,'Data shares'!$C:$FB,98)</f>
        <v>186411000</v>
      </c>
      <c r="G175" s="49">
        <f>VLOOKUP($A175,'Data shares'!$C:$FB,99)</f>
        <v>187346000</v>
      </c>
      <c r="H175" s="50">
        <f t="shared" si="10"/>
        <v>-0.49907657489351254</v>
      </c>
      <c r="I175" s="49">
        <f>VLOOKUP($A175,'Data shares'!$C:$FB,66)</f>
        <v>168469000</v>
      </c>
      <c r="J175" s="49">
        <f>VLOOKUP($A175,'Data shares'!$C:$FB,67)</f>
        <v>173345500</v>
      </c>
      <c r="K175" s="50">
        <f t="shared" si="11"/>
        <v>-2.894597819183351</v>
      </c>
      <c r="L175" s="50">
        <f>VLOOKUP($A175,'Data shares'!$C:$FB,118)</f>
        <v>0.73</v>
      </c>
      <c r="M175" s="50">
        <f>VLOOKUP($A175,'Data shares'!$C:$FB,119)</f>
        <v>0.69</v>
      </c>
      <c r="N175" s="50">
        <f>VLOOKUP($A175,'Data shares'!$C:$FB,121)*100</f>
        <v>5.8000000000000007</v>
      </c>
      <c r="O175" s="50">
        <f>VLOOKUP($A175,'Data shares'!$C:$FB,124)</f>
        <v>0.76</v>
      </c>
      <c r="P175" s="50">
        <f>VLOOKUP($A175,'Data shares'!$C:$FB,125)</f>
        <v>0.79</v>
      </c>
      <c r="Q175" s="50">
        <f>VLOOKUP($A175,'Data shares'!$C:$FB,127)*100</f>
        <v>-3.8</v>
      </c>
    </row>
    <row r="176" spans="1:17" x14ac:dyDescent="0.25">
      <c r="A176" s="97" t="str">
        <f>'Snapshot (Value)'!A180</f>
        <v>RVNL</v>
      </c>
      <c r="B176" s="140">
        <f>VLOOKUP($A176,'Data shares'!$C:$FB,7)</f>
        <v>279.25</v>
      </c>
      <c r="C176" s="140">
        <f>VLOOKUP($A176,'Data shares'!$C:$FB,3)</f>
        <v>275.5</v>
      </c>
      <c r="D176" s="140">
        <f>VLOOKUP($A176,'Data shares'!$C:$FB,4)</f>
        <v>271.05</v>
      </c>
      <c r="E176" s="50">
        <f t="shared" si="9"/>
        <v>1.641763512267105</v>
      </c>
      <c r="F176" s="49">
        <f>VLOOKUP($A176,'Data shares'!$C:$FB,98)</f>
        <v>108285675</v>
      </c>
      <c r="G176" s="49">
        <f>VLOOKUP($A176,'Data shares'!$C:$FB,99)</f>
        <v>106995525</v>
      </c>
      <c r="H176" s="50">
        <f t="shared" si="10"/>
        <v>1.2057980929576262</v>
      </c>
      <c r="I176" s="49">
        <f>VLOOKUP($A176,'Data shares'!$C:$FB,66)</f>
        <v>56986200</v>
      </c>
      <c r="J176" s="49">
        <f>VLOOKUP($A176,'Data shares'!$C:$FB,67)</f>
        <v>44813650</v>
      </c>
      <c r="K176" s="50">
        <f t="shared" si="11"/>
        <v>21.360522372083064</v>
      </c>
      <c r="L176" s="50">
        <f>VLOOKUP($A176,'Data shares'!$C:$FB,118)</f>
        <v>0.49</v>
      </c>
      <c r="M176" s="50">
        <f>VLOOKUP($A176,'Data shares'!$C:$FB,119)</f>
        <v>0.52</v>
      </c>
      <c r="N176" s="50">
        <f>VLOOKUP($A176,'Data shares'!$C:$FB,121)*100</f>
        <v>-5.7700000000000005</v>
      </c>
      <c r="O176" s="50">
        <f>VLOOKUP($A176,'Data shares'!$C:$FB,124)</f>
        <v>0.23</v>
      </c>
      <c r="P176" s="50">
        <f>VLOOKUP($A176,'Data shares'!$C:$FB,125)</f>
        <v>0.38</v>
      </c>
      <c r="Q176" s="50">
        <f>VLOOKUP($A176,'Data shares'!$C:$FB,127)*100</f>
        <v>-39.47</v>
      </c>
    </row>
    <row r="177" spans="1:17" x14ac:dyDescent="0.25">
      <c r="A177" s="97" t="str">
        <f>'Snapshot (Value)'!A181</f>
        <v>SAIL</v>
      </c>
      <c r="B177" s="140">
        <f>VLOOKUP($A177,'Data shares'!$C:$FB,7)</f>
        <v>156.15</v>
      </c>
      <c r="C177" s="140">
        <f>VLOOKUP($A177,'Data shares'!$C:$FB,3)</f>
        <v>157.69</v>
      </c>
      <c r="D177" s="140">
        <f>VLOOKUP($A177,'Data shares'!$C:$FB,4)</f>
        <v>156.61000000000001</v>
      </c>
      <c r="E177" s="50">
        <f t="shared" si="9"/>
        <v>0.68961113594277756</v>
      </c>
      <c r="F177" s="49">
        <f>VLOOKUP($A177,'Data shares'!$C:$FB,98)</f>
        <v>251337200</v>
      </c>
      <c r="G177" s="49">
        <f>VLOOKUP($A177,'Data shares'!$C:$FB,99)</f>
        <v>254768200</v>
      </c>
      <c r="H177" s="50">
        <f t="shared" si="10"/>
        <v>-1.3467143858613437</v>
      </c>
      <c r="I177" s="49">
        <f>VLOOKUP($A177,'Data shares'!$C:$FB,66)</f>
        <v>7017100</v>
      </c>
      <c r="J177" s="49">
        <f>VLOOKUP($A177,'Data shares'!$C:$FB,67)</f>
        <v>127135000</v>
      </c>
      <c r="K177" s="50">
        <f t="shared" si="11"/>
        <v>-1711.78834561286</v>
      </c>
      <c r="L177" s="50">
        <f>VLOOKUP($A177,'Data shares'!$C:$FB,118)</f>
        <v>0.67</v>
      </c>
      <c r="M177" s="50">
        <f>VLOOKUP($A177,'Data shares'!$C:$FB,119)</f>
        <v>0.66</v>
      </c>
      <c r="N177" s="50">
        <f>VLOOKUP($A177,'Data shares'!$C:$FB,121)*100</f>
        <v>1.52</v>
      </c>
      <c r="O177" s="50">
        <f>VLOOKUP($A177,'Data shares'!$C:$FB,124)</f>
        <v>0.37</v>
      </c>
      <c r="P177" s="50">
        <f>VLOOKUP($A177,'Data shares'!$C:$FB,125)</f>
        <v>1</v>
      </c>
      <c r="Q177" s="50">
        <f>VLOOKUP($A177,'Data shares'!$C:$FB,127)*100</f>
        <v>-63</v>
      </c>
    </row>
    <row r="178" spans="1:17" x14ac:dyDescent="0.25">
      <c r="A178" s="97" t="str">
        <f>'Snapshot (Value)'!A182</f>
        <v>SAMMAANCAP</v>
      </c>
      <c r="B178" s="140">
        <f>VLOOKUP($A178,'Data shares'!$C:$FB,7)</f>
        <v>145.21</v>
      </c>
      <c r="C178" s="140">
        <f>VLOOKUP($A178,'Data shares'!$C:$FB,3)</f>
        <v>145.79</v>
      </c>
      <c r="D178" s="140">
        <f>VLOOKUP($A178,'Data shares'!$C:$FB,4)</f>
        <v>142.44</v>
      </c>
      <c r="E178" s="50">
        <f t="shared" si="9"/>
        <v>2.3518674529626473</v>
      </c>
      <c r="F178" s="49">
        <f>VLOOKUP($A178,'Data shares'!$C:$FB,98)</f>
        <v>146935300</v>
      </c>
      <c r="G178" s="49">
        <f>VLOOKUP($A178,'Data shares'!$C:$FB,99)</f>
        <v>147193300</v>
      </c>
      <c r="H178" s="50">
        <f t="shared" si="10"/>
        <v>-0.17527971721538957</v>
      </c>
      <c r="I178" s="49">
        <f>VLOOKUP($A178,'Data shares'!$C:$FB,66)</f>
        <v>438600</v>
      </c>
      <c r="J178" s="49">
        <f>VLOOKUP($A178,'Data shares'!$C:$FB,67)</f>
        <v>2838000</v>
      </c>
      <c r="K178" s="50">
        <f t="shared" si="11"/>
        <v>-547.05882352941182</v>
      </c>
      <c r="L178" s="50">
        <f>VLOOKUP($A178,'Data shares'!$C:$FB,118)</f>
        <v>0.44</v>
      </c>
      <c r="M178" s="50">
        <f>VLOOKUP($A178,'Data shares'!$C:$FB,119)</f>
        <v>0.44</v>
      </c>
      <c r="N178" s="50">
        <f>VLOOKUP($A178,'Data shares'!$C:$FB,121)*100</f>
        <v>0</v>
      </c>
      <c r="O178" s="50">
        <f>VLOOKUP($A178,'Data shares'!$C:$FB,124)</f>
        <v>0.03</v>
      </c>
      <c r="P178" s="50">
        <f>VLOOKUP($A178,'Data shares'!$C:$FB,125)</f>
        <v>0.38</v>
      </c>
      <c r="Q178" s="50">
        <f>VLOOKUP($A178,'Data shares'!$C:$FB,127)*100</f>
        <v>-92.11</v>
      </c>
    </row>
    <row r="179" spans="1:17" x14ac:dyDescent="0.25">
      <c r="A179" s="97" t="str">
        <f>'Snapshot (Value)'!A183</f>
        <v>SBICARD</v>
      </c>
      <c r="B179" s="140">
        <f>VLOOKUP($A179,'Data shares'!$C:$FB,7)</f>
        <v>730.55</v>
      </c>
      <c r="C179" s="140">
        <f>VLOOKUP($A179,'Data shares'!$C:$FB,3)</f>
        <v>731.5</v>
      </c>
      <c r="D179" s="140">
        <f>VLOOKUP($A179,'Data shares'!$C:$FB,4)</f>
        <v>725.45</v>
      </c>
      <c r="E179" s="50">
        <f t="shared" si="9"/>
        <v>0.83396512509476239</v>
      </c>
      <c r="F179" s="49">
        <f>VLOOKUP($A179,'Data shares'!$C:$FB,98)</f>
        <v>34901600</v>
      </c>
      <c r="G179" s="49">
        <f>VLOOKUP($A179,'Data shares'!$C:$FB,99)</f>
        <v>35001600</v>
      </c>
      <c r="H179" s="50">
        <f t="shared" si="10"/>
        <v>-0.28570122508685314</v>
      </c>
      <c r="I179" s="49">
        <f>VLOOKUP($A179,'Data shares'!$C:$FB,66)</f>
        <v>9357600</v>
      </c>
      <c r="J179" s="49">
        <f>VLOOKUP($A179,'Data shares'!$C:$FB,67)</f>
        <v>13679200</v>
      </c>
      <c r="K179" s="50">
        <f t="shared" si="11"/>
        <v>-46.182781909891425</v>
      </c>
      <c r="L179" s="50">
        <f>VLOOKUP($A179,'Data shares'!$C:$FB,118)</f>
        <v>0.65</v>
      </c>
      <c r="M179" s="50">
        <f>VLOOKUP($A179,'Data shares'!$C:$FB,119)</f>
        <v>0.67</v>
      </c>
      <c r="N179" s="50">
        <f>VLOOKUP($A179,'Data shares'!$C:$FB,121)*100</f>
        <v>-2.9899999999999998</v>
      </c>
      <c r="O179" s="50">
        <f>VLOOKUP($A179,'Data shares'!$C:$FB,124)</f>
        <v>0.52</v>
      </c>
      <c r="P179" s="50">
        <f>VLOOKUP($A179,'Data shares'!$C:$FB,125)</f>
        <v>0.9</v>
      </c>
      <c r="Q179" s="50">
        <f>VLOOKUP($A179,'Data shares'!$C:$FB,127)*100</f>
        <v>-42.22</v>
      </c>
    </row>
    <row r="180" spans="1:17" x14ac:dyDescent="0.25">
      <c r="A180" s="97" t="str">
        <f>'Snapshot (Value)'!A184</f>
        <v>SBILIFE</v>
      </c>
      <c r="B180" s="140">
        <f>VLOOKUP($A180,'Data shares'!$C:$FB,7)</f>
        <v>1945</v>
      </c>
      <c r="C180" s="140">
        <f>VLOOKUP($A180,'Data shares'!$C:$FB,3)</f>
        <v>1946.2</v>
      </c>
      <c r="D180" s="140">
        <f>VLOOKUP($A180,'Data shares'!$C:$FB,4)</f>
        <v>1936.5</v>
      </c>
      <c r="E180" s="50">
        <f t="shared" si="9"/>
        <v>0.50090369222824926</v>
      </c>
      <c r="F180" s="49">
        <f>VLOOKUP($A180,'Data shares'!$C:$FB,98)</f>
        <v>13224750</v>
      </c>
      <c r="G180" s="49">
        <f>VLOOKUP($A180,'Data shares'!$C:$FB,99)</f>
        <v>12530625</v>
      </c>
      <c r="H180" s="50">
        <f t="shared" si="10"/>
        <v>5.5394284004189736</v>
      </c>
      <c r="I180" s="49">
        <f>VLOOKUP($A180,'Data shares'!$C:$FB,66)</f>
        <v>7873125</v>
      </c>
      <c r="J180" s="49">
        <f>VLOOKUP($A180,'Data shares'!$C:$FB,67)</f>
        <v>6792375</v>
      </c>
      <c r="K180" s="50">
        <f t="shared" si="11"/>
        <v>13.727077875684687</v>
      </c>
      <c r="L180" s="50">
        <f>VLOOKUP($A180,'Data shares'!$C:$FB,118)</f>
        <v>0.42</v>
      </c>
      <c r="M180" s="50">
        <f>VLOOKUP($A180,'Data shares'!$C:$FB,119)</f>
        <v>0.45</v>
      </c>
      <c r="N180" s="50">
        <f>VLOOKUP($A180,'Data shares'!$C:$FB,121)*100</f>
        <v>-6.67</v>
      </c>
      <c r="O180" s="50">
        <f>VLOOKUP($A180,'Data shares'!$C:$FB,124)</f>
        <v>0.51</v>
      </c>
      <c r="P180" s="50">
        <f>VLOOKUP($A180,'Data shares'!$C:$FB,125)</f>
        <v>0.8</v>
      </c>
      <c r="Q180" s="50">
        <f>VLOOKUP($A180,'Data shares'!$C:$FB,127)*100</f>
        <v>-36.25</v>
      </c>
    </row>
    <row r="181" spans="1:17" x14ac:dyDescent="0.25">
      <c r="A181" s="97" t="str">
        <f>'Snapshot (Value)'!A185</f>
        <v>SBIN</v>
      </c>
      <c r="B181" s="140">
        <f>VLOOKUP($A181,'Data shares'!$C:$FB,7)</f>
        <v>1169.5</v>
      </c>
      <c r="C181" s="140">
        <f>VLOOKUP($A181,'Data shares'!$C:$FB,3)</f>
        <v>1174.5</v>
      </c>
      <c r="D181" s="140">
        <f>VLOOKUP($A181,'Data shares'!$C:$FB,4)</f>
        <v>1179.8</v>
      </c>
      <c r="E181" s="50">
        <f t="shared" si="9"/>
        <v>-0.44922868282759409</v>
      </c>
      <c r="F181" s="49">
        <f>VLOOKUP($A181,'Data shares'!$C:$FB,98)</f>
        <v>128481000</v>
      </c>
      <c r="G181" s="49">
        <f>VLOOKUP($A181,'Data shares'!$C:$FB,99)</f>
        <v>123443250</v>
      </c>
      <c r="H181" s="50">
        <f t="shared" si="10"/>
        <v>4.0810250864263535</v>
      </c>
      <c r="I181" s="49">
        <f>VLOOKUP($A181,'Data shares'!$C:$FB,66)</f>
        <v>140653500</v>
      </c>
      <c r="J181" s="49">
        <f>VLOOKUP($A181,'Data shares'!$C:$FB,67)</f>
        <v>172572000</v>
      </c>
      <c r="K181" s="50">
        <f t="shared" si="11"/>
        <v>-22.693000885153943</v>
      </c>
      <c r="L181" s="50">
        <f>VLOOKUP($A181,'Data shares'!$C:$FB,118)</f>
        <v>0.8</v>
      </c>
      <c r="M181" s="50">
        <f>VLOOKUP($A181,'Data shares'!$C:$FB,119)</f>
        <v>0.94</v>
      </c>
      <c r="N181" s="50">
        <f>VLOOKUP($A181,'Data shares'!$C:$FB,121)*100</f>
        <v>-14.89</v>
      </c>
      <c r="O181" s="50">
        <f>VLOOKUP($A181,'Data shares'!$C:$FB,124)</f>
        <v>0.79</v>
      </c>
      <c r="P181" s="50">
        <f>VLOOKUP($A181,'Data shares'!$C:$FB,125)</f>
        <v>1.19</v>
      </c>
      <c r="Q181" s="50">
        <f>VLOOKUP($A181,'Data shares'!$C:$FB,127)*100</f>
        <v>-33.61</v>
      </c>
    </row>
    <row r="182" spans="1:17" x14ac:dyDescent="0.25">
      <c r="A182" s="97" t="str">
        <f>'Snapshot (Value)'!A186</f>
        <v>SHREECEM</v>
      </c>
      <c r="B182" s="140">
        <f>VLOOKUP($A182,'Data shares'!$C:$FB,7)</f>
        <v>25200</v>
      </c>
      <c r="C182" s="140">
        <f>VLOOKUP($A182,'Data shares'!$C:$FB,3)</f>
        <v>25175</v>
      </c>
      <c r="D182" s="140">
        <f>VLOOKUP($A182,'Data shares'!$C:$FB,4)</f>
        <v>25010</v>
      </c>
      <c r="E182" s="50">
        <f t="shared" si="9"/>
        <v>0.65973610555777695</v>
      </c>
      <c r="F182" s="49">
        <f>VLOOKUP($A182,'Data shares'!$C:$FB,98)</f>
        <v>444625</v>
      </c>
      <c r="G182" s="49">
        <f>VLOOKUP($A182,'Data shares'!$C:$FB,99)</f>
        <v>438250</v>
      </c>
      <c r="H182" s="50">
        <f t="shared" si="10"/>
        <v>1.4546491728465487</v>
      </c>
      <c r="I182" s="49">
        <f>VLOOKUP($A182,'Data shares'!$C:$FB,66)</f>
        <v>162100</v>
      </c>
      <c r="J182" s="49">
        <f>VLOOKUP($A182,'Data shares'!$C:$FB,67)</f>
        <v>164075</v>
      </c>
      <c r="K182" s="50">
        <f t="shared" si="11"/>
        <v>-1.2183837137569402</v>
      </c>
      <c r="L182" s="50">
        <f>VLOOKUP($A182,'Data shares'!$C:$FB,118)</f>
        <v>0.61</v>
      </c>
      <c r="M182" s="50">
        <f>VLOOKUP($A182,'Data shares'!$C:$FB,119)</f>
        <v>0.68</v>
      </c>
      <c r="N182" s="50">
        <f>VLOOKUP($A182,'Data shares'!$C:$FB,121)*100</f>
        <v>-10.290000000000001</v>
      </c>
      <c r="O182" s="50">
        <f>VLOOKUP($A182,'Data shares'!$C:$FB,124)</f>
        <v>0.38</v>
      </c>
      <c r="P182" s="50">
        <f>VLOOKUP($A182,'Data shares'!$C:$FB,125)</f>
        <v>0.52</v>
      </c>
      <c r="Q182" s="50">
        <f>VLOOKUP($A182,'Data shares'!$C:$FB,127)*100</f>
        <v>-26.919999999999998</v>
      </c>
    </row>
    <row r="183" spans="1:17" x14ac:dyDescent="0.25">
      <c r="A183" s="97" t="str">
        <f>'Snapshot (Value)'!A187</f>
        <v>SHRIRAMFIN</v>
      </c>
      <c r="B183" s="140">
        <f>VLOOKUP($A183,'Data shares'!$C:$FB,7)</f>
        <v>1039.5</v>
      </c>
      <c r="C183" s="140">
        <f>VLOOKUP($A183,'Data shares'!$C:$FB,3)</f>
        <v>1041.2</v>
      </c>
      <c r="D183" s="140">
        <f>VLOOKUP($A183,'Data shares'!$C:$FB,4)</f>
        <v>1012.7</v>
      </c>
      <c r="E183" s="50">
        <f>(C183-D183)/D183*100</f>
        <v>2.8142589118198873</v>
      </c>
      <c r="F183" s="49">
        <f>VLOOKUP($A183,'Data shares'!$C:$FB,98)</f>
        <v>50437200</v>
      </c>
      <c r="G183" s="49">
        <f>VLOOKUP($A183,'Data shares'!$C:$FB,99)</f>
        <v>50207850</v>
      </c>
      <c r="H183" s="50">
        <f>(F183-G183)/G183*100</f>
        <v>0.45680107791909036</v>
      </c>
      <c r="I183" s="49">
        <f>VLOOKUP($A183,'Data shares'!$C:$FB,66)</f>
        <v>27814875</v>
      </c>
      <c r="J183" s="49">
        <f>VLOOKUP($A183,'Data shares'!$C:$FB,67)</f>
        <v>40375500</v>
      </c>
      <c r="K183" s="50">
        <f>(I183-J183)/I183*100</f>
        <v>-45.157941569034556</v>
      </c>
      <c r="L183" s="50">
        <f>VLOOKUP($A183,'Data shares'!$C:$FB,118)</f>
        <v>0.84</v>
      </c>
      <c r="M183" s="50">
        <f>VLOOKUP($A183,'Data shares'!$C:$FB,119)</f>
        <v>0.81</v>
      </c>
      <c r="N183" s="50">
        <f>VLOOKUP($A183,'Data shares'!$C:$FB,121)*100</f>
        <v>3.6999999999999997</v>
      </c>
      <c r="O183" s="50">
        <f>VLOOKUP($A183,'Data shares'!$C:$FB,124)</f>
        <v>0.65</v>
      </c>
      <c r="P183" s="50">
        <f>VLOOKUP($A183,'Data shares'!$C:$FB,125)</f>
        <v>0.87</v>
      </c>
      <c r="Q183" s="50">
        <f>VLOOKUP($A183,'Data shares'!$C:$FB,127)*100</f>
        <v>-25.290000000000003</v>
      </c>
    </row>
    <row r="184" spans="1:17" x14ac:dyDescent="0.25">
      <c r="A184" s="97" t="str">
        <f>'Snapshot (Value)'!A188</f>
        <v>SIEMENS</v>
      </c>
      <c r="B184" s="140">
        <f>VLOOKUP($A184,'Data shares'!$C:$FB,7)</f>
        <v>3215.7</v>
      </c>
      <c r="C184" s="140">
        <f>VLOOKUP($A184,'Data shares'!$C:$FB,3)</f>
        <v>3230.6</v>
      </c>
      <c r="D184" s="140">
        <f>VLOOKUP($A184,'Data shares'!$C:$FB,4)</f>
        <v>3175.8</v>
      </c>
      <c r="E184" s="50">
        <f t="shared" ref="E184:E188" si="12">(C184-D184)/D184*100</f>
        <v>1.7255494678506116</v>
      </c>
      <c r="F184" s="49">
        <f>VLOOKUP($A184,'Data shares'!$C:$FB,98)</f>
        <v>4660600</v>
      </c>
      <c r="G184" s="49">
        <f>VLOOKUP($A184,'Data shares'!$C:$FB,99)</f>
        <v>4680025</v>
      </c>
      <c r="H184" s="50">
        <f t="shared" ref="H184:H188" si="13">(F184-G184)/G184*100</f>
        <v>-0.41506188535317651</v>
      </c>
      <c r="I184" s="49">
        <f>VLOOKUP($A184,'Data shares'!$C:$FB,66)</f>
        <v>2977625</v>
      </c>
      <c r="J184" s="49">
        <f>VLOOKUP($A184,'Data shares'!$C:$FB,67)</f>
        <v>4433625</v>
      </c>
      <c r="K184" s="50">
        <f t="shared" ref="K184:K188" si="14">(I184-J184)/I184*100</f>
        <v>-48.898031148986185</v>
      </c>
      <c r="L184" s="50">
        <f>VLOOKUP($A184,'Data shares'!$C:$FB,118)</f>
        <v>0.5</v>
      </c>
      <c r="M184" s="50">
        <f>VLOOKUP($A184,'Data shares'!$C:$FB,119)</f>
        <v>0.52</v>
      </c>
      <c r="N184" s="50">
        <f>VLOOKUP($A184,'Data shares'!$C:$FB,121)*100</f>
        <v>-3.85</v>
      </c>
      <c r="O184" s="50">
        <f>VLOOKUP($A184,'Data shares'!$C:$FB,124)</f>
        <v>0.37</v>
      </c>
      <c r="P184" s="50">
        <f>VLOOKUP($A184,'Data shares'!$C:$FB,125)</f>
        <v>0.68</v>
      </c>
      <c r="Q184" s="50">
        <f>VLOOKUP($A184,'Data shares'!$C:$FB,127)*100</f>
        <v>-45.59</v>
      </c>
    </row>
    <row r="185" spans="1:17" x14ac:dyDescent="0.25">
      <c r="A185" s="97" t="str">
        <f>'Snapshot (Value)'!A189</f>
        <v>SOLARINDS</v>
      </c>
      <c r="B185" s="140">
        <f>VLOOKUP($A185,'Data shares'!$C:$FB,7)</f>
        <v>14671</v>
      </c>
      <c r="C185" s="140">
        <f>VLOOKUP($A185,'Data shares'!$C:$FB,3)</f>
        <v>14729</v>
      </c>
      <c r="D185" s="140">
        <f>VLOOKUP($A185,'Data shares'!$C:$FB,4)</f>
        <v>14550</v>
      </c>
      <c r="E185" s="50">
        <f t="shared" si="12"/>
        <v>1.2302405498281785</v>
      </c>
      <c r="F185" s="49">
        <f>VLOOKUP($A185,'Data shares'!$C:$FB,98)</f>
        <v>1227850</v>
      </c>
      <c r="G185" s="49">
        <f>VLOOKUP($A185,'Data shares'!$C:$FB,99)</f>
        <v>1192450</v>
      </c>
      <c r="H185" s="50">
        <f t="shared" si="13"/>
        <v>2.9686779319887626</v>
      </c>
      <c r="I185" s="49">
        <f>VLOOKUP($A185,'Data shares'!$C:$FB,66)</f>
        <v>1991450</v>
      </c>
      <c r="J185" s="49">
        <f>VLOOKUP($A185,'Data shares'!$C:$FB,67)</f>
        <v>3559150</v>
      </c>
      <c r="K185" s="50">
        <f t="shared" si="14"/>
        <v>-78.721534560245047</v>
      </c>
      <c r="L185" s="50">
        <f>VLOOKUP($A185,'Data shares'!$C:$FB,118)</f>
        <v>0.81</v>
      </c>
      <c r="M185" s="50">
        <f>VLOOKUP($A185,'Data shares'!$C:$FB,119)</f>
        <v>0.82</v>
      </c>
      <c r="N185" s="50">
        <f>VLOOKUP($A185,'Data shares'!$C:$FB,121)*100</f>
        <v>-1.22</v>
      </c>
      <c r="O185" s="50">
        <f>VLOOKUP($A185,'Data shares'!$C:$FB,124)</f>
        <v>0.36</v>
      </c>
      <c r="P185" s="50">
        <f>VLOOKUP($A185,'Data shares'!$C:$FB,125)</f>
        <v>0.26</v>
      </c>
      <c r="Q185" s="50">
        <f>VLOOKUP($A185,'Data shares'!$C:$FB,127)*100</f>
        <v>38.46</v>
      </c>
    </row>
    <row r="186" spans="1:17" x14ac:dyDescent="0.25">
      <c r="A186" s="97" t="str">
        <f>'Snapshot (Value)'!A190</f>
        <v>SONACOMS</v>
      </c>
      <c r="B186" s="140">
        <f>VLOOKUP($A186,'Data shares'!$C:$FB,7)</f>
        <v>510.95</v>
      </c>
      <c r="C186" s="140">
        <f>VLOOKUP($A186,'Data shares'!$C:$FB,3)</f>
        <v>512.65</v>
      </c>
      <c r="D186" s="140">
        <f>VLOOKUP($A186,'Data shares'!$C:$FB,4)</f>
        <v>502.35</v>
      </c>
      <c r="E186" s="50">
        <f t="shared" si="12"/>
        <v>2.0503632925251227</v>
      </c>
      <c r="F186" s="49">
        <f>VLOOKUP($A186,'Data shares'!$C:$FB,98)</f>
        <v>18338250</v>
      </c>
      <c r="G186" s="49">
        <f>VLOOKUP($A186,'Data shares'!$C:$FB,99)</f>
        <v>17684100</v>
      </c>
      <c r="H186" s="50">
        <f t="shared" si="13"/>
        <v>3.6990856192851203</v>
      </c>
      <c r="I186" s="49">
        <f>VLOOKUP($A186,'Data shares'!$C:$FB,66)</f>
        <v>5370400</v>
      </c>
      <c r="J186" s="49">
        <f>VLOOKUP($A186,'Data shares'!$C:$FB,67)</f>
        <v>6027000</v>
      </c>
      <c r="K186" s="50">
        <f t="shared" si="14"/>
        <v>-12.226277372262775</v>
      </c>
      <c r="L186" s="50">
        <f>VLOOKUP($A186,'Data shares'!$C:$FB,118)</f>
        <v>0.81</v>
      </c>
      <c r="M186" s="50">
        <f>VLOOKUP($A186,'Data shares'!$C:$FB,119)</f>
        <v>0.64</v>
      </c>
      <c r="N186" s="50">
        <f>VLOOKUP($A186,'Data shares'!$C:$FB,121)*100</f>
        <v>26.56</v>
      </c>
      <c r="O186" s="50">
        <f>VLOOKUP($A186,'Data shares'!$C:$FB,124)</f>
        <v>1.4</v>
      </c>
      <c r="P186" s="50">
        <f>VLOOKUP($A186,'Data shares'!$C:$FB,125)</f>
        <v>0.7</v>
      </c>
      <c r="Q186" s="50">
        <f>VLOOKUP($A186,'Data shares'!$C:$FB,127)*100</f>
        <v>100</v>
      </c>
    </row>
    <row r="187" spans="1:17" x14ac:dyDescent="0.25">
      <c r="A187" s="97" t="str">
        <f>'Snapshot (Value)'!A191</f>
        <v>SRF</v>
      </c>
      <c r="B187" s="140">
        <f>VLOOKUP($A187,'Data shares'!$C:$FB,7)</f>
        <v>2563.1</v>
      </c>
      <c r="C187" s="140">
        <f>VLOOKUP($A187,'Data shares'!$C:$FB,3)</f>
        <v>2575.6</v>
      </c>
      <c r="D187" s="140">
        <f>VLOOKUP($A187,'Data shares'!$C:$FB,4)</f>
        <v>2541.6999999999998</v>
      </c>
      <c r="E187" s="50">
        <f t="shared" si="12"/>
        <v>1.3337529999606599</v>
      </c>
      <c r="F187" s="49">
        <f>VLOOKUP($A187,'Data shares'!$C:$FB,98)</f>
        <v>6050800</v>
      </c>
      <c r="G187" s="49">
        <f>VLOOKUP($A187,'Data shares'!$C:$FB,99)</f>
        <v>6115400</v>
      </c>
      <c r="H187" s="50">
        <f t="shared" si="13"/>
        <v>-1.0563495437747328</v>
      </c>
      <c r="I187" s="49">
        <f>VLOOKUP($A187,'Data shares'!$C:$FB,66)</f>
        <v>1534800</v>
      </c>
      <c r="J187" s="49">
        <f>VLOOKUP($A187,'Data shares'!$C:$FB,67)</f>
        <v>2475800</v>
      </c>
      <c r="K187" s="50">
        <f t="shared" si="14"/>
        <v>-61.310919989575183</v>
      </c>
      <c r="L187" s="50">
        <f>VLOOKUP($A187,'Data shares'!$C:$FB,118)</f>
        <v>0.8</v>
      </c>
      <c r="M187" s="50">
        <f>VLOOKUP($A187,'Data shares'!$C:$FB,119)</f>
        <v>0.82</v>
      </c>
      <c r="N187" s="50">
        <f>VLOOKUP($A187,'Data shares'!$C:$FB,121)*100</f>
        <v>-2.44</v>
      </c>
      <c r="O187" s="50">
        <f>VLOOKUP($A187,'Data shares'!$C:$FB,124)</f>
        <v>0.48</v>
      </c>
      <c r="P187" s="50">
        <f>VLOOKUP($A187,'Data shares'!$C:$FB,125)</f>
        <v>0.53</v>
      </c>
      <c r="Q187" s="50">
        <f>VLOOKUP($A187,'Data shares'!$C:$FB,127)*100</f>
        <v>-9.43</v>
      </c>
    </row>
    <row r="188" spans="1:17" x14ac:dyDescent="0.25">
      <c r="A188" s="97" t="str">
        <f>'Snapshot (Value)'!A192</f>
        <v>SUNPHARMA</v>
      </c>
      <c r="B188" s="140">
        <f>VLOOKUP($A188,'Data shares'!$C:$FB,7)</f>
        <v>1784.5</v>
      </c>
      <c r="C188" s="140">
        <f>VLOOKUP($A188,'Data shares'!$C:$FB,3)</f>
        <v>1790.1</v>
      </c>
      <c r="D188" s="140">
        <f>VLOOKUP($A188,'Data shares'!$C:$FB,4)</f>
        <v>1755</v>
      </c>
      <c r="E188" s="50">
        <f t="shared" si="12"/>
        <v>1.9999999999999949</v>
      </c>
      <c r="F188" s="49">
        <f>VLOOKUP($A188,'Data shares'!$C:$FB,98)</f>
        <v>33051550</v>
      </c>
      <c r="G188" s="49">
        <f>VLOOKUP($A188,'Data shares'!$C:$FB,99)</f>
        <v>31494050</v>
      </c>
      <c r="H188" s="50">
        <f t="shared" si="13"/>
        <v>4.9453785715079519</v>
      </c>
      <c r="I188" s="49">
        <f>VLOOKUP($A188,'Data shares'!$C:$FB,66)</f>
        <v>22699600</v>
      </c>
      <c r="J188" s="49">
        <f>VLOOKUP($A188,'Data shares'!$C:$FB,67)</f>
        <v>20177150</v>
      </c>
      <c r="K188" s="50">
        <f t="shared" si="14"/>
        <v>11.11231034908104</v>
      </c>
      <c r="L188" s="50">
        <f>VLOOKUP($A188,'Data shares'!$C:$FB,118)</f>
        <v>0.55000000000000004</v>
      </c>
      <c r="M188" s="50">
        <f>VLOOKUP($A188,'Data shares'!$C:$FB,119)</f>
        <v>0.48</v>
      </c>
      <c r="N188" s="50">
        <f>VLOOKUP($A188,'Data shares'!$C:$FB,121)*100</f>
        <v>14.580000000000002</v>
      </c>
      <c r="O188" s="50">
        <f>VLOOKUP($A188,'Data shares'!$C:$FB,124)</f>
        <v>0.52</v>
      </c>
      <c r="P188" s="50">
        <f>VLOOKUP($A188,'Data shares'!$C:$FB,125)</f>
        <v>0.57999999999999996</v>
      </c>
      <c r="Q188" s="50">
        <f>VLOOKUP($A188,'Data shares'!$C:$FB,127)*100</f>
        <v>-10.34</v>
      </c>
    </row>
    <row r="189" spans="1:17" x14ac:dyDescent="0.25">
      <c r="A189" s="97" t="str">
        <f>'Snapshot (Value)'!A193</f>
        <v>SUPREMEIND</v>
      </c>
      <c r="B189" s="140">
        <f>VLOOKUP($A189,'Data shares'!$C:$FB,7)</f>
        <v>3950.2</v>
      </c>
      <c r="C189" s="140">
        <f>VLOOKUP($A189,'Data shares'!$C:$FB,3)</f>
        <v>3961.9</v>
      </c>
      <c r="D189" s="140">
        <f>VLOOKUP($A189,'Data shares'!$C:$FB,4)</f>
        <v>3910</v>
      </c>
      <c r="E189" s="50">
        <f t="shared" ref="E189:E209" si="15">(C189-D189)/D189*100</f>
        <v>1.3273657289002581</v>
      </c>
      <c r="F189" s="49">
        <f>VLOOKUP($A189,'Data shares'!$C:$FB,98)</f>
        <v>2105775</v>
      </c>
      <c r="G189" s="49">
        <f>VLOOKUP($A189,'Data shares'!$C:$FB,99)</f>
        <v>2041550</v>
      </c>
      <c r="H189" s="50">
        <f t="shared" ref="H189:H209" si="16">(F189-G189)/G189*100</f>
        <v>3.145894051088634</v>
      </c>
      <c r="I189" s="49">
        <f>VLOOKUP($A189,'Data shares'!$C:$FB,66)</f>
        <v>922775</v>
      </c>
      <c r="J189" s="49">
        <f>VLOOKUP($A189,'Data shares'!$C:$FB,67)</f>
        <v>985950</v>
      </c>
      <c r="K189" s="50">
        <f t="shared" ref="K189:K209" si="17">(I189-J189)/I189*100</f>
        <v>-6.8461976104684243</v>
      </c>
      <c r="L189" s="50">
        <f>VLOOKUP($A189,'Data shares'!$C:$FB,118)</f>
        <v>0.4</v>
      </c>
      <c r="M189" s="50">
        <f>VLOOKUP($A189,'Data shares'!$C:$FB,119)</f>
        <v>0.42</v>
      </c>
      <c r="N189" s="50">
        <f>VLOOKUP($A189,'Data shares'!$C:$FB,121)*100</f>
        <v>-4.7600000000000007</v>
      </c>
      <c r="O189" s="50">
        <f>VLOOKUP($A189,'Data shares'!$C:$FB,124)</f>
        <v>0.32</v>
      </c>
      <c r="P189" s="50">
        <f>VLOOKUP($A189,'Data shares'!$C:$FB,125)</f>
        <v>0.37</v>
      </c>
      <c r="Q189" s="50">
        <f>VLOOKUP($A189,'Data shares'!$C:$FB,127)*100</f>
        <v>-13.51</v>
      </c>
    </row>
    <row r="190" spans="1:17" x14ac:dyDescent="0.25">
      <c r="A190" s="97" t="str">
        <f>'Snapshot (Value)'!A194</f>
        <v>SUZLON</v>
      </c>
      <c r="B190" s="140">
        <f>VLOOKUP($A190,'Data shares'!$C:$FB,7)</f>
        <v>40.25</v>
      </c>
      <c r="C190" s="140">
        <f>VLOOKUP($A190,'Data shares'!$C:$FB,3)</f>
        <v>40.42</v>
      </c>
      <c r="D190" s="140">
        <f>VLOOKUP($A190,'Data shares'!$C:$FB,4)</f>
        <v>40.1</v>
      </c>
      <c r="E190" s="50">
        <f t="shared" si="15"/>
        <v>0.79800498753117266</v>
      </c>
      <c r="F190" s="49">
        <f>VLOOKUP($A190,'Data shares'!$C:$FB,98)</f>
        <v>576390650</v>
      </c>
      <c r="G190" s="49">
        <f>VLOOKUP($A190,'Data shares'!$C:$FB,99)</f>
        <v>539487425</v>
      </c>
      <c r="H190" s="50">
        <f t="shared" si="16"/>
        <v>6.8404235742844239</v>
      </c>
      <c r="I190" s="49">
        <f>VLOOKUP($A190,'Data shares'!$C:$FB,66)</f>
        <v>271851050</v>
      </c>
      <c r="J190" s="49">
        <f>VLOOKUP($A190,'Data shares'!$C:$FB,67)</f>
        <v>198071675</v>
      </c>
      <c r="K190" s="50">
        <f t="shared" si="17"/>
        <v>27.139632162539009</v>
      </c>
      <c r="L190" s="50">
        <f>VLOOKUP($A190,'Data shares'!$C:$FB,118)</f>
        <v>0.4</v>
      </c>
      <c r="M190" s="50">
        <f>VLOOKUP($A190,'Data shares'!$C:$FB,119)</f>
        <v>0.5</v>
      </c>
      <c r="N190" s="50">
        <f>VLOOKUP($A190,'Data shares'!$C:$FB,121)*100</f>
        <v>-20</v>
      </c>
      <c r="O190" s="50">
        <f>VLOOKUP($A190,'Data shares'!$C:$FB,124)</f>
        <v>0.2</v>
      </c>
      <c r="P190" s="50">
        <f>VLOOKUP($A190,'Data shares'!$C:$FB,125)</f>
        <v>0.53</v>
      </c>
      <c r="Q190" s="50">
        <f>VLOOKUP($A190,'Data shares'!$C:$FB,127)*100</f>
        <v>-62.260000000000005</v>
      </c>
    </row>
    <row r="191" spans="1:17" x14ac:dyDescent="0.25">
      <c r="A191" s="97" t="str">
        <f>'Snapshot (Value)'!A195</f>
        <v>SWIGGY</v>
      </c>
      <c r="B191" s="140">
        <f>VLOOKUP($A191,'Data shares'!$C:$FB,7)</f>
        <v>298.39999999999998</v>
      </c>
      <c r="C191" s="140">
        <f>VLOOKUP($A191,'Data shares'!$C:$FB,3)</f>
        <v>298.05</v>
      </c>
      <c r="D191" s="140">
        <f>VLOOKUP($A191,'Data shares'!$C:$FB,4)</f>
        <v>294.7</v>
      </c>
      <c r="E191" s="50">
        <f t="shared" si="15"/>
        <v>1.1367492365117147</v>
      </c>
      <c r="F191" s="49">
        <f>VLOOKUP($A191,'Data shares'!$C:$FB,98)</f>
        <v>62179000</v>
      </c>
      <c r="G191" s="49">
        <f>VLOOKUP($A191,'Data shares'!$C:$FB,99)</f>
        <v>61779900</v>
      </c>
      <c r="H191" s="50">
        <f t="shared" si="16"/>
        <v>0.64600298802685008</v>
      </c>
      <c r="I191" s="49">
        <f>VLOOKUP($A191,'Data shares'!$C:$FB,66)</f>
        <v>18735600</v>
      </c>
      <c r="J191" s="49">
        <f>VLOOKUP($A191,'Data shares'!$C:$FB,67)</f>
        <v>32457100</v>
      </c>
      <c r="K191" s="50">
        <f t="shared" si="17"/>
        <v>-73.237579794615598</v>
      </c>
      <c r="L191" s="50">
        <f>VLOOKUP($A191,'Data shares'!$C:$FB,118)</f>
        <v>0.81</v>
      </c>
      <c r="M191" s="50">
        <f>VLOOKUP($A191,'Data shares'!$C:$FB,119)</f>
        <v>0.79</v>
      </c>
      <c r="N191" s="50">
        <f>VLOOKUP($A191,'Data shares'!$C:$FB,121)*100</f>
        <v>2.5299999999999998</v>
      </c>
      <c r="O191" s="50">
        <f>VLOOKUP($A191,'Data shares'!$C:$FB,124)</f>
        <v>0.73</v>
      </c>
      <c r="P191" s="50">
        <f>VLOOKUP($A191,'Data shares'!$C:$FB,125)</f>
        <v>0.51</v>
      </c>
      <c r="Q191" s="50">
        <f>VLOOKUP($A191,'Data shares'!$C:$FB,127)*100</f>
        <v>43.14</v>
      </c>
    </row>
    <row r="192" spans="1:17" x14ac:dyDescent="0.25">
      <c r="A192" s="97" t="str">
        <f>'Snapshot (Value)'!A196</f>
        <v>SYNGENE</v>
      </c>
      <c r="B192" s="140">
        <f>VLOOKUP($A192,'Data shares'!$C:$FB,7)</f>
        <v>403.7</v>
      </c>
      <c r="C192" s="140">
        <f>VLOOKUP($A192,'Data shares'!$C:$FB,3)</f>
        <v>405.8</v>
      </c>
      <c r="D192" s="140">
        <f>VLOOKUP($A192,'Data shares'!$C:$FB,4)</f>
        <v>401.55</v>
      </c>
      <c r="E192" s="50">
        <f t="shared" si="15"/>
        <v>1.058398705018055</v>
      </c>
      <c r="F192" s="49">
        <f>VLOOKUP($A192,'Data shares'!$C:$FB,98)</f>
        <v>16495000</v>
      </c>
      <c r="G192" s="49">
        <f>VLOOKUP($A192,'Data shares'!$C:$FB,99)</f>
        <v>16083000</v>
      </c>
      <c r="H192" s="50">
        <f t="shared" si="16"/>
        <v>2.5617111235466021</v>
      </c>
      <c r="I192" s="49">
        <f>VLOOKUP($A192,'Data shares'!$C:$FB,66)</f>
        <v>3903000</v>
      </c>
      <c r="J192" s="49">
        <f>VLOOKUP($A192,'Data shares'!$C:$FB,67)</f>
        <v>5220000</v>
      </c>
      <c r="K192" s="50">
        <f t="shared" si="17"/>
        <v>-33.74327440430438</v>
      </c>
      <c r="L192" s="50">
        <f>VLOOKUP($A192,'Data shares'!$C:$FB,118)</f>
        <v>0.57999999999999996</v>
      </c>
      <c r="M192" s="50">
        <f>VLOOKUP($A192,'Data shares'!$C:$FB,119)</f>
        <v>0.63</v>
      </c>
      <c r="N192" s="50">
        <f>VLOOKUP($A192,'Data shares'!$C:$FB,121)*100</f>
        <v>-7.9399999999999995</v>
      </c>
      <c r="O192" s="50">
        <f>VLOOKUP($A192,'Data shares'!$C:$FB,124)</f>
        <v>0.37</v>
      </c>
      <c r="P192" s="50">
        <f>VLOOKUP($A192,'Data shares'!$C:$FB,125)</f>
        <v>0.48</v>
      </c>
      <c r="Q192" s="50">
        <f>VLOOKUP($A192,'Data shares'!$C:$FB,127)*100</f>
        <v>-22.919999999999998</v>
      </c>
    </row>
    <row r="193" spans="1:17" x14ac:dyDescent="0.25">
      <c r="A193" s="97" t="str">
        <f>'Snapshot (Value)'!A197</f>
        <v>TATACONSUM</v>
      </c>
      <c r="B193" s="140">
        <f>VLOOKUP($A193,'Data shares'!$C:$FB,7)</f>
        <v>1119.0999999999999</v>
      </c>
      <c r="C193" s="140">
        <f>VLOOKUP($A193,'Data shares'!$C:$FB,3)</f>
        <v>1121.7</v>
      </c>
      <c r="D193" s="140">
        <f>VLOOKUP($A193,'Data shares'!$C:$FB,4)</f>
        <v>1115</v>
      </c>
      <c r="E193" s="50">
        <f t="shared" si="15"/>
        <v>0.60089686098655115</v>
      </c>
      <c r="F193" s="49">
        <f>VLOOKUP($A193,'Data shares'!$C:$FB,98)</f>
        <v>16965300</v>
      </c>
      <c r="G193" s="49">
        <f>VLOOKUP($A193,'Data shares'!$C:$FB,99)</f>
        <v>16801950</v>
      </c>
      <c r="H193" s="50">
        <f t="shared" si="16"/>
        <v>0.97220858293233825</v>
      </c>
      <c r="I193" s="49">
        <f>VLOOKUP($A193,'Data shares'!$C:$FB,66)</f>
        <v>3836800</v>
      </c>
      <c r="J193" s="49">
        <f>VLOOKUP($A193,'Data shares'!$C:$FB,67)</f>
        <v>4291100</v>
      </c>
      <c r="K193" s="50">
        <f t="shared" si="17"/>
        <v>-11.840596330275229</v>
      </c>
      <c r="L193" s="50">
        <f>VLOOKUP($A193,'Data shares'!$C:$FB,118)</f>
        <v>0.61</v>
      </c>
      <c r="M193" s="50">
        <f>VLOOKUP($A193,'Data shares'!$C:$FB,119)</f>
        <v>0.63</v>
      </c>
      <c r="N193" s="50">
        <f>VLOOKUP($A193,'Data shares'!$C:$FB,121)*100</f>
        <v>-3.17</v>
      </c>
      <c r="O193" s="50">
        <f>VLOOKUP($A193,'Data shares'!$C:$FB,124)</f>
        <v>0.63</v>
      </c>
      <c r="P193" s="50">
        <f>VLOOKUP($A193,'Data shares'!$C:$FB,125)</f>
        <v>1.06</v>
      </c>
      <c r="Q193" s="50">
        <f>VLOOKUP($A193,'Data shares'!$C:$FB,127)*100</f>
        <v>-40.57</v>
      </c>
    </row>
    <row r="194" spans="1:17" x14ac:dyDescent="0.25">
      <c r="A194" s="97" t="str">
        <f>'Snapshot (Value)'!A198</f>
        <v>TATAELXSI</v>
      </c>
      <c r="B194" s="140">
        <f>VLOOKUP($A194,'Data shares'!$C:$FB,7)</f>
        <v>4400</v>
      </c>
      <c r="C194" s="140">
        <f>VLOOKUP($A194,'Data shares'!$C:$FB,3)</f>
        <v>4380</v>
      </c>
      <c r="D194" s="140">
        <f>VLOOKUP($A194,'Data shares'!$C:$FB,4)</f>
        <v>4365</v>
      </c>
      <c r="E194" s="50">
        <f t="shared" si="15"/>
        <v>0.3436426116838488</v>
      </c>
      <c r="F194" s="49">
        <f>VLOOKUP($A194,'Data shares'!$C:$FB,98)</f>
        <v>3723100</v>
      </c>
      <c r="G194" s="49">
        <f>VLOOKUP($A194,'Data shares'!$C:$FB,99)</f>
        <v>3631800</v>
      </c>
      <c r="H194" s="50">
        <f t="shared" si="16"/>
        <v>2.5139049507131452</v>
      </c>
      <c r="I194" s="49">
        <f>VLOOKUP($A194,'Data shares'!$C:$FB,66)</f>
        <v>1606900</v>
      </c>
      <c r="J194" s="49">
        <f>VLOOKUP($A194,'Data shares'!$C:$FB,67)</f>
        <v>1886700</v>
      </c>
      <c r="K194" s="50">
        <f t="shared" si="17"/>
        <v>-17.41240898624681</v>
      </c>
      <c r="L194" s="50">
        <f>VLOOKUP($A194,'Data shares'!$C:$FB,118)</f>
        <v>0.48</v>
      </c>
      <c r="M194" s="50">
        <f>VLOOKUP($A194,'Data shares'!$C:$FB,119)</f>
        <v>0.48</v>
      </c>
      <c r="N194" s="50">
        <f>VLOOKUP($A194,'Data shares'!$C:$FB,121)*100</f>
        <v>0</v>
      </c>
      <c r="O194" s="50">
        <f>VLOOKUP($A194,'Data shares'!$C:$FB,124)</f>
        <v>0.32</v>
      </c>
      <c r="P194" s="50">
        <f>VLOOKUP($A194,'Data shares'!$C:$FB,125)</f>
        <v>0.62</v>
      </c>
      <c r="Q194" s="50">
        <f>VLOOKUP($A194,'Data shares'!$C:$FB,127)*100</f>
        <v>-48.39</v>
      </c>
    </row>
    <row r="195" spans="1:17" x14ac:dyDescent="0.25">
      <c r="A195" s="97" t="str">
        <f>'Snapshot (Value)'!A199</f>
        <v>TATAPOWER</v>
      </c>
      <c r="B195" s="140">
        <f>VLOOKUP($A195,'Data shares'!$C:$FB,7)</f>
        <v>376.85</v>
      </c>
      <c r="C195" s="140">
        <f>VLOOKUP($A195,'Data shares'!$C:$FB,3)</f>
        <v>378.65</v>
      </c>
      <c r="D195" s="140">
        <f>VLOOKUP($A195,'Data shares'!$C:$FB,4)</f>
        <v>367.5</v>
      </c>
      <c r="E195" s="50">
        <f t="shared" si="15"/>
        <v>3.0340136054421709</v>
      </c>
      <c r="F195" s="49">
        <f>VLOOKUP($A195,'Data shares'!$C:$FB,98)</f>
        <v>100663350</v>
      </c>
      <c r="G195" s="49">
        <f>VLOOKUP($A195,'Data shares'!$C:$FB,99)</f>
        <v>101360800</v>
      </c>
      <c r="H195" s="50">
        <f t="shared" si="16"/>
        <v>-0.68808651865415427</v>
      </c>
      <c r="I195" s="49">
        <f>VLOOKUP($A195,'Data shares'!$C:$FB,66)</f>
        <v>68353000</v>
      </c>
      <c r="J195" s="49">
        <f>VLOOKUP($A195,'Data shares'!$C:$FB,67)</f>
        <v>57797000</v>
      </c>
      <c r="K195" s="50">
        <f t="shared" si="17"/>
        <v>15.443360203648707</v>
      </c>
      <c r="L195" s="50">
        <f>VLOOKUP($A195,'Data shares'!$C:$FB,118)</f>
        <v>0.72</v>
      </c>
      <c r="M195" s="50">
        <f>VLOOKUP($A195,'Data shares'!$C:$FB,119)</f>
        <v>0.67</v>
      </c>
      <c r="N195" s="50">
        <f>VLOOKUP($A195,'Data shares'!$C:$FB,121)*100</f>
        <v>7.46</v>
      </c>
      <c r="O195" s="50">
        <f>VLOOKUP($A195,'Data shares'!$C:$FB,124)</f>
        <v>0.5</v>
      </c>
      <c r="P195" s="50">
        <f>VLOOKUP($A195,'Data shares'!$C:$FB,125)</f>
        <v>0.62</v>
      </c>
      <c r="Q195" s="50">
        <f>VLOOKUP($A195,'Data shares'!$C:$FB,127)*100</f>
        <v>-19.350000000000001</v>
      </c>
    </row>
    <row r="196" spans="1:17" x14ac:dyDescent="0.25">
      <c r="A196" s="97" t="str">
        <f>'Snapshot (Value)'!A200</f>
        <v>TATASTEEL</v>
      </c>
      <c r="B196" s="140">
        <f>VLOOKUP($A196,'Data shares'!$C:$FB,7)</f>
        <v>200.57</v>
      </c>
      <c r="C196" s="140">
        <f>VLOOKUP($A196,'Data shares'!$C:$FB,3)</f>
        <v>200.9</v>
      </c>
      <c r="D196" s="140">
        <f>VLOOKUP($A196,'Data shares'!$C:$FB,4)</f>
        <v>197.06</v>
      </c>
      <c r="E196" s="50">
        <f t="shared" si="15"/>
        <v>1.9486450827159256</v>
      </c>
      <c r="F196" s="49">
        <f>VLOOKUP($A196,'Data shares'!$C:$FB,98)</f>
        <v>422405500</v>
      </c>
      <c r="G196" s="49">
        <f>VLOOKUP($A196,'Data shares'!$C:$FB,99)</f>
        <v>423665000</v>
      </c>
      <c r="H196" s="50">
        <f t="shared" si="16"/>
        <v>-0.29728677138777099</v>
      </c>
      <c r="I196" s="49">
        <f>VLOOKUP($A196,'Data shares'!$C:$FB,66)</f>
        <v>369831000</v>
      </c>
      <c r="J196" s="49">
        <f>VLOOKUP($A196,'Data shares'!$C:$FB,67)</f>
        <v>646684500</v>
      </c>
      <c r="K196" s="50">
        <f t="shared" si="17"/>
        <v>-74.859462835727669</v>
      </c>
      <c r="L196" s="50">
        <f>VLOOKUP($A196,'Data shares'!$C:$FB,118)</f>
        <v>0.67</v>
      </c>
      <c r="M196" s="50">
        <f>VLOOKUP($A196,'Data shares'!$C:$FB,119)</f>
        <v>0.7</v>
      </c>
      <c r="N196" s="50">
        <f>VLOOKUP($A196,'Data shares'!$C:$FB,121)*100</f>
        <v>-4.29</v>
      </c>
      <c r="O196" s="50">
        <f>VLOOKUP($A196,'Data shares'!$C:$FB,124)</f>
        <v>0.51</v>
      </c>
      <c r="P196" s="50">
        <f>VLOOKUP($A196,'Data shares'!$C:$FB,125)</f>
        <v>0.94</v>
      </c>
      <c r="Q196" s="50">
        <f>VLOOKUP($A196,'Data shares'!$C:$FB,127)*100</f>
        <v>-45.739999999999995</v>
      </c>
    </row>
    <row r="197" spans="1:17" x14ac:dyDescent="0.25">
      <c r="A197" s="97" t="str">
        <f>'Snapshot (Value)'!A201</f>
        <v>TATATECH</v>
      </c>
      <c r="B197" s="140">
        <f>VLOOKUP($A197,'Data shares'!$C:$FB,7)</f>
        <v>576.1</v>
      </c>
      <c r="C197" s="140">
        <f>VLOOKUP($A197,'Data shares'!$C:$FB,3)</f>
        <v>578.85</v>
      </c>
      <c r="D197" s="140">
        <f>VLOOKUP($A197,'Data shares'!$C:$FB,4)</f>
        <v>574.79999999999995</v>
      </c>
      <c r="E197" s="50">
        <f t="shared" si="15"/>
        <v>0.70459290187892631</v>
      </c>
      <c r="F197" s="49">
        <f>VLOOKUP($A197,'Data shares'!$C:$FB,98)</f>
        <v>17804000</v>
      </c>
      <c r="G197" s="49">
        <f>VLOOKUP($A197,'Data shares'!$C:$FB,99)</f>
        <v>17912000</v>
      </c>
      <c r="H197" s="50">
        <f t="shared" si="16"/>
        <v>-0.60294774452880751</v>
      </c>
      <c r="I197" s="49">
        <f>VLOOKUP($A197,'Data shares'!$C:$FB,66)</f>
        <v>3522400</v>
      </c>
      <c r="J197" s="49">
        <f>VLOOKUP($A197,'Data shares'!$C:$FB,67)</f>
        <v>3944000</v>
      </c>
      <c r="K197" s="50">
        <f t="shared" si="17"/>
        <v>-11.969111969111969</v>
      </c>
      <c r="L197" s="50">
        <f>VLOOKUP($A197,'Data shares'!$C:$FB,118)</f>
        <v>0.62</v>
      </c>
      <c r="M197" s="50">
        <f>VLOOKUP($A197,'Data shares'!$C:$FB,119)</f>
        <v>0.64</v>
      </c>
      <c r="N197" s="50">
        <f>VLOOKUP($A197,'Data shares'!$C:$FB,121)*100</f>
        <v>-3.1300000000000003</v>
      </c>
      <c r="O197" s="50">
        <f>VLOOKUP($A197,'Data shares'!$C:$FB,124)</f>
        <v>0.44</v>
      </c>
      <c r="P197" s="50">
        <f>VLOOKUP($A197,'Data shares'!$C:$FB,125)</f>
        <v>0.39</v>
      </c>
      <c r="Q197" s="50">
        <f>VLOOKUP($A197,'Data shares'!$C:$FB,127)*100</f>
        <v>12.82</v>
      </c>
    </row>
    <row r="198" spans="1:17" x14ac:dyDescent="0.25">
      <c r="A198" s="97" t="str">
        <f>'Snapshot (Value)'!A202</f>
        <v>TCS</v>
      </c>
      <c r="B198" s="140">
        <f>VLOOKUP($A198,'Data shares'!$C:$FB,7)</f>
        <v>2578.8000000000002</v>
      </c>
      <c r="C198" s="140">
        <f>VLOOKUP($A198,'Data shares'!$C:$FB,3)</f>
        <v>2589.5</v>
      </c>
      <c r="D198" s="140">
        <f>VLOOKUP($A198,'Data shares'!$C:$FB,4)</f>
        <v>2597</v>
      </c>
      <c r="E198" s="50">
        <f t="shared" si="15"/>
        <v>-0.28879476318829417</v>
      </c>
      <c r="F198" s="49">
        <f>VLOOKUP($A198,'Data shares'!$C:$FB,98)</f>
        <v>50801625</v>
      </c>
      <c r="G198" s="49">
        <f>VLOOKUP($A198,'Data shares'!$C:$FB,99)</f>
        <v>50562750</v>
      </c>
      <c r="H198" s="50">
        <f t="shared" si="16"/>
        <v>0.4724327691828471</v>
      </c>
      <c r="I198" s="49">
        <f>VLOOKUP($A198,'Data shares'!$C:$FB,66)</f>
        <v>22386350</v>
      </c>
      <c r="J198" s="49">
        <f>VLOOKUP($A198,'Data shares'!$C:$FB,67)</f>
        <v>21390775</v>
      </c>
      <c r="K198" s="50">
        <f t="shared" si="17"/>
        <v>4.4472412876596676</v>
      </c>
      <c r="L198" s="50">
        <f>VLOOKUP($A198,'Data shares'!$C:$FB,118)</f>
        <v>0.63</v>
      </c>
      <c r="M198" s="50">
        <f>VLOOKUP($A198,'Data shares'!$C:$FB,119)</f>
        <v>0.66</v>
      </c>
      <c r="N198" s="50">
        <f>VLOOKUP($A198,'Data shares'!$C:$FB,121)*100</f>
        <v>-4.55</v>
      </c>
      <c r="O198" s="50">
        <f>VLOOKUP($A198,'Data shares'!$C:$FB,124)</f>
        <v>0.66</v>
      </c>
      <c r="P198" s="50">
        <f>VLOOKUP($A198,'Data shares'!$C:$FB,125)</f>
        <v>0.46</v>
      </c>
      <c r="Q198" s="50">
        <f>VLOOKUP($A198,'Data shares'!$C:$FB,127)*100</f>
        <v>43.480000000000004</v>
      </c>
    </row>
    <row r="199" spans="1:17" x14ac:dyDescent="0.25">
      <c r="A199" s="97" t="str">
        <f>'Snapshot (Value)'!A203</f>
        <v>TECHM</v>
      </c>
      <c r="B199" s="140">
        <f>VLOOKUP($A199,'Data shares'!$C:$FB,7)</f>
        <v>1333.3</v>
      </c>
      <c r="C199" s="140">
        <f>VLOOKUP($A199,'Data shares'!$C:$FB,3)</f>
        <v>1336.5</v>
      </c>
      <c r="D199" s="140">
        <f>VLOOKUP($A199,'Data shares'!$C:$FB,4)</f>
        <v>1354.2</v>
      </c>
      <c r="E199" s="50">
        <f t="shared" si="15"/>
        <v>-1.3070447496677038</v>
      </c>
      <c r="F199" s="49">
        <f>VLOOKUP($A199,'Data shares'!$C:$FB,98)</f>
        <v>34249200</v>
      </c>
      <c r="G199" s="49">
        <f>VLOOKUP($A199,'Data shares'!$C:$FB,99)</f>
        <v>33849600</v>
      </c>
      <c r="H199" s="50">
        <f t="shared" si="16"/>
        <v>1.1805161656267726</v>
      </c>
      <c r="I199" s="49">
        <f>VLOOKUP($A199,'Data shares'!$C:$FB,66)</f>
        <v>12769200</v>
      </c>
      <c r="J199" s="49">
        <f>VLOOKUP($A199,'Data shares'!$C:$FB,67)</f>
        <v>15203400</v>
      </c>
      <c r="K199" s="50">
        <f t="shared" si="17"/>
        <v>-19.063057983272248</v>
      </c>
      <c r="L199" s="50">
        <f>VLOOKUP($A199,'Data shares'!$C:$FB,118)</f>
        <v>0.59</v>
      </c>
      <c r="M199" s="50">
        <f>VLOOKUP($A199,'Data shares'!$C:$FB,119)</f>
        <v>0.63</v>
      </c>
      <c r="N199" s="50">
        <f>VLOOKUP($A199,'Data shares'!$C:$FB,121)*100</f>
        <v>-6.35</v>
      </c>
      <c r="O199" s="50">
        <f>VLOOKUP($A199,'Data shares'!$C:$FB,124)</f>
        <v>0.52</v>
      </c>
      <c r="P199" s="50">
        <f>VLOOKUP($A199,'Data shares'!$C:$FB,125)</f>
        <v>0.45</v>
      </c>
      <c r="Q199" s="50">
        <f>VLOOKUP($A199,'Data shares'!$C:$FB,127)*100</f>
        <v>15.559999999999999</v>
      </c>
    </row>
    <row r="200" spans="1:17" x14ac:dyDescent="0.25">
      <c r="A200" s="97" t="str">
        <f>'Snapshot (Value)'!A204</f>
        <v>TIINDIA</v>
      </c>
      <c r="B200" s="140">
        <f>VLOOKUP($A200,'Data shares'!$C:$FB,7)</f>
        <v>2781.9</v>
      </c>
      <c r="C200" s="140">
        <f>VLOOKUP($A200,'Data shares'!$C:$FB,3)</f>
        <v>2768.4</v>
      </c>
      <c r="D200" s="140">
        <f>VLOOKUP($A200,'Data shares'!$C:$FB,4)</f>
        <v>2767.6</v>
      </c>
      <c r="E200" s="50">
        <f t="shared" si="15"/>
        <v>2.8905911258859007E-2</v>
      </c>
      <c r="F200" s="49">
        <f>VLOOKUP($A200,'Data shares'!$C:$FB,98)</f>
        <v>4233000</v>
      </c>
      <c r="G200" s="49">
        <f>VLOOKUP($A200,'Data shares'!$C:$FB,99)</f>
        <v>4161800</v>
      </c>
      <c r="H200" s="50">
        <f t="shared" si="16"/>
        <v>1.7107982123119803</v>
      </c>
      <c r="I200" s="49">
        <f>VLOOKUP($A200,'Data shares'!$C:$FB,66)</f>
        <v>1376000</v>
      </c>
      <c r="J200" s="49">
        <f>VLOOKUP($A200,'Data shares'!$C:$FB,67)</f>
        <v>2323000</v>
      </c>
      <c r="K200" s="50">
        <f t="shared" si="17"/>
        <v>-68.822674418604649</v>
      </c>
      <c r="L200" s="50">
        <f>VLOOKUP($A200,'Data shares'!$C:$FB,118)</f>
        <v>0.77</v>
      </c>
      <c r="M200" s="50">
        <f>VLOOKUP($A200,'Data shares'!$C:$FB,119)</f>
        <v>0.77</v>
      </c>
      <c r="N200" s="50">
        <f>VLOOKUP($A200,'Data shares'!$C:$FB,121)*100</f>
        <v>0</v>
      </c>
      <c r="O200" s="50">
        <f>VLOOKUP($A200,'Data shares'!$C:$FB,124)</f>
        <v>0.44</v>
      </c>
      <c r="P200" s="50">
        <f>VLOOKUP($A200,'Data shares'!$C:$FB,125)</f>
        <v>0.78</v>
      </c>
      <c r="Q200" s="50">
        <f>VLOOKUP($A200,'Data shares'!$C:$FB,127)*100</f>
        <v>-43.59</v>
      </c>
    </row>
    <row r="201" spans="1:17" x14ac:dyDescent="0.25">
      <c r="A201" s="97" t="str">
        <f>'Snapshot (Value)'!A205</f>
        <v>TITAN</v>
      </c>
      <c r="B201" s="140">
        <f>VLOOKUP($A201,'Data shares'!$C:$FB,7)</f>
        <v>4275.2</v>
      </c>
      <c r="C201" s="140">
        <f>VLOOKUP($A201,'Data shares'!$C:$FB,3)</f>
        <v>4288.3</v>
      </c>
      <c r="D201" s="140">
        <f>VLOOKUP($A201,'Data shares'!$C:$FB,4)</f>
        <v>4219.6000000000004</v>
      </c>
      <c r="E201" s="50">
        <f t="shared" si="15"/>
        <v>1.6281164091383022</v>
      </c>
      <c r="F201" s="49">
        <f>VLOOKUP($A201,'Data shares'!$C:$FB,98)</f>
        <v>13158600</v>
      </c>
      <c r="G201" s="49">
        <f>VLOOKUP($A201,'Data shares'!$C:$FB,99)</f>
        <v>13070225</v>
      </c>
      <c r="H201" s="50">
        <f t="shared" si="16"/>
        <v>0.67615515417676442</v>
      </c>
      <c r="I201" s="49">
        <f>VLOOKUP($A201,'Data shares'!$C:$FB,66)</f>
        <v>6215125</v>
      </c>
      <c r="J201" s="49">
        <f>VLOOKUP($A201,'Data shares'!$C:$FB,67)</f>
        <v>8947925</v>
      </c>
      <c r="K201" s="50">
        <f t="shared" si="17"/>
        <v>-43.970153456286077</v>
      </c>
      <c r="L201" s="50">
        <f>VLOOKUP($A201,'Data shares'!$C:$FB,118)</f>
        <v>0.66</v>
      </c>
      <c r="M201" s="50">
        <f>VLOOKUP($A201,'Data shares'!$C:$FB,119)</f>
        <v>0.71</v>
      </c>
      <c r="N201" s="50">
        <f>VLOOKUP($A201,'Data shares'!$C:$FB,121)*100</f>
        <v>-7.04</v>
      </c>
      <c r="O201" s="50">
        <f>VLOOKUP($A201,'Data shares'!$C:$FB,124)</f>
        <v>0.57999999999999996</v>
      </c>
      <c r="P201" s="50">
        <f>VLOOKUP($A201,'Data shares'!$C:$FB,125)</f>
        <v>1.01</v>
      </c>
      <c r="Q201" s="50">
        <f>VLOOKUP($A201,'Data shares'!$C:$FB,127)*100</f>
        <v>-42.57</v>
      </c>
    </row>
    <row r="202" spans="1:17" x14ac:dyDescent="0.25">
      <c r="A202" s="97" t="str">
        <f>'Snapshot (Value)'!A206</f>
        <v>TMPV</v>
      </c>
      <c r="B202" s="140">
        <f>VLOOKUP($A202,'Data shares'!$C:$FB,7)</f>
        <v>355.15</v>
      </c>
      <c r="C202" s="140">
        <f>VLOOKUP($A202,'Data shares'!$C:$FB,3)</f>
        <v>356.55</v>
      </c>
      <c r="D202" s="140">
        <f>VLOOKUP($A202,'Data shares'!$C:$FB,4)</f>
        <v>352.35</v>
      </c>
      <c r="E202" s="50">
        <f t="shared" si="15"/>
        <v>1.1919965942954416</v>
      </c>
      <c r="F202" s="49">
        <f>VLOOKUP($A202,'Data shares'!$C:$FB,98)</f>
        <v>144563200</v>
      </c>
      <c r="G202" s="49">
        <f>VLOOKUP($A202,'Data shares'!$C:$FB,99)</f>
        <v>140716000</v>
      </c>
      <c r="H202" s="50">
        <f t="shared" si="16"/>
        <v>2.7340174535944737</v>
      </c>
      <c r="I202" s="49">
        <f>VLOOKUP($A202,'Data shares'!$C:$FB,66)</f>
        <v>82723200</v>
      </c>
      <c r="J202" s="49">
        <f>VLOOKUP($A202,'Data shares'!$C:$FB,67)</f>
        <v>119021600</v>
      </c>
      <c r="K202" s="50">
        <f t="shared" si="17"/>
        <v>-43.879347027194306</v>
      </c>
      <c r="L202" s="50">
        <f>VLOOKUP($A202,'Data shares'!$C:$FB,118)</f>
        <v>0.61</v>
      </c>
      <c r="M202" s="50">
        <f>VLOOKUP($A202,'Data shares'!$C:$FB,119)</f>
        <v>0.62</v>
      </c>
      <c r="N202" s="50">
        <f>VLOOKUP($A202,'Data shares'!$C:$FB,121)*100</f>
        <v>-1.6099999999999999</v>
      </c>
      <c r="O202" s="50">
        <f>VLOOKUP($A202,'Data shares'!$C:$FB,124)</f>
        <v>0.56000000000000005</v>
      </c>
      <c r="P202" s="50">
        <f>VLOOKUP($A202,'Data shares'!$C:$FB,125)</f>
        <v>0.7</v>
      </c>
      <c r="Q202" s="50">
        <f>VLOOKUP($A202,'Data shares'!$C:$FB,127)*100</f>
        <v>-20</v>
      </c>
    </row>
    <row r="203" spans="1:17" x14ac:dyDescent="0.25">
      <c r="A203" s="97" t="str">
        <f>'Snapshot (Value)'!A207</f>
        <v>TORNTPHARM</v>
      </c>
      <c r="B203" s="140">
        <f>VLOOKUP($A203,'Data shares'!$C:$FB,7)</f>
        <v>4353.3999999999996</v>
      </c>
      <c r="C203" s="140">
        <f>VLOOKUP($A203,'Data shares'!$C:$FB,3)</f>
        <v>4372.3</v>
      </c>
      <c r="D203" s="140">
        <f>VLOOKUP($A203,'Data shares'!$C:$FB,4)</f>
        <v>4354.7</v>
      </c>
      <c r="E203" s="50">
        <f t="shared" si="15"/>
        <v>0.40416102142513521</v>
      </c>
      <c r="F203" s="49">
        <f>VLOOKUP($A203,'Data shares'!$C:$FB,98)</f>
        <v>3980500</v>
      </c>
      <c r="G203" s="49">
        <f>VLOOKUP($A203,'Data shares'!$C:$FB,99)</f>
        <v>3927250</v>
      </c>
      <c r="H203" s="50">
        <f t="shared" si="16"/>
        <v>1.3559106244827805</v>
      </c>
      <c r="I203" s="49">
        <f>VLOOKUP($A203,'Data shares'!$C:$FB,66)</f>
        <v>1035750</v>
      </c>
      <c r="J203" s="49">
        <f>VLOOKUP($A203,'Data shares'!$C:$FB,67)</f>
        <v>1609250</v>
      </c>
      <c r="K203" s="50">
        <f t="shared" si="17"/>
        <v>-55.370504465363268</v>
      </c>
      <c r="L203" s="50">
        <f>VLOOKUP($A203,'Data shares'!$C:$FB,118)</f>
        <v>0.71</v>
      </c>
      <c r="M203" s="50">
        <f>VLOOKUP($A203,'Data shares'!$C:$FB,119)</f>
        <v>0.68</v>
      </c>
      <c r="N203" s="50">
        <f>VLOOKUP($A203,'Data shares'!$C:$FB,121)*100</f>
        <v>4.41</v>
      </c>
      <c r="O203" s="50">
        <f>VLOOKUP($A203,'Data shares'!$C:$FB,124)</f>
        <v>0.51</v>
      </c>
      <c r="P203" s="50">
        <f>VLOOKUP($A203,'Data shares'!$C:$FB,125)</f>
        <v>0.83</v>
      </c>
      <c r="Q203" s="50">
        <f>VLOOKUP($A203,'Data shares'!$C:$FB,127)*100</f>
        <v>-38.550000000000004</v>
      </c>
    </row>
    <row r="204" spans="1:17" x14ac:dyDescent="0.25">
      <c r="A204" s="97" t="str">
        <f>'Snapshot (Value)'!A208</f>
        <v>TORNTPOWER</v>
      </c>
      <c r="B204" s="140">
        <f>VLOOKUP($A204,'Data shares'!$C:$FB,7)</f>
        <v>1503.9</v>
      </c>
      <c r="C204" s="140">
        <f>VLOOKUP($A204,'Data shares'!$C:$FB,3)</f>
        <v>1507.3</v>
      </c>
      <c r="D204" s="140">
        <f>VLOOKUP($A204,'Data shares'!$C:$FB,4)</f>
        <v>1465.7</v>
      </c>
      <c r="E204" s="50">
        <f t="shared" si="15"/>
        <v>2.8382342907825548</v>
      </c>
      <c r="F204" s="49">
        <f>VLOOKUP($A204,'Data shares'!$C:$FB,98)</f>
        <v>6032025</v>
      </c>
      <c r="G204" s="49">
        <f>VLOOKUP($A204,'Data shares'!$C:$FB,99)</f>
        <v>5743875</v>
      </c>
      <c r="H204" s="50">
        <f t="shared" si="16"/>
        <v>5.016648168701443</v>
      </c>
      <c r="I204" s="49">
        <f>VLOOKUP($A204,'Data shares'!$C:$FB,66)</f>
        <v>3158175</v>
      </c>
      <c r="J204" s="49">
        <f>VLOOKUP($A204,'Data shares'!$C:$FB,67)</f>
        <v>6787675</v>
      </c>
      <c r="K204" s="50">
        <f t="shared" si="17"/>
        <v>-114.92396716458082</v>
      </c>
      <c r="L204" s="50">
        <f>VLOOKUP($A204,'Data shares'!$C:$FB,118)</f>
        <v>0.56000000000000005</v>
      </c>
      <c r="M204" s="50">
        <f>VLOOKUP($A204,'Data shares'!$C:$FB,119)</f>
        <v>0.56000000000000005</v>
      </c>
      <c r="N204" s="50">
        <f>VLOOKUP($A204,'Data shares'!$C:$FB,121)*100</f>
        <v>0</v>
      </c>
      <c r="O204" s="50">
        <f>VLOOKUP($A204,'Data shares'!$C:$FB,124)</f>
        <v>0.52</v>
      </c>
      <c r="P204" s="50">
        <f>VLOOKUP($A204,'Data shares'!$C:$FB,125)</f>
        <v>0.67</v>
      </c>
      <c r="Q204" s="50">
        <f>VLOOKUP($A204,'Data shares'!$C:$FB,127)*100</f>
        <v>-22.39</v>
      </c>
    </row>
    <row r="205" spans="1:17" x14ac:dyDescent="0.25">
      <c r="A205" s="97" t="str">
        <f>'Snapshot (Value)'!A209</f>
        <v>TRENT</v>
      </c>
      <c r="B205" s="140">
        <f>VLOOKUP($A205,'Data shares'!$C:$FB,7)</f>
        <v>3790.9</v>
      </c>
      <c r="C205" s="140">
        <f>VLOOKUP($A205,'Data shares'!$C:$FB,3)</f>
        <v>3796.1</v>
      </c>
      <c r="D205" s="140">
        <f>VLOOKUP($A205,'Data shares'!$C:$FB,4)</f>
        <v>3763.8</v>
      </c>
      <c r="E205" s="50">
        <f t="shared" si="15"/>
        <v>0.8581752484191435</v>
      </c>
      <c r="F205" s="49">
        <f>VLOOKUP($A205,'Data shares'!$C:$FB,98)</f>
        <v>9987400</v>
      </c>
      <c r="G205" s="49">
        <f>VLOOKUP($A205,'Data shares'!$C:$FB,99)</f>
        <v>10032300</v>
      </c>
      <c r="H205" s="50">
        <f t="shared" si="16"/>
        <v>-0.44755439929029234</v>
      </c>
      <c r="I205" s="49">
        <f>VLOOKUP($A205,'Data shares'!$C:$FB,66)</f>
        <v>3756900</v>
      </c>
      <c r="J205" s="49">
        <f>VLOOKUP($A205,'Data shares'!$C:$FB,67)</f>
        <v>4838500</v>
      </c>
      <c r="K205" s="50">
        <f t="shared" si="17"/>
        <v>-28.789693630386754</v>
      </c>
      <c r="L205" s="50">
        <f>VLOOKUP($A205,'Data shares'!$C:$FB,118)</f>
        <v>0.72</v>
      </c>
      <c r="M205" s="50">
        <f>VLOOKUP($A205,'Data shares'!$C:$FB,119)</f>
        <v>0.76</v>
      </c>
      <c r="N205" s="50">
        <f>VLOOKUP($A205,'Data shares'!$C:$FB,121)*100</f>
        <v>-5.26</v>
      </c>
      <c r="O205" s="50">
        <f>VLOOKUP($A205,'Data shares'!$C:$FB,124)</f>
        <v>0.42</v>
      </c>
      <c r="P205" s="50">
        <f>VLOOKUP($A205,'Data shares'!$C:$FB,125)</f>
        <v>0.72</v>
      </c>
      <c r="Q205" s="50">
        <f>VLOOKUP($A205,'Data shares'!$C:$FB,127)*100</f>
        <v>-41.67</v>
      </c>
    </row>
    <row r="206" spans="1:17" x14ac:dyDescent="0.25">
      <c r="A206" s="97" t="str">
        <f>'Snapshot (Value)'!A210</f>
        <v>TVSMOTOR</v>
      </c>
      <c r="B206" s="140">
        <f>VLOOKUP($A206,'Data shares'!$C:$FB,7)</f>
        <v>3818.4</v>
      </c>
      <c r="C206" s="140">
        <f>VLOOKUP($A206,'Data shares'!$C:$FB,3)</f>
        <v>3814.6</v>
      </c>
      <c r="D206" s="140">
        <f>VLOOKUP($A206,'Data shares'!$C:$FB,4)</f>
        <v>3743</v>
      </c>
      <c r="E206" s="50">
        <f t="shared" si="15"/>
        <v>1.9129040876302406</v>
      </c>
      <c r="F206" s="49">
        <f>VLOOKUP($A206,'Data shares'!$C:$FB,98)</f>
        <v>11509925</v>
      </c>
      <c r="G206" s="49">
        <f>VLOOKUP($A206,'Data shares'!$C:$FB,99)</f>
        <v>11585175</v>
      </c>
      <c r="H206" s="50">
        <f t="shared" si="16"/>
        <v>-0.6495370160571593</v>
      </c>
      <c r="I206" s="49">
        <f>VLOOKUP($A206,'Data shares'!$C:$FB,66)</f>
        <v>3402175</v>
      </c>
      <c r="J206" s="49">
        <f>VLOOKUP($A206,'Data shares'!$C:$FB,67)</f>
        <v>6145650</v>
      </c>
      <c r="K206" s="50">
        <f t="shared" si="17"/>
        <v>-80.638856025924582</v>
      </c>
      <c r="L206" s="50">
        <f>VLOOKUP($A206,'Data shares'!$C:$FB,118)</f>
        <v>0.77</v>
      </c>
      <c r="M206" s="50">
        <f>VLOOKUP($A206,'Data shares'!$C:$FB,119)</f>
        <v>0.73</v>
      </c>
      <c r="N206" s="50">
        <f>VLOOKUP($A206,'Data shares'!$C:$FB,121)*100</f>
        <v>5.48</v>
      </c>
      <c r="O206" s="50">
        <f>VLOOKUP($A206,'Data shares'!$C:$FB,124)</f>
        <v>0.43</v>
      </c>
      <c r="P206" s="50">
        <f>VLOOKUP($A206,'Data shares'!$C:$FB,125)</f>
        <v>0.86</v>
      </c>
      <c r="Q206" s="50">
        <f>VLOOKUP($A206,'Data shares'!$C:$FB,127)*100</f>
        <v>-50</v>
      </c>
    </row>
    <row r="207" spans="1:17" x14ac:dyDescent="0.25">
      <c r="A207" s="97" t="str">
        <f>'Snapshot (Value)'!A211</f>
        <v>ULTRACEMCO</v>
      </c>
      <c r="B207" s="140">
        <f>VLOOKUP($A207,'Data shares'!$C:$FB,7)</f>
        <v>12288</v>
      </c>
      <c r="C207" s="140">
        <f>VLOOKUP($A207,'Data shares'!$C:$FB,3)</f>
        <v>12303</v>
      </c>
      <c r="D207" s="140">
        <f>VLOOKUP($A207,'Data shares'!$C:$FB,4)</f>
        <v>12142</v>
      </c>
      <c r="E207" s="50">
        <f t="shared" si="15"/>
        <v>1.3259759512436173</v>
      </c>
      <c r="F207" s="49">
        <f>VLOOKUP($A207,'Data shares'!$C:$FB,98)</f>
        <v>2973250</v>
      </c>
      <c r="G207" s="49">
        <f>VLOOKUP($A207,'Data shares'!$C:$FB,99)</f>
        <v>2881250</v>
      </c>
      <c r="H207" s="50">
        <f t="shared" si="16"/>
        <v>3.1930585683297181</v>
      </c>
      <c r="I207" s="49">
        <f>VLOOKUP($A207,'Data shares'!$C:$FB,66)</f>
        <v>1648950</v>
      </c>
      <c r="J207" s="49">
        <f>VLOOKUP($A207,'Data shares'!$C:$FB,67)</f>
        <v>2546150</v>
      </c>
      <c r="K207" s="50">
        <f t="shared" si="17"/>
        <v>-54.410382364535003</v>
      </c>
      <c r="L207" s="50">
        <f>VLOOKUP($A207,'Data shares'!$C:$FB,118)</f>
        <v>0.57999999999999996</v>
      </c>
      <c r="M207" s="50">
        <f>VLOOKUP($A207,'Data shares'!$C:$FB,119)</f>
        <v>0.53</v>
      </c>
      <c r="N207" s="50">
        <f>VLOOKUP($A207,'Data shares'!$C:$FB,121)*100</f>
        <v>9.43</v>
      </c>
      <c r="O207" s="50">
        <f>VLOOKUP($A207,'Data shares'!$C:$FB,124)</f>
        <v>0.45</v>
      </c>
      <c r="P207" s="50">
        <f>VLOOKUP($A207,'Data shares'!$C:$FB,125)</f>
        <v>0.69</v>
      </c>
      <c r="Q207" s="50">
        <f>VLOOKUP($A207,'Data shares'!$C:$FB,127)*100</f>
        <v>-34.78</v>
      </c>
    </row>
    <row r="208" spans="1:17" x14ac:dyDescent="0.25">
      <c r="A208" s="97" t="str">
        <f>'Snapshot (Value)'!A212</f>
        <v>UNIONBANK</v>
      </c>
      <c r="B208" s="140">
        <f>VLOOKUP($A208,'Data shares'!$C:$FB,7)</f>
        <v>191.2</v>
      </c>
      <c r="C208" s="140">
        <f>VLOOKUP($A208,'Data shares'!$C:$FB,3)</f>
        <v>192.04</v>
      </c>
      <c r="D208" s="140">
        <f>VLOOKUP($A208,'Data shares'!$C:$FB,4)</f>
        <v>192.03</v>
      </c>
      <c r="E208" s="50">
        <f t="shared" si="15"/>
        <v>5.2075196583819747E-3</v>
      </c>
      <c r="F208" s="49">
        <f>VLOOKUP($A208,'Data shares'!$C:$FB,98)</f>
        <v>126577125</v>
      </c>
      <c r="G208" s="49">
        <f>VLOOKUP($A208,'Data shares'!$C:$FB,99)</f>
        <v>121572450</v>
      </c>
      <c r="H208" s="50">
        <f t="shared" si="16"/>
        <v>4.1166193492028826</v>
      </c>
      <c r="I208" s="49">
        <f>VLOOKUP($A208,'Data shares'!$C:$FB,66)</f>
        <v>96186225</v>
      </c>
      <c r="J208" s="49">
        <f>VLOOKUP($A208,'Data shares'!$C:$FB,67)</f>
        <v>126258525</v>
      </c>
      <c r="K208" s="50">
        <f t="shared" si="17"/>
        <v>-31.264663937065833</v>
      </c>
      <c r="L208" s="50">
        <f>VLOOKUP($A208,'Data shares'!$C:$FB,118)</f>
        <v>0.73</v>
      </c>
      <c r="M208" s="50">
        <f>VLOOKUP($A208,'Data shares'!$C:$FB,119)</f>
        <v>0.85</v>
      </c>
      <c r="N208" s="50">
        <f>VLOOKUP($A208,'Data shares'!$C:$FB,121)*100</f>
        <v>-14.12</v>
      </c>
      <c r="O208" s="50">
        <f>VLOOKUP($A208,'Data shares'!$C:$FB,124)</f>
        <v>0.45</v>
      </c>
      <c r="P208" s="50">
        <f>VLOOKUP($A208,'Data shares'!$C:$FB,125)</f>
        <v>0.67</v>
      </c>
      <c r="Q208" s="50">
        <f>VLOOKUP($A208,'Data shares'!$C:$FB,127)*100</f>
        <v>-32.840000000000003</v>
      </c>
    </row>
    <row r="209" spans="1:17" x14ac:dyDescent="0.25">
      <c r="A209" s="97" t="str">
        <f>'Snapshot (Value)'!A213</f>
        <v>UNITDSPR</v>
      </c>
      <c r="B209" s="140">
        <f>VLOOKUP($A209,'Data shares'!$C:$FB,7)</f>
        <v>1325.8</v>
      </c>
      <c r="C209" s="140">
        <f>VLOOKUP($A209,'Data shares'!$C:$FB,3)</f>
        <v>1329.5</v>
      </c>
      <c r="D209" s="140">
        <f>VLOOKUP($A209,'Data shares'!$C:$FB,4)</f>
        <v>1319.3</v>
      </c>
      <c r="E209" s="50">
        <f t="shared" si="15"/>
        <v>0.77313726976427244</v>
      </c>
      <c r="F209" s="49">
        <f>VLOOKUP($A209,'Data shares'!$C:$FB,98)</f>
        <v>13107200</v>
      </c>
      <c r="G209" s="49">
        <f>VLOOKUP($A209,'Data shares'!$C:$FB,99)</f>
        <v>12894000</v>
      </c>
      <c r="H209" s="50">
        <f t="shared" si="16"/>
        <v>1.6534822398014581</v>
      </c>
      <c r="I209" s="49">
        <f>VLOOKUP($A209,'Data shares'!$C:$FB,66)</f>
        <v>4336800</v>
      </c>
      <c r="J209" s="49">
        <f>VLOOKUP($A209,'Data shares'!$C:$FB,67)</f>
        <v>4568400</v>
      </c>
      <c r="K209" s="50">
        <f t="shared" si="17"/>
        <v>-5.3403431101272822</v>
      </c>
      <c r="L209" s="50">
        <f>VLOOKUP($A209,'Data shares'!$C:$FB,118)</f>
        <v>0.77</v>
      </c>
      <c r="M209" s="50">
        <f>VLOOKUP($A209,'Data shares'!$C:$FB,119)</f>
        <v>0.83</v>
      </c>
      <c r="N209" s="50">
        <f>VLOOKUP($A209,'Data shares'!$C:$FB,121)*100</f>
        <v>-7.23</v>
      </c>
      <c r="O209" s="50">
        <f>VLOOKUP($A209,'Data shares'!$C:$FB,124)</f>
        <v>0.48</v>
      </c>
      <c r="P209" s="50">
        <f>VLOOKUP($A209,'Data shares'!$C:$FB,125)</f>
        <v>0.78</v>
      </c>
      <c r="Q209" s="50">
        <f>VLOOKUP($A209,'Data shares'!$C:$FB,127)*100</f>
        <v>-38.46</v>
      </c>
    </row>
    <row r="210" spans="1:17" x14ac:dyDescent="0.25">
      <c r="A210" s="97" t="str">
        <f>'Snapshot (Value)'!A214</f>
        <v>UNOMINDA</v>
      </c>
      <c r="B210" s="140">
        <f>VLOOKUP($A210,'Data shares'!$C:$FB,7)</f>
        <v>1118.3</v>
      </c>
      <c r="C210" s="140">
        <f>VLOOKUP($A210,'Data shares'!$C:$FB,3)</f>
        <v>1121.4000000000001</v>
      </c>
      <c r="D210" s="140">
        <f>VLOOKUP($A210,'Data shares'!$C:$FB,4)</f>
        <v>1126.7</v>
      </c>
      <c r="E210" s="50">
        <f t="shared" ref="E210:E217" si="18">(C210-D210)/D210*100</f>
        <v>-0.47040028401526174</v>
      </c>
      <c r="F210" s="49">
        <f>VLOOKUP($A210,'Data shares'!$C:$FB,98)</f>
        <v>8490350</v>
      </c>
      <c r="G210" s="49">
        <f>VLOOKUP($A210,'Data shares'!$C:$FB,99)</f>
        <v>8382000</v>
      </c>
      <c r="H210" s="50">
        <f t="shared" ref="H210:H217" si="19">(F210-G210)/G210*100</f>
        <v>1.2926509186351707</v>
      </c>
      <c r="I210" s="49">
        <f>VLOOKUP($A210,'Data shares'!$C:$FB,66)</f>
        <v>3137200</v>
      </c>
      <c r="J210" s="49">
        <f>VLOOKUP($A210,'Data shares'!$C:$FB,67)</f>
        <v>3144900</v>
      </c>
      <c r="K210" s="50">
        <f t="shared" ref="K210:K217" si="20">(I210-J210)/I210*100</f>
        <v>-0.24544179523141654</v>
      </c>
      <c r="L210" s="50">
        <f>VLOOKUP($A210,'Data shares'!$C:$FB,118)</f>
        <v>0.67</v>
      </c>
      <c r="M210" s="50">
        <f>VLOOKUP($A210,'Data shares'!$C:$FB,119)</f>
        <v>0.67</v>
      </c>
      <c r="N210" s="50">
        <f>VLOOKUP($A210,'Data shares'!$C:$FB,121)*100</f>
        <v>0</v>
      </c>
      <c r="O210" s="50">
        <f>VLOOKUP($A210,'Data shares'!$C:$FB,124)</f>
        <v>0.47</v>
      </c>
      <c r="P210" s="50">
        <f>VLOOKUP($A210,'Data shares'!$C:$FB,125)</f>
        <v>0.47</v>
      </c>
      <c r="Q210" s="50">
        <f>VLOOKUP($A210,'Data shares'!$C:$FB,127)*100</f>
        <v>0</v>
      </c>
    </row>
    <row r="211" spans="1:17" x14ac:dyDescent="0.25">
      <c r="A211" s="97" t="str">
        <f>'Snapshot (Value)'!A215</f>
        <v>UPL</v>
      </c>
      <c r="B211" s="140">
        <f>VLOOKUP($A211,'Data shares'!$C:$FB,7)</f>
        <v>629.6</v>
      </c>
      <c r="C211" s="140">
        <f>VLOOKUP($A211,'Data shares'!$C:$FB,3)</f>
        <v>631</v>
      </c>
      <c r="D211" s="140">
        <f>VLOOKUP($A211,'Data shares'!$C:$FB,4)</f>
        <v>615.29999999999995</v>
      </c>
      <c r="E211" s="50">
        <f t="shared" si="18"/>
        <v>2.5516008451162109</v>
      </c>
      <c r="F211" s="49">
        <f>VLOOKUP($A211,'Data shares'!$C:$FB,98)</f>
        <v>65537285</v>
      </c>
      <c r="G211" s="49">
        <f>VLOOKUP($A211,'Data shares'!$C:$FB,99)</f>
        <v>66798790</v>
      </c>
      <c r="H211" s="50">
        <f t="shared" si="19"/>
        <v>-1.8885147470485617</v>
      </c>
      <c r="I211" s="49">
        <f>VLOOKUP($A211,'Data shares'!$C:$FB,66)</f>
        <v>21728780</v>
      </c>
      <c r="J211" s="49">
        <f>VLOOKUP($A211,'Data shares'!$C:$FB,67)</f>
        <v>30369615</v>
      </c>
      <c r="K211" s="50">
        <f t="shared" si="20"/>
        <v>-39.766774756797204</v>
      </c>
      <c r="L211" s="50">
        <f>VLOOKUP($A211,'Data shares'!$C:$FB,118)</f>
        <v>0.46</v>
      </c>
      <c r="M211" s="50">
        <f>VLOOKUP($A211,'Data shares'!$C:$FB,119)</f>
        <v>0.44</v>
      </c>
      <c r="N211" s="50">
        <f>VLOOKUP($A211,'Data shares'!$C:$FB,121)*100</f>
        <v>4.55</v>
      </c>
      <c r="O211" s="50">
        <f>VLOOKUP($A211,'Data shares'!$C:$FB,124)</f>
        <v>0.37</v>
      </c>
      <c r="P211" s="50">
        <f>VLOOKUP($A211,'Data shares'!$C:$FB,125)</f>
        <v>0.56000000000000005</v>
      </c>
      <c r="Q211" s="50">
        <f>VLOOKUP($A211,'Data shares'!$C:$FB,127)*100</f>
        <v>-33.93</v>
      </c>
    </row>
    <row r="212" spans="1:17" x14ac:dyDescent="0.25">
      <c r="A212" s="97" t="str">
        <f>'Snapshot (Value)'!A216</f>
        <v>VBL</v>
      </c>
      <c r="B212" s="140">
        <f>VLOOKUP($A212,'Data shares'!$C:$FB,7)</f>
        <v>445.75</v>
      </c>
      <c r="C212" s="140">
        <f>VLOOKUP($A212,'Data shares'!$C:$FB,3)</f>
        <v>446.25</v>
      </c>
      <c r="D212" s="140">
        <f>VLOOKUP($A212,'Data shares'!$C:$FB,4)</f>
        <v>430.7</v>
      </c>
      <c r="E212" s="50">
        <f t="shared" si="18"/>
        <v>3.61040167169724</v>
      </c>
      <c r="F212" s="49">
        <f>VLOOKUP($A212,'Data shares'!$C:$FB,98)</f>
        <v>56137500</v>
      </c>
      <c r="G212" s="49">
        <f>VLOOKUP($A212,'Data shares'!$C:$FB,99)</f>
        <v>56047500</v>
      </c>
      <c r="H212" s="50">
        <f t="shared" si="19"/>
        <v>0.16057808109193095</v>
      </c>
      <c r="I212" s="49">
        <f>VLOOKUP($A212,'Data shares'!$C:$FB,66)</f>
        <v>26875125</v>
      </c>
      <c r="J212" s="49">
        <f>VLOOKUP($A212,'Data shares'!$C:$FB,67)</f>
        <v>20160000</v>
      </c>
      <c r="K212" s="50">
        <f t="shared" si="20"/>
        <v>24.986395412114362</v>
      </c>
      <c r="L212" s="50">
        <f>VLOOKUP($A212,'Data shares'!$C:$FB,118)</f>
        <v>0.6</v>
      </c>
      <c r="M212" s="50">
        <f>VLOOKUP($A212,'Data shares'!$C:$FB,119)</f>
        <v>0.61</v>
      </c>
      <c r="N212" s="50">
        <f>VLOOKUP($A212,'Data shares'!$C:$FB,121)*100</f>
        <v>-1.6400000000000001</v>
      </c>
      <c r="O212" s="50">
        <f>VLOOKUP($A212,'Data shares'!$C:$FB,124)</f>
        <v>0.44</v>
      </c>
      <c r="P212" s="50">
        <f>VLOOKUP($A212,'Data shares'!$C:$FB,125)</f>
        <v>0.51</v>
      </c>
      <c r="Q212" s="50">
        <f>VLOOKUP($A212,'Data shares'!$C:$FB,127)*100</f>
        <v>-13.73</v>
      </c>
    </row>
    <row r="213" spans="1:17" x14ac:dyDescent="0.25">
      <c r="A213" s="97" t="str">
        <f>'Snapshot (Value)'!A217</f>
        <v>VEDL</v>
      </c>
      <c r="B213" s="140">
        <f>VLOOKUP($A213,'Data shares'!$C:$FB,7)</f>
        <v>711.25</v>
      </c>
      <c r="C213" s="140">
        <f>VLOOKUP($A213,'Data shares'!$C:$FB,3)</f>
        <v>712.4</v>
      </c>
      <c r="D213" s="140">
        <f>VLOOKUP($A213,'Data shares'!$C:$FB,4)</f>
        <v>703.55</v>
      </c>
      <c r="E213" s="50">
        <f t="shared" si="18"/>
        <v>1.2579063321725568</v>
      </c>
      <c r="F213" s="49">
        <f>VLOOKUP($A213,'Data shares'!$C:$FB,98)</f>
        <v>123094850</v>
      </c>
      <c r="G213" s="49">
        <f>VLOOKUP($A213,'Data shares'!$C:$FB,99)</f>
        <v>119869100</v>
      </c>
      <c r="H213" s="50">
        <f t="shared" si="19"/>
        <v>2.6910604984937736</v>
      </c>
      <c r="I213" s="49">
        <f>VLOOKUP($A213,'Data shares'!$C:$FB,66)</f>
        <v>157738600</v>
      </c>
      <c r="J213" s="49">
        <f>VLOOKUP($A213,'Data shares'!$C:$FB,67)</f>
        <v>95116500</v>
      </c>
      <c r="K213" s="50">
        <f t="shared" si="20"/>
        <v>39.699921262138751</v>
      </c>
      <c r="L213" s="50">
        <f>VLOOKUP($A213,'Data shares'!$C:$FB,118)</f>
        <v>0.68</v>
      </c>
      <c r="M213" s="50">
        <f>VLOOKUP($A213,'Data shares'!$C:$FB,119)</f>
        <v>0.68</v>
      </c>
      <c r="N213" s="50">
        <f>VLOOKUP($A213,'Data shares'!$C:$FB,121)*100</f>
        <v>0</v>
      </c>
      <c r="O213" s="50">
        <f>VLOOKUP($A213,'Data shares'!$C:$FB,124)</f>
        <v>0.44</v>
      </c>
      <c r="P213" s="50">
        <f>VLOOKUP($A213,'Data shares'!$C:$FB,125)</f>
        <v>0.78</v>
      </c>
      <c r="Q213" s="50">
        <f>VLOOKUP($A213,'Data shares'!$C:$FB,127)*100</f>
        <v>-43.59</v>
      </c>
    </row>
    <row r="214" spans="1:17" x14ac:dyDescent="0.25">
      <c r="A214" s="97" t="str">
        <f>'Snapshot (Value)'!A218</f>
        <v>VOLTAS</v>
      </c>
      <c r="B214" s="140">
        <f>VLOOKUP($A214,'Data shares'!$C:$FB,7)</f>
        <v>1485.3</v>
      </c>
      <c r="C214" s="140">
        <f>VLOOKUP($A214,'Data shares'!$C:$FB,3)</f>
        <v>1488.4</v>
      </c>
      <c r="D214" s="140">
        <f>VLOOKUP($A214,'Data shares'!$C:$FB,4)</f>
        <v>1436.4</v>
      </c>
      <c r="E214" s="50">
        <f t="shared" si="18"/>
        <v>3.6201615148983568</v>
      </c>
      <c r="F214" s="49">
        <f>VLOOKUP($A214,'Data shares'!$C:$FB,98)</f>
        <v>17298375</v>
      </c>
      <c r="G214" s="49">
        <f>VLOOKUP($A214,'Data shares'!$C:$FB,99)</f>
        <v>16867500</v>
      </c>
      <c r="H214" s="50">
        <f t="shared" si="19"/>
        <v>2.5544686527345486</v>
      </c>
      <c r="I214" s="49">
        <f>VLOOKUP($A214,'Data shares'!$C:$FB,66)</f>
        <v>15951000</v>
      </c>
      <c r="J214" s="49">
        <f>VLOOKUP($A214,'Data shares'!$C:$FB,67)</f>
        <v>10684500</v>
      </c>
      <c r="K214" s="50">
        <f t="shared" si="20"/>
        <v>33.016738762460037</v>
      </c>
      <c r="L214" s="50">
        <f>VLOOKUP($A214,'Data shares'!$C:$FB,118)</f>
        <v>0.66</v>
      </c>
      <c r="M214" s="50">
        <f>VLOOKUP($A214,'Data shares'!$C:$FB,119)</f>
        <v>0.65</v>
      </c>
      <c r="N214" s="50">
        <f>VLOOKUP($A214,'Data shares'!$C:$FB,121)*100</f>
        <v>1.54</v>
      </c>
      <c r="O214" s="50">
        <f>VLOOKUP($A214,'Data shares'!$C:$FB,124)</f>
        <v>0.4</v>
      </c>
      <c r="P214" s="50">
        <f>VLOOKUP($A214,'Data shares'!$C:$FB,125)</f>
        <v>0.54</v>
      </c>
      <c r="Q214" s="50">
        <f>VLOOKUP($A214,'Data shares'!$C:$FB,127)*100</f>
        <v>-25.929999999999996</v>
      </c>
    </row>
    <row r="215" spans="1:17" x14ac:dyDescent="0.25">
      <c r="A215" s="97" t="str">
        <f>'Snapshot (Value)'!A219</f>
        <v>WAAREEENER</v>
      </c>
      <c r="B215" s="140">
        <f>VLOOKUP($A215,'Data shares'!$C:$FB,7)</f>
        <v>2646.2</v>
      </c>
      <c r="C215" s="140">
        <f>VLOOKUP($A215,'Data shares'!$C:$FB,3)</f>
        <v>2658.8</v>
      </c>
      <c r="D215" s="140">
        <f>VLOOKUP($A215,'Data shares'!$C:$FB,4)</f>
        <v>2646.2</v>
      </c>
      <c r="E215" s="50">
        <f t="shared" si="18"/>
        <v>0.47615448567758917</v>
      </c>
      <c r="F215" s="49">
        <f>VLOOKUP($A215,'Data shares'!$C:$FB,98)</f>
        <v>9139725</v>
      </c>
      <c r="G215" s="49">
        <f>VLOOKUP($A215,'Data shares'!$C:$FB,99)</f>
        <v>9122575</v>
      </c>
      <c r="H215" s="50">
        <f t="shared" si="19"/>
        <v>0.18799516583859274</v>
      </c>
      <c r="I215" s="49">
        <f>VLOOKUP($A215,'Data shares'!$C:$FB,66)</f>
        <v>5091450</v>
      </c>
      <c r="J215" s="49">
        <f>VLOOKUP($A215,'Data shares'!$C:$FB,67)</f>
        <v>4183725</v>
      </c>
      <c r="K215" s="50">
        <f t="shared" si="20"/>
        <v>17.828418230563003</v>
      </c>
      <c r="L215" s="50">
        <f>VLOOKUP($A215,'Data shares'!$C:$FB,118)</f>
        <v>0.57999999999999996</v>
      </c>
      <c r="M215" s="50">
        <f>VLOOKUP($A215,'Data shares'!$C:$FB,119)</f>
        <v>0.6</v>
      </c>
      <c r="N215" s="50">
        <f>VLOOKUP($A215,'Data shares'!$C:$FB,121)*100</f>
        <v>-3.3300000000000005</v>
      </c>
      <c r="O215" s="50">
        <f>VLOOKUP($A215,'Data shares'!$C:$FB,124)</f>
        <v>0.4</v>
      </c>
      <c r="P215" s="50">
        <f>VLOOKUP($A215,'Data shares'!$C:$FB,125)</f>
        <v>0.44</v>
      </c>
      <c r="Q215" s="50">
        <f>VLOOKUP($A215,'Data shares'!$C:$FB,127)*100</f>
        <v>-9.09</v>
      </c>
    </row>
    <row r="216" spans="1:17" x14ac:dyDescent="0.25">
      <c r="A216" s="97" t="str">
        <f>'Snapshot (Value)'!A220</f>
        <v>WIPRO</v>
      </c>
      <c r="B216" s="140">
        <f>VLOOKUP($A216,'Data shares'!$C:$FB,7)</f>
        <v>195.68</v>
      </c>
      <c r="C216" s="140">
        <f>VLOOKUP($A216,'Data shares'!$C:$FB,3)</f>
        <v>196.02</v>
      </c>
      <c r="D216" s="140">
        <f>VLOOKUP($A216,'Data shares'!$C:$FB,4)</f>
        <v>195.86</v>
      </c>
      <c r="E216" s="50">
        <f t="shared" si="18"/>
        <v>8.1691003778207177E-2</v>
      </c>
      <c r="F216" s="49">
        <f>VLOOKUP($A216,'Data shares'!$C:$FB,98)</f>
        <v>278799000</v>
      </c>
      <c r="G216" s="49">
        <f>VLOOKUP($A216,'Data shares'!$C:$FB,99)</f>
        <v>278403000</v>
      </c>
      <c r="H216" s="50">
        <f t="shared" si="19"/>
        <v>0.14223984655337765</v>
      </c>
      <c r="I216" s="49">
        <f>VLOOKUP($A216,'Data shares'!$C:$FB,66)</f>
        <v>94773000</v>
      </c>
      <c r="J216" s="49">
        <f>VLOOKUP($A216,'Data shares'!$C:$FB,67)</f>
        <v>151371000</v>
      </c>
      <c r="K216" s="50">
        <f t="shared" si="20"/>
        <v>-59.719540375423385</v>
      </c>
      <c r="L216" s="50">
        <f>VLOOKUP($A216,'Data shares'!$C:$FB,118)</f>
        <v>0.51</v>
      </c>
      <c r="M216" s="50">
        <f>VLOOKUP($A216,'Data shares'!$C:$FB,119)</f>
        <v>0.51</v>
      </c>
      <c r="N216" s="50">
        <f>VLOOKUP($A216,'Data shares'!$C:$FB,121)*100</f>
        <v>0</v>
      </c>
      <c r="O216" s="50">
        <f>VLOOKUP($A216,'Data shares'!$C:$FB,124)</f>
        <v>0.55000000000000004</v>
      </c>
      <c r="P216" s="50">
        <f>VLOOKUP($A216,'Data shares'!$C:$FB,125)</f>
        <v>0.52</v>
      </c>
      <c r="Q216" s="50">
        <f>VLOOKUP($A216,'Data shares'!$C:$FB,127)*100</f>
        <v>5.7700000000000005</v>
      </c>
    </row>
    <row r="217" spans="1:17" x14ac:dyDescent="0.25">
      <c r="A217" s="97" t="str">
        <f>'Snapshot (Value)'!A221</f>
        <v>ZYDUSLIFE</v>
      </c>
      <c r="B217" s="140">
        <f>VLOOKUP($A217,'Data shares'!$C:$FB,7)</f>
        <v>914.65</v>
      </c>
      <c r="C217" s="140">
        <f>VLOOKUP($A217,'Data shares'!$C:$FB,3)</f>
        <v>916.4</v>
      </c>
      <c r="D217" s="140">
        <f>VLOOKUP($A217,'Data shares'!$C:$FB,4)</f>
        <v>900.65</v>
      </c>
      <c r="E217" s="50">
        <f t="shared" si="18"/>
        <v>1.748737023260978</v>
      </c>
      <c r="F217" s="49">
        <f>VLOOKUP($A217,'Data shares'!$C:$FB,98)</f>
        <v>16960500</v>
      </c>
      <c r="G217" s="49">
        <f>VLOOKUP($A217,'Data shares'!$C:$FB,99)</f>
        <v>17127000</v>
      </c>
      <c r="H217" s="50">
        <f t="shared" si="19"/>
        <v>-0.97214923804519182</v>
      </c>
      <c r="I217" s="49">
        <f>VLOOKUP($A217,'Data shares'!$C:$FB,66)</f>
        <v>7759800</v>
      </c>
      <c r="J217" s="49">
        <f>VLOOKUP($A217,'Data shares'!$C:$FB,67)</f>
        <v>7312500</v>
      </c>
      <c r="K217" s="50">
        <f t="shared" si="20"/>
        <v>5.7643238227789375</v>
      </c>
      <c r="L217" s="50">
        <f>VLOOKUP($A217,'Data shares'!$C:$FB,118)</f>
        <v>0.56999999999999995</v>
      </c>
      <c r="M217" s="50">
        <f>VLOOKUP($A217,'Data shares'!$C:$FB,119)</f>
        <v>0.54</v>
      </c>
      <c r="N217" s="50">
        <f>VLOOKUP($A217,'Data shares'!$C:$FB,121)*100</f>
        <v>5.56</v>
      </c>
      <c r="O217" s="50">
        <f>VLOOKUP($A217,'Data shares'!$C:$FB,124)</f>
        <v>0.27</v>
      </c>
      <c r="P217" s="50">
        <f>VLOOKUP($A217,'Data shares'!$C:$FB,125)</f>
        <v>0.56000000000000005</v>
      </c>
      <c r="Q217" s="50">
        <f>VLOOKUP($A217,'Data shares'!$C:$FB,127)*100</f>
        <v>-51.790000000000006</v>
      </c>
    </row>
    <row r="218" spans="1:17" x14ac:dyDescent="0.25">
      <c r="A218" s="97"/>
      <c r="B218" s="140"/>
      <c r="C218" s="140"/>
      <c r="D218" s="140"/>
      <c r="E218" s="50"/>
      <c r="F218" s="49"/>
      <c r="G218" s="49"/>
      <c r="H218" s="50"/>
      <c r="I218" s="49"/>
      <c r="J218" s="49"/>
      <c r="K218" s="50"/>
      <c r="L218" s="50"/>
      <c r="M218" s="50"/>
      <c r="N218" s="50"/>
      <c r="O218" s="50"/>
      <c r="P218" s="50"/>
      <c r="Q218" s="50"/>
    </row>
    <row r="219" spans="1:17" x14ac:dyDescent="0.25">
      <c r="A219" s="97"/>
      <c r="B219" s="140"/>
      <c r="C219" s="140"/>
      <c r="D219" s="140"/>
      <c r="E219" s="50"/>
      <c r="F219" s="49"/>
      <c r="G219" s="49"/>
      <c r="H219" s="50"/>
      <c r="I219" s="49"/>
      <c r="J219" s="49"/>
      <c r="K219" s="50"/>
      <c r="L219" s="50"/>
      <c r="M219" s="50"/>
      <c r="N219" s="50"/>
      <c r="O219" s="50"/>
      <c r="P219" s="50"/>
      <c r="Q219" s="50"/>
    </row>
    <row r="220" spans="1:17" x14ac:dyDescent="0.25">
      <c r="A220" s="97"/>
      <c r="B220" s="140"/>
      <c r="C220" s="140"/>
      <c r="D220" s="140"/>
      <c r="E220" s="50"/>
      <c r="F220" s="49"/>
      <c r="G220" s="49"/>
      <c r="H220" s="50"/>
      <c r="I220" s="49"/>
      <c r="J220" s="49"/>
      <c r="K220" s="50"/>
      <c r="L220" s="50"/>
      <c r="M220" s="50"/>
      <c r="N220" s="50"/>
      <c r="O220" s="50"/>
      <c r="P220" s="50"/>
      <c r="Q220" s="50"/>
    </row>
    <row r="221" spans="1:17" x14ac:dyDescent="0.25">
      <c r="A221" s="97"/>
      <c r="B221" s="140"/>
      <c r="C221" s="140"/>
      <c r="D221" s="140"/>
      <c r="E221" s="50"/>
      <c r="F221" s="49"/>
      <c r="G221" s="49"/>
      <c r="H221" s="50"/>
      <c r="I221" s="49"/>
      <c r="J221" s="49"/>
      <c r="K221" s="50"/>
      <c r="L221" s="50"/>
      <c r="M221" s="50"/>
      <c r="N221" s="50"/>
      <c r="O221" s="50"/>
      <c r="P221" s="50"/>
      <c r="Q221" s="50"/>
    </row>
    <row r="222" spans="1:17" x14ac:dyDescent="0.25">
      <c r="A222" s="97"/>
      <c r="B222" s="140"/>
      <c r="C222" s="140"/>
      <c r="D222" s="140"/>
      <c r="E222" s="50"/>
      <c r="F222" s="49"/>
      <c r="G222" s="49"/>
      <c r="H222" s="50"/>
      <c r="I222" s="49"/>
      <c r="J222" s="49"/>
      <c r="K222" s="50"/>
      <c r="L222" s="50"/>
      <c r="M222" s="50"/>
      <c r="N222" s="50"/>
      <c r="O222" s="50"/>
      <c r="P222" s="50"/>
      <c r="Q222" s="50"/>
    </row>
    <row r="223" spans="1:17" x14ac:dyDescent="0.25">
      <c r="A223" s="97"/>
      <c r="B223" s="140"/>
      <c r="C223" s="140"/>
      <c r="D223" s="140"/>
      <c r="E223" s="50"/>
      <c r="F223" s="49"/>
      <c r="G223" s="49"/>
      <c r="H223" s="50"/>
      <c r="I223" s="49"/>
      <c r="J223" s="49"/>
      <c r="K223" s="50"/>
      <c r="L223" s="50"/>
      <c r="M223" s="50"/>
      <c r="N223" s="50"/>
      <c r="O223" s="50"/>
      <c r="P223" s="50"/>
      <c r="Q223" s="50"/>
    </row>
    <row r="224" spans="1:17" x14ac:dyDescent="0.25">
      <c r="A224" s="97"/>
      <c r="B224" s="140"/>
      <c r="C224" s="140"/>
      <c r="D224" s="140"/>
      <c r="E224" s="50"/>
      <c r="F224" s="49"/>
      <c r="G224" s="49"/>
      <c r="H224" s="50"/>
      <c r="I224" s="49"/>
      <c r="J224" s="49"/>
      <c r="K224" s="50"/>
      <c r="L224" s="50"/>
      <c r="M224" s="50"/>
      <c r="N224" s="50"/>
      <c r="O224" s="50"/>
      <c r="P224" s="50"/>
      <c r="Q224" s="50"/>
    </row>
    <row r="225" spans="1:17" x14ac:dyDescent="0.25">
      <c r="A225" s="97"/>
      <c r="B225" s="140"/>
      <c r="C225" s="140"/>
      <c r="D225" s="140"/>
      <c r="E225" s="50"/>
      <c r="F225" s="49"/>
      <c r="G225" s="49"/>
      <c r="H225" s="50"/>
      <c r="I225" s="49"/>
      <c r="J225" s="49"/>
      <c r="K225" s="50"/>
      <c r="L225" s="50"/>
      <c r="M225" s="50"/>
      <c r="N225" s="50"/>
      <c r="O225" s="50"/>
      <c r="P225" s="50"/>
      <c r="Q225" s="50"/>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8"/>
      <c r="B230" s="17"/>
      <c r="C230" s="17"/>
      <c r="D230" s="17"/>
      <c r="E230" s="17"/>
      <c r="F230" s="17"/>
      <c r="G230" s="17"/>
      <c r="H230" s="17"/>
      <c r="I230" s="17"/>
      <c r="J230" s="17"/>
      <c r="K230" s="17"/>
      <c r="L230" s="17"/>
      <c r="M230" s="17"/>
      <c r="N230" s="17"/>
      <c r="O230" s="17"/>
      <c r="P230" s="17"/>
      <c r="Q230" s="17"/>
    </row>
    <row r="231" spans="1:17" s="64" customFormat="1" x14ac:dyDescent="0.25">
      <c r="A231" s="259" t="s">
        <v>391</v>
      </c>
      <c r="B231" s="259"/>
      <c r="C231" s="259"/>
      <c r="D231" s="259"/>
      <c r="E231" s="259"/>
      <c r="F231" s="113">
        <f>SUM(F7:F221)</f>
        <v>24932382618</v>
      </c>
      <c r="G231" s="113">
        <f>SUM(G7:G223)</f>
        <v>24243411650</v>
      </c>
      <c r="H231" s="114">
        <f>(F231-G231)/G231*100</f>
        <v>2.8418894912424588</v>
      </c>
      <c r="I231" s="113">
        <f>SUM(I7:I222)</f>
        <v>16244507523</v>
      </c>
      <c r="J231" s="113">
        <f>SUM(J7:J223)</f>
        <v>14611732913</v>
      </c>
      <c r="K231" s="114">
        <f>(I231-J231)/J231*100</f>
        <v>11.174407715510096</v>
      </c>
      <c r="L231" s="113"/>
      <c r="M231" s="113"/>
      <c r="N231" s="113"/>
      <c r="O231" s="113"/>
      <c r="P231" s="259"/>
      <c r="Q231" s="259"/>
    </row>
    <row r="232" spans="1:17" s="64" customFormat="1" x14ac:dyDescent="0.25">
      <c r="A232" s="259" t="s">
        <v>398</v>
      </c>
      <c r="B232" s="259"/>
      <c r="C232" s="259"/>
      <c r="D232" s="259"/>
      <c r="E232" s="259"/>
      <c r="F232" s="113">
        <f>F231/10000000</f>
        <v>2493.2382618000001</v>
      </c>
      <c r="G232" s="113">
        <f>G231/10000000</f>
        <v>2424.3411649999998</v>
      </c>
      <c r="H232" s="114">
        <f>(F232-G232)/G232*100</f>
        <v>2.8418894912424726</v>
      </c>
      <c r="I232" s="113">
        <f>I231/10000000</f>
        <v>1624.4507523</v>
      </c>
      <c r="J232" s="113">
        <f>J231/10000000</f>
        <v>1461.1732913000001</v>
      </c>
      <c r="K232" s="114">
        <f>(I232-J232)/J232*100</f>
        <v>11.174407715510089</v>
      </c>
      <c r="L232" s="113"/>
      <c r="M232" s="113"/>
      <c r="N232" s="113"/>
      <c r="O232" s="113"/>
      <c r="P232" s="259"/>
      <c r="Q232" s="259"/>
    </row>
  </sheetData>
  <mergeCells count="15">
    <mergeCell ref="A3:Q3"/>
    <mergeCell ref="A4:A5"/>
    <mergeCell ref="B4:E4"/>
    <mergeCell ref="F4:H4"/>
    <mergeCell ref="I4:K4"/>
    <mergeCell ref="L4:Q4"/>
    <mergeCell ref="A232:E232"/>
    <mergeCell ref="P231:Q231"/>
    <mergeCell ref="P232:Q232"/>
    <mergeCell ref="A231:E231"/>
    <mergeCell ref="O5:Q5"/>
    <mergeCell ref="C5:E5"/>
    <mergeCell ref="F5:H5"/>
    <mergeCell ref="I5:K5"/>
    <mergeCell ref="L5:N5"/>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J12" sqref="J12"/>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(Value)'!H148</f>
        <v>1055609</v>
      </c>
      <c r="C3" s="159">
        <f>'OI(Volume)'!G144</f>
        <v>-3.8999999999999998E-3</v>
      </c>
      <c r="D3" s="153">
        <f>'Snapshot (Value)'!P144</f>
        <v>0.5</v>
      </c>
      <c r="E3" s="153">
        <f>'Snapshot (Value)'!R144</f>
        <v>0.21</v>
      </c>
      <c r="F3" s="153">
        <f>IV!E144</f>
        <v>14.61</v>
      </c>
      <c r="G3" s="153">
        <f>IV!B144</f>
        <v>17.45</v>
      </c>
      <c r="H3" s="153">
        <f>'Snapshot (Value)'!C148</f>
        <v>24765.9</v>
      </c>
      <c r="I3" s="153">
        <f>'Snapshot (Value)'!D148</f>
        <v>24854.3</v>
      </c>
      <c r="J3" s="153">
        <f>'Snapshot (Value)'!E148</f>
        <v>24584.7</v>
      </c>
      <c r="K3" s="153">
        <f>(I3-H3)</f>
        <v>88.399999999997817</v>
      </c>
      <c r="L3" s="232">
        <f>'Data Vlaue (Cr)'!V139</f>
        <v>25118.5</v>
      </c>
    </row>
    <row r="4" spans="1:12" x14ac:dyDescent="0.25">
      <c r="A4" t="s">
        <v>464</v>
      </c>
      <c r="B4" s="154">
        <f>'Snapshot (Value)'!H37</f>
        <v>175392</v>
      </c>
      <c r="C4" s="159">
        <f>'OI(Volume)'!G33</f>
        <v>2.6700000000000002E-2</v>
      </c>
      <c r="D4" s="153">
        <f>'Snapshot (Value)'!P37</f>
        <v>0.92</v>
      </c>
      <c r="E4" s="153">
        <f>'Snapshot (Value)'!R37</f>
        <v>0.86</v>
      </c>
      <c r="F4" s="153">
        <f>IV!E33</f>
        <v>15.83</v>
      </c>
      <c r="G4" s="153">
        <f>IV!B33</f>
        <v>16.45</v>
      </c>
      <c r="H4" s="153">
        <f>'Snapshot (Value)'!C37</f>
        <v>59055.85</v>
      </c>
      <c r="I4" s="153">
        <f>'Snapshot (Value)'!D37</f>
        <v>59375.199999999997</v>
      </c>
      <c r="J4" s="153">
        <f>'Snapshot (Value)'!E37</f>
        <v>59100.4</v>
      </c>
      <c r="K4" s="153">
        <f>(I4-H4)</f>
        <v>319.34999999999854</v>
      </c>
      <c r="L4" s="232">
        <f>'Data Vlaue (Cr)'!V28</f>
        <v>59954.2</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560</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N13" sqref="N13"/>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41" t="s">
        <v>393</v>
      </c>
      <c r="B1" s="338" t="s">
        <v>632</v>
      </c>
      <c r="C1" s="339"/>
      <c r="D1" s="340"/>
      <c r="E1" s="335" t="s">
        <v>633</v>
      </c>
      <c r="F1" s="336"/>
      <c r="G1" s="337"/>
      <c r="H1" s="332" t="s">
        <v>634</v>
      </c>
      <c r="I1" s="333"/>
      <c r="J1" s="334"/>
      <c r="K1" s="329" t="s">
        <v>635</v>
      </c>
      <c r="L1" s="330"/>
      <c r="M1" s="331"/>
    </row>
    <row r="2" spans="1:13" ht="26.25" thickBot="1" x14ac:dyDescent="0.25">
      <c r="A2" s="342"/>
      <c r="B2" s="201" t="s">
        <v>636</v>
      </c>
      <c r="C2" s="201" t="s">
        <v>637</v>
      </c>
      <c r="D2" s="201" t="s">
        <v>369</v>
      </c>
      <c r="E2" s="202" t="s">
        <v>636</v>
      </c>
      <c r="F2" s="202" t="s">
        <v>637</v>
      </c>
      <c r="G2" s="202" t="s">
        <v>369</v>
      </c>
      <c r="H2" s="203" t="s">
        <v>636</v>
      </c>
      <c r="I2" s="203" t="s">
        <v>637</v>
      </c>
      <c r="J2" s="203" t="s">
        <v>369</v>
      </c>
      <c r="K2" s="204" t="s">
        <v>636</v>
      </c>
      <c r="L2" s="204" t="s">
        <v>637</v>
      </c>
      <c r="M2" s="204" t="s">
        <v>369</v>
      </c>
    </row>
    <row r="3" spans="1:13" x14ac:dyDescent="0.2">
      <c r="A3" s="205" t="s">
        <v>638</v>
      </c>
      <c r="B3" s="206">
        <v>195075</v>
      </c>
      <c r="C3" s="206">
        <v>189243</v>
      </c>
      <c r="D3" s="207">
        <v>-5832</v>
      </c>
      <c r="E3" s="206">
        <v>81097</v>
      </c>
      <c r="F3" s="206">
        <v>83380</v>
      </c>
      <c r="G3" s="207">
        <v>2283</v>
      </c>
      <c r="H3" s="206">
        <v>27064</v>
      </c>
      <c r="I3" s="206">
        <v>27813</v>
      </c>
      <c r="J3" s="207">
        <v>749</v>
      </c>
      <c r="K3" s="206">
        <v>30122</v>
      </c>
      <c r="L3" s="206">
        <v>29876</v>
      </c>
      <c r="M3" s="207">
        <v>-246</v>
      </c>
    </row>
    <row r="4" spans="1:13" x14ac:dyDescent="0.2">
      <c r="A4" s="208" t="s">
        <v>639</v>
      </c>
      <c r="B4" s="206">
        <v>82257</v>
      </c>
      <c r="C4" s="206">
        <v>80314</v>
      </c>
      <c r="D4" s="207">
        <v>-1943</v>
      </c>
      <c r="E4" s="206">
        <v>39971</v>
      </c>
      <c r="F4" s="206">
        <v>39971</v>
      </c>
      <c r="G4" s="207">
        <v>0</v>
      </c>
      <c r="H4" s="206">
        <v>177724</v>
      </c>
      <c r="I4" s="206">
        <v>171472</v>
      </c>
      <c r="J4" s="207">
        <v>-6252</v>
      </c>
      <c r="K4" s="206">
        <v>33406</v>
      </c>
      <c r="L4" s="206">
        <v>38555</v>
      </c>
      <c r="M4" s="207">
        <v>5149</v>
      </c>
    </row>
    <row r="5" spans="1:13" ht="13.5" thickBot="1" x14ac:dyDescent="0.25">
      <c r="A5" s="205" t="s">
        <v>640</v>
      </c>
      <c r="B5" s="206">
        <v>112818</v>
      </c>
      <c r="C5" s="206">
        <v>108929</v>
      </c>
      <c r="D5" s="209">
        <v>-3889</v>
      </c>
      <c r="E5" s="206">
        <v>41126</v>
      </c>
      <c r="F5" s="206">
        <v>43409</v>
      </c>
      <c r="G5" s="209">
        <v>2283</v>
      </c>
      <c r="H5" s="210">
        <v>-150660</v>
      </c>
      <c r="I5" s="210">
        <v>-143659</v>
      </c>
      <c r="J5" s="209">
        <v>7001</v>
      </c>
      <c r="K5" s="210">
        <v>-3284</v>
      </c>
      <c r="L5" s="210">
        <v>-8679</v>
      </c>
      <c r="M5" s="209">
        <v>-5395</v>
      </c>
    </row>
    <row r="6" spans="1:13" ht="13.5" customHeight="1" thickBot="1" x14ac:dyDescent="0.25">
      <c r="A6" s="341" t="s">
        <v>641</v>
      </c>
      <c r="B6" s="338" t="s">
        <v>632</v>
      </c>
      <c r="C6" s="339"/>
      <c r="D6" s="340"/>
      <c r="E6" s="335" t="s">
        <v>633</v>
      </c>
      <c r="F6" s="336"/>
      <c r="G6" s="337"/>
      <c r="H6" s="332" t="s">
        <v>634</v>
      </c>
      <c r="I6" s="333"/>
      <c r="J6" s="334"/>
      <c r="K6" s="329" t="s">
        <v>635</v>
      </c>
      <c r="L6" s="330"/>
      <c r="M6" s="331"/>
    </row>
    <row r="7" spans="1:13" ht="26.25" thickBot="1" x14ac:dyDescent="0.25">
      <c r="A7" s="342"/>
      <c r="B7" s="201" t="s">
        <v>636</v>
      </c>
      <c r="C7" s="201" t="s">
        <v>637</v>
      </c>
      <c r="D7" s="201" t="s">
        <v>369</v>
      </c>
      <c r="E7" s="202" t="s">
        <v>636</v>
      </c>
      <c r="F7" s="202" t="s">
        <v>637</v>
      </c>
      <c r="G7" s="202" t="s">
        <v>369</v>
      </c>
      <c r="H7" s="203" t="s">
        <v>636</v>
      </c>
      <c r="I7" s="203" t="s">
        <v>637</v>
      </c>
      <c r="J7" s="203" t="s">
        <v>369</v>
      </c>
      <c r="K7" s="204" t="s">
        <v>636</v>
      </c>
      <c r="L7" s="204" t="s">
        <v>637</v>
      </c>
      <c r="M7" s="204" t="s">
        <v>369</v>
      </c>
    </row>
    <row r="8" spans="1:13" x14ac:dyDescent="0.2">
      <c r="A8" s="205" t="s">
        <v>638</v>
      </c>
      <c r="B8" s="206">
        <v>1750202</v>
      </c>
      <c r="C8" s="206">
        <v>2157714</v>
      </c>
      <c r="D8" s="207">
        <v>407512</v>
      </c>
      <c r="E8" s="206">
        <v>970</v>
      </c>
      <c r="F8" s="206">
        <v>963</v>
      </c>
      <c r="G8" s="207">
        <v>-7</v>
      </c>
      <c r="H8" s="206">
        <v>375596</v>
      </c>
      <c r="I8" s="206">
        <v>431295</v>
      </c>
      <c r="J8" s="207">
        <v>55699</v>
      </c>
      <c r="K8" s="206">
        <v>809404</v>
      </c>
      <c r="L8" s="206">
        <v>949095</v>
      </c>
      <c r="M8" s="207">
        <v>139691</v>
      </c>
    </row>
    <row r="9" spans="1:13" x14ac:dyDescent="0.2">
      <c r="A9" s="208" t="s">
        <v>639</v>
      </c>
      <c r="B9" s="206">
        <v>1852984</v>
      </c>
      <c r="C9" s="206">
        <v>2307126</v>
      </c>
      <c r="D9" s="207">
        <v>454142</v>
      </c>
      <c r="E9" s="206">
        <v>0</v>
      </c>
      <c r="F9" s="206">
        <v>0</v>
      </c>
      <c r="G9" s="207">
        <v>0</v>
      </c>
      <c r="H9" s="206">
        <v>386440</v>
      </c>
      <c r="I9" s="206">
        <v>419058</v>
      </c>
      <c r="J9" s="207">
        <v>32618</v>
      </c>
      <c r="K9" s="206">
        <v>696749</v>
      </c>
      <c r="L9" s="206">
        <v>812883</v>
      </c>
      <c r="M9" s="207">
        <v>116134</v>
      </c>
    </row>
    <row r="10" spans="1:13" ht="13.5" thickBot="1" x14ac:dyDescent="0.25">
      <c r="A10" s="205" t="s">
        <v>640</v>
      </c>
      <c r="B10" s="206">
        <v>-102782</v>
      </c>
      <c r="C10" s="206">
        <v>-149412</v>
      </c>
      <c r="D10" s="209">
        <v>-46630</v>
      </c>
      <c r="E10" s="206">
        <v>970</v>
      </c>
      <c r="F10" s="206">
        <v>963</v>
      </c>
      <c r="G10" s="209">
        <v>-7</v>
      </c>
      <c r="H10" s="206">
        <v>-10844</v>
      </c>
      <c r="I10" s="206">
        <v>12237</v>
      </c>
      <c r="J10" s="209">
        <v>23081</v>
      </c>
      <c r="K10" s="210">
        <v>112655</v>
      </c>
      <c r="L10" s="210">
        <v>136212</v>
      </c>
      <c r="M10" s="209">
        <v>23557</v>
      </c>
    </row>
    <row r="11" spans="1:13" ht="13.5" customHeight="1" thickBot="1" x14ac:dyDescent="0.25">
      <c r="A11" s="341" t="s">
        <v>642</v>
      </c>
      <c r="B11" s="338" t="s">
        <v>632</v>
      </c>
      <c r="C11" s="339"/>
      <c r="D11" s="340"/>
      <c r="E11" s="335" t="s">
        <v>633</v>
      </c>
      <c r="F11" s="336"/>
      <c r="G11" s="337"/>
      <c r="H11" s="332" t="s">
        <v>634</v>
      </c>
      <c r="I11" s="333"/>
      <c r="J11" s="334"/>
      <c r="K11" s="329" t="s">
        <v>635</v>
      </c>
      <c r="L11" s="330"/>
      <c r="M11" s="331"/>
    </row>
    <row r="12" spans="1:13" ht="26.25" thickBot="1" x14ac:dyDescent="0.25">
      <c r="A12" s="342"/>
      <c r="B12" s="201" t="s">
        <v>636</v>
      </c>
      <c r="C12" s="201" t="s">
        <v>637</v>
      </c>
      <c r="D12" s="201" t="s">
        <v>369</v>
      </c>
      <c r="E12" s="202" t="s">
        <v>636</v>
      </c>
      <c r="F12" s="202" t="s">
        <v>637</v>
      </c>
      <c r="G12" s="202" t="s">
        <v>369</v>
      </c>
      <c r="H12" s="203" t="s">
        <v>636</v>
      </c>
      <c r="I12" s="203" t="s">
        <v>637</v>
      </c>
      <c r="J12" s="203" t="s">
        <v>369</v>
      </c>
      <c r="K12" s="204" t="s">
        <v>636</v>
      </c>
      <c r="L12" s="204" t="s">
        <v>637</v>
      </c>
      <c r="M12" s="204" t="s">
        <v>369</v>
      </c>
    </row>
    <row r="13" spans="1:13" x14ac:dyDescent="0.2">
      <c r="A13" s="205" t="s">
        <v>638</v>
      </c>
      <c r="B13" s="206">
        <v>1938105</v>
      </c>
      <c r="C13" s="206">
        <v>2298331</v>
      </c>
      <c r="D13" s="207">
        <v>360226</v>
      </c>
      <c r="E13" s="206">
        <v>37845</v>
      </c>
      <c r="F13" s="206">
        <v>41245</v>
      </c>
      <c r="G13" s="207">
        <v>3400</v>
      </c>
      <c r="H13" s="206">
        <v>547466</v>
      </c>
      <c r="I13" s="206">
        <v>616493</v>
      </c>
      <c r="J13" s="207">
        <v>69027</v>
      </c>
      <c r="K13" s="206">
        <v>950549</v>
      </c>
      <c r="L13" s="206">
        <v>1105542</v>
      </c>
      <c r="M13" s="207">
        <v>154993</v>
      </c>
    </row>
    <row r="14" spans="1:13" x14ac:dyDescent="0.2">
      <c r="A14" s="208" t="s">
        <v>639</v>
      </c>
      <c r="B14" s="206">
        <v>2262347</v>
      </c>
      <c r="C14" s="206">
        <v>2712851</v>
      </c>
      <c r="D14" s="207">
        <v>450504</v>
      </c>
      <c r="E14" s="206">
        <v>0</v>
      </c>
      <c r="F14" s="206">
        <v>0</v>
      </c>
      <c r="G14" s="207">
        <v>0</v>
      </c>
      <c r="H14" s="206">
        <v>304838</v>
      </c>
      <c r="I14" s="206">
        <v>340222</v>
      </c>
      <c r="J14" s="207">
        <v>35384</v>
      </c>
      <c r="K14" s="206">
        <v>906781</v>
      </c>
      <c r="L14" s="206">
        <v>1008537</v>
      </c>
      <c r="M14" s="207">
        <v>101756</v>
      </c>
    </row>
    <row r="15" spans="1:13" ht="13.5" thickBot="1" x14ac:dyDescent="0.25">
      <c r="A15" s="205" t="s">
        <v>640</v>
      </c>
      <c r="B15" s="210">
        <v>-324242</v>
      </c>
      <c r="C15" s="210">
        <v>-414520</v>
      </c>
      <c r="D15" s="209">
        <v>-90278</v>
      </c>
      <c r="E15" s="206">
        <v>37845</v>
      </c>
      <c r="F15" s="206">
        <v>41245</v>
      </c>
      <c r="G15" s="209">
        <v>3400</v>
      </c>
      <c r="H15" s="206">
        <v>242628</v>
      </c>
      <c r="I15" s="206">
        <v>276271</v>
      </c>
      <c r="J15" s="209">
        <v>33643</v>
      </c>
      <c r="K15" s="210">
        <v>43768</v>
      </c>
      <c r="L15" s="210">
        <v>97005</v>
      </c>
      <c r="M15" s="209">
        <v>53237</v>
      </c>
    </row>
    <row r="16" spans="1:13" ht="13.5" thickBot="1" x14ac:dyDescent="0.25">
      <c r="A16" s="341" t="s">
        <v>395</v>
      </c>
      <c r="B16" s="338" t="s">
        <v>632</v>
      </c>
      <c r="C16" s="339"/>
      <c r="D16" s="340"/>
      <c r="E16" s="335" t="s">
        <v>633</v>
      </c>
      <c r="F16" s="336"/>
      <c r="G16" s="337"/>
      <c r="H16" s="332" t="s">
        <v>634</v>
      </c>
      <c r="I16" s="333"/>
      <c r="J16" s="334"/>
      <c r="K16" s="329" t="s">
        <v>635</v>
      </c>
      <c r="L16" s="330"/>
      <c r="M16" s="331"/>
    </row>
    <row r="17" spans="1:13" ht="26.25" thickBot="1" x14ac:dyDescent="0.25">
      <c r="A17" s="342"/>
      <c r="B17" s="201" t="s">
        <v>636</v>
      </c>
      <c r="C17" s="201" t="s">
        <v>637</v>
      </c>
      <c r="D17" s="201" t="s">
        <v>369</v>
      </c>
      <c r="E17" s="202" t="s">
        <v>636</v>
      </c>
      <c r="F17" s="202" t="s">
        <v>637</v>
      </c>
      <c r="G17" s="202" t="s">
        <v>369</v>
      </c>
      <c r="H17" s="203" t="s">
        <v>636</v>
      </c>
      <c r="I17" s="203" t="s">
        <v>637</v>
      </c>
      <c r="J17" s="203" t="s">
        <v>369</v>
      </c>
      <c r="K17" s="204" t="s">
        <v>636</v>
      </c>
      <c r="L17" s="204" t="s">
        <v>637</v>
      </c>
      <c r="M17" s="204" t="s">
        <v>369</v>
      </c>
    </row>
    <row r="18" spans="1:13" x14ac:dyDescent="0.2">
      <c r="A18" s="205" t="s">
        <v>638</v>
      </c>
      <c r="B18" s="206">
        <v>2604639</v>
      </c>
      <c r="C18" s="206">
        <v>2612825</v>
      </c>
      <c r="D18" s="207">
        <v>8186</v>
      </c>
      <c r="E18" s="206">
        <v>205860</v>
      </c>
      <c r="F18" s="206">
        <v>209067</v>
      </c>
      <c r="G18" s="207">
        <v>3207</v>
      </c>
      <c r="H18" s="206">
        <v>3430475</v>
      </c>
      <c r="I18" s="206">
        <v>3444136</v>
      </c>
      <c r="J18" s="207">
        <v>13661</v>
      </c>
      <c r="K18" s="206">
        <v>746247</v>
      </c>
      <c r="L18" s="206">
        <v>755762</v>
      </c>
      <c r="M18" s="207">
        <v>9515</v>
      </c>
    </row>
    <row r="19" spans="1:13" x14ac:dyDescent="0.2">
      <c r="A19" s="208" t="s">
        <v>639</v>
      </c>
      <c r="B19" s="206">
        <v>318266</v>
      </c>
      <c r="C19" s="206">
        <v>323006</v>
      </c>
      <c r="D19" s="207">
        <v>4740</v>
      </c>
      <c r="E19" s="206">
        <v>4255042</v>
      </c>
      <c r="F19" s="206">
        <v>4256764</v>
      </c>
      <c r="G19" s="207">
        <v>1722</v>
      </c>
      <c r="H19" s="206">
        <v>2101997</v>
      </c>
      <c r="I19" s="206">
        <v>2115165</v>
      </c>
      <c r="J19" s="207">
        <v>13168</v>
      </c>
      <c r="K19" s="206">
        <v>311916</v>
      </c>
      <c r="L19" s="206">
        <v>326855</v>
      </c>
      <c r="M19" s="207">
        <v>14939</v>
      </c>
    </row>
    <row r="20" spans="1:13" ht="13.5" thickBot="1" x14ac:dyDescent="0.25">
      <c r="A20" s="205" t="s">
        <v>640</v>
      </c>
      <c r="B20" s="206">
        <v>2286373</v>
      </c>
      <c r="C20" s="206">
        <v>2289819</v>
      </c>
      <c r="D20" s="209">
        <v>3446</v>
      </c>
      <c r="E20" s="210">
        <v>-4049182</v>
      </c>
      <c r="F20" s="210">
        <v>-4047697</v>
      </c>
      <c r="G20" s="209">
        <v>1485</v>
      </c>
      <c r="H20" s="206">
        <v>1328478</v>
      </c>
      <c r="I20" s="206">
        <v>1328971</v>
      </c>
      <c r="J20" s="209">
        <v>493</v>
      </c>
      <c r="K20" s="206">
        <v>434331</v>
      </c>
      <c r="L20" s="206">
        <v>428907</v>
      </c>
      <c r="M20" s="209">
        <v>-5424</v>
      </c>
    </row>
    <row r="21" spans="1:13" ht="13.5" customHeight="1" thickBot="1" x14ac:dyDescent="0.25">
      <c r="A21" s="341" t="s">
        <v>643</v>
      </c>
      <c r="B21" s="338" t="s">
        <v>632</v>
      </c>
      <c r="C21" s="339"/>
      <c r="D21" s="340"/>
      <c r="E21" s="335" t="s">
        <v>633</v>
      </c>
      <c r="F21" s="336"/>
      <c r="G21" s="337"/>
      <c r="H21" s="332" t="s">
        <v>634</v>
      </c>
      <c r="I21" s="333"/>
      <c r="J21" s="334"/>
      <c r="K21" s="329" t="s">
        <v>635</v>
      </c>
      <c r="L21" s="330"/>
      <c r="M21" s="331"/>
    </row>
    <row r="22" spans="1:13" ht="26.25" thickBot="1" x14ac:dyDescent="0.25">
      <c r="A22" s="342"/>
      <c r="B22" s="201" t="s">
        <v>636</v>
      </c>
      <c r="C22" s="201" t="s">
        <v>637</v>
      </c>
      <c r="D22" s="201" t="s">
        <v>369</v>
      </c>
      <c r="E22" s="202" t="s">
        <v>636</v>
      </c>
      <c r="F22" s="202" t="s">
        <v>637</v>
      </c>
      <c r="G22" s="202" t="s">
        <v>369</v>
      </c>
      <c r="H22" s="203" t="s">
        <v>636</v>
      </c>
      <c r="I22" s="203" t="s">
        <v>637</v>
      </c>
      <c r="J22" s="203" t="s">
        <v>369</v>
      </c>
      <c r="K22" s="204" t="s">
        <v>636</v>
      </c>
      <c r="L22" s="204" t="s">
        <v>637</v>
      </c>
      <c r="M22" s="204" t="s">
        <v>369</v>
      </c>
    </row>
    <row r="23" spans="1:13" x14ac:dyDescent="0.2">
      <c r="A23" s="205" t="s">
        <v>638</v>
      </c>
      <c r="B23" s="206">
        <v>1962301</v>
      </c>
      <c r="C23" s="206">
        <v>2026368</v>
      </c>
      <c r="D23" s="207">
        <v>64067</v>
      </c>
      <c r="E23" s="206">
        <v>2302</v>
      </c>
      <c r="F23" s="206">
        <v>2302</v>
      </c>
      <c r="G23" s="207">
        <v>0</v>
      </c>
      <c r="H23" s="206">
        <v>88221</v>
      </c>
      <c r="I23" s="206">
        <v>95099</v>
      </c>
      <c r="J23" s="207">
        <v>6878</v>
      </c>
      <c r="K23" s="206">
        <v>844996</v>
      </c>
      <c r="L23" s="206">
        <v>880521</v>
      </c>
      <c r="M23" s="207">
        <v>35525</v>
      </c>
    </row>
    <row r="24" spans="1:13" x14ac:dyDescent="0.2">
      <c r="A24" s="208" t="s">
        <v>639</v>
      </c>
      <c r="B24" s="206">
        <v>1309245</v>
      </c>
      <c r="C24" s="206">
        <v>1348505</v>
      </c>
      <c r="D24" s="207">
        <v>39260</v>
      </c>
      <c r="E24" s="206">
        <v>201046</v>
      </c>
      <c r="F24" s="206">
        <v>210019</v>
      </c>
      <c r="G24" s="207">
        <v>8973</v>
      </c>
      <c r="H24" s="206">
        <v>122735</v>
      </c>
      <c r="I24" s="206">
        <v>126406</v>
      </c>
      <c r="J24" s="207">
        <v>3671</v>
      </c>
      <c r="K24" s="206">
        <v>1264794</v>
      </c>
      <c r="L24" s="206">
        <v>1319360</v>
      </c>
      <c r="M24" s="207">
        <v>54566</v>
      </c>
    </row>
    <row r="25" spans="1:13" ht="13.5" thickBot="1" x14ac:dyDescent="0.25">
      <c r="A25" s="205" t="s">
        <v>640</v>
      </c>
      <c r="B25" s="206">
        <v>653056</v>
      </c>
      <c r="C25" s="206">
        <v>677863</v>
      </c>
      <c r="D25" s="209">
        <v>24807</v>
      </c>
      <c r="E25" s="210">
        <v>-198744</v>
      </c>
      <c r="F25" s="210">
        <v>-207717</v>
      </c>
      <c r="G25" s="209">
        <v>-8973</v>
      </c>
      <c r="H25" s="210">
        <v>-34514</v>
      </c>
      <c r="I25" s="210">
        <v>-31307</v>
      </c>
      <c r="J25" s="209">
        <v>3207</v>
      </c>
      <c r="K25" s="210">
        <v>-419798</v>
      </c>
      <c r="L25" s="210">
        <v>-438839</v>
      </c>
      <c r="M25" s="209">
        <v>-19041</v>
      </c>
    </row>
    <row r="26" spans="1:13" ht="13.5" thickBot="1" x14ac:dyDescent="0.25">
      <c r="A26" s="341" t="s">
        <v>644</v>
      </c>
      <c r="B26" s="338" t="s">
        <v>632</v>
      </c>
      <c r="C26" s="339"/>
      <c r="D26" s="340"/>
      <c r="E26" s="335" t="s">
        <v>633</v>
      </c>
      <c r="F26" s="336"/>
      <c r="G26" s="337"/>
      <c r="H26" s="332" t="s">
        <v>634</v>
      </c>
      <c r="I26" s="333"/>
      <c r="J26" s="334"/>
      <c r="K26" s="329" t="s">
        <v>635</v>
      </c>
      <c r="L26" s="330"/>
      <c r="M26" s="331"/>
    </row>
    <row r="27" spans="1:13" ht="26.25" thickBot="1" x14ac:dyDescent="0.25">
      <c r="A27" s="342"/>
      <c r="B27" s="201" t="s">
        <v>636</v>
      </c>
      <c r="C27" s="201" t="s">
        <v>637</v>
      </c>
      <c r="D27" s="201" t="s">
        <v>369</v>
      </c>
      <c r="E27" s="202" t="s">
        <v>636</v>
      </c>
      <c r="F27" s="202" t="s">
        <v>637</v>
      </c>
      <c r="G27" s="202" t="s">
        <v>369</v>
      </c>
      <c r="H27" s="203" t="s">
        <v>636</v>
      </c>
      <c r="I27" s="203" t="s">
        <v>637</v>
      </c>
      <c r="J27" s="203" t="s">
        <v>369</v>
      </c>
      <c r="K27" s="204" t="s">
        <v>636</v>
      </c>
      <c r="L27" s="204" t="s">
        <v>637</v>
      </c>
      <c r="M27" s="204" t="s">
        <v>369</v>
      </c>
    </row>
    <row r="28" spans="1:13" x14ac:dyDescent="0.2">
      <c r="A28" s="205" t="s">
        <v>638</v>
      </c>
      <c r="B28" s="206">
        <v>965204</v>
      </c>
      <c r="C28" s="206">
        <v>976654</v>
      </c>
      <c r="D28" s="207">
        <v>11450</v>
      </c>
      <c r="E28" s="206">
        <v>0</v>
      </c>
      <c r="F28" s="206">
        <v>0</v>
      </c>
      <c r="G28" s="207">
        <v>0</v>
      </c>
      <c r="H28" s="206">
        <v>122759</v>
      </c>
      <c r="I28" s="206">
        <v>127524</v>
      </c>
      <c r="J28" s="207">
        <v>4765</v>
      </c>
      <c r="K28" s="206">
        <v>890072</v>
      </c>
      <c r="L28" s="206">
        <v>914253</v>
      </c>
      <c r="M28" s="207">
        <v>24181</v>
      </c>
    </row>
    <row r="29" spans="1:13" x14ac:dyDescent="0.2">
      <c r="A29" s="208" t="s">
        <v>639</v>
      </c>
      <c r="B29" s="206">
        <v>1149376</v>
      </c>
      <c r="C29" s="206">
        <v>1171336</v>
      </c>
      <c r="D29" s="207">
        <v>21960</v>
      </c>
      <c r="E29" s="206">
        <v>0</v>
      </c>
      <c r="F29" s="206">
        <v>0</v>
      </c>
      <c r="G29" s="207">
        <v>0</v>
      </c>
      <c r="H29" s="206">
        <v>95281</v>
      </c>
      <c r="I29" s="206">
        <v>97491</v>
      </c>
      <c r="J29" s="207">
        <v>2210</v>
      </c>
      <c r="K29" s="206">
        <v>733378</v>
      </c>
      <c r="L29" s="206">
        <v>749604</v>
      </c>
      <c r="M29" s="207">
        <v>16226</v>
      </c>
    </row>
    <row r="30" spans="1:13" ht="13.5" thickBot="1" x14ac:dyDescent="0.25">
      <c r="A30" s="211" t="s">
        <v>640</v>
      </c>
      <c r="B30" s="212">
        <v>-184172</v>
      </c>
      <c r="C30" s="212">
        <v>-194682</v>
      </c>
      <c r="D30" s="213">
        <v>-10510</v>
      </c>
      <c r="E30" s="214">
        <v>0</v>
      </c>
      <c r="F30" s="214">
        <v>0</v>
      </c>
      <c r="G30" s="213">
        <v>0</v>
      </c>
      <c r="H30" s="214">
        <v>27478</v>
      </c>
      <c r="I30" s="214">
        <v>30033</v>
      </c>
      <c r="J30" s="213">
        <v>2555</v>
      </c>
      <c r="K30" s="214">
        <v>156694</v>
      </c>
      <c r="L30" s="214">
        <v>164649</v>
      </c>
      <c r="M30" s="213">
        <v>7955</v>
      </c>
    </row>
  </sheetData>
  <mergeCells count="30">
    <mergeCell ref="A1:A2"/>
    <mergeCell ref="B1:D1"/>
    <mergeCell ref="E1:G1"/>
    <mergeCell ref="H1:J1"/>
    <mergeCell ref="K1:M1"/>
    <mergeCell ref="K26:M26"/>
    <mergeCell ref="H26:J26"/>
    <mergeCell ref="E26:G26"/>
    <mergeCell ref="B26:D26"/>
    <mergeCell ref="A26:A27"/>
    <mergeCell ref="B16:D16"/>
    <mergeCell ref="A16:A17"/>
    <mergeCell ref="K21:M21"/>
    <mergeCell ref="H21:J21"/>
    <mergeCell ref="E21:G21"/>
    <mergeCell ref="B21:D21"/>
    <mergeCell ref="A21:A22"/>
    <mergeCell ref="K16:M16"/>
    <mergeCell ref="H16:J16"/>
    <mergeCell ref="E16:G16"/>
    <mergeCell ref="K6:M6"/>
    <mergeCell ref="H6:J6"/>
    <mergeCell ref="E6:G6"/>
    <mergeCell ref="B6:D6"/>
    <mergeCell ref="A6:A7"/>
    <mergeCell ref="K11:M11"/>
    <mergeCell ref="H11:J11"/>
    <mergeCell ref="E11:G11"/>
    <mergeCell ref="B11:D11"/>
    <mergeCell ref="A11:A12"/>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647</v>
      </c>
      <c r="B1" s="216" t="s">
        <v>249</v>
      </c>
      <c r="C1" s="200"/>
      <c r="D1" s="200"/>
    </row>
    <row r="2" spans="1:4" x14ac:dyDescent="0.25">
      <c r="A2" s="217" t="s">
        <v>648</v>
      </c>
      <c r="B2" s="218">
        <f>VLOOKUP($B$1,'Snapshot (Value)'!$A:$S,2,0)</f>
        <v>175</v>
      </c>
      <c r="C2" s="200"/>
      <c r="D2" s="200"/>
    </row>
    <row r="3" spans="1:4" x14ac:dyDescent="0.25">
      <c r="A3" s="217" t="s">
        <v>312</v>
      </c>
      <c r="B3" s="219">
        <f>VLOOKUP($B$1,'Snapshot (Value)'!$A:$S,3,0)</f>
        <v>4038.7</v>
      </c>
      <c r="C3" s="200"/>
      <c r="D3" s="200"/>
    </row>
    <row r="4" spans="1:4" x14ac:dyDescent="0.25">
      <c r="A4" s="217" t="s">
        <v>320</v>
      </c>
      <c r="B4" s="220">
        <f>VLOOKUP($B$1,'Snapshot (Value)'!$A:$S,6,0)</f>
        <v>1.2000000000002728</v>
      </c>
      <c r="C4" s="200"/>
      <c r="D4" s="200"/>
    </row>
    <row r="5" spans="1:4" x14ac:dyDescent="0.25">
      <c r="A5" s="221"/>
      <c r="B5" s="222" t="s">
        <v>649</v>
      </c>
      <c r="C5" s="222" t="s">
        <v>650</v>
      </c>
      <c r="D5" s="222" t="s">
        <v>651</v>
      </c>
    </row>
    <row r="6" spans="1:4" x14ac:dyDescent="0.25">
      <c r="A6" s="217" t="s">
        <v>652</v>
      </c>
      <c r="B6" s="219">
        <f>VLOOKUP($B$1,'Snapshot (Value)'!$A:$S,4,0)</f>
        <v>4039.9</v>
      </c>
      <c r="C6" s="219">
        <f>VLOOKUP($B$1,'Snapshot (Value)'!$A:$S,5,0)</f>
        <v>3888.8</v>
      </c>
      <c r="D6" s="219">
        <f>+(B6/C6-1)*100</f>
        <v>3.8855173832544665</v>
      </c>
    </row>
    <row r="7" spans="1:4" x14ac:dyDescent="0.25">
      <c r="A7" s="217" t="s">
        <v>316</v>
      </c>
      <c r="B7" s="219">
        <f>VLOOKUP($B$1,'Snapshot (Volume)'!$A:$S,12,0)</f>
        <v>0.61</v>
      </c>
      <c r="C7" s="219">
        <f>VLOOKUP($B$1,'Snapshot (Volume)'!$A:$S,13,0)</f>
        <v>0.53</v>
      </c>
      <c r="D7" s="219">
        <f>+(B7/C7-1)*100</f>
        <v>15.094339622641506</v>
      </c>
    </row>
    <row r="8" spans="1:4" x14ac:dyDescent="0.25">
      <c r="A8" s="217" t="s">
        <v>653</v>
      </c>
      <c r="B8" s="219">
        <f>VLOOKUP($B$1,'Snapshot (Volume)'!$A:$S,15,0)</f>
        <v>0.61</v>
      </c>
      <c r="C8" s="219">
        <f>VLOOKUP($B$1,'Snapshot (Volume)'!$A:$S,16,0)</f>
        <v>0.71</v>
      </c>
      <c r="D8" s="219">
        <f>+(B8/C8-1)*100</f>
        <v>-14.084507042253513</v>
      </c>
    </row>
    <row r="9" spans="1:4" x14ac:dyDescent="0.25">
      <c r="A9" s="215" t="s">
        <v>654</v>
      </c>
      <c r="B9" s="222" t="s">
        <v>655</v>
      </c>
      <c r="C9" s="222" t="s">
        <v>369</v>
      </c>
      <c r="D9" s="222" t="s">
        <v>651</v>
      </c>
    </row>
    <row r="10" spans="1:4" x14ac:dyDescent="0.25">
      <c r="A10" s="217" t="s">
        <v>656</v>
      </c>
      <c r="B10" s="219">
        <f>VLOOKUP($B$1,'OI(Value)'!$A:$O,5,0)</f>
        <v>5489</v>
      </c>
      <c r="C10" s="219">
        <f>VLOOKUP($B$1,'OI(Value)'!$A:$O,6,0)</f>
        <v>-48</v>
      </c>
      <c r="D10" s="219">
        <f>VLOOKUP($B$1,'OI(Value)'!$A:$O,7,0)*100</f>
        <v>-0.86999999999999988</v>
      </c>
    </row>
    <row r="11" spans="1:4" x14ac:dyDescent="0.25">
      <c r="A11" s="217" t="s">
        <v>657</v>
      </c>
      <c r="B11" s="219">
        <f>VLOOKUP($B$1,'OI(Value)'!$A:$O,8,0)</f>
        <v>4135</v>
      </c>
      <c r="C11" s="219">
        <f>VLOOKUP($B$1,'OI(Value)'!$A:$O,9,0)</f>
        <v>179</v>
      </c>
      <c r="D11" s="219">
        <f>VLOOKUP($B$1,'OI(Value)'!$A:$O,10,0)*100</f>
        <v>4.5199999999999996</v>
      </c>
    </row>
    <row r="12" spans="1:4" x14ac:dyDescent="0.25">
      <c r="A12" s="217" t="s">
        <v>658</v>
      </c>
      <c r="B12" s="219">
        <f>VLOOKUP($B$1,'OI(Value)'!$A:$O,11,0)</f>
        <v>2508</v>
      </c>
      <c r="C12" s="219">
        <f>VLOOKUP($B$1,'OI(Value)'!$A:$O,12,0)</f>
        <v>416</v>
      </c>
      <c r="D12" s="219">
        <f>VLOOKUP($B$1,'OI(Value)'!$A:$O,13,0)*100</f>
        <v>19.900000000000002</v>
      </c>
    </row>
    <row r="13" spans="1:4" x14ac:dyDescent="0.25">
      <c r="A13" s="215" t="s">
        <v>659</v>
      </c>
      <c r="B13" s="223">
        <f>VLOOKUP($B$1,'OI(Value)'!$A:$O,2,0)</f>
        <v>12132</v>
      </c>
      <c r="C13" s="223">
        <f>VLOOKUP($B$1,'OI(Value)'!$A:$O,3,0)</f>
        <v>547</v>
      </c>
      <c r="D13" s="223">
        <f>VLOOKUP($B$1,'OI(Value)'!$A:$O,4,0)*100</f>
        <v>4.72</v>
      </c>
    </row>
    <row r="14" spans="1:4" x14ac:dyDescent="0.25">
      <c r="A14" s="215" t="s">
        <v>660</v>
      </c>
      <c r="B14" s="222" t="s">
        <v>661</v>
      </c>
      <c r="C14" s="222" t="s">
        <v>369</v>
      </c>
      <c r="D14" s="222" t="s">
        <v>651</v>
      </c>
    </row>
    <row r="15" spans="1:4" x14ac:dyDescent="0.25">
      <c r="A15" s="217" t="s">
        <v>656</v>
      </c>
      <c r="B15" s="219">
        <f>VLOOKUP($B$1,'OI(Volume)'!$A:$O,5,0)/10^5</f>
        <v>135.87875</v>
      </c>
      <c r="C15" s="219">
        <f>VLOOKUP($B$1,'OI(Volume)'!$A:$O,6,0)/10^5</f>
        <v>-1.1935</v>
      </c>
      <c r="D15" s="219">
        <f>(VLOOKUP($B$1,'OI(Volume)'!$A:$O,7,0))*100</f>
        <v>-0.86999999999999988</v>
      </c>
    </row>
    <row r="16" spans="1:4" x14ac:dyDescent="0.25">
      <c r="A16" s="217" t="s">
        <v>657</v>
      </c>
      <c r="B16" s="219">
        <f>VLOOKUP($B$1,'OI(Volume)'!$A:$O,8,0)/10^5</f>
        <v>102.354</v>
      </c>
      <c r="C16" s="219">
        <f>VLOOKUP($B$1,'OI(Volume)'!$A:$O,9,0)/10^5</f>
        <v>4.431</v>
      </c>
      <c r="D16" s="219">
        <f>(VLOOKUP($B$1,'OI(Volume)'!$A:$O,10,0))*100</f>
        <v>4.5199999999999996</v>
      </c>
    </row>
    <row r="17" spans="1:4" x14ac:dyDescent="0.25">
      <c r="A17" s="217" t="s">
        <v>658</v>
      </c>
      <c r="B17" s="219">
        <f>VLOOKUP($B$1,'OI(Volume)'!$A:$O,11,0)/10^5</f>
        <v>62.070749999999997</v>
      </c>
      <c r="C17" s="219">
        <f>VLOOKUP($B$1,'OI(Volume)'!$A:$O,12,0)/10^5</f>
        <v>10.304</v>
      </c>
      <c r="D17" s="219">
        <f>(VLOOKUP($B$1,'OI(Volume)'!$A:$O,13,0))*100</f>
        <v>19.900000000000002</v>
      </c>
    </row>
    <row r="18" spans="1:4" x14ac:dyDescent="0.25">
      <c r="A18" s="215" t="s">
        <v>662</v>
      </c>
      <c r="B18" s="223">
        <f>VLOOKUP($B$1,'OI(Volume)'!$A:$O,2,0)/10^5</f>
        <v>300.30349999999999</v>
      </c>
      <c r="C18" s="223">
        <f>VLOOKUP($B$1,'OI(Volume)'!$A:$O,3,0)/10^5</f>
        <v>13.541499999999999</v>
      </c>
      <c r="D18" s="223">
        <f>(VLOOKUP($B$1,'OI(Volume)'!$A:$O,4,0))*100</f>
        <v>4.72</v>
      </c>
    </row>
    <row r="20" spans="1:4" x14ac:dyDescent="0.25">
      <c r="A20" s="17" t="s">
        <v>417</v>
      </c>
      <c r="B20" s="224">
        <f>VLOOKUP($B$1,'Open Interest Position'!$A:$F,2,0)/10^5</f>
        <v>1361.09374</v>
      </c>
    </row>
    <row r="21" spans="1:4" x14ac:dyDescent="0.25">
      <c r="A21" s="17" t="s">
        <v>412</v>
      </c>
      <c r="B21" s="224">
        <f>VLOOKUP($B$1,'Open Interest Position'!$A:$F,3,0)/10^5</f>
        <v>294.245</v>
      </c>
    </row>
    <row r="22" spans="1:4" x14ac:dyDescent="0.25">
      <c r="A22" s="17" t="s">
        <v>418</v>
      </c>
      <c r="B22" s="224">
        <f>VLOOKUP($B$1,'Open Interest Position'!$A:$F,4,0)/10^5</f>
        <v>148.92638543146001</v>
      </c>
    </row>
    <row r="23" spans="1:4" x14ac:dyDescent="0.25">
      <c r="A23" s="17" t="s">
        <v>419</v>
      </c>
      <c r="B23" s="225">
        <f>VLOOKUP($B$1,'Open Interest Position'!$A:$F,6,0)</f>
        <v>0.21618275902143227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7" t="s">
        <v>329</v>
      </c>
      <c r="B3" s="268"/>
      <c r="C3" s="268"/>
      <c r="D3" s="268"/>
      <c r="E3" s="268"/>
      <c r="F3" s="268"/>
      <c r="G3" s="268"/>
      <c r="H3" s="268"/>
      <c r="I3" s="269"/>
      <c r="J3" s="269"/>
      <c r="K3" s="269"/>
      <c r="L3" s="269"/>
      <c r="M3" s="269"/>
      <c r="N3" s="269"/>
      <c r="O3" s="269"/>
      <c r="P3" s="270"/>
    </row>
    <row r="4" spans="1:36" x14ac:dyDescent="0.25">
      <c r="A4" s="271" t="s">
        <v>330</v>
      </c>
      <c r="B4" s="271"/>
      <c r="C4" s="77" t="s">
        <v>308</v>
      </c>
      <c r="D4" s="273" t="s">
        <v>326</v>
      </c>
      <c r="E4" s="273"/>
      <c r="F4" s="273"/>
      <c r="G4" s="273"/>
      <c r="H4" s="273" t="s">
        <v>457</v>
      </c>
      <c r="I4" s="273"/>
      <c r="J4" s="273"/>
      <c r="K4" s="271" t="s">
        <v>309</v>
      </c>
      <c r="L4" s="271"/>
      <c r="M4" s="271"/>
      <c r="N4" s="271" t="s">
        <v>331</v>
      </c>
      <c r="O4" s="271"/>
      <c r="P4" s="271"/>
    </row>
    <row r="5" spans="1:36" x14ac:dyDescent="0.25">
      <c r="A5" s="272"/>
      <c r="B5" s="272"/>
      <c r="C5" s="65" t="s">
        <v>312</v>
      </c>
      <c r="D5" s="274" t="s">
        <v>314</v>
      </c>
      <c r="E5" s="274"/>
      <c r="F5" s="274"/>
      <c r="G5" s="274"/>
      <c r="H5" s="274" t="s">
        <v>315</v>
      </c>
      <c r="I5" s="274"/>
      <c r="J5" s="274"/>
      <c r="K5" s="272" t="s">
        <v>314</v>
      </c>
      <c r="L5" s="272"/>
      <c r="M5" s="272"/>
      <c r="N5" s="272" t="s">
        <v>315</v>
      </c>
      <c r="O5" s="272"/>
      <c r="P5" s="272"/>
    </row>
    <row r="6" spans="1:36" x14ac:dyDescent="0.25">
      <c r="A6" s="78" t="s">
        <v>332</v>
      </c>
      <c r="B6" s="78" t="s">
        <v>318</v>
      </c>
      <c r="C6" s="65" t="s">
        <v>328</v>
      </c>
      <c r="D6" s="66">
        <f>'Snapshot (Volume)'!B6</f>
        <v>46086</v>
      </c>
      <c r="E6" s="66" t="s">
        <v>368</v>
      </c>
      <c r="F6" s="71" t="s">
        <v>333</v>
      </c>
      <c r="G6" s="71" t="s">
        <v>328</v>
      </c>
      <c r="H6" s="66">
        <f>D6</f>
        <v>46086</v>
      </c>
      <c r="I6" s="71" t="s">
        <v>322</v>
      </c>
      <c r="J6" s="71" t="s">
        <v>328</v>
      </c>
      <c r="K6" s="66">
        <f>D6</f>
        <v>46086</v>
      </c>
      <c r="L6" s="78" t="s">
        <v>333</v>
      </c>
      <c r="M6" s="78" t="s">
        <v>328</v>
      </c>
      <c r="N6" s="66">
        <f>D6</f>
        <v>46086</v>
      </c>
      <c r="O6" s="78" t="s">
        <v>322</v>
      </c>
      <c r="P6" s="78" t="s">
        <v>328</v>
      </c>
    </row>
    <row r="7" spans="1:36" x14ac:dyDescent="0.25">
      <c r="A7" s="79" t="str">
        <f>'Data shares'!B2</f>
        <v>Finance</v>
      </c>
      <c r="B7" s="79" t="str">
        <f>'Data shares'!C2</f>
        <v>360ONE</v>
      </c>
      <c r="C7" s="79">
        <f>VLOOKUP($B7,'Data shares'!$C:$FB,7)</f>
        <v>1081</v>
      </c>
      <c r="D7" s="165">
        <f>VLOOKUP($B7,'Data shares'!$C:$FB,98)</f>
        <v>4273500</v>
      </c>
      <c r="E7" s="165">
        <f>VLOOKUP(B7,'Snapshot (Volume)'!$A$7:$G$168,7,0)</f>
        <v>4268000</v>
      </c>
      <c r="F7" s="165">
        <f>D7-E7</f>
        <v>5500</v>
      </c>
      <c r="G7" s="166">
        <f>F7/E7</f>
        <v>1.288659793814433E-3</v>
      </c>
      <c r="H7" s="165">
        <f>VLOOKUP($B7,'Data shares'!$C:$FB,66)</f>
        <v>1090000</v>
      </c>
      <c r="I7" s="165">
        <f>VLOOKUP($B7,'Data shares'!$C:$FB,67)</f>
        <v>2311000</v>
      </c>
      <c r="J7" s="81">
        <f>(H7-I7)/I7*100</f>
        <v>-52.834270878407622</v>
      </c>
      <c r="K7" s="81">
        <f>VLOOKUP($B7,'Data Vlaue (Cr)'!$C:$FB,99)</f>
        <v>463</v>
      </c>
      <c r="L7" s="81">
        <f>VLOOKUP(B7,'OI(Value)'!$A$7:$C$226,3,0)</f>
        <v>1</v>
      </c>
      <c r="M7" s="81">
        <f t="shared" ref="M7:M36" si="0">L7/K7*100</f>
        <v>0.21598272138228944</v>
      </c>
      <c r="N7" s="81">
        <f>VLOOKUP($B7,'Data Vlaue (Cr)'!$C:$FB,67)</f>
        <v>118</v>
      </c>
      <c r="O7" s="81">
        <f>VLOOKUP($B7,'Data Vlaue (Cr)'!$C:$FB,68)</f>
        <v>250</v>
      </c>
      <c r="P7" s="81">
        <f t="shared" ref="P7:P23" si="1">(N7-O7)/N7*100</f>
        <v>-111.86440677966101</v>
      </c>
      <c r="Q7" s="1"/>
      <c r="R7" s="1"/>
      <c r="S7" s="1"/>
      <c r="T7" s="1"/>
      <c r="U7" s="1"/>
      <c r="V7" s="1"/>
      <c r="W7" s="1"/>
      <c r="X7" s="1"/>
      <c r="Y7" s="1"/>
      <c r="Z7" s="1"/>
      <c r="AA7" s="1"/>
      <c r="AB7" s="1"/>
      <c r="AC7" s="1"/>
      <c r="AD7" s="1"/>
      <c r="AE7" s="1"/>
      <c r="AF7" s="1"/>
      <c r="AG7" s="1"/>
      <c r="AH7" s="1"/>
      <c r="AI7" s="1"/>
      <c r="AJ7" s="1"/>
    </row>
    <row r="8" spans="1:36" x14ac:dyDescent="0.25">
      <c r="A8" s="79" t="str">
        <f>'Data shares'!B3</f>
        <v>Capital_Goods</v>
      </c>
      <c r="B8" s="79" t="str">
        <f>'Data shares'!C3</f>
        <v>ABB</v>
      </c>
      <c r="C8" s="79">
        <f>VLOOKUP($B8,'Data shares'!$C:$FB,7)</f>
        <v>5929</v>
      </c>
      <c r="D8" s="165">
        <f>VLOOKUP($B8,'Data shares'!$C:$FB,98)</f>
        <v>3862000</v>
      </c>
      <c r="E8" s="165">
        <f>VLOOKUP(B8,'Snapshot (Volume)'!$A$7:$G$168,7,0)</f>
        <v>3918875</v>
      </c>
      <c r="F8" s="165">
        <f t="shared" ref="F8:F23" si="2">D8-E8</f>
        <v>-56875</v>
      </c>
      <c r="G8" s="166">
        <f t="shared" ref="G8:G23" si="3">F8/E8</f>
        <v>-1.451309368122229E-2</v>
      </c>
      <c r="H8" s="165">
        <f>VLOOKUP($B8,'Data shares'!$C:$FB,66)</f>
        <v>2040500</v>
      </c>
      <c r="I8" s="165">
        <f>VLOOKUP($B8,'Data shares'!$C:$FB,67)</f>
        <v>2572000</v>
      </c>
      <c r="J8" s="81">
        <f t="shared" ref="J8:J22" si="4">(H8-I8)/I8*100</f>
        <v>-20.664852255054434</v>
      </c>
      <c r="K8" s="81">
        <f>VLOOKUP($B8,'Data Vlaue (Cr)'!$C:$FB,99)</f>
        <v>2295</v>
      </c>
      <c r="L8" s="81">
        <f>VLOOKUP(B8,'OI(Value)'!$A$7:$C$226,3,0)</f>
        <v>-34</v>
      </c>
      <c r="M8" s="81">
        <f t="shared" si="0"/>
        <v>-1.4814814814814816</v>
      </c>
      <c r="N8" s="81">
        <f>VLOOKUP($B8,'Data Vlaue (Cr)'!$C:$FB,67)</f>
        <v>1213</v>
      </c>
      <c r="O8" s="81">
        <f>VLOOKUP($B8,'Data Vlaue (Cr)'!$C:$FB,68)</f>
        <v>1529</v>
      </c>
      <c r="P8" s="81">
        <f t="shared" si="1"/>
        <v>-26.051112943116237</v>
      </c>
      <c r="Q8" s="1"/>
      <c r="R8" s="1"/>
      <c r="S8" s="1"/>
      <c r="T8" s="1"/>
      <c r="U8" s="1"/>
      <c r="V8" s="1"/>
      <c r="W8" s="1"/>
      <c r="X8" s="1"/>
      <c r="Y8" s="1"/>
      <c r="Z8" s="1"/>
      <c r="AA8" s="1"/>
      <c r="AB8" s="1"/>
      <c r="AC8" s="1"/>
      <c r="AD8" s="1"/>
      <c r="AE8" s="1"/>
      <c r="AF8" s="1"/>
      <c r="AG8" s="1"/>
      <c r="AH8" s="1"/>
      <c r="AI8" s="1"/>
      <c r="AJ8" s="1"/>
    </row>
    <row r="9" spans="1:36" x14ac:dyDescent="0.25">
      <c r="A9" s="79" t="str">
        <f>'Data shares'!B4</f>
        <v>Finance</v>
      </c>
      <c r="B9" s="79" t="str">
        <f>'Data shares'!C4</f>
        <v>ABCAPITAL</v>
      </c>
      <c r="C9" s="79">
        <f>VLOOKUP($B9,'Data shares'!$C:$FB,7)</f>
        <v>327.60000000000002</v>
      </c>
      <c r="D9" s="165">
        <f>VLOOKUP($B9,'Data shares'!$C:$FB,98)</f>
        <v>76086400</v>
      </c>
      <c r="E9" s="165">
        <f>VLOOKUP(B9,'Snapshot (Volume)'!$A$7:$G$168,7,0)</f>
        <v>76861400</v>
      </c>
      <c r="F9" s="165">
        <f t="shared" si="2"/>
        <v>-775000</v>
      </c>
      <c r="G9" s="166">
        <f t="shared" si="3"/>
        <v>-1.0083084617246107E-2</v>
      </c>
      <c r="H9" s="165">
        <f>VLOOKUP($B9,'Data shares'!$C:$FB,66)</f>
        <v>32162500</v>
      </c>
      <c r="I9" s="165">
        <f>VLOOKUP($B9,'Data shares'!$C:$FB,67)</f>
        <v>67914800</v>
      </c>
      <c r="J9" s="81">
        <f t="shared" si="4"/>
        <v>-52.642870184407521</v>
      </c>
      <c r="K9" s="81">
        <f>VLOOKUP($B9,'Data Vlaue (Cr)'!$C:$FB,99)</f>
        <v>2500</v>
      </c>
      <c r="L9" s="81">
        <f>VLOOKUP(B9,'OI(Value)'!$A$7:$C$226,3,0)</f>
        <v>-25</v>
      </c>
      <c r="M9" s="81">
        <f t="shared" si="0"/>
        <v>-1</v>
      </c>
      <c r="N9" s="81">
        <f>VLOOKUP($B9,'Data Vlaue (Cr)'!$C:$FB,67)</f>
        <v>1057</v>
      </c>
      <c r="O9" s="81">
        <f>VLOOKUP($B9,'Data Vlaue (Cr)'!$C:$FB,68)</f>
        <v>2231</v>
      </c>
      <c r="P9" s="81">
        <f t="shared" si="1"/>
        <v>-111.06906338694418</v>
      </c>
      <c r="Q9" s="1"/>
      <c r="R9" s="1"/>
      <c r="S9" s="1"/>
      <c r="T9" s="1"/>
      <c r="U9" s="1"/>
      <c r="V9" s="1"/>
      <c r="W9" s="1"/>
      <c r="X9" s="1"/>
      <c r="Y9" s="1"/>
      <c r="Z9" s="1"/>
      <c r="AA9" s="1"/>
      <c r="AB9" s="1"/>
      <c r="AC9" s="1"/>
      <c r="AD9" s="1"/>
      <c r="AE9" s="1"/>
      <c r="AF9" s="1"/>
      <c r="AG9" s="1"/>
      <c r="AH9" s="1"/>
      <c r="AI9" s="1"/>
      <c r="AJ9" s="1"/>
    </row>
    <row r="10" spans="1:36" x14ac:dyDescent="0.25">
      <c r="A10" s="79" t="str">
        <f>'Data shares'!B5</f>
        <v>Power</v>
      </c>
      <c r="B10" s="79" t="str">
        <f>'Data shares'!C5</f>
        <v>ADANIENSOL</v>
      </c>
      <c r="C10" s="4">
        <f>VLOOKUP($B10,'Data shares'!$C:$FB,7)</f>
        <v>987.9</v>
      </c>
      <c r="D10" s="82">
        <f>VLOOKUP($B10,'Data shares'!$C:$FB,98)</f>
        <v>25394175</v>
      </c>
      <c r="E10" s="165">
        <f>VLOOKUP(B10,'Snapshot (Volume)'!$A$7:$G$168,7,0)</f>
        <v>25067475</v>
      </c>
      <c r="F10" s="165">
        <f t="shared" si="2"/>
        <v>326700</v>
      </c>
      <c r="G10" s="166">
        <f t="shared" si="3"/>
        <v>1.3032824406925707E-2</v>
      </c>
      <c r="H10" s="165">
        <f>VLOOKUP($B10,'Data shares'!$C:$FB,66)</f>
        <v>4795875</v>
      </c>
      <c r="I10" s="165">
        <f>VLOOKUP($B10,'Data shares'!$C:$FB,67)</f>
        <v>7158375</v>
      </c>
      <c r="J10" s="81">
        <f t="shared" si="4"/>
        <v>-33.003300330032999</v>
      </c>
      <c r="K10" s="5">
        <f>VLOOKUP($B10,'Data Vlaue (Cr)'!$C:$FB,99)</f>
        <v>2519</v>
      </c>
      <c r="L10" s="81">
        <f>VLOOKUP(B10,'OI(Value)'!$A$7:$C$226,3,0)</f>
        <v>32</v>
      </c>
      <c r="M10" s="33">
        <f t="shared" si="0"/>
        <v>1.2703453751488685</v>
      </c>
      <c r="N10" s="5">
        <f>VLOOKUP($B10,'Data Vlaue (Cr)'!$C:$FB,67)</f>
        <v>476</v>
      </c>
      <c r="O10" s="5">
        <f>VLOOKUP($B10,'Data Vlaue (Cr)'!$C:$FB,68)</f>
        <v>710</v>
      </c>
      <c r="P10" s="5">
        <f t="shared" si="1"/>
        <v>-49.159663865546214</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Infrastructure</v>
      </c>
      <c r="B11" s="79" t="str">
        <f>'Data shares'!C6</f>
        <v>ADANIENT</v>
      </c>
      <c r="C11" s="4">
        <f>VLOOKUP($B11,'Data shares'!$C:$FB,7)</f>
        <v>2089.1999999999998</v>
      </c>
      <c r="D11" s="82">
        <f>VLOOKUP($B11,'Data shares'!$C:$FB,98)</f>
        <v>28498143</v>
      </c>
      <c r="E11" s="165">
        <f>VLOOKUP(B11,'Snapshot (Volume)'!$A$7:$G$168,7,0)</f>
        <v>27925875</v>
      </c>
      <c r="F11" s="165">
        <f t="shared" si="2"/>
        <v>572268</v>
      </c>
      <c r="G11" s="166">
        <f t="shared" si="3"/>
        <v>2.0492392807745504E-2</v>
      </c>
      <c r="H11" s="165">
        <f>VLOOKUP($B11,'Data shares'!$C:$FB,66)</f>
        <v>13992138</v>
      </c>
      <c r="I11" s="165">
        <f>VLOOKUP($B11,'Data shares'!$C:$FB,67)</f>
        <v>12114963</v>
      </c>
      <c r="J11" s="81">
        <f t="shared" si="4"/>
        <v>15.494682072078966</v>
      </c>
      <c r="K11" s="5">
        <f>VLOOKUP($B11,'Data Vlaue (Cr)'!$C:$FB,99)</f>
        <v>5974</v>
      </c>
      <c r="L11" s="81">
        <f>VLOOKUP(B11,'OI(Value)'!$A$7:$C$226,3,0)</f>
        <v>120</v>
      </c>
      <c r="M11" s="33">
        <f t="shared" si="0"/>
        <v>2.0087043856712423</v>
      </c>
      <c r="N11" s="5">
        <f>VLOOKUP($B11,'Data Vlaue (Cr)'!$C:$FB,67)</f>
        <v>2933</v>
      </c>
      <c r="O11" s="5">
        <f>VLOOKUP($B11,'Data Vlaue (Cr)'!$C:$FB,68)</f>
        <v>2540</v>
      </c>
      <c r="P11" s="5">
        <f t="shared" si="1"/>
        <v>13.399249914763042</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Power</v>
      </c>
      <c r="B12" s="79" t="str">
        <f>'Data shares'!C7</f>
        <v>ADANIGREEN</v>
      </c>
      <c r="C12" s="4">
        <f>VLOOKUP($B12,'Data shares'!$C:$FB,7)</f>
        <v>884.55</v>
      </c>
      <c r="D12" s="82">
        <f>VLOOKUP($B12,'Data shares'!$C:$FB,98)</f>
        <v>34618200</v>
      </c>
      <c r="E12" s="165">
        <f>VLOOKUP(B12,'Snapshot (Volume)'!$A$7:$G$168,7,0)</f>
        <v>32658600</v>
      </c>
      <c r="F12" s="165">
        <f t="shared" si="2"/>
        <v>1959600</v>
      </c>
      <c r="G12" s="166">
        <f t="shared" si="3"/>
        <v>6.0002572063713691E-2</v>
      </c>
      <c r="H12" s="165">
        <f>VLOOKUP($B12,'Data shares'!$C:$FB,66)</f>
        <v>15218400</v>
      </c>
      <c r="I12" s="165">
        <f>VLOOKUP($B12,'Data shares'!$C:$FB,67)</f>
        <v>10039800</v>
      </c>
      <c r="J12" s="81">
        <f t="shared" si="4"/>
        <v>51.58070877905935</v>
      </c>
      <c r="K12" s="5">
        <f>VLOOKUP($B12,'Data Vlaue (Cr)'!$C:$FB,99)</f>
        <v>3075</v>
      </c>
      <c r="L12" s="81">
        <f>VLOOKUP(B12,'OI(Value)'!$A$7:$C$226,3,0)</f>
        <v>174</v>
      </c>
      <c r="M12" s="33">
        <f t="shared" si="0"/>
        <v>5.6585365853658542</v>
      </c>
      <c r="N12" s="5">
        <f>VLOOKUP($B12,'Data Vlaue (Cr)'!$C:$FB,67)</f>
        <v>1352</v>
      </c>
      <c r="O12" s="5">
        <f>VLOOKUP($B12,'Data Vlaue (Cr)'!$C:$FB,68)</f>
        <v>892</v>
      </c>
      <c r="P12" s="5">
        <f t="shared" si="1"/>
        <v>34.023668639053255</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Infrastructure</v>
      </c>
      <c r="B13" s="79" t="str">
        <f>'Data shares'!C8</f>
        <v>ADANIPORTS</v>
      </c>
      <c r="C13" s="4">
        <f>VLOOKUP($B13,'Data shares'!$C:$FB,7)</f>
        <v>1499.3</v>
      </c>
      <c r="D13" s="82">
        <f>VLOOKUP($B13,'Data shares'!$C:$FB,98)</f>
        <v>34416600</v>
      </c>
      <c r="E13" s="165">
        <f>VLOOKUP(B13,'Snapshot (Volume)'!$A$7:$G$168,7,0)</f>
        <v>34547225</v>
      </c>
      <c r="F13" s="165">
        <f t="shared" si="2"/>
        <v>-130625</v>
      </c>
      <c r="G13" s="166">
        <f t="shared" si="3"/>
        <v>-3.7810562208686806E-3</v>
      </c>
      <c r="H13" s="165">
        <f>VLOOKUP($B13,'Data shares'!$C:$FB,66)</f>
        <v>26014325</v>
      </c>
      <c r="I13" s="165">
        <f>VLOOKUP($B13,'Data shares'!$C:$FB,67)</f>
        <v>29246225</v>
      </c>
      <c r="J13" s="81">
        <f t="shared" si="4"/>
        <v>-11.050656965129688</v>
      </c>
      <c r="K13" s="5">
        <f>VLOOKUP($B13,'Data Vlaue (Cr)'!$C:$FB,99)</f>
        <v>5169</v>
      </c>
      <c r="L13" s="81">
        <f>VLOOKUP(B13,'OI(Value)'!$A$7:$C$226,3,0)</f>
        <v>-20</v>
      </c>
      <c r="M13" s="33">
        <f t="shared" si="0"/>
        <v>-0.3869220352099052</v>
      </c>
      <c r="N13" s="5">
        <f>VLOOKUP($B13,'Data Vlaue (Cr)'!$C:$FB,67)</f>
        <v>3907</v>
      </c>
      <c r="O13" s="5">
        <f>VLOOKUP($B13,'Data Vlaue (Cr)'!$C:$FB,68)</f>
        <v>4392</v>
      </c>
      <c r="P13" s="5">
        <f t="shared" si="1"/>
        <v>-12.413616585615561</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Pharma</v>
      </c>
      <c r="B14" s="79" t="str">
        <f>'Data shares'!C9</f>
        <v>ALKEM</v>
      </c>
      <c r="C14" s="4">
        <f>VLOOKUP($B14,'Data shares'!$C:$FB,7)</f>
        <v>5550</v>
      </c>
      <c r="D14" s="82">
        <f>VLOOKUP($B14,'Data shares'!$C:$FB,98)</f>
        <v>1608250</v>
      </c>
      <c r="E14" s="165">
        <f>VLOOKUP(B14,'Snapshot (Volume)'!$A$7:$G$168,7,0)</f>
        <v>1567625</v>
      </c>
      <c r="F14" s="165">
        <f t="shared" si="2"/>
        <v>40625</v>
      </c>
      <c r="G14" s="166">
        <f t="shared" si="3"/>
        <v>2.5914998803923131E-2</v>
      </c>
      <c r="H14" s="165">
        <f>VLOOKUP($B14,'Data shares'!$C:$FB,66)</f>
        <v>378750</v>
      </c>
      <c r="I14" s="165">
        <f>VLOOKUP($B14,'Data shares'!$C:$FB,67)</f>
        <v>415125</v>
      </c>
      <c r="J14" s="81">
        <f t="shared" si="4"/>
        <v>-8.7624209575429095</v>
      </c>
      <c r="K14" s="5">
        <f>VLOOKUP($B14,'Data Vlaue (Cr)'!$C:$FB,99)</f>
        <v>896</v>
      </c>
      <c r="L14" s="81">
        <f>VLOOKUP(B14,'OI(Value)'!$A$7:$C$226,3,0)</f>
        <v>23</v>
      </c>
      <c r="M14" s="33">
        <f t="shared" si="0"/>
        <v>2.5669642857142856</v>
      </c>
      <c r="N14" s="5">
        <f>VLOOKUP($B14,'Data Vlaue (Cr)'!$C:$FB,67)</f>
        <v>211</v>
      </c>
      <c r="O14" s="5">
        <f>VLOOKUP($B14,'Data Vlaue (Cr)'!$C:$FB,68)</f>
        <v>231</v>
      </c>
      <c r="P14" s="5">
        <f t="shared" si="1"/>
        <v>-9.4786729857819907</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Capital_Goods</v>
      </c>
      <c r="B15" s="79" t="str">
        <f>'Data shares'!C10</f>
        <v>AMBER</v>
      </c>
      <c r="C15" s="4">
        <f>VLOOKUP($B15,'Data shares'!$C:$FB,7)</f>
        <v>7825.5</v>
      </c>
      <c r="D15" s="82">
        <f>VLOOKUP($B15,'Data shares'!$C:$FB,98)</f>
        <v>1943400</v>
      </c>
      <c r="E15" s="165">
        <f>VLOOKUP(B15,'Snapshot (Volume)'!$A$7:$G$168,7,0)</f>
        <v>1825300</v>
      </c>
      <c r="F15" s="165">
        <f t="shared" si="2"/>
        <v>118100</v>
      </c>
      <c r="G15" s="166">
        <f t="shared" si="3"/>
        <v>6.4701692872404543E-2</v>
      </c>
      <c r="H15" s="165">
        <f>VLOOKUP($B15,'Data shares'!$C:$FB,66)</f>
        <v>1898000</v>
      </c>
      <c r="I15" s="165">
        <f>VLOOKUP($B15,'Data shares'!$C:$FB,67)</f>
        <v>1459800</v>
      </c>
      <c r="J15" s="81">
        <f t="shared" si="4"/>
        <v>30.017810658994382</v>
      </c>
      <c r="K15" s="5">
        <f>VLOOKUP($B15,'Data Vlaue (Cr)'!$C:$FB,99)</f>
        <v>1528</v>
      </c>
      <c r="L15" s="81">
        <f>VLOOKUP(B15,'OI(Value)'!$A$7:$C$226,3,0)</f>
        <v>93</v>
      </c>
      <c r="M15" s="33">
        <f t="shared" si="0"/>
        <v>6.0863874345549736</v>
      </c>
      <c r="N15" s="5">
        <f>VLOOKUP($B15,'Data Vlaue (Cr)'!$C:$FB,67)</f>
        <v>1493</v>
      </c>
      <c r="O15" s="5">
        <f>VLOOKUP($B15,'Data Vlaue (Cr)'!$C:$FB,68)</f>
        <v>1148</v>
      </c>
      <c r="P15" s="5">
        <f t="shared" si="1"/>
        <v>23.107836570663096</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Cement</v>
      </c>
      <c r="B16" s="79" t="str">
        <f>'Data shares'!C11</f>
        <v>AMBUJACEM</v>
      </c>
      <c r="C16" s="4">
        <f>VLOOKUP($B16,'Data shares'!$C:$FB,7)</f>
        <v>480</v>
      </c>
      <c r="D16" s="82">
        <f>VLOOKUP($B16,'Data shares'!$C:$FB,98)</f>
        <v>76030500</v>
      </c>
      <c r="E16" s="165">
        <f>VLOOKUP(B16,'Snapshot (Volume)'!$A$7:$G$168,7,0)</f>
        <v>75224100</v>
      </c>
      <c r="F16" s="165">
        <f t="shared" si="2"/>
        <v>806400</v>
      </c>
      <c r="G16" s="166">
        <f t="shared" si="3"/>
        <v>1.0719968733424528E-2</v>
      </c>
      <c r="H16" s="165">
        <f>VLOOKUP($B16,'Data shares'!$C:$FB,66)</f>
        <v>15527400</v>
      </c>
      <c r="I16" s="165">
        <f>VLOOKUP($B16,'Data shares'!$C:$FB,67)</f>
        <v>19304250</v>
      </c>
      <c r="J16" s="81">
        <f t="shared" si="4"/>
        <v>-19.564862659776992</v>
      </c>
      <c r="K16" s="5">
        <f>VLOOKUP($B16,'Data Vlaue (Cr)'!$C:$FB,99)</f>
        <v>3667</v>
      </c>
      <c r="L16" s="81">
        <f>VLOOKUP(B16,'OI(Value)'!$A$7:$C$226,3,0)</f>
        <v>39</v>
      </c>
      <c r="M16" s="33">
        <f t="shared" si="0"/>
        <v>1.0635396782110718</v>
      </c>
      <c r="N16" s="5">
        <f>VLOOKUP($B16,'Data Vlaue (Cr)'!$C:$FB,67)</f>
        <v>749</v>
      </c>
      <c r="O16" s="5">
        <f>VLOOKUP($B16,'Data Vlaue (Cr)'!$C:$FB,68)</f>
        <v>931</v>
      </c>
      <c r="P16" s="5">
        <f t="shared" si="1"/>
        <v>-24.299065420560748</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Finance</v>
      </c>
      <c r="B17" s="79" t="str">
        <f>'Data shares'!C12</f>
        <v>ANGELONE</v>
      </c>
      <c r="C17" s="4">
        <f>VLOOKUP($B17,'Data shares'!$C:$FB,7)</f>
        <v>224.68</v>
      </c>
      <c r="D17" s="82">
        <f>VLOOKUP($B17,'Data shares'!$C:$FB,98)</f>
        <v>72062500</v>
      </c>
      <c r="E17" s="165">
        <f>VLOOKUP(B17,'Snapshot (Volume)'!$A$7:$G$168,7,0)</f>
        <v>69080000</v>
      </c>
      <c r="F17" s="165">
        <f t="shared" si="2"/>
        <v>2982500</v>
      </c>
      <c r="G17" s="166">
        <f t="shared" si="3"/>
        <v>4.3174580196873188E-2</v>
      </c>
      <c r="H17" s="165">
        <f>VLOOKUP($B17,'Data shares'!$C:$FB,66)</f>
        <v>27280000</v>
      </c>
      <c r="I17" s="165">
        <f>VLOOKUP($B17,'Data shares'!$C:$FB,67)</f>
        <v>50410000</v>
      </c>
      <c r="J17" s="81">
        <f t="shared" si="4"/>
        <v>-45.883753223566757</v>
      </c>
      <c r="K17" s="5">
        <f>VLOOKUP($B17,'Data Vlaue (Cr)'!$C:$FB,99)</f>
        <v>1619</v>
      </c>
      <c r="L17" s="81">
        <f>VLOOKUP(B17,'OI(Value)'!$A$7:$C$226,3,0)</f>
        <v>67</v>
      </c>
      <c r="M17" s="33">
        <f t="shared" si="0"/>
        <v>4.1383570105003091</v>
      </c>
      <c r="N17" s="5">
        <f>VLOOKUP($B17,'Data Vlaue (Cr)'!$C:$FB,67)</f>
        <v>613</v>
      </c>
      <c r="O17" s="5">
        <f>VLOOKUP($B17,'Data Vlaue (Cr)'!$C:$FB,68)</f>
        <v>1132</v>
      </c>
      <c r="P17" s="5">
        <f t="shared" si="1"/>
        <v>-84.665579119086459</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Metals</v>
      </c>
      <c r="B18" s="79" t="str">
        <f>'Data shares'!C13</f>
        <v>APLAPOLLO</v>
      </c>
      <c r="C18" s="4">
        <f>VLOOKUP($B18,'Data shares'!$C:$FB,7)</f>
        <v>2161.3000000000002</v>
      </c>
      <c r="D18" s="82">
        <f>VLOOKUP($B18,'Data shares'!$C:$FB,98)</f>
        <v>6862450</v>
      </c>
      <c r="E18" s="165">
        <f>VLOOKUP(B18,'Snapshot (Volume)'!$A$7:$G$168,7,0)</f>
        <v>6850550</v>
      </c>
      <c r="F18" s="165">
        <f t="shared" si="2"/>
        <v>11900</v>
      </c>
      <c r="G18" s="166">
        <f t="shared" si="3"/>
        <v>1.7370868032493742E-3</v>
      </c>
      <c r="H18" s="165">
        <f>VLOOKUP($B18,'Data shares'!$C:$FB,66)</f>
        <v>1823150</v>
      </c>
      <c r="I18" s="165">
        <f>VLOOKUP($B18,'Data shares'!$C:$FB,67)</f>
        <v>9112950</v>
      </c>
      <c r="J18" s="81">
        <f t="shared" si="4"/>
        <v>-79.993854898797863</v>
      </c>
      <c r="K18" s="5">
        <f>VLOOKUP($B18,'Data Vlaue (Cr)'!$C:$FB,99)</f>
        <v>1489</v>
      </c>
      <c r="L18" s="81">
        <f>VLOOKUP(B18,'OI(Value)'!$A$7:$C$226,3,0)</f>
        <v>3</v>
      </c>
      <c r="M18" s="33">
        <f t="shared" si="0"/>
        <v>0.20147750167897915</v>
      </c>
      <c r="N18" s="5">
        <f>VLOOKUP($B18,'Data Vlaue (Cr)'!$C:$FB,67)</f>
        <v>396</v>
      </c>
      <c r="O18" s="5">
        <f>VLOOKUP($B18,'Data Vlaue (Cr)'!$C:$FB,68)</f>
        <v>1978</v>
      </c>
      <c r="P18" s="5">
        <f t="shared" si="1"/>
        <v>-399.49494949494948</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Pharma</v>
      </c>
      <c r="B19" s="79" t="str">
        <f>'Data shares'!C14</f>
        <v>APOLLOHOSP</v>
      </c>
      <c r="C19" s="4">
        <f>VLOOKUP($B19,'Data shares'!$C:$FB,7)</f>
        <v>7775</v>
      </c>
      <c r="D19" s="82">
        <f>VLOOKUP($B19,'Data shares'!$C:$FB,98)</f>
        <v>4161750</v>
      </c>
      <c r="E19" s="165">
        <f>VLOOKUP(B19,'Snapshot (Volume)'!$A$7:$G$168,7,0)</f>
        <v>4073250</v>
      </c>
      <c r="F19" s="165">
        <f t="shared" si="2"/>
        <v>88500</v>
      </c>
      <c r="G19" s="166">
        <f t="shared" si="3"/>
        <v>2.1727122076965567E-2</v>
      </c>
      <c r="H19" s="165">
        <f>VLOOKUP($B19,'Data shares'!$C:$FB,66)</f>
        <v>3149625</v>
      </c>
      <c r="I19" s="165">
        <f>VLOOKUP($B19,'Data shares'!$C:$FB,67)</f>
        <v>4595250</v>
      </c>
      <c r="J19" s="81">
        <f t="shared" si="4"/>
        <v>-31.459115390892773</v>
      </c>
      <c r="K19" s="5">
        <f>VLOOKUP($B19,'Data Vlaue (Cr)'!$C:$FB,99)</f>
        <v>3241</v>
      </c>
      <c r="L19" s="81">
        <f>VLOOKUP(B19,'OI(Value)'!$A$7:$C$226,3,0)</f>
        <v>69</v>
      </c>
      <c r="M19" s="33">
        <f t="shared" si="0"/>
        <v>2.1289725393397099</v>
      </c>
      <c r="N19" s="5">
        <f>VLOOKUP($B19,'Data Vlaue (Cr)'!$C:$FB,67)</f>
        <v>2453</v>
      </c>
      <c r="O19" s="5">
        <f>VLOOKUP($B19,'Data Vlaue (Cr)'!$C:$FB,68)</f>
        <v>3579</v>
      </c>
      <c r="P19" s="5">
        <f t="shared" si="1"/>
        <v>-45.902975947818994</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Automobile</v>
      </c>
      <c r="B20" s="79" t="str">
        <f>'Data shares'!C15</f>
        <v>ASHOKLEY</v>
      </c>
      <c r="C20" s="4">
        <f>VLOOKUP($B20,'Data shares'!$C:$FB,7)</f>
        <v>203.04</v>
      </c>
      <c r="D20" s="82">
        <f>VLOOKUP($B20,'Data shares'!$C:$FB,98)</f>
        <v>222560000</v>
      </c>
      <c r="E20" s="165">
        <f>VLOOKUP(B20,'Snapshot (Volume)'!$A$7:$G$168,7,0)</f>
        <v>222120000</v>
      </c>
      <c r="F20" s="165">
        <f t="shared" si="2"/>
        <v>440000</v>
      </c>
      <c r="G20" s="166">
        <f t="shared" si="3"/>
        <v>1.9809112191608138E-3</v>
      </c>
      <c r="H20" s="165">
        <f>VLOOKUP($B20,'Data shares'!$C:$FB,66)</f>
        <v>123080000</v>
      </c>
      <c r="I20" s="165">
        <f>VLOOKUP($B20,'Data shares'!$C:$FB,67)</f>
        <v>183425000</v>
      </c>
      <c r="J20" s="81">
        <f t="shared" si="4"/>
        <v>-32.899005042933076</v>
      </c>
      <c r="K20" s="5">
        <f>VLOOKUP($B20,'Data Vlaue (Cr)'!$C:$FB,99)</f>
        <v>4523</v>
      </c>
      <c r="L20" s="81">
        <f>VLOOKUP(B20,'OI(Value)'!$A$7:$C$226,3,0)</f>
        <v>9</v>
      </c>
      <c r="M20" s="33">
        <f t="shared" si="0"/>
        <v>0.19898297590095071</v>
      </c>
      <c r="N20" s="5">
        <f>VLOOKUP($B20,'Data Vlaue (Cr)'!$C:$FB,67)</f>
        <v>2501</v>
      </c>
      <c r="O20" s="5">
        <f>VLOOKUP($B20,'Data Vlaue (Cr)'!$C:$FB,68)</f>
        <v>3727</v>
      </c>
      <c r="P20" s="5">
        <f t="shared" si="1"/>
        <v>-49.020391843262693</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FMCG</v>
      </c>
      <c r="B21" s="79" t="str">
        <f>'Data shares'!C16</f>
        <v>ASIANPAINT</v>
      </c>
      <c r="C21" s="4">
        <f>VLOOKUP($B21,'Data shares'!$C:$FB,7)</f>
        <v>2287.8000000000002</v>
      </c>
      <c r="D21" s="82">
        <f>VLOOKUP($B21,'Data shares'!$C:$FB,98)</f>
        <v>20974000</v>
      </c>
      <c r="E21" s="165">
        <f>VLOOKUP(B21,'Snapshot (Volume)'!$A$7:$G$168,7,0)</f>
        <v>20995250</v>
      </c>
      <c r="F21" s="165">
        <f t="shared" si="2"/>
        <v>-21250</v>
      </c>
      <c r="G21" s="166">
        <f t="shared" si="3"/>
        <v>-1.0121336969076339E-3</v>
      </c>
      <c r="H21" s="165">
        <f>VLOOKUP($B21,'Data shares'!$C:$FB,66)</f>
        <v>10783500</v>
      </c>
      <c r="I21" s="165">
        <f>VLOOKUP($B21,'Data shares'!$C:$FB,67)</f>
        <v>16620500</v>
      </c>
      <c r="J21" s="81">
        <f t="shared" si="4"/>
        <v>-35.119280406726631</v>
      </c>
      <c r="K21" s="5">
        <f>VLOOKUP($B21,'Data Vlaue (Cr)'!$C:$FB,99)</f>
        <v>4822</v>
      </c>
      <c r="L21" s="81">
        <f>VLOOKUP(B21,'OI(Value)'!$A$7:$C$226,3,0)</f>
        <v>-5</v>
      </c>
      <c r="M21" s="33">
        <f t="shared" si="0"/>
        <v>-0.10369141435089176</v>
      </c>
      <c r="N21" s="5">
        <f>VLOOKUP($B21,'Data Vlaue (Cr)'!$C:$FB,67)</f>
        <v>2479</v>
      </c>
      <c r="O21" s="5">
        <f>VLOOKUP($B21,'Data Vlaue (Cr)'!$C:$FB,68)</f>
        <v>3821</v>
      </c>
      <c r="P21" s="5">
        <f t="shared" si="1"/>
        <v>-54.134731746672045</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Capital_Goods</v>
      </c>
      <c r="B22" s="79" t="str">
        <f>'Data shares'!C17</f>
        <v>ASTRAL</v>
      </c>
      <c r="C22" s="4">
        <f>VLOOKUP($B22,'Data shares'!$C:$FB,7)</f>
        <v>1663.1</v>
      </c>
      <c r="D22" s="82">
        <f>VLOOKUP($B22,'Data shares'!$C:$FB,98)</f>
        <v>11826475</v>
      </c>
      <c r="E22" s="165">
        <f>VLOOKUP(B22,'Snapshot (Volume)'!$A$7:$G$168,7,0)</f>
        <v>11436325</v>
      </c>
      <c r="F22" s="165">
        <f t="shared" si="2"/>
        <v>390150</v>
      </c>
      <c r="G22" s="166">
        <f t="shared" si="3"/>
        <v>3.4114980118176076E-2</v>
      </c>
      <c r="H22" s="165">
        <f>VLOOKUP($B22,'Data shares'!$C:$FB,66)</f>
        <v>4137375</v>
      </c>
      <c r="I22" s="165">
        <f>VLOOKUP($B22,'Data shares'!$C:$FB,67)</f>
        <v>4343075</v>
      </c>
      <c r="J22" s="81">
        <f t="shared" si="4"/>
        <v>-4.7362755651237887</v>
      </c>
      <c r="K22" s="5">
        <f>VLOOKUP($B22,'Data Vlaue (Cr)'!$C:$FB,99)</f>
        <v>1958</v>
      </c>
      <c r="L22" s="81">
        <f>VLOOKUP(B22,'OI(Value)'!$A$7:$C$226,3,0)</f>
        <v>65</v>
      </c>
      <c r="M22" s="33">
        <f t="shared" si="0"/>
        <v>3.319713993871297</v>
      </c>
      <c r="N22" s="5">
        <f>VLOOKUP($B22,'Data Vlaue (Cr)'!$C:$FB,67)</f>
        <v>685</v>
      </c>
      <c r="O22" s="5">
        <f>VLOOKUP($B22,'Data Vlaue (Cr)'!$C:$FB,68)</f>
        <v>719</v>
      </c>
      <c r="P22" s="5">
        <f t="shared" si="1"/>
        <v>-4.9635036496350367</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Banking</v>
      </c>
      <c r="B23" s="79" t="str">
        <f>'Data shares'!C18</f>
        <v>AUBANK</v>
      </c>
      <c r="C23" s="4">
        <f>VLOOKUP($B23,'Data shares'!$C:$FB,7)</f>
        <v>973.45</v>
      </c>
      <c r="D23" s="82">
        <f>VLOOKUP($B23,'Data shares'!$C:$FB,98)</f>
        <v>34004000</v>
      </c>
      <c r="E23" s="165">
        <f>VLOOKUP(B23,'Snapshot (Volume)'!$A$7:$G$168,7,0)</f>
        <v>33813000</v>
      </c>
      <c r="F23" s="165">
        <f t="shared" si="2"/>
        <v>191000</v>
      </c>
      <c r="G23" s="166">
        <f t="shared" si="3"/>
        <v>5.6487149912755451E-3</v>
      </c>
      <c r="H23" s="165">
        <f>VLOOKUP($B23,'Data shares'!$C:$FB,66)</f>
        <v>19755000</v>
      </c>
      <c r="I23" s="165">
        <f>VLOOKUP($B23,'Data shares'!$C:$FB,67)</f>
        <v>29235000</v>
      </c>
      <c r="J23" s="81">
        <f>(H23-I23)/I23*100</f>
        <v>-32.426885582349925</v>
      </c>
      <c r="K23" s="5">
        <f>VLOOKUP($B23,'Data Vlaue (Cr)'!$C:$FB,99)</f>
        <v>3315</v>
      </c>
      <c r="L23" s="81">
        <f>VLOOKUP(B23,'OI(Value)'!$A$7:$C$226,3,0)</f>
        <v>19</v>
      </c>
      <c r="M23" s="33">
        <f t="shared" si="0"/>
        <v>0.57315233785822017</v>
      </c>
      <c r="N23" s="5">
        <f>VLOOKUP($B23,'Data Vlaue (Cr)'!$C:$FB,67)</f>
        <v>1926</v>
      </c>
      <c r="O23" s="5">
        <f>VLOOKUP($B23,'Data Vlaue (Cr)'!$C:$FB,68)</f>
        <v>2850</v>
      </c>
      <c r="P23" s="5">
        <f t="shared" si="1"/>
        <v>-47.975077881619939</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Pharma</v>
      </c>
      <c r="B24" s="79" t="str">
        <f>'Data shares'!C19</f>
        <v>AUROPHARMA</v>
      </c>
      <c r="C24" s="79">
        <f>VLOOKUP($B24,'Data shares'!$C:$FB,7)</f>
        <v>1225.5</v>
      </c>
      <c r="D24" s="80">
        <f>VLOOKUP($B24,'Data shares'!$C:$FB,98)</f>
        <v>28567550</v>
      </c>
      <c r="E24" s="165">
        <f>VLOOKUP(B24,'Snapshot (Volume)'!$A$7:$G$168,7,0)</f>
        <v>28476800</v>
      </c>
      <c r="F24" s="165">
        <f t="shared" ref="F24:F36" si="5">D24-E24</f>
        <v>90750</v>
      </c>
      <c r="G24" s="166">
        <f t="shared" ref="G24:G36" si="6">F24/E24</f>
        <v>3.1868046971569837E-3</v>
      </c>
      <c r="H24" s="165">
        <f>VLOOKUP($B24,'Data shares'!$C:$FB,66)</f>
        <v>8075100</v>
      </c>
      <c r="I24" s="165">
        <f>VLOOKUP($B24,'Data shares'!$C:$FB,67)</f>
        <v>7866650</v>
      </c>
      <c r="J24" s="81">
        <f t="shared" ref="J24:J36" si="7">(H24-I24)/I24*100</f>
        <v>2.6497937495630284</v>
      </c>
      <c r="K24" s="81">
        <f>VLOOKUP($B24,'Data Vlaue (Cr)'!$C:$FB,99)</f>
        <v>3509</v>
      </c>
      <c r="L24" s="81">
        <f>VLOOKUP(B24,'OI(Value)'!$A$7:$C$226,3,0)</f>
        <v>11</v>
      </c>
      <c r="M24" s="81">
        <f t="shared" si="0"/>
        <v>0.31347962382445138</v>
      </c>
      <c r="N24" s="81">
        <f>VLOOKUP($B24,'Data Vlaue (Cr)'!$C:$FB,67)</f>
        <v>992</v>
      </c>
      <c r="O24" s="81">
        <f>VLOOKUP($B24,'Data Vlaue (Cr)'!$C:$FB,68)</f>
        <v>966</v>
      </c>
      <c r="P24" s="81">
        <f t="shared" ref="P24:P36" si="8">(N24-O24)/N24*100</f>
        <v>2.620967741935484</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Banking</v>
      </c>
      <c r="B25" s="79" t="str">
        <f>'Data shares'!C20</f>
        <v>AXISBANK</v>
      </c>
      <c r="C25" s="4">
        <f>VLOOKUP($B25,'Data shares'!$C:$FB,7)</f>
        <v>1349.1</v>
      </c>
      <c r="D25" s="82">
        <f>VLOOKUP($B25,'Data shares'!$C:$FB,98)</f>
        <v>88471875</v>
      </c>
      <c r="E25" s="165">
        <f>VLOOKUP(B25,'Snapshot (Volume)'!$A$7:$G$168,7,0)</f>
        <v>86283125</v>
      </c>
      <c r="F25" s="165">
        <f t="shared" si="5"/>
        <v>2188750</v>
      </c>
      <c r="G25" s="166">
        <f t="shared" si="6"/>
        <v>2.5367069169087236E-2</v>
      </c>
      <c r="H25" s="165">
        <f>VLOOKUP($B25,'Data shares'!$C:$FB,66)</f>
        <v>38904375</v>
      </c>
      <c r="I25" s="165">
        <f>VLOOKUP($B25,'Data shares'!$C:$FB,67)</f>
        <v>55476875</v>
      </c>
      <c r="J25" s="81">
        <f t="shared" si="7"/>
        <v>-29.872807363428457</v>
      </c>
      <c r="K25" s="5">
        <f>VLOOKUP($B25,'Data Vlaue (Cr)'!$C:$FB,99)</f>
        <v>11998</v>
      </c>
      <c r="L25" s="81">
        <f>VLOOKUP(B25,'OI(Value)'!$A$7:$C$226,3,0)</f>
        <v>297</v>
      </c>
      <c r="M25" s="33">
        <f t="shared" si="0"/>
        <v>2.4754125687614601</v>
      </c>
      <c r="N25" s="5">
        <f>VLOOKUP($B25,'Data Vlaue (Cr)'!$C:$FB,67)</f>
        <v>5276</v>
      </c>
      <c r="O25" s="5">
        <f>VLOOKUP($B25,'Data Vlaue (Cr)'!$C:$FB,68)</f>
        <v>7523</v>
      </c>
      <c r="P25" s="5">
        <f t="shared" si="8"/>
        <v>-42.589082638362399</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Automobile</v>
      </c>
      <c r="B26" s="79" t="str">
        <f>'Data shares'!C21</f>
        <v>BAJAJ-AUTO</v>
      </c>
      <c r="C26" s="4">
        <f>VLOOKUP($B26,'Data shares'!$C:$FB,7)</f>
        <v>9804.5</v>
      </c>
      <c r="D26" s="82">
        <f>VLOOKUP($B26,'Data shares'!$C:$FB,98)</f>
        <v>5066325</v>
      </c>
      <c r="E26" s="165">
        <f>VLOOKUP(B26,'Snapshot (Volume)'!$A$7:$G$168,7,0)</f>
        <v>5079675</v>
      </c>
      <c r="F26" s="165">
        <f t="shared" si="5"/>
        <v>-13350</v>
      </c>
      <c r="G26" s="166">
        <f t="shared" si="6"/>
        <v>-2.6281208935611039E-3</v>
      </c>
      <c r="H26" s="165">
        <f>VLOOKUP($B26,'Data shares'!$C:$FB,66)</f>
        <v>2944125</v>
      </c>
      <c r="I26" s="165">
        <f>VLOOKUP($B26,'Data shares'!$C:$FB,67)</f>
        <v>3436875</v>
      </c>
      <c r="J26" s="81">
        <f t="shared" si="7"/>
        <v>-14.337152209492634</v>
      </c>
      <c r="K26" s="5">
        <f>VLOOKUP($B26,'Data Vlaue (Cr)'!$C:$FB,99)</f>
        <v>4959</v>
      </c>
      <c r="L26" s="81">
        <f>VLOOKUP(B26,'OI(Value)'!$A$7:$C$226,3,0)</f>
        <v>-13</v>
      </c>
      <c r="M26" s="33">
        <f t="shared" si="0"/>
        <v>-0.26214962694091554</v>
      </c>
      <c r="N26" s="5">
        <f>VLOOKUP($B26,'Data Vlaue (Cr)'!$C:$FB,67)</f>
        <v>2882</v>
      </c>
      <c r="O26" s="5">
        <f>VLOOKUP($B26,'Data Vlaue (Cr)'!$C:$FB,68)</f>
        <v>3364</v>
      </c>
      <c r="P26" s="5">
        <f t="shared" si="8"/>
        <v>-16.724496877168633</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Finance</v>
      </c>
      <c r="B27" s="79" t="str">
        <f>'Data shares'!C22</f>
        <v>BAJAJFINSV</v>
      </c>
      <c r="C27" s="4">
        <f>VLOOKUP($B27,'Data shares'!$C:$FB,7)</f>
        <v>1911.8</v>
      </c>
      <c r="D27" s="82">
        <f>VLOOKUP($B27,'Data shares'!$C:$FB,98)</f>
        <v>21270250</v>
      </c>
      <c r="E27" s="165">
        <f>VLOOKUP(B27,'Snapshot (Volume)'!$A$7:$G$168,7,0)</f>
        <v>21059250</v>
      </c>
      <c r="F27" s="165">
        <f t="shared" si="5"/>
        <v>211000</v>
      </c>
      <c r="G27" s="166">
        <f t="shared" si="6"/>
        <v>1.0019350166791315E-2</v>
      </c>
      <c r="H27" s="165">
        <f>VLOOKUP($B27,'Data shares'!$C:$FB,66)</f>
        <v>7950250</v>
      </c>
      <c r="I27" s="165">
        <f>VLOOKUP($B27,'Data shares'!$C:$FB,67)</f>
        <v>15339500</v>
      </c>
      <c r="J27" s="81">
        <f t="shared" si="7"/>
        <v>-48.171387594119757</v>
      </c>
      <c r="K27" s="5">
        <f>VLOOKUP($B27,'Data Vlaue (Cr)'!$C:$FB,99)</f>
        <v>4079</v>
      </c>
      <c r="L27" s="81">
        <f>VLOOKUP(B27,'OI(Value)'!$A$7:$C$226,3,0)</f>
        <v>40</v>
      </c>
      <c r="M27" s="33">
        <f t="shared" si="0"/>
        <v>0.98063250796763912</v>
      </c>
      <c r="N27" s="5">
        <f>VLOOKUP($B27,'Data Vlaue (Cr)'!$C:$FB,67)</f>
        <v>1525</v>
      </c>
      <c r="O27" s="5">
        <f>VLOOKUP($B27,'Data Vlaue (Cr)'!$C:$FB,68)</f>
        <v>2942</v>
      </c>
      <c r="P27" s="5">
        <f t="shared" si="8"/>
        <v>-92.918032786885234</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Finance</v>
      </c>
      <c r="B28" s="79" t="str">
        <f>'Data shares'!C23</f>
        <v>BAJAJHLDNG</v>
      </c>
      <c r="C28" s="4">
        <f>VLOOKUP($B28,'Data shares'!$C:$FB,7)</f>
        <v>10663</v>
      </c>
      <c r="D28" s="82">
        <f>VLOOKUP($B28,'Data shares'!$C:$FB,98)</f>
        <v>363650</v>
      </c>
      <c r="E28" s="165">
        <f>VLOOKUP(B28,'Snapshot (Volume)'!$A$7:$G$168,7,0)</f>
        <v>360100</v>
      </c>
      <c r="F28" s="165">
        <f t="shared" si="5"/>
        <v>3550</v>
      </c>
      <c r="G28" s="166">
        <f t="shared" si="6"/>
        <v>9.8583726742571508E-3</v>
      </c>
      <c r="H28" s="165">
        <f>VLOOKUP($B28,'Data shares'!$C:$FB,66)</f>
        <v>52100</v>
      </c>
      <c r="I28" s="165">
        <f>VLOOKUP($B28,'Data shares'!$C:$FB,67)</f>
        <v>98500</v>
      </c>
      <c r="J28" s="81">
        <f t="shared" si="7"/>
        <v>-47.106598984771573</v>
      </c>
      <c r="K28" s="5">
        <f>VLOOKUP($B28,'Data Vlaue (Cr)'!$C:$FB,99)</f>
        <v>389</v>
      </c>
      <c r="L28" s="81">
        <f>VLOOKUP(B28,'OI(Value)'!$A$7:$C$226,3,0)</f>
        <v>4</v>
      </c>
      <c r="M28" s="33">
        <f t="shared" si="0"/>
        <v>1.0282776349614395</v>
      </c>
      <c r="N28" s="5">
        <f>VLOOKUP($B28,'Data Vlaue (Cr)'!$C:$FB,67)</f>
        <v>56</v>
      </c>
      <c r="O28" s="5">
        <f>VLOOKUP($B28,'Data Vlaue (Cr)'!$C:$FB,68)</f>
        <v>105</v>
      </c>
      <c r="P28" s="5">
        <f t="shared" si="8"/>
        <v>-87.5</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Finance</v>
      </c>
      <c r="B29" s="79" t="str">
        <f>'Data shares'!C24</f>
        <v>BAJFINANCE</v>
      </c>
      <c r="C29" s="4">
        <f>VLOOKUP($B29,'Data shares'!$C:$FB,7)</f>
        <v>962.4</v>
      </c>
      <c r="D29" s="82">
        <f>VLOOKUP($B29,'Data shares'!$C:$FB,98)</f>
        <v>104751750</v>
      </c>
      <c r="E29" s="165">
        <f>VLOOKUP(B29,'Snapshot (Volume)'!$A$7:$G$168,7,0)</f>
        <v>105276000</v>
      </c>
      <c r="F29" s="165">
        <f t="shared" si="5"/>
        <v>-524250</v>
      </c>
      <c r="G29" s="166">
        <f t="shared" si="6"/>
        <v>-4.9797674683688588E-3</v>
      </c>
      <c r="H29" s="165">
        <f>VLOOKUP($B29,'Data shares'!$C:$FB,66)</f>
        <v>31764000</v>
      </c>
      <c r="I29" s="165">
        <f>VLOOKUP($B29,'Data shares'!$C:$FB,67)</f>
        <v>39014250</v>
      </c>
      <c r="J29" s="81">
        <f t="shared" si="7"/>
        <v>-18.583594455871893</v>
      </c>
      <c r="K29" s="5">
        <f>VLOOKUP($B29,'Data Vlaue (Cr)'!$C:$FB,99)</f>
        <v>10100</v>
      </c>
      <c r="L29" s="81">
        <f>VLOOKUP(B29,'OI(Value)'!$A$7:$C$226,3,0)</f>
        <v>-51</v>
      </c>
      <c r="M29" s="33">
        <f t="shared" si="0"/>
        <v>-0.50495049504950495</v>
      </c>
      <c r="N29" s="5">
        <f>VLOOKUP($B29,'Data Vlaue (Cr)'!$C:$FB,67)</f>
        <v>3063</v>
      </c>
      <c r="O29" s="5">
        <f>VLOOKUP($B29,'Data Vlaue (Cr)'!$C:$FB,68)</f>
        <v>3762</v>
      </c>
      <c r="P29" s="5">
        <f t="shared" si="8"/>
        <v>-22.820763956904997</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Banking</v>
      </c>
      <c r="B30" s="79" t="str">
        <f>'Data shares'!C25</f>
        <v>BANDHANBNK</v>
      </c>
      <c r="C30" s="4">
        <f>VLOOKUP($B30,'Data shares'!$C:$FB,7)</f>
        <v>185.03</v>
      </c>
      <c r="D30" s="82">
        <f>VLOOKUP($B30,'Data shares'!$C:$FB,98)</f>
        <v>137541600</v>
      </c>
      <c r="E30" s="165">
        <f>VLOOKUP(B30,'Snapshot (Volume)'!$A$7:$G$168,7,0)</f>
        <v>136432800</v>
      </c>
      <c r="F30" s="165">
        <f t="shared" si="5"/>
        <v>1108800</v>
      </c>
      <c r="G30" s="166">
        <f t="shared" si="6"/>
        <v>8.1270779460657552E-3</v>
      </c>
      <c r="H30" s="165">
        <f>VLOOKUP($B30,'Data shares'!$C:$FB,66)</f>
        <v>91494000</v>
      </c>
      <c r="I30" s="165">
        <f>VLOOKUP($B30,'Data shares'!$C:$FB,67)</f>
        <v>76500000</v>
      </c>
      <c r="J30" s="81">
        <f t="shared" si="7"/>
        <v>19.600000000000001</v>
      </c>
      <c r="K30" s="5">
        <f>VLOOKUP($B30,'Data Vlaue (Cr)'!$C:$FB,99)</f>
        <v>2552</v>
      </c>
      <c r="L30" s="81">
        <f>VLOOKUP(B30,'OI(Value)'!$A$7:$C$226,3,0)</f>
        <v>21</v>
      </c>
      <c r="M30" s="33">
        <f t="shared" si="0"/>
        <v>0.82288401253918486</v>
      </c>
      <c r="N30" s="5">
        <f>VLOOKUP($B30,'Data Vlaue (Cr)'!$C:$FB,67)</f>
        <v>1698</v>
      </c>
      <c r="O30" s="5">
        <f>VLOOKUP($B30,'Data Vlaue (Cr)'!$C:$FB,68)</f>
        <v>1420</v>
      </c>
      <c r="P30" s="5">
        <f t="shared" si="8"/>
        <v>16.372202591283862</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Banking</v>
      </c>
      <c r="B31" s="79" t="str">
        <f>'Data shares'!C26</f>
        <v>BANKBARODA</v>
      </c>
      <c r="C31" s="4">
        <f>VLOOKUP($B31,'Data shares'!$C:$FB,7)</f>
        <v>301.85000000000002</v>
      </c>
      <c r="D31" s="82">
        <f>VLOOKUP($B31,'Data shares'!$C:$FB,98)</f>
        <v>162507150</v>
      </c>
      <c r="E31" s="165">
        <f>VLOOKUP(B31,'Snapshot (Volume)'!$A$7:$G$168,7,0)</f>
        <v>152377875</v>
      </c>
      <c r="F31" s="165">
        <f t="shared" si="5"/>
        <v>10129275</v>
      </c>
      <c r="G31" s="166">
        <f t="shared" si="6"/>
        <v>6.6474709665035034E-2</v>
      </c>
      <c r="H31" s="165">
        <f>VLOOKUP($B31,'Data shares'!$C:$FB,66)</f>
        <v>102503700</v>
      </c>
      <c r="I31" s="165">
        <f>VLOOKUP($B31,'Data shares'!$C:$FB,67)</f>
        <v>164970000</v>
      </c>
      <c r="J31" s="81">
        <f t="shared" si="7"/>
        <v>-37.865248226950357</v>
      </c>
      <c r="K31" s="5">
        <f>VLOOKUP($B31,'Data Vlaue (Cr)'!$C:$FB,99)</f>
        <v>4930</v>
      </c>
      <c r="L31" s="81">
        <f>VLOOKUP(B31,'OI(Value)'!$A$7:$C$226,3,0)</f>
        <v>307</v>
      </c>
      <c r="M31" s="33">
        <f t="shared" si="0"/>
        <v>6.2271805273833669</v>
      </c>
      <c r="N31" s="5">
        <f>VLOOKUP($B31,'Data Vlaue (Cr)'!$C:$FB,67)</f>
        <v>3109</v>
      </c>
      <c r="O31" s="5">
        <f>VLOOKUP($B31,'Data Vlaue (Cr)'!$C:$FB,68)</f>
        <v>5004</v>
      </c>
      <c r="P31" s="5">
        <f t="shared" si="8"/>
        <v>-60.952074622064977</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Banking</v>
      </c>
      <c r="B32" s="79" t="str">
        <f>'Data shares'!C27</f>
        <v>BANKINDIA</v>
      </c>
      <c r="C32" s="4">
        <f>VLOOKUP($B32,'Data shares'!$C:$FB,7)</f>
        <v>164.18</v>
      </c>
      <c r="D32" s="82">
        <f>VLOOKUP($B32,'Data shares'!$C:$FB,98)</f>
        <v>88649600</v>
      </c>
      <c r="E32" s="165">
        <f>VLOOKUP(B32,'Snapshot (Volume)'!$A$7:$G$168,7,0)</f>
        <v>85160400</v>
      </c>
      <c r="F32" s="165">
        <f t="shared" si="5"/>
        <v>3489200</v>
      </c>
      <c r="G32" s="166">
        <f t="shared" si="6"/>
        <v>4.0972095011296332E-2</v>
      </c>
      <c r="H32" s="165">
        <f>VLOOKUP($B32,'Data shares'!$C:$FB,66)</f>
        <v>43170400</v>
      </c>
      <c r="I32" s="165">
        <f>VLOOKUP($B32,'Data shares'!$C:$FB,67)</f>
        <v>80522000</v>
      </c>
      <c r="J32" s="81">
        <f t="shared" si="7"/>
        <v>-46.386825960607034</v>
      </c>
      <c r="K32" s="5">
        <f>VLOOKUP($B32,'Data Vlaue (Cr)'!$C:$FB,99)</f>
        <v>1462</v>
      </c>
      <c r="L32" s="81">
        <f>VLOOKUP(B32,'OI(Value)'!$A$7:$C$226,3,0)</f>
        <v>58</v>
      </c>
      <c r="M32" s="33">
        <f t="shared" si="0"/>
        <v>3.9671682626538987</v>
      </c>
      <c r="N32" s="5">
        <f>VLOOKUP($B32,'Data Vlaue (Cr)'!$C:$FB,67)</f>
        <v>712</v>
      </c>
      <c r="O32" s="5">
        <f>VLOOKUP($B32,'Data Vlaue (Cr)'!$C:$FB,68)</f>
        <v>1328</v>
      </c>
      <c r="P32" s="5">
        <f t="shared" si="8"/>
        <v>-86.516853932584269</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Index</v>
      </c>
      <c r="B33" s="79" t="str">
        <f>'Data shares'!C28</f>
        <v>BANKNIFTY</v>
      </c>
      <c r="C33" s="4">
        <f>VLOOKUP($B33,'Data shares'!$C:$FB,7)</f>
        <v>59055.85</v>
      </c>
      <c r="D33" s="82">
        <f>VLOOKUP($B33,'Data shares'!$C:$FB,98)</f>
        <v>29539550</v>
      </c>
      <c r="E33" s="165">
        <f>VLOOKUP(B33,'Snapshot (Volume)'!$A$7:$G$168,7,0)</f>
        <v>27731430</v>
      </c>
      <c r="F33" s="165">
        <f t="shared" si="5"/>
        <v>1808120</v>
      </c>
      <c r="G33" s="166">
        <f t="shared" si="6"/>
        <v>6.5201109354980968E-2</v>
      </c>
      <c r="H33" s="165">
        <f>VLOOKUP($B33,'Data shares'!$C:$FB,66)</f>
        <v>82076700</v>
      </c>
      <c r="I33" s="165">
        <f>VLOOKUP($B33,'Data shares'!$C:$FB,67)</f>
        <v>83011080</v>
      </c>
      <c r="J33" s="81">
        <f t="shared" si="7"/>
        <v>-1.1256087741540044</v>
      </c>
      <c r="K33" s="5">
        <f>VLOOKUP($B33,'Data Vlaue (Cr)'!$C:$FB,99)</f>
        <v>175392</v>
      </c>
      <c r="L33" s="81">
        <f>VLOOKUP(B33,'OI(Value)'!$A$7:$C$226,3,0)</f>
        <v>10736</v>
      </c>
      <c r="M33" s="33">
        <f t="shared" si="0"/>
        <v>6.1211457763181905</v>
      </c>
      <c r="N33" s="5">
        <f>VLOOKUP($B33,'Data Vlaue (Cr)'!$C:$FB,67)</f>
        <v>487332</v>
      </c>
      <c r="O33" s="5">
        <f>VLOOKUP($B33,'Data Vlaue (Cr)'!$C:$FB,68)</f>
        <v>492880</v>
      </c>
      <c r="P33" s="5">
        <f t="shared" si="8"/>
        <v>-1.1384436072328517</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Capital_Goods</v>
      </c>
      <c r="B34" s="79" t="str">
        <f>'Data shares'!C29</f>
        <v>BDL</v>
      </c>
      <c r="C34" s="4">
        <f>VLOOKUP($B34,'Data shares'!$C:$FB,7)</f>
        <v>1280.5999999999999</v>
      </c>
      <c r="D34" s="82">
        <f>VLOOKUP($B34,'Data shares'!$C:$FB,98)</f>
        <v>11420850</v>
      </c>
      <c r="E34" s="165">
        <f>VLOOKUP(B34,'Snapshot (Volume)'!$A$7:$G$168,7,0)</f>
        <v>12071850</v>
      </c>
      <c r="F34" s="165">
        <f t="shared" si="5"/>
        <v>-651000</v>
      </c>
      <c r="G34" s="166">
        <f t="shared" si="6"/>
        <v>-5.392711142037053E-2</v>
      </c>
      <c r="H34" s="165">
        <f>VLOOKUP($B34,'Data shares'!$C:$FB,66)</f>
        <v>18485950</v>
      </c>
      <c r="I34" s="165">
        <f>VLOOKUP($B34,'Data shares'!$C:$FB,67)</f>
        <v>13186600</v>
      </c>
      <c r="J34" s="81">
        <f t="shared" si="7"/>
        <v>40.187387196093006</v>
      </c>
      <c r="K34" s="5">
        <f>VLOOKUP($B34,'Data Vlaue (Cr)'!$C:$FB,99)</f>
        <v>1465</v>
      </c>
      <c r="L34" s="81">
        <f>VLOOKUP(B34,'OI(Value)'!$A$7:$C$226,3,0)</f>
        <v>-84</v>
      </c>
      <c r="M34" s="33">
        <f t="shared" si="0"/>
        <v>-5.7337883959044369</v>
      </c>
      <c r="N34" s="5">
        <f>VLOOKUP($B34,'Data Vlaue (Cr)'!$C:$FB,67)</f>
        <v>2372</v>
      </c>
      <c r="O34" s="5">
        <f>VLOOKUP($B34,'Data Vlaue (Cr)'!$C:$FB,68)</f>
        <v>1692</v>
      </c>
      <c r="P34" s="5">
        <f t="shared" si="8"/>
        <v>28.667790893760543</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Capital_Goods</v>
      </c>
      <c r="B35" s="79" t="str">
        <f>'Data shares'!C30</f>
        <v>BEL</v>
      </c>
      <c r="C35" s="4">
        <f>VLOOKUP($B35,'Data shares'!$C:$FB,7)</f>
        <v>460</v>
      </c>
      <c r="D35" s="82">
        <f>VLOOKUP($B35,'Data shares'!$C:$FB,98)</f>
        <v>179225100</v>
      </c>
      <c r="E35" s="165">
        <f>VLOOKUP(B35,'Snapshot (Volume)'!$A$7:$G$168,7,0)</f>
        <v>186216150</v>
      </c>
      <c r="F35" s="165">
        <f t="shared" si="5"/>
        <v>-6991050</v>
      </c>
      <c r="G35" s="166">
        <f t="shared" si="6"/>
        <v>-3.7542662116040959E-2</v>
      </c>
      <c r="H35" s="165">
        <f>VLOOKUP($B35,'Data shares'!$C:$FB,66)</f>
        <v>349203375</v>
      </c>
      <c r="I35" s="165">
        <f>VLOOKUP($B35,'Data shares'!$C:$FB,67)</f>
        <v>202455450</v>
      </c>
      <c r="J35" s="81">
        <f t="shared" si="7"/>
        <v>72.484057603783953</v>
      </c>
      <c r="K35" s="5">
        <f>VLOOKUP($B35,'Data Vlaue (Cr)'!$C:$FB,99)</f>
        <v>8242</v>
      </c>
      <c r="L35" s="81">
        <f>VLOOKUP(B35,'OI(Value)'!$A$7:$C$226,3,0)</f>
        <v>-321</v>
      </c>
      <c r="M35" s="33">
        <f t="shared" si="0"/>
        <v>-3.8946857558844945</v>
      </c>
      <c r="N35" s="5">
        <f>VLOOKUP($B35,'Data Vlaue (Cr)'!$C:$FB,67)</f>
        <v>16058</v>
      </c>
      <c r="O35" s="5">
        <f>VLOOKUP($B35,'Data Vlaue (Cr)'!$C:$FB,68)</f>
        <v>9310</v>
      </c>
      <c r="P35" s="5">
        <f t="shared" si="8"/>
        <v>42.022667829119442</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Automobile</v>
      </c>
      <c r="B36" s="79" t="str">
        <f>'Data shares'!C31</f>
        <v>BHARATFORG</v>
      </c>
      <c r="C36" s="4">
        <f>VLOOKUP($B36,'Data shares'!$C:$FB,7)</f>
        <v>1898.4</v>
      </c>
      <c r="D36" s="82">
        <f>VLOOKUP($B36,'Data shares'!$C:$FB,98)</f>
        <v>13053000</v>
      </c>
      <c r="E36" s="165">
        <f>VLOOKUP(B36,'Snapshot (Volume)'!$A$7:$G$168,7,0)</f>
        <v>11997500</v>
      </c>
      <c r="F36" s="165">
        <f t="shared" si="5"/>
        <v>1055500</v>
      </c>
      <c r="G36" s="166">
        <f t="shared" si="6"/>
        <v>8.7976661804542611E-2</v>
      </c>
      <c r="H36" s="165">
        <f>VLOOKUP($B36,'Data shares'!$C:$FB,66)</f>
        <v>23483000</v>
      </c>
      <c r="I36" s="165">
        <f>VLOOKUP($B36,'Data shares'!$C:$FB,67)</f>
        <v>11253500</v>
      </c>
      <c r="J36" s="81">
        <f t="shared" si="7"/>
        <v>108.6728573332741</v>
      </c>
      <c r="K36" s="5">
        <f>VLOOKUP($B36,'Data Vlaue (Cr)'!$C:$FB,99)</f>
        <v>2483</v>
      </c>
      <c r="L36" s="81">
        <f>VLOOKUP(B36,'OI(Value)'!$A$7:$C$226,3,0)</f>
        <v>201</v>
      </c>
      <c r="M36" s="33">
        <f t="shared" si="0"/>
        <v>8.0950463149416034</v>
      </c>
      <c r="N36" s="5">
        <f>VLOOKUP($B36,'Data Vlaue (Cr)'!$C:$FB,67)</f>
        <v>4466</v>
      </c>
      <c r="O36" s="5">
        <f>VLOOKUP($B36,'Data Vlaue (Cr)'!$C:$FB,68)</f>
        <v>2140</v>
      </c>
      <c r="P36" s="5">
        <f t="shared" si="8"/>
        <v>52.082400358262426</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Telecom</v>
      </c>
      <c r="B37" s="79" t="str">
        <f>'Data shares'!C32</f>
        <v>BHARTIARTL</v>
      </c>
      <c r="C37" s="4">
        <f>VLOOKUP($B37,'Data shares'!$C:$FB,7)</f>
        <v>1907</v>
      </c>
      <c r="D37" s="82">
        <f>VLOOKUP($B37,'Data shares'!$C:$FB,98)</f>
        <v>82147925</v>
      </c>
      <c r="E37" s="165">
        <f>VLOOKUP(B37,'Snapshot (Volume)'!$A$7:$G$168,7,0)</f>
        <v>84154325</v>
      </c>
      <c r="F37" s="165">
        <f t="shared" ref="F37:F43" si="9">D37-E37</f>
        <v>-2006400</v>
      </c>
      <c r="G37" s="166">
        <f t="shared" ref="G37:G43" si="10">F37/E37</f>
        <v>-2.384191186846309E-2</v>
      </c>
      <c r="H37" s="165">
        <f>VLOOKUP($B37,'Data shares'!$C:$FB,66)</f>
        <v>41851775</v>
      </c>
      <c r="I37" s="165">
        <f>VLOOKUP($B37,'Data shares'!$C:$FB,67)</f>
        <v>88607925</v>
      </c>
      <c r="J37" s="81">
        <f t="shared" ref="J37:J43" si="11">(H37-I37)/I37*100</f>
        <v>-52.767458441217308</v>
      </c>
      <c r="K37" s="5">
        <f>VLOOKUP($B37,'Data Vlaue (Cr)'!$C:$FB,99)</f>
        <v>15727</v>
      </c>
      <c r="L37" s="81">
        <f>VLOOKUP(B37,'OI(Value)'!$A$7:$C$226,3,0)</f>
        <v>-384</v>
      </c>
      <c r="M37" s="33">
        <f t="shared" ref="M37:M65" si="12">L37/K37*100</f>
        <v>-2.4416608380492146</v>
      </c>
      <c r="N37" s="5">
        <f>VLOOKUP($B37,'Data Vlaue (Cr)'!$C:$FB,67)</f>
        <v>8013</v>
      </c>
      <c r="O37" s="5">
        <f>VLOOKUP($B37,'Data Vlaue (Cr)'!$C:$FB,68)</f>
        <v>16964</v>
      </c>
      <c r="P37" s="5">
        <f t="shared" ref="P37:P43" si="13">(N37-O37)/N37*100</f>
        <v>-111.70597778609759</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Capital_Goods</v>
      </c>
      <c r="B38" s="79" t="str">
        <f>'Data shares'!C33</f>
        <v>BHEL</v>
      </c>
      <c r="C38" s="4">
        <f>VLOOKUP($B38,'Data shares'!$C:$FB,7)</f>
        <v>257.25</v>
      </c>
      <c r="D38" s="82">
        <f>VLOOKUP($B38,'Data shares'!$C:$FB,98)</f>
        <v>187871250</v>
      </c>
      <c r="E38" s="165">
        <f>VLOOKUP(B38,'Snapshot (Volume)'!$A$7:$G$168,7,0)</f>
        <v>182440125</v>
      </c>
      <c r="F38" s="165">
        <f t="shared" si="9"/>
        <v>5431125</v>
      </c>
      <c r="G38" s="166">
        <f t="shared" si="10"/>
        <v>2.9769355836606667E-2</v>
      </c>
      <c r="H38" s="165">
        <f>VLOOKUP($B38,'Data shares'!$C:$FB,66)</f>
        <v>92820000</v>
      </c>
      <c r="I38" s="165">
        <f>VLOOKUP($B38,'Data shares'!$C:$FB,67)</f>
        <v>111888000</v>
      </c>
      <c r="J38" s="81">
        <f t="shared" si="11"/>
        <v>-17.042042042042041</v>
      </c>
      <c r="K38" s="5">
        <f>VLOOKUP($B38,'Data Vlaue (Cr)'!$C:$FB,99)</f>
        <v>4841</v>
      </c>
      <c r="L38" s="81">
        <f>VLOOKUP(B38,'OI(Value)'!$A$7:$C$226,3,0)</f>
        <v>140</v>
      </c>
      <c r="M38" s="33">
        <f t="shared" si="12"/>
        <v>2.8919644701507954</v>
      </c>
      <c r="N38" s="5">
        <f>VLOOKUP($B38,'Data Vlaue (Cr)'!$C:$FB,67)</f>
        <v>2392</v>
      </c>
      <c r="O38" s="5">
        <f>VLOOKUP($B38,'Data Vlaue (Cr)'!$C:$FB,68)</f>
        <v>2883</v>
      </c>
      <c r="P38" s="5">
        <f t="shared" si="13"/>
        <v>-20.526755852842811</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Pharma</v>
      </c>
      <c r="B39" s="79" t="str">
        <f>'Data shares'!C34</f>
        <v>BIOCON</v>
      </c>
      <c r="C39" s="4">
        <f>VLOOKUP($B39,'Data shares'!$C:$FB,7)</f>
        <v>386.8</v>
      </c>
      <c r="D39" s="82">
        <f>VLOOKUP($B39,'Data shares'!$C:$FB,98)</f>
        <v>62855000</v>
      </c>
      <c r="E39" s="165">
        <f>VLOOKUP(B39,'Snapshot (Volume)'!$A$7:$G$168,7,0)</f>
        <v>64007500</v>
      </c>
      <c r="F39" s="165">
        <f t="shared" si="9"/>
        <v>-1152500</v>
      </c>
      <c r="G39" s="166">
        <f t="shared" si="10"/>
        <v>-1.800570245674335E-2</v>
      </c>
      <c r="H39" s="165">
        <f>VLOOKUP($B39,'Data shares'!$C:$FB,66)</f>
        <v>26592500</v>
      </c>
      <c r="I39" s="165">
        <f>VLOOKUP($B39,'Data shares'!$C:$FB,67)</f>
        <v>34117500</v>
      </c>
      <c r="J39" s="81">
        <f t="shared" si="11"/>
        <v>-22.056129552282552</v>
      </c>
      <c r="K39" s="5">
        <f>VLOOKUP($B39,'Data Vlaue (Cr)'!$C:$FB,99)</f>
        <v>2443</v>
      </c>
      <c r="L39" s="81">
        <f>VLOOKUP(B39,'OI(Value)'!$A$7:$C$226,3,0)</f>
        <v>-45</v>
      </c>
      <c r="M39" s="33">
        <f t="shared" si="12"/>
        <v>-1.8419975440032748</v>
      </c>
      <c r="N39" s="5">
        <f>VLOOKUP($B39,'Data Vlaue (Cr)'!$C:$FB,67)</f>
        <v>1033</v>
      </c>
      <c r="O39" s="5">
        <f>VLOOKUP($B39,'Data Vlaue (Cr)'!$C:$FB,68)</f>
        <v>1326</v>
      </c>
      <c r="P39" s="5">
        <f t="shared" si="13"/>
        <v>-28.363988383349469</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Capital_Goods</v>
      </c>
      <c r="B40" s="79" t="str">
        <f>'Data shares'!C35</f>
        <v>BLUESTARCO</v>
      </c>
      <c r="C40" s="4">
        <f>VLOOKUP($B40,'Data shares'!$C:$FB,7)</f>
        <v>1946.7</v>
      </c>
      <c r="D40" s="82">
        <f>VLOOKUP($B40,'Data shares'!$C:$FB,98)</f>
        <v>4253600</v>
      </c>
      <c r="E40" s="165">
        <f>VLOOKUP(B40,'Snapshot (Volume)'!$A$7:$G$168,7,0)</f>
        <v>3949400</v>
      </c>
      <c r="F40" s="165">
        <f t="shared" si="9"/>
        <v>304200</v>
      </c>
      <c r="G40" s="166">
        <f t="shared" si="10"/>
        <v>7.7024358130348913E-2</v>
      </c>
      <c r="H40" s="165">
        <f>VLOOKUP($B40,'Data shares'!$C:$FB,66)</f>
        <v>5576025</v>
      </c>
      <c r="I40" s="165">
        <f>VLOOKUP($B40,'Data shares'!$C:$FB,67)</f>
        <v>2938650</v>
      </c>
      <c r="J40" s="81">
        <f t="shared" si="11"/>
        <v>89.747843397478434</v>
      </c>
      <c r="K40" s="5">
        <f>VLOOKUP($B40,'Data Vlaue (Cr)'!$C:$FB,99)</f>
        <v>829</v>
      </c>
      <c r="L40" s="81">
        <f>VLOOKUP(B40,'OI(Value)'!$A$7:$C$226,3,0)</f>
        <v>59</v>
      </c>
      <c r="M40" s="33">
        <f t="shared" si="12"/>
        <v>7.1170084439083237</v>
      </c>
      <c r="N40" s="5">
        <f>VLOOKUP($B40,'Data Vlaue (Cr)'!$C:$FB,67)</f>
        <v>1087</v>
      </c>
      <c r="O40" s="5">
        <f>VLOOKUP($B40,'Data Vlaue (Cr)'!$C:$FB,68)</f>
        <v>573</v>
      </c>
      <c r="P40" s="5">
        <f t="shared" si="13"/>
        <v>47.286108555657776</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Automobile</v>
      </c>
      <c r="B41" s="79" t="str">
        <f>'Data shares'!C36</f>
        <v>BOSCHLTD</v>
      </c>
      <c r="C41" s="4">
        <f>VLOOKUP($B41,'Data shares'!$C:$FB,7)</f>
        <v>33230</v>
      </c>
      <c r="D41" s="82">
        <f>VLOOKUP($B41,'Data shares'!$C:$FB,98)</f>
        <v>463650</v>
      </c>
      <c r="E41" s="165">
        <f>VLOOKUP(B41,'Snapshot (Volume)'!$A$7:$G$168,7,0)</f>
        <v>445475</v>
      </c>
      <c r="F41" s="165">
        <f t="shared" si="9"/>
        <v>18175</v>
      </c>
      <c r="G41" s="166">
        <f t="shared" si="10"/>
        <v>4.0799146977944893E-2</v>
      </c>
      <c r="H41" s="165">
        <f>VLOOKUP($B41,'Data shares'!$C:$FB,66)</f>
        <v>259900</v>
      </c>
      <c r="I41" s="165">
        <f>VLOOKUP($B41,'Data shares'!$C:$FB,67)</f>
        <v>536025</v>
      </c>
      <c r="J41" s="81">
        <f t="shared" si="11"/>
        <v>-51.513455529126439</v>
      </c>
      <c r="K41" s="5">
        <f>VLOOKUP($B41,'Data Vlaue (Cr)'!$C:$FB,99)</f>
        <v>1549</v>
      </c>
      <c r="L41" s="81">
        <f>VLOOKUP(B41,'OI(Value)'!$A$7:$C$226,3,0)</f>
        <v>61</v>
      </c>
      <c r="M41" s="33">
        <f t="shared" si="12"/>
        <v>3.9380245319561005</v>
      </c>
      <c r="N41" s="5">
        <f>VLOOKUP($B41,'Data Vlaue (Cr)'!$C:$FB,67)</f>
        <v>868</v>
      </c>
      <c r="O41" s="5">
        <f>VLOOKUP($B41,'Data Vlaue (Cr)'!$C:$FB,68)</f>
        <v>1790</v>
      </c>
      <c r="P41" s="5">
        <f t="shared" si="13"/>
        <v>-106.22119815668202</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Oil_Gas</v>
      </c>
      <c r="B42" s="79" t="str">
        <f>'Data shares'!C37</f>
        <v>BPCL</v>
      </c>
      <c r="C42" s="4">
        <f>VLOOKUP($B42,'Data shares'!$C:$FB,7)</f>
        <v>360.35</v>
      </c>
      <c r="D42" s="82">
        <f>VLOOKUP($B42,'Data shares'!$C:$FB,98)</f>
        <v>70430475</v>
      </c>
      <c r="E42" s="165">
        <f>VLOOKUP(B42,'Snapshot (Volume)'!$A$7:$G$168,7,0)</f>
        <v>63745100</v>
      </c>
      <c r="F42" s="165">
        <f t="shared" si="9"/>
        <v>6685375</v>
      </c>
      <c r="G42" s="166">
        <f t="shared" si="10"/>
        <v>0.10487668856115999</v>
      </c>
      <c r="H42" s="165">
        <f>VLOOKUP($B42,'Data shares'!$C:$FB,66)</f>
        <v>105595350</v>
      </c>
      <c r="I42" s="165">
        <f>VLOOKUP($B42,'Data shares'!$C:$FB,67)</f>
        <v>85865100</v>
      </c>
      <c r="J42" s="81">
        <f t="shared" si="11"/>
        <v>22.978194866133038</v>
      </c>
      <c r="K42" s="5">
        <f>VLOOKUP($B42,'Data Vlaue (Cr)'!$C:$FB,99)</f>
        <v>2546</v>
      </c>
      <c r="L42" s="81">
        <f>VLOOKUP(B42,'OI(Value)'!$A$7:$C$226,3,0)</f>
        <v>242</v>
      </c>
      <c r="M42" s="33">
        <f t="shared" si="12"/>
        <v>9.5051060487038477</v>
      </c>
      <c r="N42" s="5">
        <f>VLOOKUP($B42,'Data Vlaue (Cr)'!$C:$FB,67)</f>
        <v>3817</v>
      </c>
      <c r="O42" s="5">
        <f>VLOOKUP($B42,'Data Vlaue (Cr)'!$C:$FB,68)</f>
        <v>3104</v>
      </c>
      <c r="P42" s="5">
        <f t="shared" si="13"/>
        <v>18.679591302069689</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FMCG</v>
      </c>
      <c r="B43" s="79" t="str">
        <f>'Data shares'!C38</f>
        <v>BRITANNIA</v>
      </c>
      <c r="C43" s="4">
        <f>VLOOKUP($B43,'Data shares'!$C:$FB,7)</f>
        <v>5963</v>
      </c>
      <c r="D43" s="82">
        <f>VLOOKUP($B43,'Data shares'!$C:$FB,98)</f>
        <v>4316500</v>
      </c>
      <c r="E43" s="165">
        <f>VLOOKUP(B43,'Snapshot (Volume)'!$A$7:$G$168,7,0)</f>
        <v>4284250</v>
      </c>
      <c r="F43" s="165">
        <f t="shared" si="9"/>
        <v>32250</v>
      </c>
      <c r="G43" s="166">
        <f t="shared" si="10"/>
        <v>7.5275719204061387E-3</v>
      </c>
      <c r="H43" s="165">
        <f>VLOOKUP($B43,'Data shares'!$C:$FB,66)</f>
        <v>1189250</v>
      </c>
      <c r="I43" s="165">
        <f>VLOOKUP($B43,'Data shares'!$C:$FB,67)</f>
        <v>1217125</v>
      </c>
      <c r="J43" s="81">
        <f t="shared" si="11"/>
        <v>-2.2902331313546265</v>
      </c>
      <c r="K43" s="5">
        <f>VLOOKUP($B43,'Data Vlaue (Cr)'!$C:$FB,99)</f>
        <v>2582</v>
      </c>
      <c r="L43" s="81">
        <f>VLOOKUP(B43,'OI(Value)'!$A$7:$C$226,3,0)</f>
        <v>19</v>
      </c>
      <c r="M43" s="33">
        <f t="shared" si="12"/>
        <v>0.73586367157242449</v>
      </c>
      <c r="N43" s="5">
        <f>VLOOKUP($B43,'Data Vlaue (Cr)'!$C:$FB,67)</f>
        <v>711</v>
      </c>
      <c r="O43" s="5">
        <f>VLOOKUP($B43,'Data Vlaue (Cr)'!$C:$FB,68)</f>
        <v>728</v>
      </c>
      <c r="P43" s="5">
        <f t="shared" si="13"/>
        <v>-2.3909985935302389</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Finance</v>
      </c>
      <c r="B44" s="79" t="str">
        <f>'Data shares'!C39</f>
        <v>BSE</v>
      </c>
      <c r="C44" s="79">
        <f>VLOOKUP($B44,'Data shares'!$C:$FB,7)</f>
        <v>2761.4</v>
      </c>
      <c r="D44" s="165">
        <f>VLOOKUP($B44,'Data shares'!$C:$FB,98)</f>
        <v>21330750</v>
      </c>
      <c r="E44" s="165">
        <f>VLOOKUP(B44,'Snapshot (Volume)'!$A$7:$G$168,7,0)</f>
        <v>21620250</v>
      </c>
      <c r="F44" s="165">
        <f t="shared" ref="F44:F49" si="14">D44-E44</f>
        <v>-289500</v>
      </c>
      <c r="G44" s="166">
        <f t="shared" ref="G44:G49" si="15">F44/E44</f>
        <v>-1.3390224442363062E-2</v>
      </c>
      <c r="H44" s="165">
        <f>VLOOKUP($B44,'Data shares'!$C:$FB,66)</f>
        <v>41337000</v>
      </c>
      <c r="I44" s="165">
        <f>VLOOKUP($B44,'Data shares'!$C:$FB,67)</f>
        <v>28159875</v>
      </c>
      <c r="J44" s="81">
        <f t="shared" ref="J44:J49" si="16">(H44-I44)/I44*100</f>
        <v>46.793975470416683</v>
      </c>
      <c r="K44" s="81">
        <f>VLOOKUP($B44,'Data Vlaue (Cr)'!$C:$FB,99)</f>
        <v>5898</v>
      </c>
      <c r="L44" s="81">
        <f>VLOOKUP(B44,'OI(Value)'!$A$7:$C$226,3,0)</f>
        <v>-80</v>
      </c>
      <c r="M44" s="81">
        <f t="shared" si="12"/>
        <v>-1.356391997287216</v>
      </c>
      <c r="N44" s="81">
        <f>VLOOKUP($B44,'Data Vlaue (Cr)'!$C:$FB,67)</f>
        <v>11430</v>
      </c>
      <c r="O44" s="81">
        <f>VLOOKUP($B44,'Data Vlaue (Cr)'!$C:$FB,68)</f>
        <v>7786</v>
      </c>
      <c r="P44" s="81">
        <f t="shared" ref="P44:P49" si="17">(N44-O44)/N44*100</f>
        <v>31.881014873140856</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Finance</v>
      </c>
      <c r="B45" s="79" t="str">
        <f>'Data shares'!C40</f>
        <v>CAMS</v>
      </c>
      <c r="C45" s="4">
        <f>VLOOKUP($B45,'Data shares'!$C:$FB,7)</f>
        <v>652.35</v>
      </c>
      <c r="D45" s="82">
        <f>VLOOKUP($B45,'Data shares'!$C:$FB,98)</f>
        <v>12657750</v>
      </c>
      <c r="E45" s="165">
        <f>VLOOKUP(B45,'Snapshot (Volume)'!$A$7:$G$168,7,0)</f>
        <v>12496500</v>
      </c>
      <c r="F45" s="165">
        <f t="shared" si="14"/>
        <v>161250</v>
      </c>
      <c r="G45" s="166">
        <f t="shared" si="15"/>
        <v>1.2903613011643261E-2</v>
      </c>
      <c r="H45" s="165">
        <f>VLOOKUP($B45,'Data shares'!$C:$FB,66)</f>
        <v>7764750</v>
      </c>
      <c r="I45" s="165">
        <f>VLOOKUP($B45,'Data shares'!$C:$FB,67)</f>
        <v>8640750</v>
      </c>
      <c r="J45" s="81">
        <f t="shared" si="16"/>
        <v>-10.138008853398143</v>
      </c>
      <c r="K45" s="5">
        <f>VLOOKUP($B45,'Data Vlaue (Cr)'!$C:$FB,99)</f>
        <v>829</v>
      </c>
      <c r="L45" s="81">
        <f>VLOOKUP(B45,'OI(Value)'!$A$7:$C$226,3,0)</f>
        <v>11</v>
      </c>
      <c r="M45" s="33">
        <f t="shared" si="12"/>
        <v>1.3268998793727382</v>
      </c>
      <c r="N45" s="5">
        <f>VLOOKUP($B45,'Data Vlaue (Cr)'!$C:$FB,67)</f>
        <v>508</v>
      </c>
      <c r="O45" s="5">
        <f>VLOOKUP($B45,'Data Vlaue (Cr)'!$C:$FB,68)</f>
        <v>566</v>
      </c>
      <c r="P45" s="5">
        <f t="shared" si="17"/>
        <v>-11.41732283464567</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Banking</v>
      </c>
      <c r="B46" s="79" t="str">
        <f>'Data shares'!C41</f>
        <v>CANBK</v>
      </c>
      <c r="C46" s="4">
        <f>VLOOKUP($B46,'Data shares'!$C:$FB,7)</f>
        <v>148.51</v>
      </c>
      <c r="D46" s="82">
        <f>VLOOKUP($B46,'Data shares'!$C:$FB,98)</f>
        <v>327496500</v>
      </c>
      <c r="E46" s="165">
        <f>VLOOKUP(B46,'Snapshot (Volume)'!$A$7:$G$168,7,0)</f>
        <v>306261000</v>
      </c>
      <c r="F46" s="165">
        <f t="shared" si="14"/>
        <v>21235500</v>
      </c>
      <c r="G46" s="166">
        <f t="shared" si="15"/>
        <v>6.9337917658467779E-2</v>
      </c>
      <c r="H46" s="165">
        <f>VLOOKUP($B46,'Data shares'!$C:$FB,66)</f>
        <v>235284750</v>
      </c>
      <c r="I46" s="165">
        <f>VLOOKUP($B46,'Data shares'!$C:$FB,67)</f>
        <v>272605500</v>
      </c>
      <c r="J46" s="81">
        <f t="shared" si="16"/>
        <v>-13.690387758134007</v>
      </c>
      <c r="K46" s="5">
        <f>VLOOKUP($B46,'Data Vlaue (Cr)'!$C:$FB,99)</f>
        <v>4886</v>
      </c>
      <c r="L46" s="81">
        <f>VLOOKUP(B46,'OI(Value)'!$A$7:$C$226,3,0)</f>
        <v>317</v>
      </c>
      <c r="M46" s="33">
        <f t="shared" si="12"/>
        <v>6.4879246827670896</v>
      </c>
      <c r="N46" s="5">
        <f>VLOOKUP($B46,'Data Vlaue (Cr)'!$C:$FB,67)</f>
        <v>3510</v>
      </c>
      <c r="O46" s="5">
        <f>VLOOKUP($B46,'Data Vlaue (Cr)'!$C:$FB,68)</f>
        <v>4067</v>
      </c>
      <c r="P46" s="5">
        <f t="shared" si="17"/>
        <v>-15.868945868945868</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Finance</v>
      </c>
      <c r="B47" s="79" t="str">
        <f>'Data shares'!C42</f>
        <v>CDSL</v>
      </c>
      <c r="C47" s="4">
        <f>VLOOKUP($B47,'Data shares'!$C:$FB,7)</f>
        <v>1239.5999999999999</v>
      </c>
      <c r="D47" s="82">
        <f>VLOOKUP($B47,'Data shares'!$C:$FB,98)</f>
        <v>22648950</v>
      </c>
      <c r="E47" s="165">
        <f>VLOOKUP(B47,'Snapshot (Volume)'!$A$7:$G$168,7,0)</f>
        <v>22563450</v>
      </c>
      <c r="F47" s="165">
        <f t="shared" si="14"/>
        <v>85500</v>
      </c>
      <c r="G47" s="166">
        <f t="shared" si="15"/>
        <v>3.7893141341417205E-3</v>
      </c>
      <c r="H47" s="165">
        <f>VLOOKUP($B47,'Data shares'!$C:$FB,66)</f>
        <v>9676225</v>
      </c>
      <c r="I47" s="165">
        <f>VLOOKUP($B47,'Data shares'!$C:$FB,67)</f>
        <v>13626325</v>
      </c>
      <c r="J47" s="81">
        <f t="shared" si="16"/>
        <v>-28.98874054449751</v>
      </c>
      <c r="K47" s="5">
        <f>VLOOKUP($B47,'Data Vlaue (Cr)'!$C:$FB,99)</f>
        <v>2813</v>
      </c>
      <c r="L47" s="81">
        <f>VLOOKUP(B47,'OI(Value)'!$A$7:$C$226,3,0)</f>
        <v>11</v>
      </c>
      <c r="M47" s="33">
        <f t="shared" si="12"/>
        <v>0.39104159260575894</v>
      </c>
      <c r="N47" s="5">
        <f>VLOOKUP($B47,'Data Vlaue (Cr)'!$C:$FB,67)</f>
        <v>1202</v>
      </c>
      <c r="O47" s="5">
        <f>VLOOKUP($B47,'Data Vlaue (Cr)'!$C:$FB,68)</f>
        <v>1693</v>
      </c>
      <c r="P47" s="5">
        <f t="shared" si="17"/>
        <v>-40.848585690515812</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Power</v>
      </c>
      <c r="B48" s="79" t="str">
        <f>'Data shares'!C43</f>
        <v>CGPOWER</v>
      </c>
      <c r="C48" s="4">
        <f>VLOOKUP($B48,'Data shares'!$C:$FB,7)</f>
        <v>701.1</v>
      </c>
      <c r="D48" s="82">
        <f>VLOOKUP($B48,'Data shares'!$C:$FB,98)</f>
        <v>20464600</v>
      </c>
      <c r="E48" s="165">
        <f>VLOOKUP(B48,'Snapshot (Volume)'!$A$7:$G$168,7,0)</f>
        <v>20791850</v>
      </c>
      <c r="F48" s="165">
        <f t="shared" si="14"/>
        <v>-327250</v>
      </c>
      <c r="G48" s="166">
        <f t="shared" si="15"/>
        <v>-1.5739340174154778E-2</v>
      </c>
      <c r="H48" s="165">
        <f>VLOOKUP($B48,'Data shares'!$C:$FB,66)</f>
        <v>6288300</v>
      </c>
      <c r="I48" s="165">
        <f>VLOOKUP($B48,'Data shares'!$C:$FB,67)</f>
        <v>13204750</v>
      </c>
      <c r="J48" s="81">
        <f t="shared" si="16"/>
        <v>-52.378500160926947</v>
      </c>
      <c r="K48" s="5">
        <f>VLOOKUP($B48,'Data Vlaue (Cr)'!$C:$FB,99)</f>
        <v>1438</v>
      </c>
      <c r="L48" s="81">
        <f>VLOOKUP(B48,'OI(Value)'!$A$7:$C$226,3,0)</f>
        <v>-23</v>
      </c>
      <c r="M48" s="33">
        <f t="shared" si="12"/>
        <v>-1.5994436717663423</v>
      </c>
      <c r="N48" s="5">
        <f>VLOOKUP($B48,'Data Vlaue (Cr)'!$C:$FB,67)</f>
        <v>442</v>
      </c>
      <c r="O48" s="5">
        <f>VLOOKUP($B48,'Data Vlaue (Cr)'!$C:$FB,68)</f>
        <v>928</v>
      </c>
      <c r="P48" s="5">
        <f t="shared" si="17"/>
        <v>-109.95475113122173</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Finance</v>
      </c>
      <c r="B49" s="79" t="str">
        <f>'Data shares'!C44</f>
        <v>CHOLAFIN</v>
      </c>
      <c r="C49" s="4">
        <f>VLOOKUP($B49,'Data shares'!$C:$FB,7)</f>
        <v>1669</v>
      </c>
      <c r="D49" s="82">
        <f>VLOOKUP($B49,'Data shares'!$C:$FB,98)</f>
        <v>21763750</v>
      </c>
      <c r="E49" s="165">
        <f>VLOOKUP(B49,'Snapshot (Volume)'!$A$7:$G$168,7,0)</f>
        <v>21930000</v>
      </c>
      <c r="F49" s="165">
        <f t="shared" si="14"/>
        <v>-166250</v>
      </c>
      <c r="G49" s="166">
        <f t="shared" si="15"/>
        <v>-7.58093935248518E-3</v>
      </c>
      <c r="H49" s="165">
        <f>VLOOKUP($B49,'Data shares'!$C:$FB,66)</f>
        <v>7795000</v>
      </c>
      <c r="I49" s="165">
        <f>VLOOKUP($B49,'Data shares'!$C:$FB,67)</f>
        <v>9091875</v>
      </c>
      <c r="J49" s="81">
        <f t="shared" si="16"/>
        <v>-14.264109438372172</v>
      </c>
      <c r="K49" s="5">
        <f>VLOOKUP($B49,'Data Vlaue (Cr)'!$C:$FB,99)</f>
        <v>3655</v>
      </c>
      <c r="L49" s="81">
        <f>VLOOKUP(B49,'OI(Value)'!$A$7:$C$226,3,0)</f>
        <v>-28</v>
      </c>
      <c r="M49" s="33">
        <f t="shared" si="12"/>
        <v>-0.76607387140902872</v>
      </c>
      <c r="N49" s="5">
        <f>VLOOKUP($B49,'Data Vlaue (Cr)'!$C:$FB,67)</f>
        <v>1309</v>
      </c>
      <c r="O49" s="5">
        <f>VLOOKUP($B49,'Data Vlaue (Cr)'!$C:$FB,68)</f>
        <v>1527</v>
      </c>
      <c r="P49" s="5">
        <f t="shared" si="17"/>
        <v>-16.653934300993125</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Pharma</v>
      </c>
      <c r="B50" s="79" t="str">
        <f>'Data shares'!C45</f>
        <v>CIPLA</v>
      </c>
      <c r="C50" s="4">
        <f>VLOOKUP($B50,'Data shares'!$C:$FB,7)</f>
        <v>1326.4</v>
      </c>
      <c r="D50" s="82">
        <f>VLOOKUP($B50,'Data shares'!$C:$FB,98)</f>
        <v>21161250</v>
      </c>
      <c r="E50" s="165">
        <f>VLOOKUP(B50,'Snapshot (Volume)'!$A$7:$G$168,7,0)</f>
        <v>21444000</v>
      </c>
      <c r="F50" s="165">
        <f>D50-E50</f>
        <v>-282750</v>
      </c>
      <c r="G50" s="166">
        <f>F50/E50</f>
        <v>-1.3185506435366536E-2</v>
      </c>
      <c r="H50" s="165">
        <f>VLOOKUP($B50,'Data shares'!$C:$FB,66)</f>
        <v>5572125</v>
      </c>
      <c r="I50" s="165">
        <f>VLOOKUP($B50,'Data shares'!$C:$FB,67)</f>
        <v>10720125</v>
      </c>
      <c r="J50" s="81">
        <f>(H50-I50)/I50*100</f>
        <v>-48.021828103683497</v>
      </c>
      <c r="K50" s="5">
        <f>VLOOKUP($B50,'Data Vlaue (Cr)'!$C:$FB,99)</f>
        <v>2819</v>
      </c>
      <c r="L50" s="81">
        <f>VLOOKUP(B50,'OI(Value)'!$A$7:$C$226,3,0)</f>
        <v>-38</v>
      </c>
      <c r="M50" s="33">
        <f t="shared" si="12"/>
        <v>-1.3479957431713374</v>
      </c>
      <c r="N50" s="5">
        <f>VLOOKUP($B50,'Data Vlaue (Cr)'!$C:$FB,67)</f>
        <v>742</v>
      </c>
      <c r="O50" s="5">
        <f>VLOOKUP($B50,'Data Vlaue (Cr)'!$C:$FB,68)</f>
        <v>1428</v>
      </c>
      <c r="P50" s="5">
        <f>(N50-O50)/N50*100</f>
        <v>-92.452830188679243</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Metals</v>
      </c>
      <c r="B51" s="79" t="str">
        <f>'Data shares'!C46</f>
        <v>COALINDIA</v>
      </c>
      <c r="C51" s="4">
        <f>VLOOKUP($B51,'Data shares'!$C:$FB,7)</f>
        <v>449.4</v>
      </c>
      <c r="D51" s="82">
        <f>VLOOKUP($B51,'Data shares'!$C:$FB,98)</f>
        <v>96304950</v>
      </c>
      <c r="E51" s="165">
        <f>VLOOKUP(B51,'Snapshot (Volume)'!$A$7:$G$168,7,0)</f>
        <v>87330150</v>
      </c>
      <c r="F51" s="165">
        <f>D51-E51</f>
        <v>8974800</v>
      </c>
      <c r="G51" s="166">
        <f>F51/E51</f>
        <v>0.10276863145202431</v>
      </c>
      <c r="H51" s="165">
        <f>VLOOKUP($B51,'Data shares'!$C:$FB,66)</f>
        <v>288503100</v>
      </c>
      <c r="I51" s="165">
        <f>VLOOKUP($B51,'Data shares'!$C:$FB,67)</f>
        <v>160629750</v>
      </c>
      <c r="J51" s="81">
        <f>(H51-I51)/I51*100</f>
        <v>79.607513552128424</v>
      </c>
      <c r="K51" s="5">
        <f>VLOOKUP($B51,'Data Vlaue (Cr)'!$C:$FB,99)</f>
        <v>4339</v>
      </c>
      <c r="L51" s="81">
        <f>VLOOKUP(B51,'OI(Value)'!$A$7:$C$226,3,0)</f>
        <v>404</v>
      </c>
      <c r="M51" s="33">
        <f t="shared" si="12"/>
        <v>9.3109011292924642</v>
      </c>
      <c r="N51" s="5">
        <f>VLOOKUP($B51,'Data Vlaue (Cr)'!$C:$FB,67)</f>
        <v>12997</v>
      </c>
      <c r="O51" s="5">
        <f>VLOOKUP($B51,'Data Vlaue (Cr)'!$C:$FB,68)</f>
        <v>7236</v>
      </c>
      <c r="P51" s="5">
        <f>(N51-O51)/N51*100</f>
        <v>44.325613603139189</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Technology</v>
      </c>
      <c r="B52" s="79" t="str">
        <f>'Data shares'!C47</f>
        <v>COFORGE</v>
      </c>
      <c r="C52" s="79">
        <f>VLOOKUP($B52,'Data shares'!$C:$FB,7)</f>
        <v>1152.7</v>
      </c>
      <c r="D52" s="80">
        <f>VLOOKUP($B52,'Data shares'!$C:$FB,98)</f>
        <v>43167750</v>
      </c>
      <c r="E52" s="165">
        <f>VLOOKUP(B52,'Snapshot (Volume)'!$A$7:$G$168,7,0)</f>
        <v>41282250</v>
      </c>
      <c r="F52" s="165">
        <f t="shared" ref="F52:F68" si="18">D52-E52</f>
        <v>1885500</v>
      </c>
      <c r="G52" s="166">
        <f t="shared" ref="G52:G68" si="19">F52/E52</f>
        <v>4.5673382628127097E-2</v>
      </c>
      <c r="H52" s="165">
        <f>VLOOKUP($B52,'Data shares'!$C:$FB,66)</f>
        <v>18763500</v>
      </c>
      <c r="I52" s="165">
        <f>VLOOKUP($B52,'Data shares'!$C:$FB,67)</f>
        <v>16643250</v>
      </c>
      <c r="J52" s="81">
        <f t="shared" ref="J52:J68" si="20">(H52-I52)/I52*100</f>
        <v>12.739398855391826</v>
      </c>
      <c r="K52" s="81">
        <f>VLOOKUP($B52,'Data Vlaue (Cr)'!$C:$FB,99)</f>
        <v>5000</v>
      </c>
      <c r="L52" s="81">
        <f>VLOOKUP(B52,'OI(Value)'!$A$7:$C$226,3,0)</f>
        <v>218</v>
      </c>
      <c r="M52" s="81">
        <f t="shared" si="12"/>
        <v>4.3600000000000003</v>
      </c>
      <c r="N52" s="81">
        <f>VLOOKUP($B52,'Data Vlaue (Cr)'!$C:$FB,67)</f>
        <v>2173</v>
      </c>
      <c r="O52" s="81">
        <f>VLOOKUP($B52,'Data Vlaue (Cr)'!$C:$FB,68)</f>
        <v>1928</v>
      </c>
      <c r="P52" s="81">
        <f t="shared" ref="P52:P68" si="21">(N52-O52)/N52*100</f>
        <v>11.274735388863323</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FMCG</v>
      </c>
      <c r="B53" s="79" t="str">
        <f>'Data shares'!C48</f>
        <v>COLPAL</v>
      </c>
      <c r="C53" s="4">
        <f>VLOOKUP($B53,'Data shares'!$C:$FB,7)</f>
        <v>2200.6</v>
      </c>
      <c r="D53" s="82">
        <f>VLOOKUP($B53,'Data shares'!$C:$FB,98)</f>
        <v>8506575</v>
      </c>
      <c r="E53" s="165">
        <f>VLOOKUP(B53,'Snapshot (Volume)'!$A$7:$G$168,7,0)</f>
        <v>8426025</v>
      </c>
      <c r="F53" s="165">
        <f t="shared" si="18"/>
        <v>80550</v>
      </c>
      <c r="G53" s="166">
        <f t="shared" si="19"/>
        <v>9.5596678148949232E-3</v>
      </c>
      <c r="H53" s="165">
        <f>VLOOKUP($B53,'Data shares'!$C:$FB,66)</f>
        <v>2137050</v>
      </c>
      <c r="I53" s="165">
        <f>VLOOKUP($B53,'Data shares'!$C:$FB,67)</f>
        <v>2122650</v>
      </c>
      <c r="J53" s="81">
        <f t="shared" si="20"/>
        <v>0.67839728641085439</v>
      </c>
      <c r="K53" s="5">
        <f>VLOOKUP($B53,'Data Vlaue (Cr)'!$C:$FB,99)</f>
        <v>1879</v>
      </c>
      <c r="L53" s="81">
        <f>VLOOKUP(B53,'OI(Value)'!$A$7:$C$226,3,0)</f>
        <v>18</v>
      </c>
      <c r="M53" s="33">
        <f t="shared" si="12"/>
        <v>0.95795635976583282</v>
      </c>
      <c r="N53" s="5">
        <f>VLOOKUP($B53,'Data Vlaue (Cr)'!$C:$FB,67)</f>
        <v>472</v>
      </c>
      <c r="O53" s="5">
        <f>VLOOKUP($B53,'Data Vlaue (Cr)'!$C:$FB,68)</f>
        <v>469</v>
      </c>
      <c r="P53" s="5">
        <f t="shared" si="21"/>
        <v>0.63559322033898313</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Infrastructure</v>
      </c>
      <c r="B54" s="79" t="str">
        <f>'Data shares'!C49</f>
        <v>CONCOR</v>
      </c>
      <c r="C54" s="4">
        <f>VLOOKUP($B54,'Data shares'!$C:$FB,7)</f>
        <v>479.95</v>
      </c>
      <c r="D54" s="82">
        <f>VLOOKUP($B54,'Data shares'!$C:$FB,98)</f>
        <v>47403750</v>
      </c>
      <c r="E54" s="165">
        <f>VLOOKUP(B54,'Snapshot (Volume)'!$A$7:$G$168,7,0)</f>
        <v>47748750</v>
      </c>
      <c r="F54" s="165">
        <f t="shared" si="18"/>
        <v>-345000</v>
      </c>
      <c r="G54" s="166">
        <f t="shared" si="19"/>
        <v>-7.2253200345558785E-3</v>
      </c>
      <c r="H54" s="165">
        <f>VLOOKUP($B54,'Data shares'!$C:$FB,66)</f>
        <v>18126250</v>
      </c>
      <c r="I54" s="165">
        <f>VLOOKUP($B54,'Data shares'!$C:$FB,67)</f>
        <v>21456250</v>
      </c>
      <c r="J54" s="81">
        <f t="shared" si="20"/>
        <v>-15.519953393533353</v>
      </c>
      <c r="K54" s="5">
        <f>VLOOKUP($B54,'Data Vlaue (Cr)'!$C:$FB,99)</f>
        <v>2281</v>
      </c>
      <c r="L54" s="81">
        <f>VLOOKUP(B54,'OI(Value)'!$A$7:$C$226,3,0)</f>
        <v>-17</v>
      </c>
      <c r="M54" s="33">
        <f t="shared" si="12"/>
        <v>-0.74528715475668561</v>
      </c>
      <c r="N54" s="5">
        <f>VLOOKUP($B54,'Data Vlaue (Cr)'!$C:$FB,67)</f>
        <v>872</v>
      </c>
      <c r="O54" s="5">
        <f>VLOOKUP($B54,'Data Vlaue (Cr)'!$C:$FB,68)</f>
        <v>1032</v>
      </c>
      <c r="P54" s="5">
        <f t="shared" si="21"/>
        <v>-18.348623853211009</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Capital_Goods</v>
      </c>
      <c r="B55" s="79" t="str">
        <f>'Data shares'!C50</f>
        <v>CROMPTON</v>
      </c>
      <c r="C55" s="4">
        <f>VLOOKUP($B55,'Data shares'!$C:$FB,7)</f>
        <v>250.1</v>
      </c>
      <c r="D55" s="82">
        <f>VLOOKUP($B55,'Data shares'!$C:$FB,98)</f>
        <v>61664400</v>
      </c>
      <c r="E55" s="165">
        <f>VLOOKUP(B55,'Snapshot (Volume)'!$A$7:$G$168,7,0)</f>
        <v>60764400</v>
      </c>
      <c r="F55" s="165">
        <f t="shared" si="18"/>
        <v>900000</v>
      </c>
      <c r="G55" s="166">
        <f t="shared" si="19"/>
        <v>1.4811303987203034E-2</v>
      </c>
      <c r="H55" s="165">
        <f>VLOOKUP($B55,'Data shares'!$C:$FB,66)</f>
        <v>15186600</v>
      </c>
      <c r="I55" s="165">
        <f>VLOOKUP($B55,'Data shares'!$C:$FB,67)</f>
        <v>14099400</v>
      </c>
      <c r="J55" s="81">
        <f t="shared" si="20"/>
        <v>7.7109664241031535</v>
      </c>
      <c r="K55" s="5">
        <f>VLOOKUP($B55,'Data Vlaue (Cr)'!$C:$FB,99)</f>
        <v>1546</v>
      </c>
      <c r="L55" s="81">
        <f>VLOOKUP(B55,'OI(Value)'!$A$7:$C$226,3,0)</f>
        <v>23</v>
      </c>
      <c r="M55" s="33">
        <f t="shared" si="12"/>
        <v>1.4877102199223804</v>
      </c>
      <c r="N55" s="5">
        <f>VLOOKUP($B55,'Data Vlaue (Cr)'!$C:$FB,67)</f>
        <v>381</v>
      </c>
      <c r="O55" s="5">
        <f>VLOOKUP($B55,'Data Vlaue (Cr)'!$C:$FB,68)</f>
        <v>354</v>
      </c>
      <c r="P55" s="5">
        <f t="shared" si="21"/>
        <v>7.0866141732283463</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Capital_Goods</v>
      </c>
      <c r="B56" s="79" t="str">
        <f>'Data shares'!C51</f>
        <v>CUMMINSIND</v>
      </c>
      <c r="C56" s="4">
        <f>VLOOKUP($B56,'Data shares'!$C:$FB,7)</f>
        <v>4791.3999999999996</v>
      </c>
      <c r="D56" s="82">
        <f>VLOOKUP($B56,'Data shares'!$C:$FB,98)</f>
        <v>4685400</v>
      </c>
      <c r="E56" s="165">
        <f>VLOOKUP(B56,'Snapshot (Volume)'!$A$7:$G$168,7,0)</f>
        <v>4645000</v>
      </c>
      <c r="F56" s="165">
        <f t="shared" si="18"/>
        <v>40400</v>
      </c>
      <c r="G56" s="166">
        <f t="shared" si="19"/>
        <v>8.6975242195909581E-3</v>
      </c>
      <c r="H56" s="165">
        <f>VLOOKUP($B56,'Data shares'!$C:$FB,66)</f>
        <v>3702400</v>
      </c>
      <c r="I56" s="165">
        <f>VLOOKUP($B56,'Data shares'!$C:$FB,67)</f>
        <v>4257800</v>
      </c>
      <c r="J56" s="81">
        <f t="shared" si="20"/>
        <v>-13.044295175912444</v>
      </c>
      <c r="K56" s="5">
        <f>VLOOKUP($B56,'Data Vlaue (Cr)'!$C:$FB,99)</f>
        <v>2249</v>
      </c>
      <c r="L56" s="81">
        <f>VLOOKUP(B56,'OI(Value)'!$A$7:$C$226,3,0)</f>
        <v>19</v>
      </c>
      <c r="M56" s="33">
        <f t="shared" si="12"/>
        <v>0.84481991996442873</v>
      </c>
      <c r="N56" s="5">
        <f>VLOOKUP($B56,'Data Vlaue (Cr)'!$C:$FB,67)</f>
        <v>1777</v>
      </c>
      <c r="O56" s="5">
        <f>VLOOKUP($B56,'Data Vlaue (Cr)'!$C:$FB,68)</f>
        <v>2044</v>
      </c>
      <c r="P56" s="5">
        <f t="shared" si="21"/>
        <v>-15.025323579065841</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FMCG</v>
      </c>
      <c r="B57" s="79" t="str">
        <f>'Data shares'!C52</f>
        <v>DABUR</v>
      </c>
      <c r="C57" s="4">
        <f>VLOOKUP($B57,'Data shares'!$C:$FB,7)</f>
        <v>487.9</v>
      </c>
      <c r="D57" s="82">
        <f>VLOOKUP($B57,'Data shares'!$C:$FB,98)</f>
        <v>38438750</v>
      </c>
      <c r="E57" s="165">
        <f>VLOOKUP(B57,'Snapshot (Volume)'!$A$7:$G$168,7,0)</f>
        <v>36936250</v>
      </c>
      <c r="F57" s="165">
        <f t="shared" si="18"/>
        <v>1502500</v>
      </c>
      <c r="G57" s="166">
        <f t="shared" si="19"/>
        <v>4.0678195539612168E-2</v>
      </c>
      <c r="H57" s="165">
        <f>VLOOKUP($B57,'Data shares'!$C:$FB,66)</f>
        <v>15373750</v>
      </c>
      <c r="I57" s="165">
        <f>VLOOKUP($B57,'Data shares'!$C:$FB,67)</f>
        <v>16703750</v>
      </c>
      <c r="J57" s="81">
        <f t="shared" si="20"/>
        <v>-7.9622839182818232</v>
      </c>
      <c r="K57" s="5">
        <f>VLOOKUP($B57,'Data Vlaue (Cr)'!$C:$FB,99)</f>
        <v>1882</v>
      </c>
      <c r="L57" s="81">
        <f>VLOOKUP(B57,'OI(Value)'!$A$7:$C$226,3,0)</f>
        <v>74</v>
      </c>
      <c r="M57" s="33">
        <f t="shared" si="12"/>
        <v>3.9319872476089266</v>
      </c>
      <c r="N57" s="5">
        <f>VLOOKUP($B57,'Data Vlaue (Cr)'!$C:$FB,67)</f>
        <v>753</v>
      </c>
      <c r="O57" s="5">
        <f>VLOOKUP($B57,'Data Vlaue (Cr)'!$C:$FB,68)</f>
        <v>818</v>
      </c>
      <c r="P57" s="5">
        <f t="shared" si="21"/>
        <v>-8.6321381142098286</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Cement</v>
      </c>
      <c r="B58" s="79" t="str">
        <f>'Data shares'!C53</f>
        <v>DALBHARAT</v>
      </c>
      <c r="C58" s="4">
        <f>VLOOKUP($B58,'Data shares'!$C:$FB,7)</f>
        <v>1928.7</v>
      </c>
      <c r="D58" s="82">
        <f>VLOOKUP($B58,'Data shares'!$C:$FB,98)</f>
        <v>3984500</v>
      </c>
      <c r="E58" s="165">
        <f>VLOOKUP(B58,'Snapshot (Volume)'!$A$7:$G$168,7,0)</f>
        <v>3933800</v>
      </c>
      <c r="F58" s="165">
        <f t="shared" si="18"/>
        <v>50700</v>
      </c>
      <c r="G58" s="166">
        <f t="shared" si="19"/>
        <v>1.2888301387970919E-2</v>
      </c>
      <c r="H58" s="165">
        <f>VLOOKUP($B58,'Data shares'!$C:$FB,66)</f>
        <v>1268475</v>
      </c>
      <c r="I58" s="165">
        <f>VLOOKUP($B58,'Data shares'!$C:$FB,67)</f>
        <v>1717625</v>
      </c>
      <c r="J58" s="81">
        <f t="shared" si="20"/>
        <v>-26.149479659413434</v>
      </c>
      <c r="K58" s="5">
        <f>VLOOKUP($B58,'Data Vlaue (Cr)'!$C:$FB,99)</f>
        <v>770</v>
      </c>
      <c r="L58" s="81">
        <f>VLOOKUP(B58,'OI(Value)'!$A$7:$C$226,3,0)</f>
        <v>10</v>
      </c>
      <c r="M58" s="33">
        <f t="shared" si="12"/>
        <v>1.2987012987012987</v>
      </c>
      <c r="N58" s="5">
        <f>VLOOKUP($B58,'Data Vlaue (Cr)'!$C:$FB,67)</f>
        <v>245</v>
      </c>
      <c r="O58" s="5">
        <f>VLOOKUP($B58,'Data Vlaue (Cr)'!$C:$FB,68)</f>
        <v>332</v>
      </c>
      <c r="P58" s="5">
        <f t="shared" si="21"/>
        <v>-35.510204081632651</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New_Age</v>
      </c>
      <c r="B59" s="79" t="str">
        <f>'Data shares'!C54</f>
        <v>DELHIVERY</v>
      </c>
      <c r="C59" s="4">
        <f>VLOOKUP($B59,'Data shares'!$C:$FB,7)</f>
        <v>428.1</v>
      </c>
      <c r="D59" s="82">
        <f>VLOOKUP($B59,'Data shares'!$C:$FB,98)</f>
        <v>32536000</v>
      </c>
      <c r="E59" s="165">
        <f>VLOOKUP(B59,'Snapshot (Volume)'!$A$7:$G$168,7,0)</f>
        <v>30963150</v>
      </c>
      <c r="F59" s="165">
        <f t="shared" si="18"/>
        <v>1572850</v>
      </c>
      <c r="G59" s="166">
        <f t="shared" si="19"/>
        <v>5.0797480230532099E-2</v>
      </c>
      <c r="H59" s="165">
        <f>VLOOKUP($B59,'Data shares'!$C:$FB,66)</f>
        <v>13620300</v>
      </c>
      <c r="I59" s="165">
        <f>VLOOKUP($B59,'Data shares'!$C:$FB,67)</f>
        <v>11804675</v>
      </c>
      <c r="J59" s="81">
        <f t="shared" si="20"/>
        <v>15.38055897345755</v>
      </c>
      <c r="K59" s="5">
        <f>VLOOKUP($B59,'Data Vlaue (Cr)'!$C:$FB,99)</f>
        <v>1396</v>
      </c>
      <c r="L59" s="81">
        <f>VLOOKUP(B59,'OI(Value)'!$A$7:$C$226,3,0)</f>
        <v>67</v>
      </c>
      <c r="M59" s="33">
        <f t="shared" si="12"/>
        <v>4.7994269340974212</v>
      </c>
      <c r="N59" s="5">
        <f>VLOOKUP($B59,'Data Vlaue (Cr)'!$C:$FB,67)</f>
        <v>584</v>
      </c>
      <c r="O59" s="5">
        <f>VLOOKUP($B59,'Data Vlaue (Cr)'!$C:$FB,68)</f>
        <v>506</v>
      </c>
      <c r="P59" s="5">
        <f t="shared" si="21"/>
        <v>13.356164383561644</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Pharma</v>
      </c>
      <c r="B60" s="79" t="str">
        <f>'Data shares'!C55</f>
        <v>DIVISLAB</v>
      </c>
      <c r="C60" s="4">
        <f>VLOOKUP($B60,'Data shares'!$C:$FB,7)</f>
        <v>6364.5</v>
      </c>
      <c r="D60" s="82">
        <f>VLOOKUP($B60,'Data shares'!$C:$FB,98)</f>
        <v>3831400</v>
      </c>
      <c r="E60" s="165">
        <f>VLOOKUP(B60,'Snapshot (Volume)'!$A$7:$G$168,7,0)</f>
        <v>3792100</v>
      </c>
      <c r="F60" s="165">
        <f t="shared" si="18"/>
        <v>39300</v>
      </c>
      <c r="G60" s="166">
        <f t="shared" si="19"/>
        <v>1.0363650747606867E-2</v>
      </c>
      <c r="H60" s="165">
        <f>VLOOKUP($B60,'Data shares'!$C:$FB,66)</f>
        <v>1154500</v>
      </c>
      <c r="I60" s="165">
        <f>VLOOKUP($B60,'Data shares'!$C:$FB,67)</f>
        <v>1550500</v>
      </c>
      <c r="J60" s="81">
        <f t="shared" si="20"/>
        <v>-25.540148339245405</v>
      </c>
      <c r="K60" s="5">
        <f>VLOOKUP($B60,'Data Vlaue (Cr)'!$C:$FB,99)</f>
        <v>2449</v>
      </c>
      <c r="L60" s="81">
        <f>VLOOKUP(B60,'OI(Value)'!$A$7:$C$226,3,0)</f>
        <v>25</v>
      </c>
      <c r="M60" s="33">
        <f t="shared" si="12"/>
        <v>1.0208248264597795</v>
      </c>
      <c r="N60" s="5">
        <f>VLOOKUP($B60,'Data Vlaue (Cr)'!$C:$FB,67)</f>
        <v>738</v>
      </c>
      <c r="O60" s="5">
        <f>VLOOKUP($B60,'Data Vlaue (Cr)'!$C:$FB,68)</f>
        <v>991</v>
      </c>
      <c r="P60" s="5">
        <f t="shared" si="21"/>
        <v>-34.281842818428181</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Capital_Goods</v>
      </c>
      <c r="B61" s="79" t="str">
        <f>'Data shares'!C56</f>
        <v>DIXON</v>
      </c>
      <c r="C61" s="4">
        <f>VLOOKUP($B61,'Data shares'!$C:$FB,7)</f>
        <v>10224</v>
      </c>
      <c r="D61" s="82">
        <f>VLOOKUP($B61,'Data shares'!$C:$FB,98)</f>
        <v>5607950</v>
      </c>
      <c r="E61" s="165">
        <f>VLOOKUP(B61,'Snapshot (Volume)'!$A$7:$G$168,7,0)</f>
        <v>5647300</v>
      </c>
      <c r="F61" s="165">
        <f t="shared" si="18"/>
        <v>-39350</v>
      </c>
      <c r="G61" s="166">
        <f t="shared" si="19"/>
        <v>-6.9679315779221929E-3</v>
      </c>
      <c r="H61" s="165">
        <f>VLOOKUP($B61,'Data shares'!$C:$FB,66)</f>
        <v>3962300</v>
      </c>
      <c r="I61" s="165">
        <f>VLOOKUP($B61,'Data shares'!$C:$FB,67)</f>
        <v>5298500</v>
      </c>
      <c r="J61" s="81">
        <f t="shared" si="20"/>
        <v>-25.218458054166277</v>
      </c>
      <c r="K61" s="5">
        <f>VLOOKUP($B61,'Data Vlaue (Cr)'!$C:$FB,99)</f>
        <v>5740</v>
      </c>
      <c r="L61" s="81">
        <f>VLOOKUP(B61,'OI(Value)'!$A$7:$C$226,3,0)</f>
        <v>-40</v>
      </c>
      <c r="M61" s="33">
        <f t="shared" si="12"/>
        <v>-0.69686411149825789</v>
      </c>
      <c r="N61" s="5">
        <f>VLOOKUP($B61,'Data Vlaue (Cr)'!$C:$FB,67)</f>
        <v>4056</v>
      </c>
      <c r="O61" s="5">
        <f>VLOOKUP($B61,'Data Vlaue (Cr)'!$C:$FB,68)</f>
        <v>5424</v>
      </c>
      <c r="P61" s="5">
        <f t="shared" si="21"/>
        <v>-33.727810650887577</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Realty</v>
      </c>
      <c r="B62" s="79" t="str">
        <f>'Data shares'!C57</f>
        <v>DLF</v>
      </c>
      <c r="C62" s="4">
        <f>VLOOKUP($B62,'Data shares'!$C:$FB,7)</f>
        <v>585.15</v>
      </c>
      <c r="D62" s="82">
        <f>VLOOKUP($B62,'Data shares'!$C:$FB,98)</f>
        <v>76043550</v>
      </c>
      <c r="E62" s="165">
        <f>VLOOKUP(B62,'Snapshot (Volume)'!$A$7:$G$168,7,0)</f>
        <v>76732425</v>
      </c>
      <c r="F62" s="165">
        <f t="shared" si="18"/>
        <v>-688875</v>
      </c>
      <c r="G62" s="166"/>
      <c r="H62" s="165">
        <f>VLOOKUP($B62,'Data shares'!$C:$FB,66)</f>
        <v>26420625</v>
      </c>
      <c r="I62" s="165">
        <f>VLOOKUP($B62,'Data shares'!$C:$FB,67)</f>
        <v>46324575</v>
      </c>
      <c r="J62" s="81"/>
      <c r="K62" s="5">
        <f>VLOOKUP($B62,'Data Vlaue (Cr)'!$C:$FB,99)</f>
        <v>4466</v>
      </c>
      <c r="L62" s="81">
        <f>VLOOKUP(B62,'OI(Value)'!$A$7:$C$226,3,0)</f>
        <v>-40</v>
      </c>
      <c r="M62" s="33"/>
      <c r="N62" s="5">
        <f>VLOOKUP($B62,'Data Vlaue (Cr)'!$C:$FB,67)</f>
        <v>1552</v>
      </c>
      <c r="O62" s="5">
        <f>VLOOKUP($B62,'Data Vlaue (Cr)'!$C:$FB,68)</f>
        <v>2721</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New_Age</v>
      </c>
      <c r="B63" s="79" t="str">
        <f>'Data shares'!C58</f>
        <v>DMART</v>
      </c>
      <c r="C63" s="4">
        <f>VLOOKUP($B63,'Data shares'!$C:$FB,7)</f>
        <v>3835.4</v>
      </c>
      <c r="D63" s="82">
        <f>VLOOKUP($B63,'Data shares'!$C:$FB,98)</f>
        <v>7288650</v>
      </c>
      <c r="E63" s="165">
        <f>VLOOKUP(B63,'Snapshot (Volume)'!$A$7:$G$168,7,0)</f>
        <v>7210500</v>
      </c>
      <c r="F63" s="165">
        <f t="shared" si="18"/>
        <v>78150</v>
      </c>
      <c r="G63" s="166">
        <f t="shared" si="19"/>
        <v>1.0838360723944248E-2</v>
      </c>
      <c r="H63" s="165">
        <f>VLOOKUP($B63,'Data shares'!$C:$FB,66)</f>
        <v>2643900</v>
      </c>
      <c r="I63" s="165">
        <f>VLOOKUP($B63,'Data shares'!$C:$FB,67)</f>
        <v>1852800</v>
      </c>
      <c r="J63" s="81">
        <f t="shared" si="20"/>
        <v>42.697538860103627</v>
      </c>
      <c r="K63" s="5">
        <f>VLOOKUP($B63,'Data Vlaue (Cr)'!$C:$FB,99)</f>
        <v>2802</v>
      </c>
      <c r="L63" s="81">
        <f>VLOOKUP(B63,'OI(Value)'!$A$7:$C$226,3,0)</f>
        <v>30</v>
      </c>
      <c r="M63" s="33">
        <f t="shared" si="12"/>
        <v>1.070663811563169</v>
      </c>
      <c r="N63" s="5">
        <f>VLOOKUP($B63,'Data Vlaue (Cr)'!$C:$FB,67)</f>
        <v>1017</v>
      </c>
      <c r="O63" s="5">
        <f>VLOOKUP($B63,'Data Vlaue (Cr)'!$C:$FB,68)</f>
        <v>712</v>
      </c>
      <c r="P63" s="5">
        <f t="shared" si="21"/>
        <v>29.990167158308751</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Pharma</v>
      </c>
      <c r="B64" s="79" t="str">
        <f>'Data shares'!C59</f>
        <v>DRREDDY</v>
      </c>
      <c r="C64" s="4">
        <f>VLOOKUP($B64,'Data shares'!$C:$FB,7)</f>
        <v>1313.5</v>
      </c>
      <c r="D64" s="82">
        <f>VLOOKUP($B64,'Data shares'!$C:$FB,98)</f>
        <v>23436250</v>
      </c>
      <c r="E64" s="165">
        <f>VLOOKUP(B64,'Snapshot (Volume)'!$A$7:$G$168,7,0)</f>
        <v>23218125</v>
      </c>
      <c r="F64" s="165">
        <f t="shared" si="18"/>
        <v>218125</v>
      </c>
      <c r="G64" s="166">
        <f t="shared" si="19"/>
        <v>9.3946001238256749E-3</v>
      </c>
      <c r="H64" s="165">
        <f>VLOOKUP($B64,'Data shares'!$C:$FB,66)</f>
        <v>12327500</v>
      </c>
      <c r="I64" s="165">
        <f>VLOOKUP($B64,'Data shares'!$C:$FB,67)</f>
        <v>11985000</v>
      </c>
      <c r="J64" s="81">
        <f t="shared" si="20"/>
        <v>2.8577388402169381</v>
      </c>
      <c r="K64" s="5">
        <f>VLOOKUP($B64,'Data Vlaue (Cr)'!$C:$FB,99)</f>
        <v>3089</v>
      </c>
      <c r="L64" s="81">
        <f>VLOOKUP(B64,'OI(Value)'!$A$7:$C$226,3,0)</f>
        <v>29</v>
      </c>
      <c r="M64" s="33">
        <f t="shared" si="12"/>
        <v>0.93881515053415354</v>
      </c>
      <c r="N64" s="5">
        <f>VLOOKUP($B64,'Data Vlaue (Cr)'!$C:$FB,67)</f>
        <v>1625</v>
      </c>
      <c r="O64" s="5">
        <f>VLOOKUP($B64,'Data Vlaue (Cr)'!$C:$FB,68)</f>
        <v>1580</v>
      </c>
      <c r="P64" s="5">
        <f t="shared" si="21"/>
        <v>2.7692307692307692</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Automobile</v>
      </c>
      <c r="B65" s="79" t="str">
        <f>'Data shares'!C60</f>
        <v>EICHERMOT</v>
      </c>
      <c r="C65" s="4">
        <f>VLOOKUP($B65,'Data shares'!$C:$FB,7)</f>
        <v>7755</v>
      </c>
      <c r="D65" s="82">
        <f>VLOOKUP($B65,'Data shares'!$C:$FB,98)</f>
        <v>5913000</v>
      </c>
      <c r="E65" s="165">
        <f>VLOOKUP(B65,'Snapshot (Volume)'!$A$7:$G$168,7,0)</f>
        <v>5861900</v>
      </c>
      <c r="F65" s="165">
        <f t="shared" si="18"/>
        <v>51100</v>
      </c>
      <c r="G65" s="166">
        <f t="shared" si="19"/>
        <v>8.717310087173101E-3</v>
      </c>
      <c r="H65" s="165">
        <f>VLOOKUP($B65,'Data shares'!$C:$FB,66)</f>
        <v>3009500</v>
      </c>
      <c r="I65" s="165">
        <f>VLOOKUP($B65,'Data shares'!$C:$FB,67)</f>
        <v>3531500</v>
      </c>
      <c r="J65" s="81">
        <f t="shared" si="20"/>
        <v>-14.781254424465526</v>
      </c>
      <c r="K65" s="5">
        <f>VLOOKUP($B65,'Data Vlaue (Cr)'!$C:$FB,99)</f>
        <v>4593</v>
      </c>
      <c r="L65" s="81">
        <f>VLOOKUP(B65,'OI(Value)'!$A$7:$C$226,3,0)</f>
        <v>40</v>
      </c>
      <c r="M65" s="33">
        <f t="shared" si="12"/>
        <v>0.87089048552144566</v>
      </c>
      <c r="N65" s="5">
        <f>VLOOKUP($B65,'Data Vlaue (Cr)'!$C:$FB,67)</f>
        <v>2338</v>
      </c>
      <c r="O65" s="5">
        <f>VLOOKUP($B65,'Data Vlaue (Cr)'!$C:$FB,68)</f>
        <v>2743</v>
      </c>
      <c r="P65" s="5">
        <f t="shared" si="21"/>
        <v>-17.322497861420018</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New_Age</v>
      </c>
      <c r="B66" s="79" t="str">
        <f>'Data shares'!C61</f>
        <v>ETERNAL</v>
      </c>
      <c r="C66" s="4">
        <f>VLOOKUP($B66,'Data shares'!$C:$FB,7)</f>
        <v>240.14</v>
      </c>
      <c r="D66" s="82">
        <f>VLOOKUP($B66,'Data shares'!$C:$FB,98)</f>
        <v>457733300</v>
      </c>
      <c r="E66" s="165">
        <f>VLOOKUP(B66,'Snapshot (Volume)'!$A$7:$G$168,7,0)</f>
        <v>446772300</v>
      </c>
      <c r="F66" s="165">
        <f t="shared" si="18"/>
        <v>10961000</v>
      </c>
      <c r="G66" s="166">
        <f t="shared" si="19"/>
        <v>2.4533750189973728E-2</v>
      </c>
      <c r="H66" s="165">
        <f>VLOOKUP($B66,'Data shares'!$C:$FB,66)</f>
        <v>197065200</v>
      </c>
      <c r="I66" s="165">
        <f>VLOOKUP($B66,'Data shares'!$C:$FB,67)</f>
        <v>152709525</v>
      </c>
      <c r="J66" s="81">
        <f t="shared" si="20"/>
        <v>29.045781525415652</v>
      </c>
      <c r="K66" s="5">
        <f>VLOOKUP($B66,'Data Vlaue (Cr)'!$C:$FB,99)</f>
        <v>11016</v>
      </c>
      <c r="L66" s="81">
        <f>VLOOKUP(B66,'OI(Value)'!$A$7:$C$226,3,0)</f>
        <v>264</v>
      </c>
      <c r="M66" s="33">
        <f t="shared" ref="M66:M93" si="22">L66/K66*100</f>
        <v>2.3965141612200433</v>
      </c>
      <c r="N66" s="5">
        <f>VLOOKUP($B66,'Data Vlaue (Cr)'!$C:$FB,67)</f>
        <v>4743</v>
      </c>
      <c r="O66" s="5">
        <f>VLOOKUP($B66,'Data Vlaue (Cr)'!$C:$FB,68)</f>
        <v>3675</v>
      </c>
      <c r="P66" s="5">
        <f t="shared" si="21"/>
        <v>22.51739405439595</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Automobile</v>
      </c>
      <c r="B67" s="79" t="str">
        <f>'Data shares'!C62</f>
        <v>EXIDEIND</v>
      </c>
      <c r="C67" s="4">
        <f>VLOOKUP($B67,'Data shares'!$C:$FB,7)</f>
        <v>319.64999999999998</v>
      </c>
      <c r="D67" s="82">
        <f>VLOOKUP($B67,'Data shares'!$C:$FB,98)</f>
        <v>48416400</v>
      </c>
      <c r="E67" s="165">
        <f>VLOOKUP(B67,'Snapshot (Volume)'!$A$7:$G$168,7,0)</f>
        <v>47977200</v>
      </c>
      <c r="F67" s="165">
        <f t="shared" si="18"/>
        <v>439200</v>
      </c>
      <c r="G67" s="166">
        <f t="shared" si="19"/>
        <v>9.1543483154498395E-3</v>
      </c>
      <c r="H67" s="165">
        <f>VLOOKUP($B67,'Data shares'!$C:$FB,66)</f>
        <v>12769200</v>
      </c>
      <c r="I67" s="165">
        <f>VLOOKUP($B67,'Data shares'!$C:$FB,67)</f>
        <v>12171600</v>
      </c>
      <c r="J67" s="81">
        <f t="shared" si="20"/>
        <v>4.9097900029577053</v>
      </c>
      <c r="K67" s="5">
        <f>VLOOKUP($B67,'Data Vlaue (Cr)'!$C:$FB,99)</f>
        <v>1554</v>
      </c>
      <c r="L67" s="81">
        <f>VLOOKUP(B67,'OI(Value)'!$A$7:$C$226,3,0)</f>
        <v>14</v>
      </c>
      <c r="M67" s="33">
        <f t="shared" si="22"/>
        <v>0.90090090090090091</v>
      </c>
      <c r="N67" s="5">
        <f>VLOOKUP($B67,'Data Vlaue (Cr)'!$C:$FB,67)</f>
        <v>410</v>
      </c>
      <c r="O67" s="5">
        <f>VLOOKUP($B67,'Data Vlaue (Cr)'!$C:$FB,68)</f>
        <v>391</v>
      </c>
      <c r="P67" s="5">
        <f t="shared" si="21"/>
        <v>4.6341463414634143</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Banking</v>
      </c>
      <c r="B68" s="79" t="str">
        <f>'Data shares'!C63</f>
        <v>FEDERALBNK</v>
      </c>
      <c r="C68" s="4">
        <f>VLOOKUP($B68,'Data shares'!$C:$FB,7)</f>
        <v>289.7</v>
      </c>
      <c r="D68" s="82">
        <f>VLOOKUP($B68,'Data shares'!$C:$FB,98)</f>
        <v>125230000</v>
      </c>
      <c r="E68" s="165">
        <f>VLOOKUP(B68,'Snapshot (Volume)'!$A$7:$G$168,7,0)</f>
        <v>116395000</v>
      </c>
      <c r="F68" s="165">
        <f t="shared" si="18"/>
        <v>8835000</v>
      </c>
      <c r="G68" s="166">
        <f t="shared" si="19"/>
        <v>7.5905322393573602E-2</v>
      </c>
      <c r="H68" s="165">
        <f>VLOOKUP($B68,'Data shares'!$C:$FB,66)</f>
        <v>99470000</v>
      </c>
      <c r="I68" s="165">
        <f>VLOOKUP($B68,'Data shares'!$C:$FB,67)</f>
        <v>133930000</v>
      </c>
      <c r="J68" s="81">
        <f t="shared" si="20"/>
        <v>-25.729858881505262</v>
      </c>
      <c r="K68" s="5">
        <f>VLOOKUP($B68,'Data Vlaue (Cr)'!$C:$FB,99)</f>
        <v>3642</v>
      </c>
      <c r="L68" s="81">
        <f>VLOOKUP(B68,'OI(Value)'!$A$7:$C$226,3,0)</f>
        <v>257</v>
      </c>
      <c r="M68" s="33">
        <f t="shared" si="22"/>
        <v>7.0565623283909948</v>
      </c>
      <c r="N68" s="5">
        <f>VLOOKUP($B68,'Data Vlaue (Cr)'!$C:$FB,67)</f>
        <v>2893</v>
      </c>
      <c r="O68" s="5">
        <f>VLOOKUP($B68,'Data Vlaue (Cr)'!$C:$FB,68)</f>
        <v>3895</v>
      </c>
      <c r="P68" s="5">
        <f t="shared" si="21"/>
        <v>-34.635326650535774</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Index</v>
      </c>
      <c r="B69" s="79" t="str">
        <f>'Data shares'!C64</f>
        <v>FINNIFTY</v>
      </c>
      <c r="C69" s="79">
        <f>VLOOKUP($B69,'Data shares'!$C:$FB,7)</f>
        <v>27235.8</v>
      </c>
      <c r="D69" s="165">
        <f>VLOOKUP($B69,'Data shares'!$C:$FB,98)</f>
        <v>1395720</v>
      </c>
      <c r="E69" s="165">
        <f>VLOOKUP(B69,'Snapshot (Volume)'!$A$7:$G$168,7,0)</f>
        <v>1345140</v>
      </c>
      <c r="F69" s="165">
        <f t="shared" ref="F69:F85" si="23">D69-E69</f>
        <v>50580</v>
      </c>
      <c r="G69" s="166">
        <f t="shared" ref="G69:G85" si="24">F69/E69</f>
        <v>3.7602033989027166E-2</v>
      </c>
      <c r="H69" s="165">
        <f>VLOOKUP($B69,'Data shares'!$C:$FB,66)</f>
        <v>2615760</v>
      </c>
      <c r="I69" s="165">
        <f>VLOOKUP($B69,'Data shares'!$C:$FB,67)</f>
        <v>2603400</v>
      </c>
      <c r="J69" s="81">
        <f t="shared" ref="J69:J85" si="25">(H69-I69)/I69*100</f>
        <v>0.47476377045402168</v>
      </c>
      <c r="K69" s="81">
        <f>VLOOKUP($B69,'Data Vlaue (Cr)'!$C:$FB,99)</f>
        <v>3819</v>
      </c>
      <c r="L69" s="81">
        <f>VLOOKUP(B69,'OI(Value)'!$A$7:$C$226,3,0)</f>
        <v>138</v>
      </c>
      <c r="M69" s="81">
        <f t="shared" si="22"/>
        <v>3.6135113904163392</v>
      </c>
      <c r="N69" s="81">
        <f>VLOOKUP($B69,'Data Vlaue (Cr)'!$C:$FB,67)</f>
        <v>7157</v>
      </c>
      <c r="O69" s="81">
        <f>VLOOKUP($B69,'Data Vlaue (Cr)'!$C:$FB,68)</f>
        <v>7123</v>
      </c>
      <c r="P69" s="81">
        <f t="shared" ref="P69:P85" si="26">(N69-O69)/N69*100</f>
        <v>0.47505938242280288</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Pharma</v>
      </c>
      <c r="B70" s="79" t="str">
        <f>'Data shares'!C65</f>
        <v>FORTIS</v>
      </c>
      <c r="C70" s="79">
        <f>VLOOKUP($B70,'Data shares'!$C:$FB,7)</f>
        <v>920.95</v>
      </c>
      <c r="D70" s="165">
        <f>VLOOKUP($B70,'Data shares'!$C:$FB,98)</f>
        <v>16643125</v>
      </c>
      <c r="E70" s="165">
        <f>VLOOKUP(B70,'Snapshot (Volume)'!$A$7:$G$168,7,0)</f>
        <v>16219200</v>
      </c>
      <c r="F70" s="165">
        <f t="shared" si="23"/>
        <v>423925</v>
      </c>
      <c r="G70" s="166">
        <f t="shared" si="24"/>
        <v>2.6137232415902139E-2</v>
      </c>
      <c r="H70" s="165">
        <f>VLOOKUP($B70,'Data shares'!$C:$FB,66)</f>
        <v>5172350</v>
      </c>
      <c r="I70" s="165">
        <f>VLOOKUP($B70,'Data shares'!$C:$FB,67)</f>
        <v>7049400</v>
      </c>
      <c r="J70" s="81">
        <f t="shared" si="25"/>
        <v>-26.627088830255058</v>
      </c>
      <c r="K70" s="81">
        <f>VLOOKUP($B70,'Data Vlaue (Cr)'!$C:$FB,99)</f>
        <v>1536</v>
      </c>
      <c r="L70" s="81">
        <f>VLOOKUP(B70,'OI(Value)'!$A$7:$C$226,3,0)</f>
        <v>39</v>
      </c>
      <c r="M70" s="81">
        <f t="shared" si="22"/>
        <v>2.5390625</v>
      </c>
      <c r="N70" s="81">
        <f>VLOOKUP($B70,'Data Vlaue (Cr)'!$C:$FB,67)</f>
        <v>477</v>
      </c>
      <c r="O70" s="81">
        <f>VLOOKUP($B70,'Data Vlaue (Cr)'!$C:$FB,68)</f>
        <v>650</v>
      </c>
      <c r="P70" s="81">
        <f t="shared" si="26"/>
        <v>-36.268343815513624</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Oil_Gas</v>
      </c>
      <c r="B71" s="79" t="str">
        <f>'Data shares'!C66</f>
        <v>GAIL</v>
      </c>
      <c r="C71" s="4">
        <f>VLOOKUP($B71,'Data shares'!$C:$FB,7)</f>
        <v>156.72999999999999</v>
      </c>
      <c r="D71" s="82">
        <f>VLOOKUP($B71,'Data shares'!$C:$FB,98)</f>
        <v>169674750</v>
      </c>
      <c r="E71" s="165">
        <f>VLOOKUP(B71,'Snapshot (Volume)'!$A$7:$G$168,7,0)</f>
        <v>166039650</v>
      </c>
      <c r="F71" s="165">
        <f t="shared" si="23"/>
        <v>3635100</v>
      </c>
      <c r="G71" s="166">
        <f t="shared" si="24"/>
        <v>2.189296351805126E-2</v>
      </c>
      <c r="H71" s="165">
        <f>VLOOKUP($B71,'Data shares'!$C:$FB,66)</f>
        <v>111409200</v>
      </c>
      <c r="I71" s="165">
        <f>VLOOKUP($B71,'Data shares'!$C:$FB,67)</f>
        <v>224106750</v>
      </c>
      <c r="J71" s="81">
        <f t="shared" si="25"/>
        <v>-50.28744114133108</v>
      </c>
      <c r="K71" s="5">
        <f>VLOOKUP($B71,'Data Vlaue (Cr)'!$C:$FB,99)</f>
        <v>2663</v>
      </c>
      <c r="L71" s="81">
        <f>VLOOKUP(B71,'OI(Value)'!$A$7:$C$226,3,0)</f>
        <v>57</v>
      </c>
      <c r="M71" s="33">
        <f t="shared" si="22"/>
        <v>2.1404431092752536</v>
      </c>
      <c r="N71" s="5">
        <f>VLOOKUP($B71,'Data Vlaue (Cr)'!$C:$FB,67)</f>
        <v>1748</v>
      </c>
      <c r="O71" s="5">
        <f>VLOOKUP($B71,'Data Vlaue (Cr)'!$C:$FB,68)</f>
        <v>3517</v>
      </c>
      <c r="P71" s="5">
        <f t="shared" si="26"/>
        <v>-101.20137299771169</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Pharma</v>
      </c>
      <c r="B72" s="79" t="str">
        <f>'Data shares'!C67</f>
        <v>GLENMARK</v>
      </c>
      <c r="C72" s="4">
        <f>VLOOKUP($B72,'Data shares'!$C:$FB,7)</f>
        <v>2108.9</v>
      </c>
      <c r="D72" s="82">
        <f>VLOOKUP($B72,'Data shares'!$C:$FB,98)</f>
        <v>13863000</v>
      </c>
      <c r="E72" s="165">
        <f>VLOOKUP(B72,'Snapshot (Volume)'!$A$7:$G$168,7,0)</f>
        <v>13950000</v>
      </c>
      <c r="F72" s="165">
        <f t="shared" si="23"/>
        <v>-87000</v>
      </c>
      <c r="G72" s="166">
        <f t="shared" si="24"/>
        <v>-6.2365591397849467E-3</v>
      </c>
      <c r="H72" s="165">
        <f>VLOOKUP($B72,'Data shares'!$C:$FB,66)</f>
        <v>4050000</v>
      </c>
      <c r="I72" s="165">
        <f>VLOOKUP($B72,'Data shares'!$C:$FB,67)</f>
        <v>4662000</v>
      </c>
      <c r="J72" s="81">
        <f t="shared" si="25"/>
        <v>-13.127413127413126</v>
      </c>
      <c r="K72" s="5">
        <f>VLOOKUP($B72,'Data Vlaue (Cr)'!$C:$FB,99)</f>
        <v>2928</v>
      </c>
      <c r="L72" s="81">
        <f>VLOOKUP(B72,'OI(Value)'!$A$7:$C$226,3,0)</f>
        <v>-18</v>
      </c>
      <c r="M72" s="33">
        <f t="shared" si="22"/>
        <v>-0.61475409836065575</v>
      </c>
      <c r="N72" s="5">
        <f>VLOOKUP($B72,'Data Vlaue (Cr)'!$C:$FB,67)</f>
        <v>855</v>
      </c>
      <c r="O72" s="5">
        <f>VLOOKUP($B72,'Data Vlaue (Cr)'!$C:$FB,68)</f>
        <v>985</v>
      </c>
      <c r="P72" s="5">
        <f t="shared" si="26"/>
        <v>-15.204678362573098</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Infrastructure</v>
      </c>
      <c r="B73" s="79" t="str">
        <f>'Data shares'!C68</f>
        <v>GMRAIRPORT</v>
      </c>
      <c r="C73" s="4">
        <f>VLOOKUP($B73,'Data shares'!$C:$FB,7)</f>
        <v>97.98</v>
      </c>
      <c r="D73" s="82">
        <f>VLOOKUP($B73,'Data shares'!$C:$FB,98)</f>
        <v>234855225</v>
      </c>
      <c r="E73" s="165">
        <f>VLOOKUP(B73,'Snapshot (Volume)'!$A$7:$G$168,7,0)</f>
        <v>235587600</v>
      </c>
      <c r="F73" s="165">
        <f t="shared" si="23"/>
        <v>-732375</v>
      </c>
      <c r="G73" s="166">
        <f t="shared" si="24"/>
        <v>-3.1087162482235906E-3</v>
      </c>
      <c r="H73" s="165">
        <f>VLOOKUP($B73,'Data shares'!$C:$FB,66)</f>
        <v>68926950</v>
      </c>
      <c r="I73" s="165">
        <f>VLOOKUP($B73,'Data shares'!$C:$FB,67)</f>
        <v>103676400</v>
      </c>
      <c r="J73" s="81">
        <f t="shared" si="25"/>
        <v>-33.51722282023681</v>
      </c>
      <c r="K73" s="5">
        <f>VLOOKUP($B73,'Data Vlaue (Cr)'!$C:$FB,99)</f>
        <v>2309</v>
      </c>
      <c r="L73" s="81">
        <f>VLOOKUP(B73,'OI(Value)'!$A$7:$C$226,3,0)</f>
        <v>-7</v>
      </c>
      <c r="M73" s="33">
        <f t="shared" si="22"/>
        <v>-0.30316154179298399</v>
      </c>
      <c r="N73" s="5">
        <f>VLOOKUP($B73,'Data Vlaue (Cr)'!$C:$FB,67)</f>
        <v>678</v>
      </c>
      <c r="O73" s="5">
        <f>VLOOKUP($B73,'Data Vlaue (Cr)'!$C:$FB,68)</f>
        <v>1019</v>
      </c>
      <c r="P73" s="5">
        <f t="shared" si="26"/>
        <v>-50.294985250737469</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FMCG</v>
      </c>
      <c r="B74" s="79" t="str">
        <f>'Data shares'!C69</f>
        <v>GODREJCP</v>
      </c>
      <c r="C74" s="4">
        <f>VLOOKUP($B74,'Data shares'!$C:$FB,7)</f>
        <v>1132.4000000000001</v>
      </c>
      <c r="D74" s="82">
        <f>VLOOKUP($B74,'Data shares'!$C:$FB,98)</f>
        <v>10767500</v>
      </c>
      <c r="E74" s="165">
        <f>VLOOKUP(B74,'Snapshot (Volume)'!$A$7:$G$168,7,0)</f>
        <v>10380500</v>
      </c>
      <c r="F74" s="165">
        <f t="shared" si="23"/>
        <v>387000</v>
      </c>
      <c r="G74" s="166">
        <f t="shared" si="24"/>
        <v>3.7281441163720438E-2</v>
      </c>
      <c r="H74" s="165">
        <f>VLOOKUP($B74,'Data shares'!$C:$FB,66)</f>
        <v>2868000</v>
      </c>
      <c r="I74" s="165">
        <f>VLOOKUP($B74,'Data shares'!$C:$FB,67)</f>
        <v>6121500</v>
      </c>
      <c r="J74" s="81">
        <f t="shared" si="25"/>
        <v>-53.148738054398436</v>
      </c>
      <c r="K74" s="5">
        <f>VLOOKUP($B74,'Data Vlaue (Cr)'!$C:$FB,99)</f>
        <v>1226</v>
      </c>
      <c r="L74" s="81">
        <f>VLOOKUP(B74,'OI(Value)'!$A$7:$C$226,3,0)</f>
        <v>44</v>
      </c>
      <c r="M74" s="33">
        <f t="shared" si="22"/>
        <v>3.588907014681892</v>
      </c>
      <c r="N74" s="5">
        <f>VLOOKUP($B74,'Data Vlaue (Cr)'!$C:$FB,67)</f>
        <v>326</v>
      </c>
      <c r="O74" s="5">
        <f>VLOOKUP($B74,'Data Vlaue (Cr)'!$C:$FB,68)</f>
        <v>697</v>
      </c>
      <c r="P74" s="5">
        <f t="shared" si="26"/>
        <v>-113.80368098159511</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Realty</v>
      </c>
      <c r="B75" s="79" t="str">
        <f>'Data shares'!C70</f>
        <v>GODREJPROP</v>
      </c>
      <c r="C75" s="4">
        <f>VLOOKUP($B75,'Data shares'!$C:$FB,7)</f>
        <v>1743.8</v>
      </c>
      <c r="D75" s="82">
        <f>VLOOKUP($B75,'Data shares'!$C:$FB,98)</f>
        <v>12076350</v>
      </c>
      <c r="E75" s="165">
        <f>VLOOKUP(B75,'Snapshot (Volume)'!$A$7:$G$168,7,0)</f>
        <v>11914650</v>
      </c>
      <c r="F75" s="165">
        <f t="shared" si="23"/>
        <v>161700</v>
      </c>
      <c r="G75" s="166">
        <f t="shared" si="24"/>
        <v>1.3571527489267415E-2</v>
      </c>
      <c r="H75" s="165">
        <f>VLOOKUP($B75,'Data shares'!$C:$FB,66)</f>
        <v>6289250</v>
      </c>
      <c r="I75" s="165">
        <f>VLOOKUP($B75,'Data shares'!$C:$FB,67)</f>
        <v>8078950</v>
      </c>
      <c r="J75" s="81">
        <f t="shared" si="25"/>
        <v>-22.152631220641297</v>
      </c>
      <c r="K75" s="5">
        <f>VLOOKUP($B75,'Data Vlaue (Cr)'!$C:$FB,99)</f>
        <v>2108</v>
      </c>
      <c r="L75" s="81">
        <f>VLOOKUP(B75,'OI(Value)'!$A$7:$C$226,3,0)</f>
        <v>28</v>
      </c>
      <c r="M75" s="33">
        <f t="shared" si="22"/>
        <v>1.3282732447817838</v>
      </c>
      <c r="N75" s="5">
        <f>VLOOKUP($B75,'Data Vlaue (Cr)'!$C:$FB,67)</f>
        <v>1098</v>
      </c>
      <c r="O75" s="5">
        <f>VLOOKUP($B75,'Data Vlaue (Cr)'!$C:$FB,68)</f>
        <v>1410</v>
      </c>
      <c r="P75" s="5">
        <f t="shared" si="26"/>
        <v>-28.415300546448087</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Cement</v>
      </c>
      <c r="B76" s="79" t="str">
        <f>'Data shares'!C71</f>
        <v>GRASIM</v>
      </c>
      <c r="C76" s="4">
        <f>VLOOKUP($B76,'Data shares'!$C:$FB,7)</f>
        <v>2724.1</v>
      </c>
      <c r="D76" s="82">
        <f>VLOOKUP($B76,'Data shares'!$C:$FB,98)</f>
        <v>19212500</v>
      </c>
      <c r="E76" s="165">
        <f>VLOOKUP(B76,'Snapshot (Volume)'!$A$7:$G$168,7,0)</f>
        <v>19125250</v>
      </c>
      <c r="F76" s="165">
        <f t="shared" si="23"/>
        <v>87250</v>
      </c>
      <c r="G76" s="166">
        <f t="shared" si="24"/>
        <v>4.5620318688644589E-3</v>
      </c>
      <c r="H76" s="165">
        <f>VLOOKUP($B76,'Data shares'!$C:$FB,66)</f>
        <v>5426500</v>
      </c>
      <c r="I76" s="165">
        <f>VLOOKUP($B76,'Data shares'!$C:$FB,67)</f>
        <v>6943500</v>
      </c>
      <c r="J76" s="81">
        <f t="shared" si="25"/>
        <v>-21.847771296896379</v>
      </c>
      <c r="K76" s="5">
        <f>VLOOKUP($B76,'Data Vlaue (Cr)'!$C:$FB,99)</f>
        <v>5245</v>
      </c>
      <c r="L76" s="81">
        <f>VLOOKUP(B76,'OI(Value)'!$A$7:$C$226,3,0)</f>
        <v>24</v>
      </c>
      <c r="M76" s="33">
        <f t="shared" si="22"/>
        <v>0.45757864632983797</v>
      </c>
      <c r="N76" s="5">
        <f>VLOOKUP($B76,'Data Vlaue (Cr)'!$C:$FB,67)</f>
        <v>1481</v>
      </c>
      <c r="O76" s="5">
        <f>VLOOKUP($B76,'Data Vlaue (Cr)'!$C:$FB,68)</f>
        <v>1896</v>
      </c>
      <c r="P76" s="5">
        <f t="shared" si="26"/>
        <v>-28.02160702228224</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Capital_Goods</v>
      </c>
      <c r="B77" s="79" t="str">
        <f>'Data shares'!C72</f>
        <v>HAL</v>
      </c>
      <c r="C77" s="4">
        <f>VLOOKUP($B77,'Data shares'!$C:$FB,7)</f>
        <v>3891.8</v>
      </c>
      <c r="D77" s="82">
        <f>VLOOKUP($B77,'Data shares'!$C:$FB,98)</f>
        <v>20043600</v>
      </c>
      <c r="E77" s="165">
        <f>VLOOKUP(B77,'Snapshot (Volume)'!$A$7:$G$168,7,0)</f>
        <v>19523100</v>
      </c>
      <c r="F77" s="165">
        <f t="shared" si="23"/>
        <v>520500</v>
      </c>
      <c r="G77" s="166">
        <f t="shared" si="24"/>
        <v>2.666072498732271E-2</v>
      </c>
      <c r="H77" s="165">
        <f>VLOOKUP($B77,'Data shares'!$C:$FB,66)</f>
        <v>15964650</v>
      </c>
      <c r="I77" s="165">
        <f>VLOOKUP($B77,'Data shares'!$C:$FB,67)</f>
        <v>11977950</v>
      </c>
      <c r="J77" s="81">
        <f t="shared" si="25"/>
        <v>33.28365872290334</v>
      </c>
      <c r="K77" s="5">
        <f>VLOOKUP($B77,'Data Vlaue (Cr)'!$C:$FB,99)</f>
        <v>7838</v>
      </c>
      <c r="L77" s="81">
        <f>VLOOKUP(B77,'OI(Value)'!$A$7:$C$226,3,0)</f>
        <v>204</v>
      </c>
      <c r="M77" s="33">
        <f t="shared" si="22"/>
        <v>2.6027047716254148</v>
      </c>
      <c r="N77" s="5">
        <f>VLOOKUP($B77,'Data Vlaue (Cr)'!$C:$FB,67)</f>
        <v>6243</v>
      </c>
      <c r="O77" s="5">
        <f>VLOOKUP($B77,'Data Vlaue (Cr)'!$C:$FB,68)</f>
        <v>4684</v>
      </c>
      <c r="P77" s="5">
        <f t="shared" si="26"/>
        <v>24.971968604837418</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Capital_Goods</v>
      </c>
      <c r="B78" s="79" t="str">
        <f>'Data shares'!C73</f>
        <v>HAVELLS</v>
      </c>
      <c r="C78" s="4">
        <f>VLOOKUP($B78,'Data shares'!$C:$FB,7)</f>
        <v>1352.5</v>
      </c>
      <c r="D78" s="82">
        <f>VLOOKUP($B78,'Data shares'!$C:$FB,98)</f>
        <v>14686500</v>
      </c>
      <c r="E78" s="165">
        <f>VLOOKUP(B78,'Snapshot (Volume)'!$A$7:$G$168,7,0)</f>
        <v>14604500</v>
      </c>
      <c r="F78" s="165">
        <f t="shared" si="23"/>
        <v>82000</v>
      </c>
      <c r="G78" s="166">
        <f t="shared" si="24"/>
        <v>5.6147077955424696E-3</v>
      </c>
      <c r="H78" s="165">
        <f>VLOOKUP($B78,'Data shares'!$C:$FB,66)</f>
        <v>3917000</v>
      </c>
      <c r="I78" s="165">
        <f>VLOOKUP($B78,'Data shares'!$C:$FB,67)</f>
        <v>5722000</v>
      </c>
      <c r="J78" s="81">
        <f t="shared" si="25"/>
        <v>-31.544914365606431</v>
      </c>
      <c r="K78" s="5">
        <f>VLOOKUP($B78,'Data Vlaue (Cr)'!$C:$FB,99)</f>
        <v>1991</v>
      </c>
      <c r="L78" s="81">
        <f>VLOOKUP(B78,'OI(Value)'!$A$7:$C$226,3,0)</f>
        <v>11</v>
      </c>
      <c r="M78" s="33">
        <f t="shared" si="22"/>
        <v>0.55248618784530379</v>
      </c>
      <c r="N78" s="5">
        <f>VLOOKUP($B78,'Data Vlaue (Cr)'!$C:$FB,67)</f>
        <v>531</v>
      </c>
      <c r="O78" s="5">
        <f>VLOOKUP($B78,'Data Vlaue (Cr)'!$C:$FB,68)</f>
        <v>776</v>
      </c>
      <c r="P78" s="5">
        <f t="shared" si="26"/>
        <v>-46.13935969868173</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Technology</v>
      </c>
      <c r="B79" s="79" t="str">
        <f>'Data shares'!C74</f>
        <v>HCLTECH</v>
      </c>
      <c r="C79" s="4">
        <f>VLOOKUP($B79,'Data shares'!$C:$FB,7)</f>
        <v>1354.1</v>
      </c>
      <c r="D79" s="82">
        <f>VLOOKUP($B79,'Data shares'!$C:$FB,98)</f>
        <v>36384600</v>
      </c>
      <c r="E79" s="165">
        <f>VLOOKUP(B79,'Snapshot (Volume)'!$A$7:$G$168,7,0)</f>
        <v>35669900</v>
      </c>
      <c r="F79" s="165">
        <f t="shared" si="23"/>
        <v>714700</v>
      </c>
      <c r="G79" s="166">
        <f t="shared" si="24"/>
        <v>2.0036501363895048E-2</v>
      </c>
      <c r="H79" s="165">
        <f>VLOOKUP($B79,'Data shares'!$C:$FB,66)</f>
        <v>13798050</v>
      </c>
      <c r="I79" s="165">
        <f>VLOOKUP($B79,'Data shares'!$C:$FB,67)</f>
        <v>10192700</v>
      </c>
      <c r="J79" s="81">
        <f t="shared" si="25"/>
        <v>35.371883799189618</v>
      </c>
      <c r="K79" s="5">
        <f>VLOOKUP($B79,'Data Vlaue (Cr)'!$C:$FB,99)</f>
        <v>4933</v>
      </c>
      <c r="L79" s="81">
        <f>VLOOKUP(B79,'OI(Value)'!$A$7:$C$226,3,0)</f>
        <v>97</v>
      </c>
      <c r="M79" s="33">
        <f t="shared" si="22"/>
        <v>1.9663490776403811</v>
      </c>
      <c r="N79" s="5">
        <f>VLOOKUP($B79,'Data Vlaue (Cr)'!$C:$FB,67)</f>
        <v>1871</v>
      </c>
      <c r="O79" s="5">
        <f>VLOOKUP($B79,'Data Vlaue (Cr)'!$C:$FB,68)</f>
        <v>1382</v>
      </c>
      <c r="P79" s="5">
        <f t="shared" si="26"/>
        <v>26.135756280064136</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Finance</v>
      </c>
      <c r="B80" s="79" t="str">
        <f>'Data shares'!C75</f>
        <v>HDFCAMC</v>
      </c>
      <c r="C80" s="4">
        <f>VLOOKUP($B80,'Data shares'!$C:$FB,7)</f>
        <v>2559</v>
      </c>
      <c r="D80" s="82">
        <f>VLOOKUP($B80,'Data shares'!$C:$FB,98)</f>
        <v>6991200</v>
      </c>
      <c r="E80" s="165">
        <f>VLOOKUP(B80,'Snapshot (Volume)'!$A$7:$G$168,7,0)</f>
        <v>6724200</v>
      </c>
      <c r="F80" s="165">
        <f t="shared" si="23"/>
        <v>267000</v>
      </c>
      <c r="G80" s="166">
        <f t="shared" si="24"/>
        <v>3.9707325778531276E-2</v>
      </c>
      <c r="H80" s="165">
        <f>VLOOKUP($B80,'Data shares'!$C:$FB,66)</f>
        <v>2262300</v>
      </c>
      <c r="I80" s="165">
        <f>VLOOKUP($B80,'Data shares'!$C:$FB,67)</f>
        <v>3001200</v>
      </c>
      <c r="J80" s="81">
        <f t="shared" si="25"/>
        <v>-24.620151939224311</v>
      </c>
      <c r="K80" s="5">
        <f>VLOOKUP($B80,'Data Vlaue (Cr)'!$C:$FB,99)</f>
        <v>1797</v>
      </c>
      <c r="L80" s="81">
        <f>VLOOKUP(B80,'OI(Value)'!$A$7:$C$226,3,0)</f>
        <v>69</v>
      </c>
      <c r="M80" s="33">
        <f t="shared" si="22"/>
        <v>3.8397328881469113</v>
      </c>
      <c r="N80" s="5">
        <f>VLOOKUP($B80,'Data Vlaue (Cr)'!$C:$FB,67)</f>
        <v>581</v>
      </c>
      <c r="O80" s="5">
        <f>VLOOKUP($B80,'Data Vlaue (Cr)'!$C:$FB,68)</f>
        <v>771</v>
      </c>
      <c r="P80" s="5">
        <f t="shared" si="26"/>
        <v>-32.702237521514633</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Banking</v>
      </c>
      <c r="B81" s="79" t="str">
        <f>'Data shares'!C76</f>
        <v>HDFCBANK</v>
      </c>
      <c r="C81" s="4">
        <f>VLOOKUP($B81,'Data shares'!$C:$FB,7)</f>
        <v>877.75</v>
      </c>
      <c r="D81" s="82">
        <f>VLOOKUP($B81,'Data shares'!$C:$FB,98)</f>
        <v>414854550</v>
      </c>
      <c r="E81" s="165">
        <f>VLOOKUP(B81,'Snapshot (Volume)'!$A$7:$G$168,7,0)</f>
        <v>409574550</v>
      </c>
      <c r="F81" s="165">
        <f t="shared" si="23"/>
        <v>5280000</v>
      </c>
      <c r="G81" s="166">
        <f t="shared" si="24"/>
        <v>1.2891425993143373E-2</v>
      </c>
      <c r="H81" s="165">
        <f>VLOOKUP($B81,'Data shares'!$C:$FB,66)</f>
        <v>148439500</v>
      </c>
      <c r="I81" s="165">
        <f>VLOOKUP($B81,'Data shares'!$C:$FB,67)</f>
        <v>199778700</v>
      </c>
      <c r="J81" s="81">
        <f t="shared" si="25"/>
        <v>-25.698034875589844</v>
      </c>
      <c r="K81" s="5">
        <f>VLOOKUP($B81,'Data Vlaue (Cr)'!$C:$FB,99)</f>
        <v>36598</v>
      </c>
      <c r="L81" s="81">
        <f>VLOOKUP(B81,'OI(Value)'!$A$7:$C$226,3,0)</f>
        <v>466</v>
      </c>
      <c r="M81" s="33">
        <f t="shared" si="22"/>
        <v>1.2732936226023279</v>
      </c>
      <c r="N81" s="5">
        <f>VLOOKUP($B81,'Data Vlaue (Cr)'!$C:$FB,67)</f>
        <v>13095</v>
      </c>
      <c r="O81" s="5">
        <f>VLOOKUP($B81,'Data Vlaue (Cr)'!$C:$FB,68)</f>
        <v>17624</v>
      </c>
      <c r="P81" s="5">
        <f t="shared" si="26"/>
        <v>-34.585719740358918</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Finance</v>
      </c>
      <c r="B82" s="79" t="str">
        <f>'Data shares'!C77</f>
        <v>HDFCLIFE</v>
      </c>
      <c r="C82" s="4">
        <f>VLOOKUP($B82,'Data shares'!$C:$FB,7)</f>
        <v>684.3</v>
      </c>
      <c r="D82" s="82">
        <f>VLOOKUP($B82,'Data shares'!$C:$FB,98)</f>
        <v>53674500</v>
      </c>
      <c r="E82" s="165">
        <f>VLOOKUP(B82,'Snapshot (Volume)'!$A$7:$G$168,7,0)</f>
        <v>50657200</v>
      </c>
      <c r="F82" s="165">
        <f t="shared" si="23"/>
        <v>3017300</v>
      </c>
      <c r="G82" s="166">
        <f t="shared" si="24"/>
        <v>5.9563102579692523E-2</v>
      </c>
      <c r="H82" s="165">
        <f>VLOOKUP($B82,'Data shares'!$C:$FB,66)</f>
        <v>31111300</v>
      </c>
      <c r="I82" s="165">
        <f>VLOOKUP($B82,'Data shares'!$C:$FB,67)</f>
        <v>27423000</v>
      </c>
      <c r="J82" s="81">
        <f t="shared" si="25"/>
        <v>13.449659045326914</v>
      </c>
      <c r="K82" s="5">
        <f>VLOOKUP($B82,'Data Vlaue (Cr)'!$C:$FB,99)</f>
        <v>3684</v>
      </c>
      <c r="L82" s="81">
        <f>VLOOKUP(B82,'OI(Value)'!$A$7:$C$226,3,0)</f>
        <v>207</v>
      </c>
      <c r="M82" s="33">
        <f t="shared" si="22"/>
        <v>5.6188925081433219</v>
      </c>
      <c r="N82" s="5">
        <f>VLOOKUP($B82,'Data Vlaue (Cr)'!$C:$FB,67)</f>
        <v>2135</v>
      </c>
      <c r="O82" s="5">
        <f>VLOOKUP($B82,'Data Vlaue (Cr)'!$C:$FB,68)</f>
        <v>1882</v>
      </c>
      <c r="P82" s="5">
        <f t="shared" si="26"/>
        <v>11.850117096018735</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Automobile</v>
      </c>
      <c r="B83" s="79" t="str">
        <f>'Data shares'!C78</f>
        <v>HEROMOTOCO</v>
      </c>
      <c r="C83" s="4">
        <f>VLOOKUP($B83,'Data shares'!$C:$FB,7)</f>
        <v>5588.5</v>
      </c>
      <c r="D83" s="82">
        <f>VLOOKUP($B83,'Data shares'!$C:$FB,98)</f>
        <v>6058350</v>
      </c>
      <c r="E83" s="165">
        <f>VLOOKUP(B83,'Snapshot (Volume)'!$A$7:$G$168,7,0)</f>
        <v>6069300</v>
      </c>
      <c r="F83" s="165">
        <f t="shared" si="23"/>
        <v>-10950</v>
      </c>
      <c r="G83" s="166">
        <f t="shared" si="24"/>
        <v>-1.8041619297118284E-3</v>
      </c>
      <c r="H83" s="165">
        <f>VLOOKUP($B83,'Data shares'!$C:$FB,66)</f>
        <v>4247250</v>
      </c>
      <c r="I83" s="165">
        <f>VLOOKUP($B83,'Data shares'!$C:$FB,67)</f>
        <v>4135650</v>
      </c>
      <c r="J83" s="81">
        <f t="shared" si="25"/>
        <v>2.6984875412571179</v>
      </c>
      <c r="K83" s="5">
        <f>VLOOKUP($B83,'Data Vlaue (Cr)'!$C:$FB,99)</f>
        <v>3393</v>
      </c>
      <c r="L83" s="81">
        <f>VLOOKUP(B83,'OI(Value)'!$A$7:$C$226,3,0)</f>
        <v>-6</v>
      </c>
      <c r="M83" s="33">
        <f t="shared" si="22"/>
        <v>-0.17683465959328026</v>
      </c>
      <c r="N83" s="5">
        <f>VLOOKUP($B83,'Data Vlaue (Cr)'!$C:$FB,67)</f>
        <v>2379</v>
      </c>
      <c r="O83" s="5">
        <f>VLOOKUP($B83,'Data Vlaue (Cr)'!$C:$FB,68)</f>
        <v>2316</v>
      </c>
      <c r="P83" s="5">
        <f t="shared" si="26"/>
        <v>2.6481715006305171</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Metals</v>
      </c>
      <c r="B84" s="79" t="str">
        <f>'Data shares'!C79</f>
        <v>HINDALCO</v>
      </c>
      <c r="C84" s="4">
        <f>VLOOKUP($B84,'Data shares'!$C:$FB,7)</f>
        <v>954.95</v>
      </c>
      <c r="D84" s="82">
        <f>VLOOKUP($B84,'Data shares'!$C:$FB,98)</f>
        <v>63000000</v>
      </c>
      <c r="E84" s="165">
        <f>VLOOKUP(B84,'Snapshot (Volume)'!$A$7:$G$168,7,0)</f>
        <v>59881500</v>
      </c>
      <c r="F84" s="165">
        <f t="shared" si="23"/>
        <v>3118500</v>
      </c>
      <c r="G84" s="166">
        <f t="shared" si="24"/>
        <v>5.2077853761178329E-2</v>
      </c>
      <c r="H84" s="165">
        <f>VLOOKUP($B84,'Data shares'!$C:$FB,66)</f>
        <v>151064900</v>
      </c>
      <c r="I84" s="165">
        <f>VLOOKUP($B84,'Data shares'!$C:$FB,67)</f>
        <v>48850200</v>
      </c>
      <c r="J84" s="81">
        <f t="shared" si="25"/>
        <v>209.24110853179721</v>
      </c>
      <c r="K84" s="5">
        <f>VLOOKUP($B84,'Data Vlaue (Cr)'!$C:$FB,99)</f>
        <v>6028</v>
      </c>
      <c r="L84" s="81">
        <f>VLOOKUP(B84,'OI(Value)'!$A$7:$C$226,3,0)</f>
        <v>298</v>
      </c>
      <c r="M84" s="33">
        <f t="shared" si="22"/>
        <v>4.9435965494359655</v>
      </c>
      <c r="N84" s="5">
        <f>VLOOKUP($B84,'Data Vlaue (Cr)'!$C:$FB,67)</f>
        <v>14453</v>
      </c>
      <c r="O84" s="5">
        <f>VLOOKUP($B84,'Data Vlaue (Cr)'!$C:$FB,68)</f>
        <v>4674</v>
      </c>
      <c r="P84" s="5">
        <f t="shared" si="26"/>
        <v>67.660693281671627</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Oil_Gas</v>
      </c>
      <c r="B85" s="79" t="str">
        <f>'Data shares'!C80</f>
        <v>HINDPETRO</v>
      </c>
      <c r="C85" s="4">
        <f>VLOOKUP($B85,'Data shares'!$C:$FB,7)</f>
        <v>418.4</v>
      </c>
      <c r="D85" s="82">
        <f>VLOOKUP($B85,'Data shares'!$C:$FB,98)</f>
        <v>70901325</v>
      </c>
      <c r="E85" s="165">
        <f>VLOOKUP(B85,'Snapshot (Volume)'!$A$7:$G$168,7,0)</f>
        <v>69858450</v>
      </c>
      <c r="F85" s="165">
        <f t="shared" si="23"/>
        <v>1042875</v>
      </c>
      <c r="G85" s="166">
        <f t="shared" si="24"/>
        <v>1.4928401646472259E-2</v>
      </c>
      <c r="H85" s="165">
        <f>VLOOKUP($B85,'Data shares'!$C:$FB,66)</f>
        <v>98694450</v>
      </c>
      <c r="I85" s="165">
        <f>VLOOKUP($B85,'Data shares'!$C:$FB,67)</f>
        <v>65929950</v>
      </c>
      <c r="J85" s="81">
        <f t="shared" si="25"/>
        <v>49.695927268259723</v>
      </c>
      <c r="K85" s="5">
        <f>VLOOKUP($B85,'Data Vlaue (Cr)'!$C:$FB,99)</f>
        <v>2963</v>
      </c>
      <c r="L85" s="81">
        <f>VLOOKUP(B85,'OI(Value)'!$A$7:$C$226,3,0)</f>
        <v>44</v>
      </c>
      <c r="M85" s="33">
        <f t="shared" si="22"/>
        <v>1.4849814377320283</v>
      </c>
      <c r="N85" s="5">
        <f>VLOOKUP($B85,'Data Vlaue (Cr)'!$C:$FB,67)</f>
        <v>4124</v>
      </c>
      <c r="O85" s="5">
        <f>VLOOKUP($B85,'Data Vlaue (Cr)'!$C:$FB,68)</f>
        <v>2755</v>
      </c>
      <c r="P85" s="5">
        <f t="shared" si="26"/>
        <v>33.195926285160041</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FMCG</v>
      </c>
      <c r="B86" s="79" t="str">
        <f>'Data shares'!C81</f>
        <v>HINDUNILVR</v>
      </c>
      <c r="C86" s="4">
        <f>VLOOKUP($B86,'Data shares'!$C:$FB,7)</f>
        <v>2255</v>
      </c>
      <c r="D86" s="82">
        <f>VLOOKUP($B86,'Data shares'!$C:$FB,98)</f>
        <v>23574300</v>
      </c>
      <c r="E86" s="165">
        <f>VLOOKUP(B86,'Snapshot (Volume)'!$A$7:$G$168,7,0)</f>
        <v>23109300</v>
      </c>
      <c r="F86" s="165">
        <f t="shared" ref="F86:F96" si="27">D86-E86</f>
        <v>465000</v>
      </c>
      <c r="G86" s="166">
        <f t="shared" ref="G86:G96" si="28">F86/E86</f>
        <v>2.0121769157871505E-2</v>
      </c>
      <c r="H86" s="165">
        <f>VLOOKUP($B86,'Data shares'!$C:$FB,66)</f>
        <v>14289300</v>
      </c>
      <c r="I86" s="165">
        <f>VLOOKUP($B86,'Data shares'!$C:$FB,67)</f>
        <v>14238600</v>
      </c>
      <c r="J86" s="81">
        <f t="shared" ref="J86:J96" si="29">(H86-I86)/I86*100</f>
        <v>0.35607433315073111</v>
      </c>
      <c r="K86" s="5">
        <f>VLOOKUP($B86,'Data Vlaue (Cr)'!$C:$FB,99)</f>
        <v>5343</v>
      </c>
      <c r="L86" s="81">
        <f>VLOOKUP(B86,'OI(Value)'!$A$7:$C$226,3,0)</f>
        <v>105</v>
      </c>
      <c r="M86" s="33">
        <f t="shared" si="22"/>
        <v>1.9651880965749577</v>
      </c>
      <c r="N86" s="5">
        <f>VLOOKUP($B86,'Data Vlaue (Cr)'!$C:$FB,67)</f>
        <v>3239</v>
      </c>
      <c r="O86" s="5">
        <f>VLOOKUP($B86,'Data Vlaue (Cr)'!$C:$FB,68)</f>
        <v>3227</v>
      </c>
      <c r="P86" s="5">
        <f t="shared" ref="P86:P96" si="30">(N86-O86)/N86*100</f>
        <v>0.37048471750540291</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Metals</v>
      </c>
      <c r="B87" s="79" t="str">
        <f>'Data shares'!C82</f>
        <v>HINDZINC</v>
      </c>
      <c r="C87" s="4">
        <f>VLOOKUP($B87,'Data shares'!$C:$FB,7)</f>
        <v>595.65</v>
      </c>
      <c r="D87" s="82">
        <f>VLOOKUP($B87,'Data shares'!$C:$FB,98)</f>
        <v>78243200</v>
      </c>
      <c r="E87" s="165">
        <f>VLOOKUP(B87,'Snapshot (Volume)'!$A$7:$G$168,7,0)</f>
        <v>76359150</v>
      </c>
      <c r="F87" s="165">
        <f t="shared" si="27"/>
        <v>1884050</v>
      </c>
      <c r="G87" s="166">
        <f t="shared" si="28"/>
        <v>2.4673532903391408E-2</v>
      </c>
      <c r="H87" s="165">
        <f>VLOOKUP($B87,'Data shares'!$C:$FB,66)</f>
        <v>53707675</v>
      </c>
      <c r="I87" s="165">
        <f>VLOOKUP($B87,'Data shares'!$C:$FB,67)</f>
        <v>65413775</v>
      </c>
      <c r="J87" s="81">
        <f t="shared" si="29"/>
        <v>-17.895466207232342</v>
      </c>
      <c r="K87" s="5">
        <f>VLOOKUP($B87,'Data Vlaue (Cr)'!$C:$FB,99)</f>
        <v>4668</v>
      </c>
      <c r="L87" s="81">
        <f>VLOOKUP(B87,'OI(Value)'!$A$7:$C$226,3,0)</f>
        <v>112</v>
      </c>
      <c r="M87" s="33">
        <f t="shared" si="22"/>
        <v>2.3993144815766922</v>
      </c>
      <c r="N87" s="5">
        <f>VLOOKUP($B87,'Data Vlaue (Cr)'!$C:$FB,67)</f>
        <v>3204</v>
      </c>
      <c r="O87" s="5">
        <f>VLOOKUP($B87,'Data Vlaue (Cr)'!$C:$FB,68)</f>
        <v>3903</v>
      </c>
      <c r="P87" s="5">
        <f t="shared" si="30"/>
        <v>-21.816479400749063</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Realty</v>
      </c>
      <c r="B88" s="79" t="str">
        <f>'Data shares'!C83</f>
        <v>HUDCO</v>
      </c>
      <c r="C88" s="4">
        <f>VLOOKUP($B88,'Data shares'!$C:$FB,7)</f>
        <v>178.27</v>
      </c>
      <c r="D88" s="82">
        <f>VLOOKUP($B88,'Data shares'!$C:$FB,98)</f>
        <v>72829875</v>
      </c>
      <c r="E88" s="165">
        <f>VLOOKUP(B88,'Snapshot (Volume)'!$A$7:$G$168,7,0)</f>
        <v>72075075</v>
      </c>
      <c r="F88" s="165">
        <f t="shared" si="27"/>
        <v>754800</v>
      </c>
      <c r="G88" s="166">
        <f t="shared" si="28"/>
        <v>1.0472413660339583E-2</v>
      </c>
      <c r="H88" s="165">
        <f>VLOOKUP($B88,'Data shares'!$C:$FB,66)</f>
        <v>21078900</v>
      </c>
      <c r="I88" s="165">
        <f>VLOOKUP($B88,'Data shares'!$C:$FB,67)</f>
        <v>23088000</v>
      </c>
      <c r="J88" s="81">
        <f t="shared" si="29"/>
        <v>-8.7019230769230766</v>
      </c>
      <c r="K88" s="5">
        <f>VLOOKUP($B88,'Data Vlaue (Cr)'!$C:$FB,99)</f>
        <v>1304</v>
      </c>
      <c r="L88" s="81">
        <f>VLOOKUP(B88,'OI(Value)'!$A$7:$C$226,3,0)</f>
        <v>14</v>
      </c>
      <c r="M88" s="33">
        <f t="shared" si="22"/>
        <v>1.0736196319018405</v>
      </c>
      <c r="N88" s="5">
        <f>VLOOKUP($B88,'Data Vlaue (Cr)'!$C:$FB,67)</f>
        <v>377</v>
      </c>
      <c r="O88" s="5">
        <f>VLOOKUP($B88,'Data Vlaue (Cr)'!$C:$FB,68)</f>
        <v>413</v>
      </c>
      <c r="P88" s="5">
        <f t="shared" si="30"/>
        <v>-9.549071618037134</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Banking</v>
      </c>
      <c r="B89" s="79" t="str">
        <f>'Data shares'!C84</f>
        <v>ICICIBANK</v>
      </c>
      <c r="C89" s="4">
        <f>VLOOKUP($B89,'Data shares'!$C:$FB,7)</f>
        <v>1357.6</v>
      </c>
      <c r="D89" s="82">
        <f>VLOOKUP($B89,'Data shares'!$C:$FB,98)</f>
        <v>155199800</v>
      </c>
      <c r="E89" s="165">
        <f>VLOOKUP(B89,'Snapshot (Volume)'!$A$7:$G$168,7,0)</f>
        <v>150866800</v>
      </c>
      <c r="F89" s="165">
        <f t="shared" si="27"/>
        <v>4333000</v>
      </c>
      <c r="G89" s="166">
        <f t="shared" si="28"/>
        <v>2.872069931886936E-2</v>
      </c>
      <c r="H89" s="165">
        <f>VLOOKUP($B89,'Data shares'!$C:$FB,66)</f>
        <v>69061300</v>
      </c>
      <c r="I89" s="165">
        <f>VLOOKUP($B89,'Data shares'!$C:$FB,67)</f>
        <v>87950800</v>
      </c>
      <c r="J89" s="81">
        <f t="shared" si="29"/>
        <v>-21.477348699500176</v>
      </c>
      <c r="K89" s="5">
        <f>VLOOKUP($B89,'Data Vlaue (Cr)'!$C:$FB,99)</f>
        <v>21127</v>
      </c>
      <c r="L89" s="81">
        <f>VLOOKUP(B89,'OI(Value)'!$A$7:$C$226,3,0)</f>
        <v>590</v>
      </c>
      <c r="M89" s="33">
        <f t="shared" si="22"/>
        <v>2.7926350168031426</v>
      </c>
      <c r="N89" s="5">
        <f>VLOOKUP($B89,'Data Vlaue (Cr)'!$C:$FB,67)</f>
        <v>9401</v>
      </c>
      <c r="O89" s="5">
        <f>VLOOKUP($B89,'Data Vlaue (Cr)'!$C:$FB,68)</f>
        <v>11973</v>
      </c>
      <c r="P89" s="5">
        <f t="shared" si="30"/>
        <v>-27.358791617912985</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Finance</v>
      </c>
      <c r="B90" s="79" t="str">
        <f>'Data shares'!C85</f>
        <v>ICICIGI</v>
      </c>
      <c r="C90" s="4">
        <f>VLOOKUP($B90,'Data shares'!$C:$FB,7)</f>
        <v>1875.2</v>
      </c>
      <c r="D90" s="82">
        <f>VLOOKUP($B90,'Data shares'!$C:$FB,98)</f>
        <v>6123650</v>
      </c>
      <c r="E90" s="165">
        <f>VLOOKUP(B90,'Snapshot (Volume)'!$A$7:$G$168,7,0)</f>
        <v>6119750</v>
      </c>
      <c r="F90" s="165">
        <f t="shared" si="27"/>
        <v>3900</v>
      </c>
      <c r="G90" s="166">
        <f t="shared" si="28"/>
        <v>6.3728093467870417E-4</v>
      </c>
      <c r="H90" s="165">
        <f>VLOOKUP($B90,'Data shares'!$C:$FB,66)</f>
        <v>1353300</v>
      </c>
      <c r="I90" s="165">
        <f>VLOOKUP($B90,'Data shares'!$C:$FB,67)</f>
        <v>2592525</v>
      </c>
      <c r="J90" s="81">
        <f t="shared" si="29"/>
        <v>-47.799924783753291</v>
      </c>
      <c r="K90" s="5">
        <f>VLOOKUP($B90,'Data Vlaue (Cr)'!$C:$FB,99)</f>
        <v>1151</v>
      </c>
      <c r="L90" s="81">
        <f>VLOOKUP(B90,'OI(Value)'!$A$7:$C$226,3,0)</f>
        <v>1</v>
      </c>
      <c r="M90" s="33">
        <f t="shared" si="22"/>
        <v>8.6880973066898348E-2</v>
      </c>
      <c r="N90" s="5">
        <f>VLOOKUP($B90,'Data Vlaue (Cr)'!$C:$FB,67)</f>
        <v>254</v>
      </c>
      <c r="O90" s="5">
        <f>VLOOKUP($B90,'Data Vlaue (Cr)'!$C:$FB,68)</f>
        <v>487</v>
      </c>
      <c r="P90" s="5">
        <f t="shared" si="30"/>
        <v>-91.732283464566933</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Finance</v>
      </c>
      <c r="B91" s="79" t="str">
        <f>'Data shares'!C86</f>
        <v>ICICIPRULI</v>
      </c>
      <c r="C91" s="4">
        <f>VLOOKUP($B91,'Data shares'!$C:$FB,7)</f>
        <v>627.45000000000005</v>
      </c>
      <c r="D91" s="82">
        <f>VLOOKUP($B91,'Data shares'!$C:$FB,98)</f>
        <v>23778050</v>
      </c>
      <c r="E91" s="165">
        <f>VLOOKUP(B91,'Snapshot (Volume)'!$A$7:$G$168,7,0)</f>
        <v>23443200</v>
      </c>
      <c r="F91" s="165">
        <f t="shared" si="27"/>
        <v>334850</v>
      </c>
      <c r="G91" s="166">
        <f t="shared" si="28"/>
        <v>1.4283459595959596E-2</v>
      </c>
      <c r="H91" s="165">
        <f>VLOOKUP($B91,'Data shares'!$C:$FB,66)</f>
        <v>5184625</v>
      </c>
      <c r="I91" s="165">
        <f>VLOOKUP($B91,'Data shares'!$C:$FB,67)</f>
        <v>5846925</v>
      </c>
      <c r="J91" s="81">
        <f t="shared" si="29"/>
        <v>-11.327321626324949</v>
      </c>
      <c r="K91" s="5">
        <f>VLOOKUP($B91,'Data Vlaue (Cr)'!$C:$FB,99)</f>
        <v>1498</v>
      </c>
      <c r="L91" s="81">
        <f>VLOOKUP(B91,'OI(Value)'!$A$7:$C$226,3,0)</f>
        <v>21</v>
      </c>
      <c r="M91" s="33">
        <f t="shared" si="22"/>
        <v>1.4018691588785046</v>
      </c>
      <c r="N91" s="5">
        <f>VLOOKUP($B91,'Data Vlaue (Cr)'!$C:$FB,67)</f>
        <v>327</v>
      </c>
      <c r="O91" s="5">
        <f>VLOOKUP($B91,'Data Vlaue (Cr)'!$C:$FB,68)</f>
        <v>368</v>
      </c>
      <c r="P91" s="5">
        <f t="shared" si="30"/>
        <v>-12.538226299694188</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Telecom</v>
      </c>
      <c r="B92" s="79" t="str">
        <f>'Data shares'!C87</f>
        <v>IDEA</v>
      </c>
      <c r="C92" s="4">
        <f>VLOOKUP($B92,'Data shares'!$C:$FB,7)</f>
        <v>10.220000000000001</v>
      </c>
      <c r="D92" s="82">
        <f>VLOOKUP($B92,'Data shares'!$C:$FB,98)</f>
        <v>9802367400</v>
      </c>
      <c r="E92" s="165">
        <f>VLOOKUP(B92,'Snapshot (Volume)'!$A$7:$G$168,7,0)</f>
        <v>9465291300</v>
      </c>
      <c r="F92" s="165">
        <f t="shared" si="27"/>
        <v>337076100</v>
      </c>
      <c r="G92" s="166">
        <f t="shared" si="28"/>
        <v>3.561180415017972E-2</v>
      </c>
      <c r="H92" s="165">
        <f>VLOOKUP($B92,'Data shares'!$C:$FB,66)</f>
        <v>3778025550</v>
      </c>
      <c r="I92" s="165">
        <f>VLOOKUP($B92,'Data shares'!$C:$FB,67)</f>
        <v>1971709350</v>
      </c>
      <c r="J92" s="81">
        <f t="shared" si="29"/>
        <v>91.611687087653166</v>
      </c>
      <c r="K92" s="5">
        <f>VLOOKUP($B92,'Data Vlaue (Cr)'!$C:$FB,99)</f>
        <v>10077</v>
      </c>
      <c r="L92" s="81">
        <f>VLOOKUP(B92,'OI(Value)'!$A$7:$C$226,3,0)</f>
        <v>347</v>
      </c>
      <c r="M92" s="33">
        <f t="shared" si="22"/>
        <v>3.4434851642353874</v>
      </c>
      <c r="N92" s="5">
        <f>VLOOKUP($B92,'Data Vlaue (Cr)'!$C:$FB,67)</f>
        <v>3884</v>
      </c>
      <c r="O92" s="5">
        <f>VLOOKUP($B92,'Data Vlaue (Cr)'!$C:$FB,68)</f>
        <v>2027</v>
      </c>
      <c r="P92" s="5">
        <f t="shared" si="30"/>
        <v>47.811534500514938</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Banking</v>
      </c>
      <c r="B93" s="79" t="str">
        <f>'Data shares'!C88</f>
        <v>IDFCFIRSTB</v>
      </c>
      <c r="C93" s="4">
        <f>VLOOKUP($B93,'Data shares'!$C:$FB,7)</f>
        <v>70.400000000000006</v>
      </c>
      <c r="D93" s="82">
        <f>VLOOKUP($B93,'Data shares'!$C:$FB,98)</f>
        <v>1000522075</v>
      </c>
      <c r="E93" s="165">
        <f>VLOOKUP(B93,'Snapshot (Volume)'!$A$7:$G$168,7,0)</f>
        <v>980367500</v>
      </c>
      <c r="F93" s="165">
        <f t="shared" si="27"/>
        <v>20154575</v>
      </c>
      <c r="G93" s="166">
        <f t="shared" si="28"/>
        <v>2.055818353831599E-2</v>
      </c>
      <c r="H93" s="165">
        <f>VLOOKUP($B93,'Data shares'!$C:$FB,66)</f>
        <v>330032325</v>
      </c>
      <c r="I93" s="165">
        <f>VLOOKUP($B93,'Data shares'!$C:$FB,67)</f>
        <v>377028750</v>
      </c>
      <c r="J93" s="81">
        <f t="shared" si="29"/>
        <v>-12.464944649446494</v>
      </c>
      <c r="K93" s="5">
        <f>VLOOKUP($B93,'Data Vlaue (Cr)'!$C:$FB,99)</f>
        <v>7079</v>
      </c>
      <c r="L93" s="81">
        <f>VLOOKUP(B93,'OI(Value)'!$A$7:$C$226,3,0)</f>
        <v>143</v>
      </c>
      <c r="M93" s="33">
        <f t="shared" si="22"/>
        <v>2.0200593304139001</v>
      </c>
      <c r="N93" s="5">
        <f>VLOOKUP($B93,'Data Vlaue (Cr)'!$C:$FB,67)</f>
        <v>2335</v>
      </c>
      <c r="O93" s="5">
        <f>VLOOKUP($B93,'Data Vlaue (Cr)'!$C:$FB,68)</f>
        <v>2667</v>
      </c>
      <c r="P93" s="5">
        <f t="shared" si="30"/>
        <v>-14.218415417558885</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Power</v>
      </c>
      <c r="B94" s="79" t="str">
        <f>'Data shares'!C89</f>
        <v>IEX</v>
      </c>
      <c r="C94" s="4">
        <f>VLOOKUP($B94,'Data shares'!$C:$FB,7)</f>
        <v>121.63</v>
      </c>
      <c r="D94" s="82">
        <f>VLOOKUP($B94,'Data shares'!$C:$FB,98)</f>
        <v>133398750</v>
      </c>
      <c r="E94" s="165">
        <f>VLOOKUP(B94,'Snapshot (Volume)'!$A$7:$G$168,7,0)</f>
        <v>132855000</v>
      </c>
      <c r="F94" s="165">
        <f t="shared" si="27"/>
        <v>543750</v>
      </c>
      <c r="G94" s="166">
        <f t="shared" si="28"/>
        <v>4.0928079485152988E-3</v>
      </c>
      <c r="H94" s="165">
        <f>VLOOKUP($B94,'Data shares'!$C:$FB,66)</f>
        <v>37110000</v>
      </c>
      <c r="I94" s="165">
        <f>VLOOKUP($B94,'Data shares'!$C:$FB,67)</f>
        <v>43406250</v>
      </c>
      <c r="J94" s="81">
        <f t="shared" si="29"/>
        <v>-14.505399568034557</v>
      </c>
      <c r="K94" s="5">
        <f>VLOOKUP($B94,'Data Vlaue (Cr)'!$C:$FB,99)</f>
        <v>1627</v>
      </c>
      <c r="L94" s="81">
        <f>VLOOKUP(B94,'OI(Value)'!$A$7:$C$226,3,0)</f>
        <v>7</v>
      </c>
      <c r="M94" s="33">
        <f t="shared" ref="M94:M122" si="31">L94/K94*100</f>
        <v>0.43023970497848807</v>
      </c>
      <c r="N94" s="5">
        <f>VLOOKUP($B94,'Data Vlaue (Cr)'!$C:$FB,67)</f>
        <v>453</v>
      </c>
      <c r="O94" s="5">
        <f>VLOOKUP($B94,'Data Vlaue (Cr)'!$C:$FB,68)</f>
        <v>529</v>
      </c>
      <c r="P94" s="5">
        <f t="shared" si="30"/>
        <v>-16.777041942604857</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Realty</v>
      </c>
      <c r="B95" s="79" t="str">
        <f>'Data shares'!C90</f>
        <v>INDHOTEL</v>
      </c>
      <c r="C95" s="4">
        <f>VLOOKUP($B95,'Data shares'!$C:$FB,7)</f>
        <v>629.70000000000005</v>
      </c>
      <c r="D95" s="82">
        <f>VLOOKUP($B95,'Data shares'!$C:$FB,98)</f>
        <v>35842000</v>
      </c>
      <c r="E95" s="165">
        <f>VLOOKUP(B95,'Snapshot (Volume)'!$A$7:$G$168,7,0)</f>
        <v>33832000</v>
      </c>
      <c r="F95" s="165">
        <f t="shared" si="27"/>
        <v>2010000</v>
      </c>
      <c r="G95" s="166">
        <f t="shared" si="28"/>
        <v>5.9411208323480728E-2</v>
      </c>
      <c r="H95" s="165">
        <f>VLOOKUP($B95,'Data shares'!$C:$FB,66)</f>
        <v>24430000</v>
      </c>
      <c r="I95" s="165">
        <f>VLOOKUP($B95,'Data shares'!$C:$FB,67)</f>
        <v>14540000</v>
      </c>
      <c r="J95" s="81">
        <f t="shared" si="29"/>
        <v>68.019257221458048</v>
      </c>
      <c r="K95" s="5">
        <f>VLOOKUP($B95,'Data Vlaue (Cr)'!$C:$FB,99)</f>
        <v>2268</v>
      </c>
      <c r="L95" s="81">
        <f>VLOOKUP(B95,'OI(Value)'!$A$7:$C$226,3,0)</f>
        <v>127</v>
      </c>
      <c r="M95" s="33">
        <f t="shared" si="31"/>
        <v>5.5996472663139327</v>
      </c>
      <c r="N95" s="5">
        <f>VLOOKUP($B95,'Data Vlaue (Cr)'!$C:$FB,67)</f>
        <v>1546</v>
      </c>
      <c r="O95" s="5">
        <f>VLOOKUP($B95,'Data Vlaue (Cr)'!$C:$FB,68)</f>
        <v>920</v>
      </c>
      <c r="P95" s="5">
        <f t="shared" si="30"/>
        <v>40.49159120310479</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Banking</v>
      </c>
      <c r="B96" s="79" t="str">
        <f>'Data shares'!C91</f>
        <v>INDIANB</v>
      </c>
      <c r="C96" s="4">
        <f>VLOOKUP($B96,'Data shares'!$C:$FB,7)</f>
        <v>951.75</v>
      </c>
      <c r="D96" s="82">
        <f>VLOOKUP($B96,'Data shares'!$C:$FB,98)</f>
        <v>14431000</v>
      </c>
      <c r="E96" s="165">
        <f>VLOOKUP(B96,'Snapshot (Volume)'!$A$7:$G$168,7,0)</f>
        <v>14537000</v>
      </c>
      <c r="F96" s="165">
        <f t="shared" si="27"/>
        <v>-106000</v>
      </c>
      <c r="G96" s="166">
        <f t="shared" si="28"/>
        <v>-7.2917383229001856E-3</v>
      </c>
      <c r="H96" s="165">
        <f>VLOOKUP($B96,'Data shares'!$C:$FB,66)</f>
        <v>10174000</v>
      </c>
      <c r="I96" s="165">
        <f>VLOOKUP($B96,'Data shares'!$C:$FB,67)</f>
        <v>22155000</v>
      </c>
      <c r="J96" s="81">
        <f t="shared" si="29"/>
        <v>-54.078086210787632</v>
      </c>
      <c r="K96" s="5">
        <f>VLOOKUP($B96,'Data Vlaue (Cr)'!$C:$FB,99)</f>
        <v>1372</v>
      </c>
      <c r="L96" s="81">
        <f>VLOOKUP(B96,'OI(Value)'!$A$7:$C$226,3,0)</f>
        <v>-10</v>
      </c>
      <c r="M96" s="33">
        <f t="shared" si="31"/>
        <v>-0.7288629737609329</v>
      </c>
      <c r="N96" s="5">
        <f>VLOOKUP($B96,'Data Vlaue (Cr)'!$C:$FB,67)</f>
        <v>967</v>
      </c>
      <c r="O96" s="5">
        <f>VLOOKUP($B96,'Data Vlaue (Cr)'!$C:$FB,68)</f>
        <v>2106</v>
      </c>
      <c r="P96" s="5">
        <f t="shared" si="30"/>
        <v>-117.78697001034126</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Index</v>
      </c>
      <c r="B97" s="79" t="str">
        <f>'Data shares'!C92</f>
        <v>INDIAVIX</v>
      </c>
      <c r="C97" s="4">
        <f>VLOOKUP($B97,'Data shares'!$C:$FB,7)</f>
        <v>17.86</v>
      </c>
      <c r="D97" s="82">
        <f>VLOOKUP($B97,'Data shares'!$C:$FB,98)</f>
        <v>0</v>
      </c>
      <c r="E97" s="165">
        <f>VLOOKUP(B97,'Snapshot (Volume)'!$A$7:$G$168,7,0)</f>
        <v>0</v>
      </c>
      <c r="F97" s="165">
        <f t="shared" ref="F97:F105" si="32">D97-E97</f>
        <v>0</v>
      </c>
      <c r="G97" s="166" t="e">
        <f t="shared" ref="G97:G105" si="33">F97/E97</f>
        <v>#DIV/0!</v>
      </c>
      <c r="H97" s="165">
        <f>VLOOKUP($B97,'Data shares'!$C:$FB,66)</f>
        <v>0</v>
      </c>
      <c r="I97" s="165">
        <f>VLOOKUP($B97,'Data shares'!$C:$FB,67)</f>
        <v>0</v>
      </c>
      <c r="J97" s="81" t="e">
        <f t="shared" ref="J97:J105" si="34">(H97-I97)/I97*100</f>
        <v>#DIV/0!</v>
      </c>
      <c r="K97" s="5">
        <f>VLOOKUP($B97,'Data Vlaue (Cr)'!$C:$FB,99)</f>
        <v>0</v>
      </c>
      <c r="L97" s="81">
        <f>VLOOKUP(B97,'OI(Value)'!$A$7:$C$226,3,0)</f>
        <v>0</v>
      </c>
      <c r="M97" s="33" t="e">
        <f t="shared" si="31"/>
        <v>#DIV/0!</v>
      </c>
      <c r="N97" s="5">
        <f>VLOOKUP($B97,'Data Vlaue (Cr)'!$C:$FB,67)</f>
        <v>0</v>
      </c>
      <c r="O97" s="5">
        <f>VLOOKUP($B97,'Data Vlaue (Cr)'!$C:$FB,68)</f>
        <v>0</v>
      </c>
      <c r="P97" s="5" t="e">
        <f t="shared" ref="P97:P105" si="35">(N97-O97)/N97*100</f>
        <v>#DIV/0!</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Infrastructure</v>
      </c>
      <c r="B98" s="79" t="str">
        <f>'Data shares'!C93</f>
        <v>INDIGO</v>
      </c>
      <c r="C98" s="4">
        <f>VLOOKUP($B98,'Data shares'!$C:$FB,7)</f>
        <v>4512.8</v>
      </c>
      <c r="D98" s="82">
        <f>VLOOKUP($B98,'Data shares'!$C:$FB,98)</f>
        <v>18290100</v>
      </c>
      <c r="E98" s="165">
        <f>VLOOKUP(B98,'Snapshot (Volume)'!$A$7:$G$168,7,0)</f>
        <v>17345250</v>
      </c>
      <c r="F98" s="165">
        <f t="shared" si="32"/>
        <v>944850</v>
      </c>
      <c r="G98" s="166">
        <f t="shared" si="33"/>
        <v>5.4473126648506072E-2</v>
      </c>
      <c r="H98" s="165">
        <f>VLOOKUP($B98,'Data shares'!$C:$FB,66)</f>
        <v>23143500</v>
      </c>
      <c r="I98" s="165">
        <f>VLOOKUP($B98,'Data shares'!$C:$FB,67)</f>
        <v>25307850</v>
      </c>
      <c r="J98" s="81">
        <f t="shared" si="34"/>
        <v>-8.5520895690467587</v>
      </c>
      <c r="K98" s="5">
        <f>VLOOKUP($B98,'Data Vlaue (Cr)'!$C:$FB,99)</f>
        <v>8267</v>
      </c>
      <c r="L98" s="81">
        <f>VLOOKUP(B98,'OI(Value)'!$A$7:$C$226,3,0)</f>
        <v>427</v>
      </c>
      <c r="M98" s="33">
        <f t="shared" si="31"/>
        <v>5.1651143099068584</v>
      </c>
      <c r="N98" s="5">
        <f>VLOOKUP($B98,'Data Vlaue (Cr)'!$C:$FB,67)</f>
        <v>10461</v>
      </c>
      <c r="O98" s="5">
        <f>VLOOKUP($B98,'Data Vlaue (Cr)'!$C:$FB,68)</f>
        <v>11439</v>
      </c>
      <c r="P98" s="5">
        <f t="shared" si="35"/>
        <v>-9.3490106108402635</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Banking</v>
      </c>
      <c r="B99" s="79" t="str">
        <f>'Data shares'!C94</f>
        <v>INDUSINDBK</v>
      </c>
      <c r="C99" s="4">
        <f>VLOOKUP($B99,'Data shares'!$C:$FB,7)</f>
        <v>937.2</v>
      </c>
      <c r="D99" s="82">
        <f>VLOOKUP($B99,'Data shares'!$C:$FB,98)</f>
        <v>46287500</v>
      </c>
      <c r="E99" s="165">
        <f>VLOOKUP(B99,'Snapshot (Volume)'!$A$7:$G$168,7,0)</f>
        <v>46073300</v>
      </c>
      <c r="F99" s="165">
        <f t="shared" si="32"/>
        <v>214200</v>
      </c>
      <c r="G99" s="166">
        <f t="shared" si="33"/>
        <v>4.6491134778711314E-3</v>
      </c>
      <c r="H99" s="165">
        <f>VLOOKUP($B99,'Data shares'!$C:$FB,66)</f>
        <v>18640300</v>
      </c>
      <c r="I99" s="165">
        <f>VLOOKUP($B99,'Data shares'!$C:$FB,67)</f>
        <v>21965300</v>
      </c>
      <c r="J99" s="81">
        <f t="shared" si="34"/>
        <v>-15.137512349023233</v>
      </c>
      <c r="K99" s="5">
        <f>VLOOKUP($B99,'Data Vlaue (Cr)'!$C:$FB,99)</f>
        <v>4353</v>
      </c>
      <c r="L99" s="81">
        <f>VLOOKUP(B99,'OI(Value)'!$A$7:$C$226,3,0)</f>
        <v>20</v>
      </c>
      <c r="M99" s="33">
        <f t="shared" si="31"/>
        <v>0.45945325063174819</v>
      </c>
      <c r="N99" s="5">
        <f>VLOOKUP($B99,'Data Vlaue (Cr)'!$C:$FB,67)</f>
        <v>1753</v>
      </c>
      <c r="O99" s="5">
        <f>VLOOKUP($B99,'Data Vlaue (Cr)'!$C:$FB,68)</f>
        <v>2066</v>
      </c>
      <c r="P99" s="5">
        <f t="shared" si="35"/>
        <v>-17.855105533371361</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Telecom</v>
      </c>
      <c r="B100" s="79" t="str">
        <f>'Data shares'!C95</f>
        <v>INDUSTOWER</v>
      </c>
      <c r="C100" s="4">
        <f>VLOOKUP($B100,'Data shares'!$C:$FB,7)</f>
        <v>451.4</v>
      </c>
      <c r="D100" s="82">
        <f>VLOOKUP($B100,'Data shares'!$C:$FB,98)</f>
        <v>88741700</v>
      </c>
      <c r="E100" s="165">
        <f>VLOOKUP(B100,'Snapshot (Volume)'!$A$7:$G$168,7,0)</f>
        <v>88236800</v>
      </c>
      <c r="F100" s="165">
        <f t="shared" si="32"/>
        <v>504900</v>
      </c>
      <c r="G100" s="166">
        <f t="shared" si="33"/>
        <v>5.7221023427866833E-3</v>
      </c>
      <c r="H100" s="165">
        <f>VLOOKUP($B100,'Data shares'!$C:$FB,66)</f>
        <v>24973000</v>
      </c>
      <c r="I100" s="165">
        <f>VLOOKUP($B100,'Data shares'!$C:$FB,67)</f>
        <v>24864200</v>
      </c>
      <c r="J100" s="81">
        <f t="shared" si="34"/>
        <v>0.43757691781758518</v>
      </c>
      <c r="K100" s="5">
        <f>VLOOKUP($B100,'Data Vlaue (Cr)'!$C:$FB,99)</f>
        <v>4025</v>
      </c>
      <c r="L100" s="81">
        <f>VLOOKUP(B100,'OI(Value)'!$A$7:$C$226,3,0)</f>
        <v>23</v>
      </c>
      <c r="M100" s="33">
        <f t="shared" si="31"/>
        <v>0.5714285714285714</v>
      </c>
      <c r="N100" s="5">
        <f>VLOOKUP($B100,'Data Vlaue (Cr)'!$C:$FB,67)</f>
        <v>1133</v>
      </c>
      <c r="O100" s="5">
        <f>VLOOKUP($B100,'Data Vlaue (Cr)'!$C:$FB,68)</f>
        <v>1128</v>
      </c>
      <c r="P100" s="5">
        <f t="shared" si="35"/>
        <v>0.44130626654898497</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Technology</v>
      </c>
      <c r="B101" s="79" t="str">
        <f>'Data shares'!C96</f>
        <v>INFY</v>
      </c>
      <c r="C101" s="4">
        <f>VLOOKUP($B101,'Data shares'!$C:$FB,7)</f>
        <v>1305.8</v>
      </c>
      <c r="D101" s="82">
        <f>VLOOKUP($B101,'Data shares'!$C:$FB,98)</f>
        <v>138706000</v>
      </c>
      <c r="E101" s="165">
        <f>VLOOKUP(B101,'Snapshot (Volume)'!$A$7:$G$168,7,0)</f>
        <v>139228400</v>
      </c>
      <c r="F101" s="165">
        <f t="shared" si="32"/>
        <v>-522400</v>
      </c>
      <c r="G101" s="166">
        <f t="shared" si="33"/>
        <v>-3.7521080469214616E-3</v>
      </c>
      <c r="H101" s="165">
        <f>VLOOKUP($B101,'Data shares'!$C:$FB,66)</f>
        <v>52420400</v>
      </c>
      <c r="I101" s="165">
        <f>VLOOKUP($B101,'Data shares'!$C:$FB,67)</f>
        <v>85874000</v>
      </c>
      <c r="J101" s="81">
        <f t="shared" si="34"/>
        <v>-38.956610848452385</v>
      </c>
      <c r="K101" s="5">
        <f>VLOOKUP($B101,'Data Vlaue (Cr)'!$C:$FB,99)</f>
        <v>18161</v>
      </c>
      <c r="L101" s="81">
        <f>VLOOKUP(B101,'OI(Value)'!$A$7:$C$226,3,0)</f>
        <v>-68</v>
      </c>
      <c r="M101" s="33">
        <f t="shared" si="31"/>
        <v>-0.37442872088541385</v>
      </c>
      <c r="N101" s="5">
        <f>VLOOKUP($B101,'Data Vlaue (Cr)'!$C:$FB,67)</f>
        <v>6863</v>
      </c>
      <c r="O101" s="5">
        <f>VLOOKUP($B101,'Data Vlaue (Cr)'!$C:$FB,68)</f>
        <v>11243</v>
      </c>
      <c r="P101" s="5">
        <f t="shared" si="35"/>
        <v>-63.820486667638058</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Power</v>
      </c>
      <c r="B102" s="79" t="str">
        <f>'Data shares'!C97</f>
        <v>INOXWIND</v>
      </c>
      <c r="C102" s="4">
        <f>VLOOKUP($B102,'Data shares'!$C:$FB,7)</f>
        <v>86.32</v>
      </c>
      <c r="D102" s="82">
        <f>VLOOKUP($B102,'Data shares'!$C:$FB,98)</f>
        <v>159180450</v>
      </c>
      <c r="E102" s="165">
        <f>VLOOKUP(B102,'Snapshot (Volume)'!$A$7:$G$168,7,0)</f>
        <v>156095225</v>
      </c>
      <c r="F102" s="165">
        <f t="shared" si="32"/>
        <v>3085225</v>
      </c>
      <c r="G102" s="166">
        <f t="shared" si="33"/>
        <v>1.9765018436662622E-2</v>
      </c>
      <c r="H102" s="165">
        <f>VLOOKUP($B102,'Data shares'!$C:$FB,66)</f>
        <v>77109175</v>
      </c>
      <c r="I102" s="165">
        <f>VLOOKUP($B102,'Data shares'!$C:$FB,67)</f>
        <v>49570950</v>
      </c>
      <c r="J102" s="81">
        <f t="shared" si="34"/>
        <v>55.55315159382662</v>
      </c>
      <c r="K102" s="5">
        <f>VLOOKUP($B102,'Data Vlaue (Cr)'!$C:$FB,99)</f>
        <v>1378</v>
      </c>
      <c r="L102" s="81">
        <f>VLOOKUP(B102,'OI(Value)'!$A$7:$C$226,3,0)</f>
        <v>27</v>
      </c>
      <c r="M102" s="33">
        <f t="shared" si="31"/>
        <v>1.9593613933236573</v>
      </c>
      <c r="N102" s="5">
        <f>VLOOKUP($B102,'Data Vlaue (Cr)'!$C:$FB,67)</f>
        <v>668</v>
      </c>
      <c r="O102" s="5">
        <f>VLOOKUP($B102,'Data Vlaue (Cr)'!$C:$FB,68)</f>
        <v>429</v>
      </c>
      <c r="P102" s="5">
        <f t="shared" si="35"/>
        <v>35.778443113772454</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Oil_Gas</v>
      </c>
      <c r="B103" s="79" t="str">
        <f>'Data shares'!C98</f>
        <v>IOC</v>
      </c>
      <c r="C103" s="4">
        <f>VLOOKUP($B103,'Data shares'!$C:$FB,7)</f>
        <v>171.54</v>
      </c>
      <c r="D103" s="82">
        <f>VLOOKUP($B103,'Data shares'!$C:$FB,98)</f>
        <v>189554625</v>
      </c>
      <c r="E103" s="165">
        <f>VLOOKUP(B103,'Snapshot (Volume)'!$A$7:$G$168,7,0)</f>
        <v>173184375</v>
      </c>
      <c r="F103" s="165">
        <f t="shared" si="32"/>
        <v>16370250</v>
      </c>
      <c r="G103" s="166">
        <f t="shared" si="33"/>
        <v>9.4524982406755803E-2</v>
      </c>
      <c r="H103" s="165">
        <f>VLOOKUP($B103,'Data shares'!$C:$FB,66)</f>
        <v>259111125</v>
      </c>
      <c r="I103" s="165">
        <f>VLOOKUP($B103,'Data shares'!$C:$FB,67)</f>
        <v>197213250</v>
      </c>
      <c r="J103" s="81">
        <f t="shared" si="34"/>
        <v>31.386265882236614</v>
      </c>
      <c r="K103" s="5">
        <f>VLOOKUP($B103,'Data Vlaue (Cr)'!$C:$FB,99)</f>
        <v>3241</v>
      </c>
      <c r="L103" s="81">
        <f>VLOOKUP(B103,'OI(Value)'!$A$7:$C$226,3,0)</f>
        <v>280</v>
      </c>
      <c r="M103" s="33">
        <f t="shared" si="31"/>
        <v>8.639308855291576</v>
      </c>
      <c r="N103" s="5">
        <f>VLOOKUP($B103,'Data Vlaue (Cr)'!$C:$FB,67)</f>
        <v>4431</v>
      </c>
      <c r="O103" s="5">
        <f>VLOOKUP($B103,'Data Vlaue (Cr)'!$C:$FB,68)</f>
        <v>3372</v>
      </c>
      <c r="P103" s="5">
        <f t="shared" si="35"/>
        <v>23.899796885578876</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Finance</v>
      </c>
      <c r="B104" s="79" t="str">
        <f>'Data shares'!C99</f>
        <v>IREDA</v>
      </c>
      <c r="C104" s="4">
        <f>VLOOKUP($B104,'Data shares'!$C:$FB,7)</f>
        <v>115.65</v>
      </c>
      <c r="D104" s="82">
        <f>VLOOKUP($B104,'Data shares'!$C:$FB,98)</f>
        <v>113936250</v>
      </c>
      <c r="E104" s="165">
        <f>VLOOKUP(B104,'Snapshot (Volume)'!$A$7:$G$168,7,0)</f>
        <v>113077200</v>
      </c>
      <c r="F104" s="165">
        <f t="shared" si="32"/>
        <v>859050</v>
      </c>
      <c r="G104" s="166">
        <f t="shared" si="33"/>
        <v>7.5970222113741761E-3</v>
      </c>
      <c r="H104" s="165">
        <f>VLOOKUP($B104,'Data shares'!$C:$FB,66)</f>
        <v>31895250</v>
      </c>
      <c r="I104" s="165">
        <f>VLOOKUP($B104,'Data shares'!$C:$FB,67)</f>
        <v>39423150</v>
      </c>
      <c r="J104" s="81">
        <f t="shared" si="34"/>
        <v>-19.09512557976722</v>
      </c>
      <c r="K104" s="5">
        <f>VLOOKUP($B104,'Data Vlaue (Cr)'!$C:$FB,99)</f>
        <v>1320</v>
      </c>
      <c r="L104" s="81">
        <f>VLOOKUP(B104,'OI(Value)'!$A$7:$C$226,3,0)</f>
        <v>10</v>
      </c>
      <c r="M104" s="33">
        <f t="shared" si="31"/>
        <v>0.75757575757575757</v>
      </c>
      <c r="N104" s="5">
        <f>VLOOKUP($B104,'Data Vlaue (Cr)'!$C:$FB,67)</f>
        <v>370</v>
      </c>
      <c r="O104" s="5">
        <f>VLOOKUP($B104,'Data Vlaue (Cr)'!$C:$FB,68)</f>
        <v>457</v>
      </c>
      <c r="P104" s="5">
        <f t="shared" si="35"/>
        <v>-23.513513513513516</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Infrastructure</v>
      </c>
      <c r="B105" s="79" t="str">
        <f>'Data shares'!C100</f>
        <v>IRFC</v>
      </c>
      <c r="C105" s="4">
        <f>VLOOKUP($B105,'Data shares'!$C:$FB,7)</f>
        <v>98.85</v>
      </c>
      <c r="D105" s="82">
        <f>VLOOKUP($B105,'Data shares'!$C:$FB,98)</f>
        <v>195491500</v>
      </c>
      <c r="E105" s="165">
        <f>VLOOKUP(B105,'Snapshot (Volume)'!$A$7:$G$168,7,0)</f>
        <v>192984000</v>
      </c>
      <c r="F105" s="165">
        <f t="shared" si="32"/>
        <v>2507500</v>
      </c>
      <c r="G105" s="166">
        <f t="shared" si="33"/>
        <v>1.2993305144467936E-2</v>
      </c>
      <c r="H105" s="165">
        <f>VLOOKUP($B105,'Data shares'!$C:$FB,66)</f>
        <v>81340750</v>
      </c>
      <c r="I105" s="165">
        <f>VLOOKUP($B105,'Data shares'!$C:$FB,67)</f>
        <v>109735000</v>
      </c>
      <c r="J105" s="81">
        <f t="shared" si="34"/>
        <v>-25.875290472501938</v>
      </c>
      <c r="K105" s="5">
        <f>VLOOKUP($B105,'Data Vlaue (Cr)'!$C:$FB,99)</f>
        <v>1917</v>
      </c>
      <c r="L105" s="81">
        <f>VLOOKUP(B105,'OI(Value)'!$A$7:$C$226,3,0)</f>
        <v>25</v>
      </c>
      <c r="M105" s="33">
        <f t="shared" si="31"/>
        <v>1.3041210224308815</v>
      </c>
      <c r="N105" s="5">
        <f>VLOOKUP($B105,'Data Vlaue (Cr)'!$C:$FB,67)</f>
        <v>797</v>
      </c>
      <c r="O105" s="5">
        <f>VLOOKUP($B105,'Data Vlaue (Cr)'!$C:$FB,68)</f>
        <v>1076</v>
      </c>
      <c r="P105" s="5">
        <f t="shared" si="35"/>
        <v>-35.006273525721454</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FMCG</v>
      </c>
      <c r="B106" s="79" t="str">
        <f>'Data shares'!C101</f>
        <v>ITC</v>
      </c>
      <c r="C106" s="79">
        <f>VLOOKUP($B106,'Data shares'!$C:$FB,7)</f>
        <v>311.5</v>
      </c>
      <c r="D106" s="80">
        <f>VLOOKUP($B106,'Data shares'!$C:$FB,98)</f>
        <v>328963200</v>
      </c>
      <c r="E106" s="165">
        <f>VLOOKUP(B106,'Snapshot (Volume)'!$A$7:$G$168,7,0)</f>
        <v>325204800</v>
      </c>
      <c r="F106" s="165">
        <f t="shared" ref="F106:F114" si="36">D106-E106</f>
        <v>3758400</v>
      </c>
      <c r="G106" s="166">
        <f t="shared" ref="G106:G114" si="37">F106/E106</f>
        <v>1.1557024988561055E-2</v>
      </c>
      <c r="H106" s="165">
        <f>VLOOKUP($B106,'Data shares'!$C:$FB,66)</f>
        <v>142603200</v>
      </c>
      <c r="I106" s="165">
        <f>VLOOKUP($B106,'Data shares'!$C:$FB,67)</f>
        <v>145600000</v>
      </c>
      <c r="J106" s="81">
        <f t="shared" ref="J106:J114" si="38">(H106-I106)/I106*100</f>
        <v>-2.058241758241758</v>
      </c>
      <c r="K106" s="81">
        <f>VLOOKUP($B106,'Data Vlaue (Cr)'!$C:$FB,99)</f>
        <v>10293</v>
      </c>
      <c r="L106" s="81">
        <f>VLOOKUP(B106,'OI(Value)'!$A$7:$C$226,3,0)</f>
        <v>118</v>
      </c>
      <c r="M106" s="81">
        <f t="shared" si="31"/>
        <v>1.1464101816768677</v>
      </c>
      <c r="N106" s="81">
        <f>VLOOKUP($B106,'Data Vlaue (Cr)'!$C:$FB,67)</f>
        <v>4462</v>
      </c>
      <c r="O106" s="81">
        <f>VLOOKUP($B106,'Data Vlaue (Cr)'!$C:$FB,68)</f>
        <v>4556</v>
      </c>
      <c r="P106" s="81">
        <f t="shared" ref="P106:P114" si="39">(N106-O106)/N106*100</f>
        <v>-2.1066786194531599</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Metals</v>
      </c>
      <c r="B107" s="79" t="str">
        <f>'Data shares'!C102</f>
        <v>JINDALSTEL</v>
      </c>
      <c r="C107" s="79">
        <f>VLOOKUP($B107,'Data shares'!$C:$FB,7)</f>
        <v>1184</v>
      </c>
      <c r="D107" s="80">
        <f>VLOOKUP($B107,'Data shares'!$C:$FB,98)</f>
        <v>16203125</v>
      </c>
      <c r="E107" s="165">
        <f>VLOOKUP(B107,'Snapshot (Volume)'!$A$7:$G$168,7,0)</f>
        <v>16076250</v>
      </c>
      <c r="F107" s="165">
        <f t="shared" si="36"/>
        <v>126875</v>
      </c>
      <c r="G107" s="166">
        <f t="shared" si="37"/>
        <v>7.8920768213980256E-3</v>
      </c>
      <c r="H107" s="165">
        <f>VLOOKUP($B107,'Data shares'!$C:$FB,66)</f>
        <v>9742500</v>
      </c>
      <c r="I107" s="165">
        <f>VLOOKUP($B107,'Data shares'!$C:$FB,67)</f>
        <v>18748750</v>
      </c>
      <c r="J107" s="81">
        <f t="shared" si="38"/>
        <v>-48.03653576905127</v>
      </c>
      <c r="K107" s="81">
        <f>VLOOKUP($B107,'Data Vlaue (Cr)'!$C:$FB,99)</f>
        <v>1927</v>
      </c>
      <c r="L107" s="81">
        <f>VLOOKUP(B107,'OI(Value)'!$A$7:$C$226,3,0)</f>
        <v>15</v>
      </c>
      <c r="M107" s="81">
        <f t="shared" si="31"/>
        <v>0.77841203943954329</v>
      </c>
      <c r="N107" s="81">
        <f>VLOOKUP($B107,'Data Vlaue (Cr)'!$C:$FB,67)</f>
        <v>1158</v>
      </c>
      <c r="O107" s="81">
        <f>VLOOKUP($B107,'Data Vlaue (Cr)'!$C:$FB,68)</f>
        <v>2229</v>
      </c>
      <c r="P107" s="81">
        <f t="shared" si="39"/>
        <v>-92.487046632124347</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Finance</v>
      </c>
      <c r="B108" s="79" t="str">
        <f>'Data shares'!C103</f>
        <v>JIOFIN</v>
      </c>
      <c r="C108" s="4">
        <f>VLOOKUP($B108,'Data shares'!$C:$FB,7)</f>
        <v>243.1</v>
      </c>
      <c r="D108" s="82">
        <f>VLOOKUP($B108,'Data shares'!$C:$FB,98)</f>
        <v>254479150</v>
      </c>
      <c r="E108" s="165">
        <f>VLOOKUP(B108,'Snapshot (Volume)'!$A$7:$G$168,7,0)</f>
        <v>250155150</v>
      </c>
      <c r="F108" s="165">
        <f t="shared" si="36"/>
        <v>4324000</v>
      </c>
      <c r="G108" s="166">
        <f t="shared" si="37"/>
        <v>1.7285272759725315E-2</v>
      </c>
      <c r="H108" s="165">
        <f>VLOOKUP($B108,'Data shares'!$C:$FB,66)</f>
        <v>88350600</v>
      </c>
      <c r="I108" s="165">
        <f>VLOOKUP($B108,'Data shares'!$C:$FB,67)</f>
        <v>86921800</v>
      </c>
      <c r="J108" s="81">
        <f t="shared" si="38"/>
        <v>1.6437763599005082</v>
      </c>
      <c r="K108" s="5">
        <f>VLOOKUP($B108,'Data Vlaue (Cr)'!$C:$FB,99)</f>
        <v>6212</v>
      </c>
      <c r="L108" s="81">
        <f>VLOOKUP(B108,'OI(Value)'!$A$7:$C$226,3,0)</f>
        <v>106</v>
      </c>
      <c r="M108" s="33">
        <f t="shared" si="31"/>
        <v>1.7063747585318738</v>
      </c>
      <c r="N108" s="5">
        <f>VLOOKUP($B108,'Data Vlaue (Cr)'!$C:$FB,67)</f>
        <v>2157</v>
      </c>
      <c r="O108" s="5">
        <f>VLOOKUP($B108,'Data Vlaue (Cr)'!$C:$FB,68)</f>
        <v>2122</v>
      </c>
      <c r="P108" s="5">
        <f t="shared" si="39"/>
        <v>1.6226240148354196</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Power</v>
      </c>
      <c r="B109" s="79" t="str">
        <f>'Data shares'!C104</f>
        <v>JSWENERGY</v>
      </c>
      <c r="C109" s="4">
        <f>VLOOKUP($B109,'Data shares'!$C:$FB,7)</f>
        <v>479.5</v>
      </c>
      <c r="D109" s="82">
        <f>VLOOKUP($B109,'Data shares'!$C:$FB,98)</f>
        <v>39174000</v>
      </c>
      <c r="E109" s="165">
        <f>VLOOKUP(B109,'Snapshot (Volume)'!$A$7:$G$168,7,0)</f>
        <v>39353000</v>
      </c>
      <c r="F109" s="165">
        <f t="shared" si="36"/>
        <v>-179000</v>
      </c>
      <c r="G109" s="166">
        <f t="shared" si="37"/>
        <v>-4.5485731710415978E-3</v>
      </c>
      <c r="H109" s="165">
        <f>VLOOKUP($B109,'Data shares'!$C:$FB,66)</f>
        <v>6893000</v>
      </c>
      <c r="I109" s="165">
        <f>VLOOKUP($B109,'Data shares'!$C:$FB,67)</f>
        <v>9177000</v>
      </c>
      <c r="J109" s="81">
        <f t="shared" si="38"/>
        <v>-24.888307725836331</v>
      </c>
      <c r="K109" s="5">
        <f>VLOOKUP($B109,'Data Vlaue (Cr)'!$C:$FB,99)</f>
        <v>1882</v>
      </c>
      <c r="L109" s="81">
        <f>VLOOKUP(B109,'OI(Value)'!$A$7:$C$226,3,0)</f>
        <v>-9</v>
      </c>
      <c r="M109" s="33">
        <f t="shared" si="31"/>
        <v>-0.47821466524973438</v>
      </c>
      <c r="N109" s="5">
        <f>VLOOKUP($B109,'Data Vlaue (Cr)'!$C:$FB,67)</f>
        <v>331</v>
      </c>
      <c r="O109" s="5">
        <f>VLOOKUP($B109,'Data Vlaue (Cr)'!$C:$FB,68)</f>
        <v>441</v>
      </c>
      <c r="P109" s="5">
        <f t="shared" si="39"/>
        <v>-33.23262839879154</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Metals</v>
      </c>
      <c r="B110" s="79" t="str">
        <f>'Data shares'!C105</f>
        <v>JSWSTEEL</v>
      </c>
      <c r="C110" s="4">
        <f>VLOOKUP($B110,'Data shares'!$C:$FB,7)</f>
        <v>1248.0999999999999</v>
      </c>
      <c r="D110" s="82">
        <f>VLOOKUP($B110,'Data shares'!$C:$FB,98)</f>
        <v>62794575</v>
      </c>
      <c r="E110" s="165">
        <f>VLOOKUP(B110,'Snapshot (Volume)'!$A$7:$G$168,7,0)</f>
        <v>62006175</v>
      </c>
      <c r="F110" s="165">
        <f t="shared" si="36"/>
        <v>788400</v>
      </c>
      <c r="G110" s="166">
        <f t="shared" si="37"/>
        <v>1.2714862672951525E-2</v>
      </c>
      <c r="H110" s="165">
        <f>VLOOKUP($B110,'Data shares'!$C:$FB,66)</f>
        <v>20989125</v>
      </c>
      <c r="I110" s="165">
        <f>VLOOKUP($B110,'Data shares'!$C:$FB,67)</f>
        <v>24642900</v>
      </c>
      <c r="J110" s="81">
        <f t="shared" si="38"/>
        <v>-14.826887257587378</v>
      </c>
      <c r="K110" s="5">
        <f>VLOOKUP($B110,'Data Vlaue (Cr)'!$C:$FB,99)</f>
        <v>7857</v>
      </c>
      <c r="L110" s="81">
        <f>VLOOKUP(B110,'OI(Value)'!$A$7:$C$226,3,0)</f>
        <v>99</v>
      </c>
      <c r="M110" s="33">
        <f t="shared" si="31"/>
        <v>1.2600229095074456</v>
      </c>
      <c r="N110" s="5">
        <f>VLOOKUP($B110,'Data Vlaue (Cr)'!$C:$FB,67)</f>
        <v>2626</v>
      </c>
      <c r="O110" s="5">
        <f>VLOOKUP($B110,'Data Vlaue (Cr)'!$C:$FB,68)</f>
        <v>3083</v>
      </c>
      <c r="P110" s="5">
        <f t="shared" si="39"/>
        <v>-17.402894135567404</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FMCG</v>
      </c>
      <c r="B111" s="79" t="str">
        <f>'Data shares'!C106</f>
        <v>JUBLFOOD</v>
      </c>
      <c r="C111" s="4">
        <f>VLOOKUP($B111,'Data shares'!$C:$FB,7)</f>
        <v>500.5</v>
      </c>
      <c r="D111" s="82">
        <f>VLOOKUP($B111,'Data shares'!$C:$FB,98)</f>
        <v>39740000</v>
      </c>
      <c r="E111" s="165">
        <f>VLOOKUP(B111,'Snapshot (Volume)'!$A$7:$G$168,7,0)</f>
        <v>39738750</v>
      </c>
      <c r="F111" s="165">
        <f t="shared" si="36"/>
        <v>1250</v>
      </c>
      <c r="G111" s="166">
        <f t="shared" si="37"/>
        <v>3.145544336447422E-5</v>
      </c>
      <c r="H111" s="165">
        <f>VLOOKUP($B111,'Data shares'!$C:$FB,66)</f>
        <v>9496250</v>
      </c>
      <c r="I111" s="165">
        <f>VLOOKUP($B111,'Data shares'!$C:$FB,67)</f>
        <v>15498750</v>
      </c>
      <c r="J111" s="81">
        <f t="shared" si="38"/>
        <v>-38.728929752399388</v>
      </c>
      <c r="K111" s="5">
        <f>VLOOKUP($B111,'Data Vlaue (Cr)'!$C:$FB,99)</f>
        <v>1993</v>
      </c>
      <c r="L111" s="81">
        <f>VLOOKUP(B111,'OI(Value)'!$A$7:$C$226,3,0)</f>
        <v>0</v>
      </c>
      <c r="M111" s="33">
        <f t="shared" si="31"/>
        <v>0</v>
      </c>
      <c r="N111" s="5">
        <f>VLOOKUP($B111,'Data Vlaue (Cr)'!$C:$FB,67)</f>
        <v>476</v>
      </c>
      <c r="O111" s="5">
        <f>VLOOKUP($B111,'Data Vlaue (Cr)'!$C:$FB,68)</f>
        <v>777</v>
      </c>
      <c r="P111" s="5">
        <f t="shared" si="39"/>
        <v>-63.235294117647058</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FMCG</v>
      </c>
      <c r="B112" s="79" t="str">
        <f>'Data shares'!C107</f>
        <v>KALYANKJIL</v>
      </c>
      <c r="C112" s="4">
        <f>VLOOKUP($B112,'Data shares'!$C:$FB,7)</f>
        <v>399.8</v>
      </c>
      <c r="D112" s="82">
        <f>VLOOKUP($B112,'Data shares'!$C:$FB,98)</f>
        <v>37840875</v>
      </c>
      <c r="E112" s="165">
        <f>VLOOKUP(B112,'Snapshot (Volume)'!$A$7:$G$168,7,0)</f>
        <v>37435500</v>
      </c>
      <c r="F112" s="165">
        <f t="shared" si="36"/>
        <v>405375</v>
      </c>
      <c r="G112" s="166">
        <f t="shared" si="37"/>
        <v>1.0828625235404897E-2</v>
      </c>
      <c r="H112" s="165">
        <f>VLOOKUP($B112,'Data shares'!$C:$FB,66)</f>
        <v>14229250</v>
      </c>
      <c r="I112" s="165">
        <f>VLOOKUP($B112,'Data shares'!$C:$FB,67)</f>
        <v>19203025</v>
      </c>
      <c r="J112" s="81">
        <f t="shared" si="38"/>
        <v>-25.900997368904115</v>
      </c>
      <c r="K112" s="5">
        <f>VLOOKUP($B112,'Data Vlaue (Cr)'!$C:$FB,99)</f>
        <v>1517</v>
      </c>
      <c r="L112" s="81">
        <f>VLOOKUP(B112,'OI(Value)'!$A$7:$C$226,3,0)</f>
        <v>16</v>
      </c>
      <c r="M112" s="33">
        <f t="shared" si="31"/>
        <v>1.054713249835201</v>
      </c>
      <c r="N112" s="5">
        <f>VLOOKUP($B112,'Data Vlaue (Cr)'!$C:$FB,67)</f>
        <v>570</v>
      </c>
      <c r="O112" s="5">
        <f>VLOOKUP($B112,'Data Vlaue (Cr)'!$C:$FB,68)</f>
        <v>770</v>
      </c>
      <c r="P112" s="5">
        <f t="shared" si="39"/>
        <v>-35.087719298245609</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Capital_Goods</v>
      </c>
      <c r="B113" s="79" t="str">
        <f>'Data shares'!C108</f>
        <v>KAYNES</v>
      </c>
      <c r="C113" s="4">
        <f>VLOOKUP($B113,'Data shares'!$C:$FB,7)</f>
        <v>3814.5</v>
      </c>
      <c r="D113" s="82">
        <f>VLOOKUP($B113,'Data shares'!$C:$FB,98)</f>
        <v>6473600</v>
      </c>
      <c r="E113" s="165">
        <f>VLOOKUP(B113,'Snapshot (Volume)'!$A$7:$G$168,7,0)</f>
        <v>5999900</v>
      </c>
      <c r="F113" s="165">
        <f t="shared" si="36"/>
        <v>473700</v>
      </c>
      <c r="G113" s="166">
        <f t="shared" si="37"/>
        <v>7.8951315855264256E-2</v>
      </c>
      <c r="H113" s="165">
        <f>VLOOKUP($B113,'Data shares'!$C:$FB,66)</f>
        <v>5588100</v>
      </c>
      <c r="I113" s="165">
        <f>VLOOKUP($B113,'Data shares'!$C:$FB,67)</f>
        <v>3795800</v>
      </c>
      <c r="J113" s="81">
        <f t="shared" si="38"/>
        <v>47.217977764898045</v>
      </c>
      <c r="K113" s="5">
        <f>VLOOKUP($B113,'Data Vlaue (Cr)'!$C:$FB,99)</f>
        <v>2477</v>
      </c>
      <c r="L113" s="81">
        <f>VLOOKUP(B113,'OI(Value)'!$A$7:$C$226,3,0)</f>
        <v>181</v>
      </c>
      <c r="M113" s="33">
        <f t="shared" si="31"/>
        <v>7.3072264836495755</v>
      </c>
      <c r="N113" s="5">
        <f>VLOOKUP($B113,'Data Vlaue (Cr)'!$C:$FB,67)</f>
        <v>2138</v>
      </c>
      <c r="O113" s="5">
        <f>VLOOKUP($B113,'Data Vlaue (Cr)'!$C:$FB,68)</f>
        <v>1453</v>
      </c>
      <c r="P113" s="5">
        <f t="shared" si="39"/>
        <v>32.039289055191766</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Power</v>
      </c>
      <c r="B114" s="79" t="str">
        <f>'Data shares'!C109</f>
        <v>KEI</v>
      </c>
      <c r="C114" s="4">
        <f>VLOOKUP($B114,'Data shares'!$C:$FB,7)</f>
        <v>4920.5</v>
      </c>
      <c r="D114" s="82">
        <f>VLOOKUP($B114,'Data shares'!$C:$FB,98)</f>
        <v>2662450</v>
      </c>
      <c r="E114" s="165">
        <f>VLOOKUP(B114,'Snapshot (Volume)'!$A$7:$G$168,7,0)</f>
        <v>2771650</v>
      </c>
      <c r="F114" s="165">
        <f t="shared" si="36"/>
        <v>-109200</v>
      </c>
      <c r="G114" s="166">
        <f t="shared" si="37"/>
        <v>-3.9398914004293469E-2</v>
      </c>
      <c r="H114" s="165">
        <f>VLOOKUP($B114,'Data shares'!$C:$FB,66)</f>
        <v>2264325</v>
      </c>
      <c r="I114" s="165">
        <f>VLOOKUP($B114,'Data shares'!$C:$FB,67)</f>
        <v>3007550</v>
      </c>
      <c r="J114" s="81">
        <f t="shared" si="38"/>
        <v>-24.711974863260792</v>
      </c>
      <c r="K114" s="5">
        <f>VLOOKUP($B114,'Data Vlaue (Cr)'!$C:$FB,99)</f>
        <v>1315</v>
      </c>
      <c r="L114" s="81">
        <f>VLOOKUP(B114,'OI(Value)'!$A$7:$C$226,3,0)</f>
        <v>-54</v>
      </c>
      <c r="M114" s="33">
        <f t="shared" si="31"/>
        <v>-4.1064638783269967</v>
      </c>
      <c r="N114" s="5">
        <f>VLOOKUP($B114,'Data Vlaue (Cr)'!$C:$FB,67)</f>
        <v>1118</v>
      </c>
      <c r="O114" s="5">
        <f>VLOOKUP($B114,'Data Vlaue (Cr)'!$C:$FB,68)</f>
        <v>1485</v>
      </c>
      <c r="P114" s="5">
        <f t="shared" si="39"/>
        <v>-32.826475849731665</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Finance</v>
      </c>
      <c r="B115" s="79" t="str">
        <f>'Data shares'!C110</f>
        <v>KFINTECH</v>
      </c>
      <c r="C115" s="79">
        <f>VLOOKUP($B115,'Data shares'!$C:$FB,7)</f>
        <v>927.9</v>
      </c>
      <c r="D115" s="80">
        <f>VLOOKUP($B115,'Data shares'!$C:$FB,98)</f>
        <v>5431500</v>
      </c>
      <c r="E115" s="165">
        <f>VLOOKUP(B115,'Snapshot (Volume)'!$A$7:$G$168,7,0)</f>
        <v>5248500</v>
      </c>
      <c r="F115" s="165">
        <f t="shared" ref="F115:F126" si="40">D115-E115</f>
        <v>183000</v>
      </c>
      <c r="G115" s="166">
        <f t="shared" ref="G115:G126" si="41">F115/E115</f>
        <v>3.4867104887110603E-2</v>
      </c>
      <c r="H115" s="165">
        <f>VLOOKUP($B115,'Data shares'!$C:$FB,66)</f>
        <v>3005500</v>
      </c>
      <c r="I115" s="165">
        <f>VLOOKUP($B115,'Data shares'!$C:$FB,67)</f>
        <v>1891000</v>
      </c>
      <c r="J115" s="81">
        <f t="shared" ref="J115:J126" si="42">(H115-I115)/I115*100</f>
        <v>58.93707033315706</v>
      </c>
      <c r="K115" s="81">
        <f>VLOOKUP($B115,'Data Vlaue (Cr)'!$C:$FB,99)</f>
        <v>503</v>
      </c>
      <c r="L115" s="81">
        <f>VLOOKUP(B115,'OI(Value)'!$A$7:$C$226,3,0)</f>
        <v>17</v>
      </c>
      <c r="M115" s="81">
        <f t="shared" si="31"/>
        <v>3.3797216699801194</v>
      </c>
      <c r="N115" s="81">
        <f>VLOOKUP($B115,'Data Vlaue (Cr)'!$C:$FB,67)</f>
        <v>278</v>
      </c>
      <c r="O115" s="81">
        <f>VLOOKUP($B115,'Data Vlaue (Cr)'!$C:$FB,68)</f>
        <v>175</v>
      </c>
      <c r="P115" s="81">
        <f t="shared" ref="P115:P126" si="43">(N115-O115)/N115*100</f>
        <v>37.050359712230211</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Banking</v>
      </c>
      <c r="B116" s="79" t="str">
        <f>'Data shares'!C111</f>
        <v>KOTAKBANK</v>
      </c>
      <c r="C116" s="4">
        <f>VLOOKUP($B116,'Data shares'!$C:$FB,7)</f>
        <v>407.3</v>
      </c>
      <c r="D116" s="82">
        <f>VLOOKUP($B116,'Data shares'!$C:$FB,98)</f>
        <v>252986000</v>
      </c>
      <c r="E116" s="165">
        <f>VLOOKUP(B116,'Snapshot (Volume)'!$A$7:$G$168,7,0)</f>
        <v>248902000</v>
      </c>
      <c r="F116" s="165">
        <f t="shared" si="40"/>
        <v>4084000</v>
      </c>
      <c r="G116" s="166">
        <f t="shared" si="41"/>
        <v>1.6408064218045658E-2</v>
      </c>
      <c r="H116" s="165">
        <f>VLOOKUP($B116,'Data shares'!$C:$FB,66)</f>
        <v>59288000</v>
      </c>
      <c r="I116" s="165">
        <f>VLOOKUP($B116,'Data shares'!$C:$FB,67)</f>
        <v>80052000</v>
      </c>
      <c r="J116" s="81">
        <f t="shared" si="42"/>
        <v>-25.93814020886424</v>
      </c>
      <c r="K116" s="5">
        <f>VLOOKUP($B116,'Data Vlaue (Cr)'!$C:$FB,99)</f>
        <v>10351</v>
      </c>
      <c r="L116" s="81">
        <f>VLOOKUP(B116,'OI(Value)'!$A$7:$C$226,3,0)</f>
        <v>167</v>
      </c>
      <c r="M116" s="33">
        <f t="shared" si="31"/>
        <v>1.613370688822336</v>
      </c>
      <c r="N116" s="5">
        <f>VLOOKUP($B116,'Data Vlaue (Cr)'!$C:$FB,67)</f>
        <v>2426</v>
      </c>
      <c r="O116" s="5">
        <f>VLOOKUP($B116,'Data Vlaue (Cr)'!$C:$FB,68)</f>
        <v>3275</v>
      </c>
      <c r="P116" s="5">
        <f t="shared" si="43"/>
        <v>-34.995877988458368</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Technology</v>
      </c>
      <c r="B117" s="79" t="str">
        <f>'Data shares'!C112</f>
        <v>KPITTECH</v>
      </c>
      <c r="C117" s="4">
        <f>VLOOKUP($B117,'Data shares'!$C:$FB,7)</f>
        <v>717.5</v>
      </c>
      <c r="D117" s="82">
        <f>VLOOKUP($B117,'Data shares'!$C:$FB,98)</f>
        <v>13594900</v>
      </c>
      <c r="E117" s="165">
        <f>VLOOKUP(B117,'Snapshot (Volume)'!$A$7:$G$168,7,0)</f>
        <v>12304600</v>
      </c>
      <c r="F117" s="165">
        <f t="shared" si="40"/>
        <v>1290300</v>
      </c>
      <c r="G117" s="166">
        <f t="shared" si="41"/>
        <v>0.10486322188449848</v>
      </c>
      <c r="H117" s="165">
        <f>VLOOKUP($B117,'Data shares'!$C:$FB,66)</f>
        <v>7007400</v>
      </c>
      <c r="I117" s="165">
        <f>VLOOKUP($B117,'Data shares'!$C:$FB,67)</f>
        <v>6357575</v>
      </c>
      <c r="J117" s="81">
        <f t="shared" si="42"/>
        <v>10.221271475366001</v>
      </c>
      <c r="K117" s="5">
        <f>VLOOKUP($B117,'Data Vlaue (Cr)'!$C:$FB,99)</f>
        <v>980</v>
      </c>
      <c r="L117" s="81">
        <f>VLOOKUP(B117,'OI(Value)'!$A$7:$C$226,3,0)</f>
        <v>93</v>
      </c>
      <c r="M117" s="33">
        <f t="shared" si="31"/>
        <v>9.4897959183673475</v>
      </c>
      <c r="N117" s="5">
        <f>VLOOKUP($B117,'Data Vlaue (Cr)'!$C:$FB,67)</f>
        <v>505</v>
      </c>
      <c r="O117" s="5">
        <f>VLOOKUP($B117,'Data Vlaue (Cr)'!$C:$FB,68)</f>
        <v>459</v>
      </c>
      <c r="P117" s="5">
        <f t="shared" si="43"/>
        <v>9.1089108910891081</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Pharma</v>
      </c>
      <c r="B118" s="79" t="str">
        <f>'Data shares'!C113</f>
        <v>LAURUSLABS</v>
      </c>
      <c r="C118" s="4">
        <f>VLOOKUP($B118,'Data shares'!$C:$FB,7)</f>
        <v>1045.9000000000001</v>
      </c>
      <c r="D118" s="82">
        <f>VLOOKUP($B118,'Data shares'!$C:$FB,98)</f>
        <v>30324600</v>
      </c>
      <c r="E118" s="165">
        <f>VLOOKUP(B118,'Snapshot (Volume)'!$A$7:$G$168,7,0)</f>
        <v>29579150</v>
      </c>
      <c r="F118" s="165">
        <f t="shared" si="40"/>
        <v>745450</v>
      </c>
      <c r="G118" s="166">
        <f t="shared" si="41"/>
        <v>2.520187361705796E-2</v>
      </c>
      <c r="H118" s="165">
        <f>VLOOKUP($B118,'Data shares'!$C:$FB,66)</f>
        <v>12220450</v>
      </c>
      <c r="I118" s="165">
        <f>VLOOKUP($B118,'Data shares'!$C:$FB,67)</f>
        <v>13931500</v>
      </c>
      <c r="J118" s="81">
        <f t="shared" si="42"/>
        <v>-12.281879194630871</v>
      </c>
      <c r="K118" s="5">
        <f>VLOOKUP($B118,'Data Vlaue (Cr)'!$C:$FB,99)</f>
        <v>3185</v>
      </c>
      <c r="L118" s="81">
        <f>VLOOKUP(B118,'OI(Value)'!$A$7:$C$226,3,0)</f>
        <v>78</v>
      </c>
      <c r="M118" s="33">
        <f t="shared" si="31"/>
        <v>2.4489795918367347</v>
      </c>
      <c r="N118" s="5">
        <f>VLOOKUP($B118,'Data Vlaue (Cr)'!$C:$FB,67)</f>
        <v>1283</v>
      </c>
      <c r="O118" s="5">
        <f>VLOOKUP($B118,'Data Vlaue (Cr)'!$C:$FB,68)</f>
        <v>1463</v>
      </c>
      <c r="P118" s="5">
        <f t="shared" si="43"/>
        <v>-14.02961808261886</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Finance</v>
      </c>
      <c r="B119" s="79" t="str">
        <f>'Data shares'!C114</f>
        <v>LICHSGFIN</v>
      </c>
      <c r="C119" s="4">
        <f>VLOOKUP($B119,'Data shares'!$C:$FB,7)</f>
        <v>521.4</v>
      </c>
      <c r="D119" s="82">
        <f>VLOOKUP($B119,'Data shares'!$C:$FB,98)</f>
        <v>44187000</v>
      </c>
      <c r="E119" s="165">
        <f>VLOOKUP(B119,'Snapshot (Volume)'!$A$7:$G$168,7,0)</f>
        <v>43741000</v>
      </c>
      <c r="F119" s="165">
        <f t="shared" si="40"/>
        <v>446000</v>
      </c>
      <c r="G119" s="166">
        <f t="shared" si="41"/>
        <v>1.0196383255984088E-2</v>
      </c>
      <c r="H119" s="165">
        <f>VLOOKUP($B119,'Data shares'!$C:$FB,66)</f>
        <v>15513000</v>
      </c>
      <c r="I119" s="165">
        <f>VLOOKUP($B119,'Data shares'!$C:$FB,67)</f>
        <v>13099000</v>
      </c>
      <c r="J119" s="81">
        <f t="shared" si="42"/>
        <v>18.42888770135125</v>
      </c>
      <c r="K119" s="5">
        <f>VLOOKUP($B119,'Data Vlaue (Cr)'!$C:$FB,99)</f>
        <v>2314</v>
      </c>
      <c r="L119" s="81">
        <f>VLOOKUP(B119,'OI(Value)'!$A$7:$C$226,3,0)</f>
        <v>23</v>
      </c>
      <c r="M119" s="33">
        <f t="shared" si="31"/>
        <v>0.99394987035436466</v>
      </c>
      <c r="N119" s="5">
        <f>VLOOKUP($B119,'Data Vlaue (Cr)'!$C:$FB,67)</f>
        <v>812</v>
      </c>
      <c r="O119" s="5">
        <f>VLOOKUP($B119,'Data Vlaue (Cr)'!$C:$FB,68)</f>
        <v>686</v>
      </c>
      <c r="P119" s="5">
        <f t="shared" si="43"/>
        <v>15.517241379310345</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Finance</v>
      </c>
      <c r="B120" s="79" t="str">
        <f>'Data shares'!C115</f>
        <v>LICI</v>
      </c>
      <c r="C120" s="4">
        <f>VLOOKUP($B120,'Data shares'!$C:$FB,7)</f>
        <v>832.95</v>
      </c>
      <c r="D120" s="82">
        <f>VLOOKUP($B120,'Data shares'!$C:$FB,98)</f>
        <v>17814300</v>
      </c>
      <c r="E120" s="165">
        <f>VLOOKUP(B120,'Snapshot (Volume)'!$A$7:$G$168,7,0)</f>
        <v>17522400</v>
      </c>
      <c r="F120" s="165">
        <f t="shared" si="40"/>
        <v>291900</v>
      </c>
      <c r="G120" s="166">
        <f t="shared" si="41"/>
        <v>1.6658676893576224E-2</v>
      </c>
      <c r="H120" s="165">
        <f>VLOOKUP($B120,'Data shares'!$C:$FB,66)</f>
        <v>4585700</v>
      </c>
      <c r="I120" s="165">
        <f>VLOOKUP($B120,'Data shares'!$C:$FB,67)</f>
        <v>6444200</v>
      </c>
      <c r="J120" s="81">
        <f t="shared" si="42"/>
        <v>-28.839887030197698</v>
      </c>
      <c r="K120" s="5">
        <f>VLOOKUP($B120,'Data Vlaue (Cr)'!$C:$FB,99)</f>
        <v>1483</v>
      </c>
      <c r="L120" s="81">
        <f>VLOOKUP(B120,'OI(Value)'!$A$7:$C$226,3,0)</f>
        <v>24</v>
      </c>
      <c r="M120" s="33">
        <f t="shared" si="31"/>
        <v>1.6183412002697235</v>
      </c>
      <c r="N120" s="5">
        <f>VLOOKUP($B120,'Data Vlaue (Cr)'!$C:$FB,67)</f>
        <v>382</v>
      </c>
      <c r="O120" s="5">
        <f>VLOOKUP($B120,'Data Vlaue (Cr)'!$C:$FB,68)</f>
        <v>536</v>
      </c>
      <c r="P120" s="5">
        <f t="shared" si="43"/>
        <v>-40.31413612565445</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Realty</v>
      </c>
      <c r="B121" s="79" t="str">
        <f>'Data shares'!C116</f>
        <v>LODHA</v>
      </c>
      <c r="C121" s="4">
        <f>VLOOKUP($B121,'Data shares'!$C:$FB,7)</f>
        <v>916.25</v>
      </c>
      <c r="D121" s="82">
        <f>VLOOKUP($B121,'Data shares'!$C:$FB,98)</f>
        <v>13921650</v>
      </c>
      <c r="E121" s="165">
        <f>VLOOKUP(B121,'Snapshot (Volume)'!$A$7:$G$168,7,0)</f>
        <v>12751650</v>
      </c>
      <c r="F121" s="165">
        <f t="shared" si="40"/>
        <v>1170000</v>
      </c>
      <c r="G121" s="166">
        <f t="shared" si="41"/>
        <v>9.1752831986448818E-2</v>
      </c>
      <c r="H121" s="165">
        <f>VLOOKUP($B121,'Data shares'!$C:$FB,66)</f>
        <v>5358150</v>
      </c>
      <c r="I121" s="165">
        <f>VLOOKUP($B121,'Data shares'!$C:$FB,67)</f>
        <v>10690650</v>
      </c>
      <c r="J121" s="81">
        <f t="shared" si="42"/>
        <v>-49.880035357999745</v>
      </c>
      <c r="K121" s="5">
        <f>VLOOKUP($B121,'Data Vlaue (Cr)'!$C:$FB,99)</f>
        <v>1282</v>
      </c>
      <c r="L121" s="81">
        <f>VLOOKUP(B121,'OI(Value)'!$A$7:$C$226,3,0)</f>
        <v>108</v>
      </c>
      <c r="M121" s="33">
        <f t="shared" si="31"/>
        <v>8.4243369734789386</v>
      </c>
      <c r="N121" s="5">
        <f>VLOOKUP($B121,'Data Vlaue (Cr)'!$C:$FB,67)</f>
        <v>493</v>
      </c>
      <c r="O121" s="5">
        <f>VLOOKUP($B121,'Data Vlaue (Cr)'!$C:$FB,68)</f>
        <v>984</v>
      </c>
      <c r="P121" s="5">
        <f t="shared" si="43"/>
        <v>-99.59432048681542</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Capital_Goods</v>
      </c>
      <c r="B122" s="79" t="str">
        <f>'Data shares'!C117</f>
        <v>LT</v>
      </c>
      <c r="C122" s="4">
        <f>VLOOKUP($B122,'Data shares'!$C:$FB,7)</f>
        <v>4038.7</v>
      </c>
      <c r="D122" s="82">
        <f>VLOOKUP($B122,'Data shares'!$C:$FB,98)</f>
        <v>30030350</v>
      </c>
      <c r="E122" s="165">
        <f>VLOOKUP(B122,'Snapshot (Volume)'!$A$7:$G$168,7,0)</f>
        <v>28676200</v>
      </c>
      <c r="F122" s="165">
        <f t="shared" si="40"/>
        <v>1354150</v>
      </c>
      <c r="G122" s="166">
        <f t="shared" si="41"/>
        <v>4.7222086608406974E-2</v>
      </c>
      <c r="H122" s="165">
        <f>VLOOKUP($B122,'Data shares'!$C:$FB,66)</f>
        <v>43164450</v>
      </c>
      <c r="I122" s="165">
        <f>VLOOKUP($B122,'Data shares'!$C:$FB,67)</f>
        <v>48757975</v>
      </c>
      <c r="J122" s="81">
        <f t="shared" si="42"/>
        <v>-11.472020730967602</v>
      </c>
      <c r="K122" s="5">
        <f>VLOOKUP($B122,'Data Vlaue (Cr)'!$C:$FB,99)</f>
        <v>12132</v>
      </c>
      <c r="L122" s="81">
        <f>VLOOKUP(B122,'OI(Value)'!$A$7:$C$226,3,0)</f>
        <v>547</v>
      </c>
      <c r="M122" s="33">
        <f t="shared" si="31"/>
        <v>4.5087372238707548</v>
      </c>
      <c r="N122" s="5">
        <f>VLOOKUP($B122,'Data Vlaue (Cr)'!$C:$FB,67)</f>
        <v>17438</v>
      </c>
      <c r="O122" s="5">
        <f>VLOOKUP($B122,'Data Vlaue (Cr)'!$C:$FB,68)</f>
        <v>19698</v>
      </c>
      <c r="P122" s="5">
        <f t="shared" si="43"/>
        <v>-12.960201858011239</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Finance</v>
      </c>
      <c r="B123" s="79" t="str">
        <f>'Data shares'!C118</f>
        <v>LTF</v>
      </c>
      <c r="C123" s="4">
        <f>VLOOKUP($B123,'Data shares'!$C:$FB,7)</f>
        <v>275.5</v>
      </c>
      <c r="D123" s="82">
        <f>VLOOKUP($B123,'Data shares'!$C:$FB,98)</f>
        <v>117996750</v>
      </c>
      <c r="E123" s="165">
        <f>VLOOKUP(B123,'Snapshot (Volume)'!$A$7:$G$168,7,0)</f>
        <v>119679750</v>
      </c>
      <c r="F123" s="165">
        <f t="shared" si="40"/>
        <v>-1683000</v>
      </c>
      <c r="G123" s="166">
        <f t="shared" si="41"/>
        <v>-1.4062529375270253E-2</v>
      </c>
      <c r="H123" s="165">
        <f>VLOOKUP($B123,'Data shares'!$C:$FB,66)</f>
        <v>51867000</v>
      </c>
      <c r="I123" s="165">
        <f>VLOOKUP($B123,'Data shares'!$C:$FB,67)</f>
        <v>68024250</v>
      </c>
      <c r="J123" s="81">
        <f t="shared" si="42"/>
        <v>-23.752191314126947</v>
      </c>
      <c r="K123" s="5">
        <f>VLOOKUP($B123,'Data Vlaue (Cr)'!$C:$FB,99)</f>
        <v>3247</v>
      </c>
      <c r="L123" s="81">
        <f>VLOOKUP(B123,'OI(Value)'!$A$7:$C$226,3,0)</f>
        <v>-46</v>
      </c>
      <c r="M123" s="33">
        <f t="shared" ref="M123:M144" si="44">L123/K123*100</f>
        <v>-1.4166923313828148</v>
      </c>
      <c r="N123" s="5">
        <f>VLOOKUP($B123,'Data Vlaue (Cr)'!$C:$FB,67)</f>
        <v>1427</v>
      </c>
      <c r="O123" s="5">
        <f>VLOOKUP($B123,'Data Vlaue (Cr)'!$C:$FB,68)</f>
        <v>1872</v>
      </c>
      <c r="P123" s="5">
        <f t="shared" si="43"/>
        <v>-31.184302733006309</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Technology</v>
      </c>
      <c r="B124" s="79" t="str">
        <f>'Data shares'!C119</f>
        <v>LTM</v>
      </c>
      <c r="C124" s="4">
        <f>VLOOKUP($B124,'Data shares'!$C:$FB,7)</f>
        <v>4306.3999999999996</v>
      </c>
      <c r="D124" s="82">
        <f>VLOOKUP($B124,'Data shares'!$C:$FB,98)</f>
        <v>5340150</v>
      </c>
      <c r="E124" s="165">
        <f>VLOOKUP(B124,'Snapshot (Volume)'!$A$7:$G$168,7,0)</f>
        <v>5049000</v>
      </c>
      <c r="F124" s="165">
        <f t="shared" si="40"/>
        <v>291150</v>
      </c>
      <c r="G124" s="166">
        <f t="shared" si="41"/>
        <v>5.7664884135472369E-2</v>
      </c>
      <c r="H124" s="165">
        <f>VLOOKUP($B124,'Data shares'!$C:$FB,66)</f>
        <v>2476200</v>
      </c>
      <c r="I124" s="165">
        <f>VLOOKUP($B124,'Data shares'!$C:$FB,67)</f>
        <v>1752900</v>
      </c>
      <c r="J124" s="81">
        <f t="shared" si="42"/>
        <v>41.263049803183293</v>
      </c>
      <c r="K124" s="5">
        <f>VLOOKUP($B124,'Data Vlaue (Cr)'!$C:$FB,99)</f>
        <v>2305</v>
      </c>
      <c r="L124" s="81">
        <f>VLOOKUP(B124,'OI(Value)'!$A$7:$C$226,3,0)</f>
        <v>126</v>
      </c>
      <c r="M124" s="33">
        <f t="shared" si="44"/>
        <v>5.4663774403470713</v>
      </c>
      <c r="N124" s="5">
        <f>VLOOKUP($B124,'Data Vlaue (Cr)'!$C:$FB,67)</f>
        <v>1069</v>
      </c>
      <c r="O124" s="5">
        <f>VLOOKUP($B124,'Data Vlaue (Cr)'!$C:$FB,68)</f>
        <v>757</v>
      </c>
      <c r="P124" s="5">
        <f t="shared" si="43"/>
        <v>29.186155285313376</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Pharma</v>
      </c>
      <c r="B125" s="79" t="str">
        <f>'Data shares'!C120</f>
        <v>LUPIN</v>
      </c>
      <c r="C125" s="4">
        <f>VLOOKUP($B125,'Data shares'!$C:$FB,7)</f>
        <v>2332.9</v>
      </c>
      <c r="D125" s="82">
        <f>VLOOKUP($B125,'Data shares'!$C:$FB,98)</f>
        <v>11395525</v>
      </c>
      <c r="E125" s="165">
        <f>VLOOKUP(B125,'Snapshot (Volume)'!$A$7:$G$168,7,0)</f>
        <v>11087400</v>
      </c>
      <c r="F125" s="165">
        <f t="shared" si="40"/>
        <v>308125</v>
      </c>
      <c r="G125" s="166">
        <f t="shared" si="41"/>
        <v>2.7790555044464888E-2</v>
      </c>
      <c r="H125" s="165">
        <f>VLOOKUP($B125,'Data shares'!$C:$FB,66)</f>
        <v>12356875</v>
      </c>
      <c r="I125" s="165">
        <f>VLOOKUP($B125,'Data shares'!$C:$FB,67)</f>
        <v>6994650</v>
      </c>
      <c r="J125" s="81">
        <f t="shared" si="42"/>
        <v>76.661805808725234</v>
      </c>
      <c r="K125" s="5">
        <f>VLOOKUP($B125,'Data Vlaue (Cr)'!$C:$FB,99)</f>
        <v>2671</v>
      </c>
      <c r="L125" s="81">
        <f>VLOOKUP(B125,'OI(Value)'!$A$7:$C$226,3,0)</f>
        <v>72</v>
      </c>
      <c r="M125" s="33">
        <f t="shared" si="44"/>
        <v>2.6956196181205541</v>
      </c>
      <c r="N125" s="5">
        <f>VLOOKUP($B125,'Data Vlaue (Cr)'!$C:$FB,67)</f>
        <v>2896</v>
      </c>
      <c r="O125" s="5">
        <f>VLOOKUP($B125,'Data Vlaue (Cr)'!$C:$FB,68)</f>
        <v>1639</v>
      </c>
      <c r="P125" s="5">
        <f t="shared" si="43"/>
        <v>43.40469613259669</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Automobile</v>
      </c>
      <c r="B126" s="79" t="str">
        <f>'Data shares'!C121</f>
        <v>M&amp;M</v>
      </c>
      <c r="C126" s="4">
        <f>VLOOKUP($B126,'Data shares'!$C:$FB,7)</f>
        <v>3348</v>
      </c>
      <c r="D126" s="82">
        <f>VLOOKUP($B126,'Data shares'!$C:$FB,98)</f>
        <v>25950600</v>
      </c>
      <c r="E126" s="165">
        <f>VLOOKUP(B126,'Snapshot (Volume)'!$A$7:$G$168,7,0)</f>
        <v>26514200</v>
      </c>
      <c r="F126" s="165">
        <f t="shared" si="40"/>
        <v>-563600</v>
      </c>
      <c r="G126" s="166">
        <f t="shared" si="41"/>
        <v>-2.1256534234485671E-2</v>
      </c>
      <c r="H126" s="165">
        <f>VLOOKUP($B126,'Data shares'!$C:$FB,66)</f>
        <v>11918600</v>
      </c>
      <c r="I126" s="165">
        <f>VLOOKUP($B126,'Data shares'!$C:$FB,67)</f>
        <v>12647800</v>
      </c>
      <c r="J126" s="81">
        <f t="shared" si="42"/>
        <v>-5.7654295608722466</v>
      </c>
      <c r="K126" s="5">
        <f>VLOOKUP($B126,'Data Vlaue (Cr)'!$C:$FB,99)</f>
        <v>8701</v>
      </c>
      <c r="L126" s="81">
        <f>VLOOKUP(B126,'OI(Value)'!$A$7:$C$226,3,0)</f>
        <v>-189</v>
      </c>
      <c r="M126" s="33">
        <f t="shared" si="44"/>
        <v>-2.1721641190667738</v>
      </c>
      <c r="N126" s="5">
        <f>VLOOKUP($B126,'Data Vlaue (Cr)'!$C:$FB,67)</f>
        <v>3996</v>
      </c>
      <c r="O126" s="5">
        <f>VLOOKUP($B126,'Data Vlaue (Cr)'!$C:$FB,68)</f>
        <v>4241</v>
      </c>
      <c r="P126" s="5">
        <f t="shared" si="43"/>
        <v>-6.1311311311311307</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Finance</v>
      </c>
      <c r="B127" s="79" t="str">
        <f>'Data shares'!C122</f>
        <v>MANAPPURAM</v>
      </c>
      <c r="C127" s="4">
        <f>VLOOKUP($B127,'Data shares'!$C:$FB,7)</f>
        <v>267.3</v>
      </c>
      <c r="D127" s="82">
        <f>VLOOKUP($B127,'Data shares'!$C:$FB,98)</f>
        <v>83232000</v>
      </c>
      <c r="E127" s="165">
        <f>VLOOKUP(B127,'Snapshot (Volume)'!$A$7:$G$168,7,0)</f>
        <v>79446000</v>
      </c>
      <c r="F127" s="165">
        <f>D127-E127</f>
        <v>3786000</v>
      </c>
      <c r="G127" s="166">
        <f>F127/E127</f>
        <v>4.7655010950834527E-2</v>
      </c>
      <c r="H127" s="165">
        <f>VLOOKUP($B127,'Data shares'!$C:$FB,66)</f>
        <v>22545000</v>
      </c>
      <c r="I127" s="165">
        <f>VLOOKUP($B127,'Data shares'!$C:$FB,67)</f>
        <v>42168000</v>
      </c>
      <c r="J127" s="81">
        <f>(H127-I127)/I127*100</f>
        <v>-46.535287421741607</v>
      </c>
      <c r="K127" s="5">
        <f>VLOOKUP($B127,'Data Vlaue (Cr)'!$C:$FB,99)</f>
        <v>2236</v>
      </c>
      <c r="L127" s="81">
        <f>VLOOKUP(B127,'OI(Value)'!$A$7:$C$226,3,0)</f>
        <v>102</v>
      </c>
      <c r="M127" s="33">
        <f t="shared" si="44"/>
        <v>4.5617173524150267</v>
      </c>
      <c r="N127" s="5">
        <f>VLOOKUP($B127,'Data Vlaue (Cr)'!$C:$FB,67)</f>
        <v>606</v>
      </c>
      <c r="O127" s="5">
        <f>VLOOKUP($B127,'Data Vlaue (Cr)'!$C:$FB,68)</f>
        <v>1133</v>
      </c>
      <c r="P127" s="5">
        <f>(N127-O127)/N127*100</f>
        <v>-86.963696369636963</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Pharma</v>
      </c>
      <c r="B128" s="79" t="str">
        <f>'Data shares'!C123</f>
        <v>MANKIND</v>
      </c>
      <c r="C128" s="4">
        <f>VLOOKUP($B128,'Data shares'!$C:$FB,7)</f>
        <v>2226.4</v>
      </c>
      <c r="D128" s="82">
        <f>VLOOKUP($B128,'Data shares'!$C:$FB,98)</f>
        <v>4112775</v>
      </c>
      <c r="E128" s="165">
        <f>VLOOKUP(B128,'Snapshot (Volume)'!$A$7:$G$168,7,0)</f>
        <v>4081500</v>
      </c>
      <c r="F128" s="165">
        <f>D128-E128</f>
        <v>31275</v>
      </c>
      <c r="G128" s="166">
        <f>F128/E128</f>
        <v>7.6626240352811468E-3</v>
      </c>
      <c r="H128" s="165">
        <f>VLOOKUP($B128,'Data shares'!$C:$FB,66)</f>
        <v>1443375</v>
      </c>
      <c r="I128" s="165">
        <f>VLOOKUP($B128,'Data shares'!$C:$FB,67)</f>
        <v>1173150</v>
      </c>
      <c r="J128" s="81">
        <f>(H128-I128)/I128*100</f>
        <v>23.034138856923665</v>
      </c>
      <c r="K128" s="5">
        <f>VLOOKUP($B128,'Data Vlaue (Cr)'!$C:$FB,99)</f>
        <v>919</v>
      </c>
      <c r="L128" s="81">
        <f>VLOOKUP(B128,'OI(Value)'!$A$7:$C$226,3,0)</f>
        <v>7</v>
      </c>
      <c r="M128" s="33">
        <f t="shared" si="44"/>
        <v>0.76169749727965186</v>
      </c>
      <c r="N128" s="5">
        <f>VLOOKUP($B128,'Data Vlaue (Cr)'!$C:$FB,67)</f>
        <v>322</v>
      </c>
      <c r="O128" s="5">
        <f>VLOOKUP($B128,'Data Vlaue (Cr)'!$C:$FB,68)</f>
        <v>262</v>
      </c>
      <c r="P128" s="5">
        <f>(N128-O128)/N128*100</f>
        <v>18.633540372670808</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FMCG</v>
      </c>
      <c r="B129" s="79" t="str">
        <f>'Data shares'!C124</f>
        <v>MARICO</v>
      </c>
      <c r="C129" s="4">
        <f>VLOOKUP($B129,'Data shares'!$C:$FB,7)</f>
        <v>778.85</v>
      </c>
      <c r="D129" s="82">
        <f>VLOOKUP($B129,'Data shares'!$C:$FB,98)</f>
        <v>33568800</v>
      </c>
      <c r="E129" s="165">
        <f>VLOOKUP(B129,'Snapshot (Volume)'!$A$7:$G$168,7,0)</f>
        <v>33570000</v>
      </c>
      <c r="F129" s="165">
        <f>D129-E129</f>
        <v>-1200</v>
      </c>
      <c r="G129" s="166">
        <f>F129/E129</f>
        <v>-3.5746201966041106E-5</v>
      </c>
      <c r="H129" s="165">
        <f>VLOOKUP($B129,'Data shares'!$C:$FB,66)</f>
        <v>5085600</v>
      </c>
      <c r="I129" s="165">
        <f>VLOOKUP($B129,'Data shares'!$C:$FB,67)</f>
        <v>8467200</v>
      </c>
      <c r="J129" s="81">
        <f>(H129-I129)/I129*100</f>
        <v>-39.937641723356009</v>
      </c>
      <c r="K129" s="5">
        <f>VLOOKUP($B129,'Data Vlaue (Cr)'!$C:$FB,99)</f>
        <v>2620</v>
      </c>
      <c r="L129" s="81">
        <f>VLOOKUP(B129,'OI(Value)'!$A$7:$C$226,3,0)</f>
        <v>0</v>
      </c>
      <c r="M129" s="33">
        <f t="shared" si="44"/>
        <v>0</v>
      </c>
      <c r="N129" s="5">
        <f>VLOOKUP($B129,'Data Vlaue (Cr)'!$C:$FB,67)</f>
        <v>397</v>
      </c>
      <c r="O129" s="5">
        <f>VLOOKUP($B129,'Data Vlaue (Cr)'!$C:$FB,68)</f>
        <v>661</v>
      </c>
      <c r="P129" s="5">
        <f>(N129-O129)/N129*100</f>
        <v>-66.498740554156171</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Automobile</v>
      </c>
      <c r="B130" s="79" t="str">
        <f>'Data shares'!C125</f>
        <v>MARUTI</v>
      </c>
      <c r="C130" s="4">
        <f>VLOOKUP($B130,'Data shares'!$C:$FB,7)</f>
        <v>14415</v>
      </c>
      <c r="D130" s="82">
        <f>VLOOKUP($B130,'Data shares'!$C:$FB,98)</f>
        <v>5286200</v>
      </c>
      <c r="E130" s="165">
        <f>VLOOKUP(B130,'Snapshot (Volume)'!$A$7:$G$168,7,0)</f>
        <v>5237900</v>
      </c>
      <c r="F130" s="165">
        <f>D130-E130</f>
        <v>48300</v>
      </c>
      <c r="G130" s="166">
        <f>F130/E130</f>
        <v>9.2212527921495258E-3</v>
      </c>
      <c r="H130" s="165">
        <f>VLOOKUP($B130,'Data shares'!$C:$FB,66)</f>
        <v>4086200</v>
      </c>
      <c r="I130" s="165">
        <f>VLOOKUP($B130,'Data shares'!$C:$FB,67)</f>
        <v>6913700</v>
      </c>
      <c r="J130" s="81">
        <f>(H130-I130)/I130*100</f>
        <v>-40.89705946164861</v>
      </c>
      <c r="K130" s="5">
        <f>VLOOKUP($B130,'Data Vlaue (Cr)'!$C:$FB,99)</f>
        <v>7633</v>
      </c>
      <c r="L130" s="81">
        <f>VLOOKUP(B130,'OI(Value)'!$A$7:$C$226,3,0)</f>
        <v>70</v>
      </c>
      <c r="M130" s="33">
        <f t="shared" si="44"/>
        <v>0.91707061443731164</v>
      </c>
      <c r="N130" s="5">
        <f>VLOOKUP($B130,'Data Vlaue (Cr)'!$C:$FB,67)</f>
        <v>5900</v>
      </c>
      <c r="O130" s="5">
        <f>VLOOKUP($B130,'Data Vlaue (Cr)'!$C:$FB,68)</f>
        <v>9983</v>
      </c>
      <c r="P130" s="5">
        <f>(N130-O130)/N130*100</f>
        <v>-69.20338983050847</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Pharma</v>
      </c>
      <c r="B131" s="79" t="str">
        <f>'Data shares'!C126</f>
        <v>MAXHEALTH</v>
      </c>
      <c r="C131" s="4">
        <f>VLOOKUP($B131,'Data shares'!$C:$FB,7)</f>
        <v>1058.2</v>
      </c>
      <c r="D131" s="82">
        <f>VLOOKUP($B131,'Data shares'!$C:$FB,98)</f>
        <v>17584350</v>
      </c>
      <c r="E131" s="165">
        <f>VLOOKUP(B131,'Snapshot (Volume)'!$A$7:$G$168,7,0)</f>
        <v>16897125</v>
      </c>
      <c r="F131" s="165">
        <f>D131-E131</f>
        <v>687225</v>
      </c>
      <c r="G131" s="166">
        <f>F131/E131</f>
        <v>4.0671120086997047E-2</v>
      </c>
      <c r="H131" s="165">
        <f>VLOOKUP($B131,'Data shares'!$C:$FB,66)</f>
        <v>9182250</v>
      </c>
      <c r="I131" s="165">
        <f>VLOOKUP($B131,'Data shares'!$C:$FB,67)</f>
        <v>6629175</v>
      </c>
      <c r="J131" s="81">
        <f>(H131-I131)/I131*100</f>
        <v>38.51271085768591</v>
      </c>
      <c r="K131" s="5">
        <f>VLOOKUP($B131,'Data Vlaue (Cr)'!$C:$FB,99)</f>
        <v>1869</v>
      </c>
      <c r="L131" s="81">
        <f>VLOOKUP(B131,'OI(Value)'!$A$7:$C$226,3,0)</f>
        <v>73</v>
      </c>
      <c r="M131" s="33">
        <f t="shared" si="44"/>
        <v>3.9058319957196366</v>
      </c>
      <c r="N131" s="5">
        <f>VLOOKUP($B131,'Data Vlaue (Cr)'!$C:$FB,67)</f>
        <v>976</v>
      </c>
      <c r="O131" s="5">
        <f>VLOOKUP($B131,'Data Vlaue (Cr)'!$C:$FB,68)</f>
        <v>705</v>
      </c>
      <c r="P131" s="5">
        <f>(N131-O131)/N131*100</f>
        <v>27.766393442622949</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Infrastructure</v>
      </c>
      <c r="B132" s="79" t="str">
        <f>'Data shares'!C127</f>
        <v>MAZDOCK</v>
      </c>
      <c r="C132" s="79">
        <f>VLOOKUP($B132,'Data shares'!$C:$FB,7)</f>
        <v>2352.5</v>
      </c>
      <c r="D132" s="165">
        <f>VLOOKUP($B132,'Data shares'!$C:$FB,98)</f>
        <v>9148000</v>
      </c>
      <c r="E132" s="165">
        <f>VLOOKUP(B132,'Snapshot (Volume)'!$A$7:$G$168,7,0)</f>
        <v>7459000</v>
      </c>
      <c r="F132" s="165">
        <f t="shared" ref="F132:F139" si="45">D132-E132</f>
        <v>1689000</v>
      </c>
      <c r="G132" s="166">
        <f t="shared" ref="G132:G139" si="46">F132/E132</f>
        <v>0.22643786030298968</v>
      </c>
      <c r="H132" s="165">
        <f>VLOOKUP($B132,'Data shares'!$C:$FB,66)</f>
        <v>49705000</v>
      </c>
      <c r="I132" s="165">
        <f>VLOOKUP($B132,'Data shares'!$C:$FB,67)</f>
        <v>4637800</v>
      </c>
      <c r="J132" s="81">
        <f t="shared" ref="J132:J139" si="47">(H132-I132)/I132*100</f>
        <v>971.7365992496442</v>
      </c>
      <c r="K132" s="81">
        <f>VLOOKUP($B132,'Data Vlaue (Cr)'!$C:$FB,99)</f>
        <v>2158</v>
      </c>
      <c r="L132" s="81">
        <f>VLOOKUP(B132,'OI(Value)'!$A$7:$C$226,3,0)</f>
        <v>399</v>
      </c>
      <c r="M132" s="81">
        <f t="shared" si="44"/>
        <v>18.489341983317885</v>
      </c>
      <c r="N132" s="81">
        <f>VLOOKUP($B132,'Data Vlaue (Cr)'!$C:$FB,67)</f>
        <v>11727</v>
      </c>
      <c r="O132" s="81">
        <f>VLOOKUP($B132,'Data Vlaue (Cr)'!$C:$FB,68)</f>
        <v>1094</v>
      </c>
      <c r="P132" s="81">
        <f t="shared" ref="P132:P139" si="48">(N132-O132)/N132*100</f>
        <v>90.671100878315002</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Finance</v>
      </c>
      <c r="B133" s="79" t="str">
        <f>'Data shares'!C128</f>
        <v>MCX</v>
      </c>
      <c r="C133" s="79">
        <f>VLOOKUP($B133,'Data shares'!$C:$FB,7)</f>
        <v>2553.5</v>
      </c>
      <c r="D133" s="165">
        <f>VLOOKUP($B133,'Data shares'!$C:$FB,98)</f>
        <v>24286875</v>
      </c>
      <c r="E133" s="165">
        <f>VLOOKUP(B133,'Snapshot (Volume)'!$A$7:$G$168,7,0)</f>
        <v>24640625</v>
      </c>
      <c r="F133" s="165">
        <f t="shared" si="45"/>
        <v>-353750</v>
      </c>
      <c r="G133" s="166">
        <f t="shared" si="46"/>
        <v>-1.4356372859860494E-2</v>
      </c>
      <c r="H133" s="165">
        <f>VLOOKUP($B133,'Data shares'!$C:$FB,66)</f>
        <v>30621875</v>
      </c>
      <c r="I133" s="165">
        <f>VLOOKUP($B133,'Data shares'!$C:$FB,67)</f>
        <v>25426875</v>
      </c>
      <c r="J133" s="81">
        <f t="shared" si="47"/>
        <v>20.431138313300394</v>
      </c>
      <c r="K133" s="81">
        <f>VLOOKUP($B133,'Data Vlaue (Cr)'!$C:$FB,99)</f>
        <v>6220</v>
      </c>
      <c r="L133" s="81">
        <f>VLOOKUP(B133,'OI(Value)'!$A$7:$C$226,3,0)</f>
        <v>-91</v>
      </c>
      <c r="M133" s="81">
        <f t="shared" si="44"/>
        <v>-1.4630225080385852</v>
      </c>
      <c r="N133" s="81">
        <f>VLOOKUP($B133,'Data Vlaue (Cr)'!$C:$FB,67)</f>
        <v>7842</v>
      </c>
      <c r="O133" s="81">
        <f>VLOOKUP($B133,'Data Vlaue (Cr)'!$C:$FB,68)</f>
        <v>6512</v>
      </c>
      <c r="P133" s="81">
        <f t="shared" si="48"/>
        <v>16.95995919408314</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Finance</v>
      </c>
      <c r="B134" s="79" t="str">
        <f>'Data shares'!C129</f>
        <v>MFSL</v>
      </c>
      <c r="C134" s="4">
        <f>VLOOKUP($B134,'Data shares'!$C:$FB,7)</f>
        <v>1748.6</v>
      </c>
      <c r="D134" s="82">
        <f>VLOOKUP($B134,'Data shares'!$C:$FB,98)</f>
        <v>9842800</v>
      </c>
      <c r="E134" s="165">
        <f>VLOOKUP(B134,'Snapshot (Volume)'!$A$7:$G$168,7,0)</f>
        <v>9766400</v>
      </c>
      <c r="F134" s="165">
        <f t="shared" si="45"/>
        <v>76400</v>
      </c>
      <c r="G134" s="166">
        <f t="shared" si="46"/>
        <v>7.8227391874180867E-3</v>
      </c>
      <c r="H134" s="165">
        <f>VLOOKUP($B134,'Data shares'!$C:$FB,66)</f>
        <v>1963600</v>
      </c>
      <c r="I134" s="165">
        <f>VLOOKUP($B134,'Data shares'!$C:$FB,67)</f>
        <v>2349600</v>
      </c>
      <c r="J134" s="81">
        <f t="shared" si="47"/>
        <v>-16.428328226081035</v>
      </c>
      <c r="K134" s="5">
        <f>VLOOKUP($B134,'Data Vlaue (Cr)'!$C:$FB,99)</f>
        <v>1726</v>
      </c>
      <c r="L134" s="81">
        <f>VLOOKUP(B134,'OI(Value)'!$A$7:$C$226,3,0)</f>
        <v>13</v>
      </c>
      <c r="M134" s="33">
        <f t="shared" si="44"/>
        <v>0.75318655851680183</v>
      </c>
      <c r="N134" s="5">
        <f>VLOOKUP($B134,'Data Vlaue (Cr)'!$C:$FB,67)</f>
        <v>344</v>
      </c>
      <c r="O134" s="5">
        <f>VLOOKUP($B134,'Data Vlaue (Cr)'!$C:$FB,68)</f>
        <v>412</v>
      </c>
      <c r="P134" s="5">
        <f t="shared" si="48"/>
        <v>-19.767441860465116</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Index</v>
      </c>
      <c r="B135" s="79" t="str">
        <f>'Data shares'!C130</f>
        <v>MIDCPNIFTY</v>
      </c>
      <c r="C135" s="4">
        <f>VLOOKUP($B135,'Data shares'!$C:$FB,7)</f>
        <v>13260.5</v>
      </c>
      <c r="D135" s="82">
        <f>VLOOKUP($B135,'Data shares'!$C:$FB,98)</f>
        <v>13549800</v>
      </c>
      <c r="E135" s="165">
        <f>VLOOKUP(B135,'Snapshot (Volume)'!$A$7:$G$168,7,0)</f>
        <v>13098240</v>
      </c>
      <c r="F135" s="165">
        <f t="shared" si="45"/>
        <v>451560</v>
      </c>
      <c r="G135" s="166">
        <f t="shared" si="46"/>
        <v>3.4474860744649664E-2</v>
      </c>
      <c r="H135" s="165">
        <f>VLOOKUP($B135,'Data shares'!$C:$FB,66)</f>
        <v>24413160</v>
      </c>
      <c r="I135" s="165">
        <f>VLOOKUP($B135,'Data shares'!$C:$FB,67)</f>
        <v>31646520</v>
      </c>
      <c r="J135" s="81">
        <f t="shared" si="47"/>
        <v>-22.856731166649602</v>
      </c>
      <c r="K135" s="5">
        <f>VLOOKUP($B135,'Data Vlaue (Cr)'!$C:$FB,99)</f>
        <v>18020</v>
      </c>
      <c r="L135" s="81">
        <f>VLOOKUP(B135,'OI(Value)'!$A$7:$C$226,3,0)</f>
        <v>601</v>
      </c>
      <c r="M135" s="33">
        <f t="shared" si="44"/>
        <v>3.3351831298557157</v>
      </c>
      <c r="N135" s="5">
        <f>VLOOKUP($B135,'Data Vlaue (Cr)'!$C:$FB,67)</f>
        <v>32467</v>
      </c>
      <c r="O135" s="5">
        <f>VLOOKUP($B135,'Data Vlaue (Cr)'!$C:$FB,68)</f>
        <v>42086</v>
      </c>
      <c r="P135" s="5">
        <f t="shared" si="48"/>
        <v>-29.62700588289648</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Automobile</v>
      </c>
      <c r="B136" s="79" t="str">
        <f>'Data shares'!C131</f>
        <v>MOTHERSON</v>
      </c>
      <c r="C136" s="4">
        <f>VLOOKUP($B136,'Data shares'!$C:$FB,7)</f>
        <v>126.34</v>
      </c>
      <c r="D136" s="82">
        <f>VLOOKUP($B136,'Data shares'!$C:$FB,98)</f>
        <v>208097550</v>
      </c>
      <c r="E136" s="165">
        <f>VLOOKUP(B136,'Snapshot (Volume)'!$A$7:$G$168,7,0)</f>
        <v>207328800</v>
      </c>
      <c r="F136" s="165">
        <f t="shared" si="45"/>
        <v>768750</v>
      </c>
      <c r="G136" s="166">
        <f t="shared" si="46"/>
        <v>3.7078785002373042E-3</v>
      </c>
      <c r="H136" s="165">
        <f>VLOOKUP($B136,'Data shares'!$C:$FB,66)</f>
        <v>102735750</v>
      </c>
      <c r="I136" s="165">
        <f>VLOOKUP($B136,'Data shares'!$C:$FB,67)</f>
        <v>96032250</v>
      </c>
      <c r="J136" s="81">
        <f t="shared" si="47"/>
        <v>6.9804674991994871</v>
      </c>
      <c r="K136" s="5">
        <f>VLOOKUP($B136,'Data Vlaue (Cr)'!$C:$FB,99)</f>
        <v>2633</v>
      </c>
      <c r="L136" s="81">
        <f>VLOOKUP(B136,'OI(Value)'!$A$7:$C$226,3,0)</f>
        <v>10</v>
      </c>
      <c r="M136" s="33">
        <f t="shared" si="44"/>
        <v>0.37979491074819599</v>
      </c>
      <c r="N136" s="5">
        <f>VLOOKUP($B136,'Data Vlaue (Cr)'!$C:$FB,67)</f>
        <v>1300</v>
      </c>
      <c r="O136" s="5">
        <f>VLOOKUP($B136,'Data Vlaue (Cr)'!$C:$FB,68)</f>
        <v>1215</v>
      </c>
      <c r="P136" s="5">
        <f t="shared" si="48"/>
        <v>6.5384615384615392</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Technology</v>
      </c>
      <c r="B137" s="79" t="str">
        <f>'Data shares'!C132</f>
        <v>MPHASIS</v>
      </c>
      <c r="C137" s="4">
        <f>VLOOKUP($B137,'Data shares'!$C:$FB,7)</f>
        <v>2231.6</v>
      </c>
      <c r="D137" s="82">
        <f>VLOOKUP($B137,'Data shares'!$C:$FB,98)</f>
        <v>7190975</v>
      </c>
      <c r="E137" s="165">
        <f>VLOOKUP(B137,'Snapshot (Volume)'!$A$7:$G$168,7,0)</f>
        <v>6958875</v>
      </c>
      <c r="F137" s="165">
        <f t="shared" si="45"/>
        <v>232100</v>
      </c>
      <c r="G137" s="166">
        <f t="shared" si="46"/>
        <v>3.3353092274254099E-2</v>
      </c>
      <c r="H137" s="165">
        <f>VLOOKUP($B137,'Data shares'!$C:$FB,66)</f>
        <v>2426050</v>
      </c>
      <c r="I137" s="165">
        <f>VLOOKUP($B137,'Data shares'!$C:$FB,67)</f>
        <v>2907850</v>
      </c>
      <c r="J137" s="81">
        <f t="shared" si="47"/>
        <v>-16.568942689616041</v>
      </c>
      <c r="K137" s="5">
        <f>VLOOKUP($B137,'Data Vlaue (Cr)'!$C:$FB,99)</f>
        <v>1613</v>
      </c>
      <c r="L137" s="81">
        <f>VLOOKUP(B137,'OI(Value)'!$A$7:$C$226,3,0)</f>
        <v>52</v>
      </c>
      <c r="M137" s="33">
        <f t="shared" si="44"/>
        <v>3.2238065716057038</v>
      </c>
      <c r="N137" s="5">
        <f>VLOOKUP($B137,'Data Vlaue (Cr)'!$C:$FB,67)</f>
        <v>544</v>
      </c>
      <c r="O137" s="5">
        <f>VLOOKUP($B137,'Data Vlaue (Cr)'!$C:$FB,68)</f>
        <v>652</v>
      </c>
      <c r="P137" s="5">
        <f t="shared" si="48"/>
        <v>-19.852941176470587</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Finance</v>
      </c>
      <c r="B138" s="79" t="str">
        <f>'Data shares'!C133</f>
        <v>MUTHOOTFIN</v>
      </c>
      <c r="C138" s="4">
        <f>VLOOKUP($B138,'Data shares'!$C:$FB,7)</f>
        <v>3306.4</v>
      </c>
      <c r="D138" s="82">
        <f>VLOOKUP($B138,'Data shares'!$C:$FB,98)</f>
        <v>9971225</v>
      </c>
      <c r="E138" s="165">
        <f>VLOOKUP(B138,'Snapshot (Volume)'!$A$7:$G$168,7,0)</f>
        <v>9724550</v>
      </c>
      <c r="F138" s="165">
        <f t="shared" si="45"/>
        <v>246675</v>
      </c>
      <c r="G138" s="166">
        <f t="shared" si="46"/>
        <v>2.5366212318307789E-2</v>
      </c>
      <c r="H138" s="165">
        <f>VLOOKUP($B138,'Data shares'!$C:$FB,66)</f>
        <v>8782400</v>
      </c>
      <c r="I138" s="165">
        <f>VLOOKUP($B138,'Data shares'!$C:$FB,67)</f>
        <v>8203800</v>
      </c>
      <c r="J138" s="81">
        <f t="shared" si="47"/>
        <v>7.0528291767229812</v>
      </c>
      <c r="K138" s="5">
        <f>VLOOKUP($B138,'Data Vlaue (Cr)'!$C:$FB,99)</f>
        <v>3309</v>
      </c>
      <c r="L138" s="81">
        <f>VLOOKUP(B138,'OI(Value)'!$A$7:$C$226,3,0)</f>
        <v>82</v>
      </c>
      <c r="M138" s="33">
        <f t="shared" si="44"/>
        <v>2.47809005741916</v>
      </c>
      <c r="N138" s="5">
        <f>VLOOKUP($B138,'Data Vlaue (Cr)'!$C:$FB,67)</f>
        <v>2914</v>
      </c>
      <c r="O138" s="5">
        <f>VLOOKUP($B138,'Data Vlaue (Cr)'!$C:$FB,68)</f>
        <v>2722</v>
      </c>
      <c r="P138" s="5">
        <f t="shared" si="48"/>
        <v>6.5888812628689095</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Metals</v>
      </c>
      <c r="B139" s="79" t="str">
        <f>'Data shares'!C134</f>
        <v>NATIONALUM</v>
      </c>
      <c r="C139" s="4">
        <f>VLOOKUP($B139,'Data shares'!$C:$FB,7)</f>
        <v>395.95</v>
      </c>
      <c r="D139" s="82">
        <f>VLOOKUP($B139,'Data shares'!$C:$FB,98)</f>
        <v>118687500</v>
      </c>
      <c r="E139" s="165">
        <f>VLOOKUP(B139,'Snapshot (Volume)'!$A$7:$G$168,7,0)</f>
        <v>105600000</v>
      </c>
      <c r="F139" s="165">
        <f t="shared" si="45"/>
        <v>13087500</v>
      </c>
      <c r="G139" s="166">
        <f t="shared" si="46"/>
        <v>0.12393465909090909</v>
      </c>
      <c r="H139" s="165">
        <f>VLOOKUP($B139,'Data shares'!$C:$FB,66)</f>
        <v>377002500</v>
      </c>
      <c r="I139" s="165">
        <f>VLOOKUP($B139,'Data shares'!$C:$FB,67)</f>
        <v>163833750</v>
      </c>
      <c r="J139" s="81">
        <f t="shared" si="47"/>
        <v>130.1128430497379</v>
      </c>
      <c r="K139" s="5">
        <f>VLOOKUP($B139,'Data Vlaue (Cr)'!$C:$FB,99)</f>
        <v>4708</v>
      </c>
      <c r="L139" s="81">
        <f>VLOOKUP(B139,'OI(Value)'!$A$7:$C$226,3,0)</f>
        <v>519</v>
      </c>
      <c r="M139" s="33">
        <f t="shared" si="44"/>
        <v>11.023789294817332</v>
      </c>
      <c r="N139" s="5">
        <f>VLOOKUP($B139,'Data Vlaue (Cr)'!$C:$FB,67)</f>
        <v>14954</v>
      </c>
      <c r="O139" s="5">
        <f>VLOOKUP($B139,'Data Vlaue (Cr)'!$C:$FB,68)</f>
        <v>6498</v>
      </c>
      <c r="P139" s="5">
        <f t="shared" si="48"/>
        <v>56.546743346261877</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New_Age</v>
      </c>
      <c r="B140" s="79" t="str">
        <f>'Data shares'!C135</f>
        <v>NAUKRI</v>
      </c>
      <c r="C140" s="79">
        <f>VLOOKUP($B140,'Data shares'!$C:$FB,7)</f>
        <v>1015.3</v>
      </c>
      <c r="D140" s="165">
        <f>VLOOKUP($B140,'Data shares'!$C:$FB,98)</f>
        <v>15366750</v>
      </c>
      <c r="E140" s="165">
        <f>VLOOKUP(B140,'Snapshot (Volume)'!$A$7:$G$168,7,0)</f>
        <v>15529500</v>
      </c>
      <c r="F140" s="165">
        <f>D140-E140</f>
        <v>-162750</v>
      </c>
      <c r="G140" s="166">
        <f>F140/E140</f>
        <v>-1.0480054090601758E-2</v>
      </c>
      <c r="H140" s="165">
        <f>VLOOKUP($B140,'Data shares'!$C:$FB,66)</f>
        <v>3715875</v>
      </c>
      <c r="I140" s="165">
        <f>VLOOKUP($B140,'Data shares'!$C:$FB,67)</f>
        <v>4714875</v>
      </c>
      <c r="J140" s="81">
        <f>(H140-I140)/I140*100</f>
        <v>-21.188260558339298</v>
      </c>
      <c r="K140" s="81">
        <f>VLOOKUP($B140,'Data Vlaue (Cr)'!$C:$FB,99)</f>
        <v>1562</v>
      </c>
      <c r="L140" s="81">
        <f>VLOOKUP(B140,'OI(Value)'!$A$7:$C$226,3,0)</f>
        <v>-17</v>
      </c>
      <c r="M140" s="81">
        <f t="shared" si="44"/>
        <v>-1.0883482714468631</v>
      </c>
      <c r="N140" s="81">
        <f>VLOOKUP($B140,'Data Vlaue (Cr)'!$C:$FB,67)</f>
        <v>378</v>
      </c>
      <c r="O140" s="81">
        <f>VLOOKUP($B140,'Data Vlaue (Cr)'!$C:$FB,68)</f>
        <v>479</v>
      </c>
      <c r="P140" s="81">
        <f>(N140-O140)/N140*100</f>
        <v>-26.719576719576722</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Realty</v>
      </c>
      <c r="B141" s="79" t="str">
        <f>'Data shares'!C136</f>
        <v>NBCC</v>
      </c>
      <c r="C141" s="4">
        <f>VLOOKUP($B141,'Data shares'!$C:$FB,7)</f>
        <v>86.85</v>
      </c>
      <c r="D141" s="82">
        <f>VLOOKUP($B141,'Data shares'!$C:$FB,98)</f>
        <v>139321000</v>
      </c>
      <c r="E141" s="165">
        <f>VLOOKUP(B141,'Snapshot (Volume)'!$A$7:$G$168,7,0)</f>
        <v>136435000</v>
      </c>
      <c r="F141" s="165">
        <f>D141-E141</f>
        <v>2886000</v>
      </c>
      <c r="G141" s="166">
        <f>F141/E141</f>
        <v>2.1152929966650785E-2</v>
      </c>
      <c r="H141" s="165">
        <f>VLOOKUP($B141,'Data shares'!$C:$FB,66)</f>
        <v>35217000</v>
      </c>
      <c r="I141" s="165">
        <f>VLOOKUP($B141,'Data shares'!$C:$FB,67)</f>
        <v>45740500</v>
      </c>
      <c r="J141" s="81">
        <f>(H141-I141)/I141*100</f>
        <v>-23.006963194543129</v>
      </c>
      <c r="K141" s="5">
        <f>VLOOKUP($B141,'Data Vlaue (Cr)'!$C:$FB,99)</f>
        <v>1215</v>
      </c>
      <c r="L141" s="81">
        <f>VLOOKUP(B141,'OI(Value)'!$A$7:$C$226,3,0)</f>
        <v>25</v>
      </c>
      <c r="M141" s="33">
        <f t="shared" si="44"/>
        <v>2.0576131687242798</v>
      </c>
      <c r="N141" s="5">
        <f>VLOOKUP($B141,'Data Vlaue (Cr)'!$C:$FB,67)</f>
        <v>307</v>
      </c>
      <c r="O141" s="5">
        <f>VLOOKUP($B141,'Data Vlaue (Cr)'!$C:$FB,68)</f>
        <v>399</v>
      </c>
      <c r="P141" s="5">
        <f>(N141-O141)/N141*100</f>
        <v>-29.967426710097723</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FMCG</v>
      </c>
      <c r="B142" s="79" t="str">
        <f>'Data shares'!C137</f>
        <v>NESTLEIND</v>
      </c>
      <c r="C142" s="4">
        <f>VLOOKUP($B142,'Data shares'!$C:$FB,7)</f>
        <v>1250.9000000000001</v>
      </c>
      <c r="D142" s="82">
        <f>VLOOKUP($B142,'Data shares'!$C:$FB,98)</f>
        <v>20543000</v>
      </c>
      <c r="E142" s="165">
        <f>VLOOKUP(B142,'Snapshot (Volume)'!$A$7:$G$168,7,0)</f>
        <v>20316500</v>
      </c>
      <c r="F142" s="165">
        <f>D142-E142</f>
        <v>226500</v>
      </c>
      <c r="G142" s="166">
        <f>F142/E142</f>
        <v>1.1148573819309428E-2</v>
      </c>
      <c r="H142" s="165">
        <f>VLOOKUP($B142,'Data shares'!$C:$FB,66)</f>
        <v>5525500</v>
      </c>
      <c r="I142" s="165">
        <f>VLOOKUP($B142,'Data shares'!$C:$FB,67)</f>
        <v>5789500</v>
      </c>
      <c r="J142" s="81">
        <f>(H142-I142)/I142*100</f>
        <v>-4.5599792728214874</v>
      </c>
      <c r="K142" s="5">
        <f>VLOOKUP($B142,'Data Vlaue (Cr)'!$C:$FB,99)</f>
        <v>2581</v>
      </c>
      <c r="L142" s="81">
        <f>VLOOKUP(B142,'OI(Value)'!$A$7:$C$226,3,0)</f>
        <v>28</v>
      </c>
      <c r="M142" s="33">
        <f t="shared" si="44"/>
        <v>1.0848508330104609</v>
      </c>
      <c r="N142" s="5">
        <f>VLOOKUP($B142,'Data Vlaue (Cr)'!$C:$FB,67)</f>
        <v>694</v>
      </c>
      <c r="O142" s="5">
        <f>VLOOKUP($B142,'Data Vlaue (Cr)'!$C:$FB,68)</f>
        <v>727</v>
      </c>
      <c r="P142" s="5">
        <f>(N142-O142)/N142*100</f>
        <v>-4.7550432276657064</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Power</v>
      </c>
      <c r="B143" s="79" t="str">
        <f>'Data shares'!C138</f>
        <v>NHPC</v>
      </c>
      <c r="C143" s="4">
        <f>VLOOKUP($B143,'Data shares'!$C:$FB,7)</f>
        <v>74.150000000000006</v>
      </c>
      <c r="D143" s="82">
        <f>VLOOKUP($B143,'Data shares'!$C:$FB,98)</f>
        <v>128531200</v>
      </c>
      <c r="E143" s="165">
        <f>VLOOKUP(B143,'Snapshot (Volume)'!$A$7:$G$168,7,0)</f>
        <v>128275200</v>
      </c>
      <c r="F143" s="165">
        <f>D143-E143</f>
        <v>256000</v>
      </c>
      <c r="G143" s="166">
        <f>F143/E143</f>
        <v>1.9957092251658933E-3</v>
      </c>
      <c r="H143" s="165">
        <f>VLOOKUP($B143,'Data shares'!$C:$FB,66)</f>
        <v>49004800</v>
      </c>
      <c r="I143" s="165">
        <f>VLOOKUP($B143,'Data shares'!$C:$FB,67)</f>
        <v>55628800</v>
      </c>
      <c r="J143" s="81">
        <f>(H143-I143)/I143*100</f>
        <v>-11.907501150483203</v>
      </c>
      <c r="K143" s="5">
        <f>VLOOKUP($B143,'Data Vlaue (Cr)'!$C:$FB,99)</f>
        <v>957</v>
      </c>
      <c r="L143" s="81">
        <f>VLOOKUP(B143,'OI(Value)'!$A$7:$C$226,3,0)</f>
        <v>2</v>
      </c>
      <c r="M143" s="33">
        <f t="shared" si="44"/>
        <v>0.20898641588296762</v>
      </c>
      <c r="N143" s="5">
        <f>VLOOKUP($B143,'Data Vlaue (Cr)'!$C:$FB,67)</f>
        <v>365</v>
      </c>
      <c r="O143" s="5">
        <f>VLOOKUP($B143,'Data Vlaue (Cr)'!$C:$FB,68)</f>
        <v>414</v>
      </c>
      <c r="P143" s="5">
        <f>(N143-O143)/N143*100</f>
        <v>-13.424657534246576</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Index</v>
      </c>
      <c r="B144" s="79" t="str">
        <f>'Data shares'!C139</f>
        <v>NIFTY</v>
      </c>
      <c r="C144" s="4">
        <f>VLOOKUP($B144,'Data shares'!$C:$FB,7)</f>
        <v>24765.9</v>
      </c>
      <c r="D144" s="82">
        <f>VLOOKUP($B144,'Data shares'!$C:$FB,98)</f>
        <v>424718995</v>
      </c>
      <c r="E144" s="165">
        <f>VLOOKUP(B144,'Snapshot (Volume)'!$A$7:$G$168,7,0)</f>
        <v>367014155</v>
      </c>
      <c r="F144" s="165">
        <f>D144-E144</f>
        <v>57704840</v>
      </c>
      <c r="G144" s="166">
        <f>F144/E144</f>
        <v>0.15722783226167394</v>
      </c>
      <c r="H144" s="165">
        <f>VLOOKUP($B144,'Data shares'!$C:$FB,66)</f>
        <v>3977337455</v>
      </c>
      <c r="I144" s="165">
        <f>VLOOKUP($B144,'Data shares'!$C:$FB,67)</f>
        <v>3421224625</v>
      </c>
      <c r="J144" s="81">
        <f>(H144-I144)/I144*100</f>
        <v>16.254788590503612</v>
      </c>
      <c r="K144" s="5">
        <f>VLOOKUP($B144,'Data Vlaue (Cr)'!$C:$FB,99)</f>
        <v>1055609</v>
      </c>
      <c r="L144" s="81">
        <f>VLOOKUP(B144,'OI(Value)'!$A$7:$C$226,3,0)</f>
        <v>143421</v>
      </c>
      <c r="M144" s="33">
        <f t="shared" si="44"/>
        <v>13.586564722354582</v>
      </c>
      <c r="N144" s="5">
        <f>VLOOKUP($B144,'Data Vlaue (Cr)'!$C:$FB,67)</f>
        <v>9885394</v>
      </c>
      <c r="O144" s="5">
        <f>VLOOKUP($B144,'Data Vlaue (Cr)'!$C:$FB,68)</f>
        <v>8503214</v>
      </c>
      <c r="P144" s="5">
        <f>(N144-O144)/N144*100</f>
        <v>13.982042597391667</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Index</v>
      </c>
      <c r="B145" s="79" t="str">
        <f>'Data shares'!C140</f>
        <v>NIFTYNXT50</v>
      </c>
      <c r="C145" s="4">
        <f>VLOOKUP($B145,'Data shares'!$C:$FB,7)</f>
        <v>67722.2</v>
      </c>
      <c r="D145" s="82">
        <f>VLOOKUP($B145,'Data shares'!$C:$FB,98)</f>
        <v>27500</v>
      </c>
      <c r="E145" s="165">
        <f>VLOOKUP(B145,'Snapshot (Volume)'!$A$7:$G$168,7,0)</f>
        <v>26150</v>
      </c>
      <c r="F145" s="165">
        <f t="shared" ref="F145:F152" si="49">D145-E145</f>
        <v>1350</v>
      </c>
      <c r="G145" s="166">
        <f t="shared" ref="G145:G153" si="50">F145/E145</f>
        <v>5.1625239005736137E-2</v>
      </c>
      <c r="H145" s="165">
        <f>VLOOKUP($B145,'Data shares'!$C:$FB,66)</f>
        <v>18325</v>
      </c>
      <c r="I145" s="165">
        <f>VLOOKUP($B145,'Data shares'!$C:$FB,67)</f>
        <v>25400</v>
      </c>
      <c r="J145" s="81">
        <f t="shared" ref="J145:J153" si="51">(H145-I145)/I145*100</f>
        <v>-27.854330708661418</v>
      </c>
      <c r="K145" s="5">
        <f>VLOOKUP($B145,'Data Vlaue (Cr)'!$C:$FB,99)</f>
        <v>187</v>
      </c>
      <c r="L145" s="81">
        <f>VLOOKUP(B145,'OI(Value)'!$A$7:$C$226,3,0)</f>
        <v>9</v>
      </c>
      <c r="M145" s="33">
        <f t="shared" ref="M145:M153" si="52">L145/K145*100</f>
        <v>4.8128342245989302</v>
      </c>
      <c r="N145" s="5">
        <f>VLOOKUP($B145,'Data Vlaue (Cr)'!$C:$FB,67)</f>
        <v>124</v>
      </c>
      <c r="O145" s="5">
        <f>VLOOKUP($B145,'Data Vlaue (Cr)'!$C:$FB,68)</f>
        <v>173</v>
      </c>
      <c r="P145" s="5">
        <f t="shared" ref="P145:P152" si="53">(N145-O145)/N145*100</f>
        <v>-39.516129032258064</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Metals</v>
      </c>
      <c r="B146" s="79" t="str">
        <f>'Data shares'!C141</f>
        <v>NMDC</v>
      </c>
      <c r="C146" s="4">
        <f>VLOOKUP($B146,'Data shares'!$C:$FB,7)</f>
        <v>78.44</v>
      </c>
      <c r="D146" s="82">
        <f>VLOOKUP($B146,'Data shares'!$C:$FB,98)</f>
        <v>463272750</v>
      </c>
      <c r="E146" s="165">
        <f>VLOOKUP(B146,'Snapshot (Volume)'!$A$7:$G$168,7,0)</f>
        <v>457528500</v>
      </c>
      <c r="F146" s="165">
        <f t="shared" si="49"/>
        <v>5744250</v>
      </c>
      <c r="G146" s="166">
        <f t="shared" si="50"/>
        <v>1.2554955592930276E-2</v>
      </c>
      <c r="H146" s="165">
        <f>VLOOKUP($B146,'Data shares'!$C:$FB,66)</f>
        <v>122283000</v>
      </c>
      <c r="I146" s="165">
        <f>VLOOKUP($B146,'Data shares'!$C:$FB,67)</f>
        <v>135236250</v>
      </c>
      <c r="J146" s="81">
        <f t="shared" si="51"/>
        <v>-9.5782380833541314</v>
      </c>
      <c r="K146" s="5">
        <f>VLOOKUP($B146,'Data Vlaue (Cr)'!$C:$FB,99)</f>
        <v>3645</v>
      </c>
      <c r="L146" s="81">
        <f>VLOOKUP(B146,'OI(Value)'!$A$7:$C$226,3,0)</f>
        <v>45</v>
      </c>
      <c r="M146" s="33">
        <f t="shared" si="52"/>
        <v>1.2345679012345678</v>
      </c>
      <c r="N146" s="5">
        <f>VLOOKUP($B146,'Data Vlaue (Cr)'!$C:$FB,67)</f>
        <v>962</v>
      </c>
      <c r="O146" s="5">
        <f>VLOOKUP($B146,'Data Vlaue (Cr)'!$C:$FB,68)</f>
        <v>1064</v>
      </c>
      <c r="P146" s="5">
        <f t="shared" si="53"/>
        <v>-10.602910602910603</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Power</v>
      </c>
      <c r="B147" s="79" t="str">
        <f>'Data shares'!C142</f>
        <v>NTPC</v>
      </c>
      <c r="C147" s="4">
        <f>VLOOKUP($B147,'Data shares'!$C:$FB,7)</f>
        <v>378.05</v>
      </c>
      <c r="D147" s="82">
        <f>VLOOKUP($B147,'Data shares'!$C:$FB,98)</f>
        <v>180358500</v>
      </c>
      <c r="E147" s="165">
        <f>VLOOKUP(B147,'Snapshot (Volume)'!$A$7:$G$168,7,0)</f>
        <v>172335000</v>
      </c>
      <c r="F147" s="165">
        <f t="shared" si="49"/>
        <v>8023500</v>
      </c>
      <c r="G147" s="166">
        <f t="shared" si="50"/>
        <v>4.6557576812603363E-2</v>
      </c>
      <c r="H147" s="165">
        <f>VLOOKUP($B147,'Data shares'!$C:$FB,66)</f>
        <v>123729000</v>
      </c>
      <c r="I147" s="165">
        <f>VLOOKUP($B147,'Data shares'!$C:$FB,67)</f>
        <v>100881000</v>
      </c>
      <c r="J147" s="81">
        <f t="shared" si="51"/>
        <v>22.648467005679958</v>
      </c>
      <c r="K147" s="5">
        <f>VLOOKUP($B147,'Data Vlaue (Cr)'!$C:$FB,99)</f>
        <v>6829</v>
      </c>
      <c r="L147" s="81">
        <f>VLOOKUP(B147,'OI(Value)'!$A$7:$C$226,3,0)</f>
        <v>304</v>
      </c>
      <c r="M147" s="33">
        <f t="shared" si="52"/>
        <v>4.4516034558500515</v>
      </c>
      <c r="N147" s="5">
        <f>VLOOKUP($B147,'Data Vlaue (Cr)'!$C:$FB,67)</f>
        <v>4685</v>
      </c>
      <c r="O147" s="5">
        <f>VLOOKUP($B147,'Data Vlaue (Cr)'!$C:$FB,68)</f>
        <v>3820</v>
      </c>
      <c r="P147" s="5">
        <f t="shared" si="53"/>
        <v>18.463180362860193</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Finance</v>
      </c>
      <c r="B148" s="79" t="str">
        <f>'Data shares'!C143</f>
        <v>NUVAMA</v>
      </c>
      <c r="C148" s="4">
        <f>VLOOKUP($B148,'Data shares'!$C:$FB,7)</f>
        <v>1238.0999999999999</v>
      </c>
      <c r="D148" s="82">
        <f>VLOOKUP($B148,'Data shares'!$C:$FB,98)</f>
        <v>3347500</v>
      </c>
      <c r="E148" s="165">
        <f>VLOOKUP(B148,'Snapshot (Volume)'!$A$7:$G$168,7,0)</f>
        <v>3246000</v>
      </c>
      <c r="F148" s="165">
        <f t="shared" si="49"/>
        <v>101500</v>
      </c>
      <c r="G148" s="166">
        <f t="shared" si="50"/>
        <v>3.126925446703635E-2</v>
      </c>
      <c r="H148" s="165">
        <f>VLOOKUP($B148,'Data shares'!$C:$FB,66)</f>
        <v>1974000</v>
      </c>
      <c r="I148" s="165">
        <f>VLOOKUP($B148,'Data shares'!$C:$FB,67)</f>
        <v>2542000</v>
      </c>
      <c r="J148" s="81">
        <f t="shared" si="51"/>
        <v>-22.344610542879622</v>
      </c>
      <c r="K148" s="5">
        <f>VLOOKUP($B148,'Data Vlaue (Cr)'!$C:$FB,99)</f>
        <v>412</v>
      </c>
      <c r="L148" s="81">
        <f>VLOOKUP(B148,'OI(Value)'!$A$7:$C$226,3,0)</f>
        <v>13</v>
      </c>
      <c r="M148" s="33">
        <f t="shared" si="52"/>
        <v>3.1553398058252426</v>
      </c>
      <c r="N148" s="5">
        <f>VLOOKUP($B148,'Data Vlaue (Cr)'!$C:$FB,67)</f>
        <v>243</v>
      </c>
      <c r="O148" s="5">
        <f>VLOOKUP($B148,'Data Vlaue (Cr)'!$C:$FB,68)</f>
        <v>313</v>
      </c>
      <c r="P148" s="5">
        <f t="shared" si="53"/>
        <v>-28.806584362139919</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New_Age</v>
      </c>
      <c r="B149" s="79" t="str">
        <f>'Data shares'!C144</f>
        <v>NYKAA</v>
      </c>
      <c r="C149" s="4">
        <f>VLOOKUP($B149,'Data shares'!$C:$FB,7)</f>
        <v>260.8</v>
      </c>
      <c r="D149" s="82">
        <f>VLOOKUP($B149,'Data shares'!$C:$FB,98)</f>
        <v>56334375</v>
      </c>
      <c r="E149" s="165">
        <f>VLOOKUP(B149,'Snapshot (Volume)'!$A$7:$G$168,7,0)</f>
        <v>55871875</v>
      </c>
      <c r="F149" s="165">
        <f t="shared" si="49"/>
        <v>462500</v>
      </c>
      <c r="G149" s="166">
        <f t="shared" si="50"/>
        <v>8.2778678897030035E-3</v>
      </c>
      <c r="H149" s="165">
        <f>VLOOKUP($B149,'Data shares'!$C:$FB,66)</f>
        <v>10193750</v>
      </c>
      <c r="I149" s="165">
        <f>VLOOKUP($B149,'Data shares'!$C:$FB,67)</f>
        <v>16353125</v>
      </c>
      <c r="J149" s="81">
        <f t="shared" si="51"/>
        <v>-37.664819415249376</v>
      </c>
      <c r="K149" s="5">
        <f>VLOOKUP($B149,'Data Vlaue (Cr)'!$C:$FB,99)</f>
        <v>1472</v>
      </c>
      <c r="L149" s="81">
        <f>VLOOKUP(B149,'OI(Value)'!$A$7:$C$226,3,0)</f>
        <v>12</v>
      </c>
      <c r="M149" s="33">
        <f t="shared" si="52"/>
        <v>0.81521739130434778</v>
      </c>
      <c r="N149" s="5">
        <f>VLOOKUP($B149,'Data Vlaue (Cr)'!$C:$FB,67)</f>
        <v>266</v>
      </c>
      <c r="O149" s="5">
        <f>VLOOKUP($B149,'Data Vlaue (Cr)'!$C:$FB,68)</f>
        <v>427</v>
      </c>
      <c r="P149" s="5">
        <f t="shared" si="53"/>
        <v>-60.526315789473685</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Realty</v>
      </c>
      <c r="B150" s="79" t="str">
        <f>'Data shares'!C145</f>
        <v>OBEROIRLTY</v>
      </c>
      <c r="C150" s="4">
        <f>VLOOKUP($B150,'Data shares'!$C:$FB,7)</f>
        <v>1482.1</v>
      </c>
      <c r="D150" s="82">
        <f>VLOOKUP($B150,'Data shares'!$C:$FB,98)</f>
        <v>8502200</v>
      </c>
      <c r="E150" s="165">
        <f>VLOOKUP(B150,'Snapshot (Volume)'!$A$7:$G$168,7,0)</f>
        <v>8353450</v>
      </c>
      <c r="F150" s="165">
        <f t="shared" si="49"/>
        <v>148750</v>
      </c>
      <c r="G150" s="166">
        <f t="shared" si="50"/>
        <v>1.780701386852139E-2</v>
      </c>
      <c r="H150" s="165">
        <f>VLOOKUP($B150,'Data shares'!$C:$FB,66)</f>
        <v>2804200</v>
      </c>
      <c r="I150" s="165">
        <f>VLOOKUP($B150,'Data shares'!$C:$FB,67)</f>
        <v>5389300</v>
      </c>
      <c r="J150" s="81">
        <f t="shared" si="51"/>
        <v>-47.96726847642551</v>
      </c>
      <c r="K150" s="5">
        <f>VLOOKUP($B150,'Data Vlaue (Cr)'!$C:$FB,99)</f>
        <v>1254</v>
      </c>
      <c r="L150" s="81">
        <f>VLOOKUP(B150,'OI(Value)'!$A$7:$C$226,3,0)</f>
        <v>22</v>
      </c>
      <c r="M150" s="33">
        <f t="shared" si="52"/>
        <v>1.7543859649122806</v>
      </c>
      <c r="N150" s="5">
        <f>VLOOKUP($B150,'Data Vlaue (Cr)'!$C:$FB,67)</f>
        <v>414</v>
      </c>
      <c r="O150" s="5">
        <f>VLOOKUP($B150,'Data Vlaue (Cr)'!$C:$FB,68)</f>
        <v>795</v>
      </c>
      <c r="P150" s="5">
        <f t="shared" si="53"/>
        <v>-92.028985507246375</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Technology</v>
      </c>
      <c r="B151" s="79" t="str">
        <f>'Data shares'!C146</f>
        <v>OFSS</v>
      </c>
      <c r="C151" s="4">
        <f>VLOOKUP($B151,'Data shares'!$C:$FB,7)</f>
        <v>6789.5</v>
      </c>
      <c r="D151" s="82">
        <f>VLOOKUP($B151,'Data shares'!$C:$FB,98)</f>
        <v>2207100</v>
      </c>
      <c r="E151" s="165">
        <f>VLOOKUP(B151,'Snapshot (Volume)'!$A$7:$G$168,7,0)</f>
        <v>2174250</v>
      </c>
      <c r="F151" s="165">
        <f t="shared" si="49"/>
        <v>32850</v>
      </c>
      <c r="G151" s="166">
        <f t="shared" si="50"/>
        <v>1.5108658157985512E-2</v>
      </c>
      <c r="H151" s="165">
        <f>VLOOKUP($B151,'Data shares'!$C:$FB,66)</f>
        <v>1927875</v>
      </c>
      <c r="I151" s="165">
        <f>VLOOKUP($B151,'Data shares'!$C:$FB,67)</f>
        <v>1112550</v>
      </c>
      <c r="J151" s="81">
        <f t="shared" si="51"/>
        <v>73.284346770931634</v>
      </c>
      <c r="K151" s="5">
        <f>VLOOKUP($B151,'Data Vlaue (Cr)'!$C:$FB,99)</f>
        <v>1498</v>
      </c>
      <c r="L151" s="81">
        <f>VLOOKUP(B151,'OI(Value)'!$A$7:$C$226,3,0)</f>
        <v>22</v>
      </c>
      <c r="M151" s="33">
        <f t="shared" si="52"/>
        <v>1.4686248331108143</v>
      </c>
      <c r="N151" s="5">
        <f>VLOOKUP($B151,'Data Vlaue (Cr)'!$C:$FB,67)</f>
        <v>1309</v>
      </c>
      <c r="O151" s="5">
        <f>VLOOKUP($B151,'Data Vlaue (Cr)'!$C:$FB,68)</f>
        <v>755</v>
      </c>
      <c r="P151" s="5">
        <f t="shared" si="53"/>
        <v>42.322383498854087</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Oil_Gas</v>
      </c>
      <c r="B152" s="79" t="str">
        <f>'Data shares'!C147</f>
        <v>OIL</v>
      </c>
      <c r="C152" s="4">
        <f>VLOOKUP($B152,'Data shares'!$C:$FB,7)</f>
        <v>479.1</v>
      </c>
      <c r="D152" s="82">
        <f>VLOOKUP($B152,'Data shares'!$C:$FB,98)</f>
        <v>41739600</v>
      </c>
      <c r="E152" s="165">
        <f>VLOOKUP(B152,'Snapshot (Volume)'!$A$7:$G$168,7,0)</f>
        <v>43318800</v>
      </c>
      <c r="F152" s="165">
        <f t="shared" si="49"/>
        <v>-1579200</v>
      </c>
      <c r="G152" s="166">
        <f t="shared" si="50"/>
        <v>-3.6455303471010274E-2</v>
      </c>
      <c r="H152" s="165">
        <f>VLOOKUP($B152,'Data shares'!$C:$FB,66)</f>
        <v>47814200</v>
      </c>
      <c r="I152" s="165">
        <f>VLOOKUP($B152,'Data shares'!$C:$FB,67)</f>
        <v>108025400</v>
      </c>
      <c r="J152" s="81">
        <f t="shared" si="51"/>
        <v>-55.738002358704527</v>
      </c>
      <c r="K152" s="5">
        <f>VLOOKUP($B152,'Data Vlaue (Cr)'!$C:$FB,99)</f>
        <v>2009</v>
      </c>
      <c r="L152" s="81">
        <f>VLOOKUP(B152,'OI(Value)'!$A$7:$C$226,3,0)</f>
        <v>-76</v>
      </c>
      <c r="M152" s="33">
        <f t="shared" si="52"/>
        <v>-3.7829766052762568</v>
      </c>
      <c r="N152" s="5">
        <f>VLOOKUP($B152,'Data Vlaue (Cr)'!$C:$FB,67)</f>
        <v>2301</v>
      </c>
      <c r="O152" s="5">
        <f>VLOOKUP($B152,'Data Vlaue (Cr)'!$C:$FB,68)</f>
        <v>5199</v>
      </c>
      <c r="P152" s="5">
        <f t="shared" si="53"/>
        <v>-125.9452411994785</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Oil_Gas</v>
      </c>
      <c r="B153" s="79" t="str">
        <f>'Data shares'!C148</f>
        <v>ONGC</v>
      </c>
      <c r="C153" s="4">
        <f>VLOOKUP($B153,'Data shares'!$C:$FB,7)</f>
        <v>276.35000000000002</v>
      </c>
      <c r="D153" s="82">
        <f>VLOOKUP($B153,'Data shares'!$C:$FB,98)</f>
        <v>217820250</v>
      </c>
      <c r="E153" s="165">
        <f>VLOOKUP(B153,'Snapshot (Volume)'!$A$7:$G$168,7,0)</f>
        <v>226185750</v>
      </c>
      <c r="F153" s="165">
        <f>D153-E153</f>
        <v>-8365500</v>
      </c>
      <c r="G153" s="166">
        <f t="shared" si="50"/>
        <v>-3.6985088583166709E-2</v>
      </c>
      <c r="H153" s="165">
        <f>VLOOKUP($B153,'Data shares'!$C:$FB,66)</f>
        <v>220767750</v>
      </c>
      <c r="I153" s="165">
        <f>VLOOKUP($B153,'Data shares'!$C:$FB,67)</f>
        <v>247743000</v>
      </c>
      <c r="J153" s="81">
        <f t="shared" si="51"/>
        <v>-10.888400479529189</v>
      </c>
      <c r="K153" s="5">
        <f>VLOOKUP($B153,'Data Vlaue (Cr)'!$C:$FB,99)</f>
        <v>6040</v>
      </c>
      <c r="L153" s="81">
        <f>VLOOKUP(B153,'OI(Value)'!$A$7:$C$226,3,0)</f>
        <v>-232</v>
      </c>
      <c r="M153" s="33">
        <f t="shared" si="52"/>
        <v>-3.8410596026490067</v>
      </c>
      <c r="N153" s="5">
        <f>VLOOKUP($B153,'Data Vlaue (Cr)'!$C:$FB,67)</f>
        <v>6122</v>
      </c>
      <c r="O153" s="5">
        <f>VLOOKUP($B153,'Data Vlaue (Cr)'!$C:$FB,68)</f>
        <v>6870</v>
      </c>
      <c r="P153" s="5">
        <f>(N153-O153)/N153*100</f>
        <v>-12.218229336818034</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Textile</v>
      </c>
      <c r="B154" s="79" t="str">
        <f>'Data shares'!C149</f>
        <v>PAGEIND</v>
      </c>
      <c r="C154" s="4">
        <f>VLOOKUP($B154,'Data shares'!$C:$FB,7)</f>
        <v>31525</v>
      </c>
      <c r="D154" s="82">
        <f>VLOOKUP($B154,'Data shares'!$C:$FB,98)</f>
        <v>359025</v>
      </c>
      <c r="E154" s="165">
        <f>VLOOKUP(B154,'Snapshot (Volume)'!$A$7:$G$168,7,0)</f>
        <v>372720</v>
      </c>
      <c r="F154" s="165">
        <f t="shared" ref="F154:F166" si="54">D154-E154</f>
        <v>-13695</v>
      </c>
      <c r="G154" s="166">
        <f t="shared" ref="G154:G166" si="55">F154/E154</f>
        <v>-3.6743399871216997E-2</v>
      </c>
      <c r="H154" s="165">
        <f>VLOOKUP($B154,'Data shares'!$C:$FB,66)</f>
        <v>145005</v>
      </c>
      <c r="I154" s="165">
        <f>VLOOKUP($B154,'Data shares'!$C:$FB,67)</f>
        <v>204885</v>
      </c>
      <c r="J154" s="81">
        <f t="shared" ref="J154:J166" si="56">(H154-I154)/I154*100</f>
        <v>-29.226151255582401</v>
      </c>
      <c r="K154" s="5">
        <f>VLOOKUP($B154,'Data Vlaue (Cr)'!$C:$FB,99)</f>
        <v>1137</v>
      </c>
      <c r="L154" s="81">
        <f>VLOOKUP(B154,'OI(Value)'!$A$7:$C$226,3,0)</f>
        <v>-43</v>
      </c>
      <c r="M154" s="33">
        <f t="shared" ref="M154:M166" si="57">L154/K154*100</f>
        <v>-3.781882145998241</v>
      </c>
      <c r="N154" s="5">
        <f>VLOOKUP($B154,'Data Vlaue (Cr)'!$C:$FB,67)</f>
        <v>459</v>
      </c>
      <c r="O154" s="5">
        <f>VLOOKUP($B154,'Data Vlaue (Cr)'!$C:$FB,68)</f>
        <v>649</v>
      </c>
      <c r="P154" s="5">
        <f t="shared" ref="P154:P161" si="58">(N154-O154)/N154*100</f>
        <v>-41.394335511982575</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FMCG</v>
      </c>
      <c r="B155" s="79" t="str">
        <f>'Data shares'!C150</f>
        <v>PATANJALI</v>
      </c>
      <c r="C155" s="4">
        <f>VLOOKUP($B155,'Data shares'!$C:$FB,7)</f>
        <v>499.8</v>
      </c>
      <c r="D155" s="82">
        <f>VLOOKUP($B155,'Data shares'!$C:$FB,98)</f>
        <v>42614100</v>
      </c>
      <c r="E155" s="165">
        <f>VLOOKUP(B155,'Snapshot (Volume)'!$A$7:$G$168,7,0)</f>
        <v>42480000</v>
      </c>
      <c r="F155" s="165">
        <f t="shared" si="54"/>
        <v>134100</v>
      </c>
      <c r="G155" s="166">
        <f t="shared" si="55"/>
        <v>3.1567796610169493E-3</v>
      </c>
      <c r="H155" s="165">
        <f>VLOOKUP($B155,'Data shares'!$C:$FB,66)</f>
        <v>4457700</v>
      </c>
      <c r="I155" s="165">
        <f>VLOOKUP($B155,'Data shares'!$C:$FB,67)</f>
        <v>7859700</v>
      </c>
      <c r="J155" s="81">
        <f t="shared" si="56"/>
        <v>-43.284094812779109</v>
      </c>
      <c r="K155" s="5">
        <f>VLOOKUP($B155,'Data Vlaue (Cr)'!$C:$FB,99)</f>
        <v>2137</v>
      </c>
      <c r="L155" s="81">
        <f>VLOOKUP(B155,'OI(Value)'!$A$7:$C$226,3,0)</f>
        <v>7</v>
      </c>
      <c r="M155" s="33">
        <f t="shared" si="57"/>
        <v>0.32756200280767434</v>
      </c>
      <c r="N155" s="5">
        <f>VLOOKUP($B155,'Data Vlaue (Cr)'!$C:$FB,67)</f>
        <v>224</v>
      </c>
      <c r="O155" s="5">
        <f>VLOOKUP($B155,'Data Vlaue (Cr)'!$C:$FB,68)</f>
        <v>394</v>
      </c>
      <c r="P155" s="5">
        <f t="shared" si="58"/>
        <v>-75.892857142857139</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New_Age</v>
      </c>
      <c r="B156" s="79" t="str">
        <f>'Data shares'!C151</f>
        <v>PAYTM</v>
      </c>
      <c r="C156" s="4">
        <f>VLOOKUP($B156,'Data shares'!$C:$FB,7)</f>
        <v>1052.9000000000001</v>
      </c>
      <c r="D156" s="82">
        <f>VLOOKUP($B156,'Data shares'!$C:$FB,98)</f>
        <v>35056650</v>
      </c>
      <c r="E156" s="165">
        <f>VLOOKUP(B156,'Snapshot (Volume)'!$A$7:$G$168,7,0)</f>
        <v>34267125</v>
      </c>
      <c r="F156" s="165">
        <f t="shared" si="54"/>
        <v>789525</v>
      </c>
      <c r="G156" s="166">
        <f t="shared" si="55"/>
        <v>2.3040304665185654E-2</v>
      </c>
      <c r="H156" s="165">
        <f>VLOOKUP($B156,'Data shares'!$C:$FB,66)</f>
        <v>18151825</v>
      </c>
      <c r="I156" s="165">
        <f>VLOOKUP($B156,'Data shares'!$C:$FB,67)</f>
        <v>22110325</v>
      </c>
      <c r="J156" s="81">
        <f t="shared" si="56"/>
        <v>-17.903400334459128</v>
      </c>
      <c r="K156" s="5">
        <f>VLOOKUP($B156,'Data Vlaue (Cr)'!$C:$FB,99)</f>
        <v>3707</v>
      </c>
      <c r="L156" s="81">
        <f>VLOOKUP(B156,'OI(Value)'!$A$7:$C$226,3,0)</f>
        <v>83</v>
      </c>
      <c r="M156" s="33">
        <f t="shared" si="57"/>
        <v>2.2390072835176693</v>
      </c>
      <c r="N156" s="5">
        <f>VLOOKUP($B156,'Data Vlaue (Cr)'!$C:$FB,67)</f>
        <v>1919</v>
      </c>
      <c r="O156" s="5">
        <f>VLOOKUP($B156,'Data Vlaue (Cr)'!$C:$FB,68)</f>
        <v>2338</v>
      </c>
      <c r="P156" s="5">
        <f t="shared" si="58"/>
        <v>-21.834288692027098</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Technology</v>
      </c>
      <c r="B157" s="79" t="str">
        <f>'Data shares'!C152</f>
        <v>PERSISTENT</v>
      </c>
      <c r="C157" s="4">
        <f>VLOOKUP($B157,'Data shares'!$C:$FB,7)</f>
        <v>4641.7</v>
      </c>
      <c r="D157" s="82">
        <f>VLOOKUP($B157,'Data shares'!$C:$FB,98)</f>
        <v>7143100</v>
      </c>
      <c r="E157" s="165">
        <f>VLOOKUP(B157,'Snapshot (Volume)'!$A$7:$G$168,7,0)</f>
        <v>7042400</v>
      </c>
      <c r="F157" s="165">
        <f t="shared" si="54"/>
        <v>100700</v>
      </c>
      <c r="G157" s="166">
        <f t="shared" si="55"/>
        <v>1.4299102578666364E-2</v>
      </c>
      <c r="H157" s="165">
        <f>VLOOKUP($B157,'Data shares'!$C:$FB,66)</f>
        <v>5221900</v>
      </c>
      <c r="I157" s="165">
        <f>VLOOKUP($B157,'Data shares'!$C:$FB,67)</f>
        <v>5074400</v>
      </c>
      <c r="J157" s="81">
        <f t="shared" si="56"/>
        <v>2.9067475957748701</v>
      </c>
      <c r="K157" s="5">
        <f>VLOOKUP($B157,'Data Vlaue (Cr)'!$C:$FB,99)</f>
        <v>3322</v>
      </c>
      <c r="L157" s="81">
        <f>VLOOKUP(B157,'OI(Value)'!$A$7:$C$226,3,0)</f>
        <v>47</v>
      </c>
      <c r="M157" s="33">
        <f t="shared" si="57"/>
        <v>1.4148103552077063</v>
      </c>
      <c r="N157" s="5">
        <f>VLOOKUP($B157,'Data Vlaue (Cr)'!$C:$FB,67)</f>
        <v>2428</v>
      </c>
      <c r="O157" s="5">
        <f>VLOOKUP($B157,'Data Vlaue (Cr)'!$C:$FB,68)</f>
        <v>2360</v>
      </c>
      <c r="P157" s="5">
        <f t="shared" si="58"/>
        <v>2.8006589785831961</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Oil_Gas</v>
      </c>
      <c r="B158" s="79" t="str">
        <f>'Data shares'!C153</f>
        <v>PETRONET</v>
      </c>
      <c r="C158" s="4">
        <f>VLOOKUP($B158,'Data shares'!$C:$FB,7)</f>
        <v>293.05</v>
      </c>
      <c r="D158" s="82">
        <f>VLOOKUP($B158,'Data shares'!$C:$FB,98)</f>
        <v>70586900</v>
      </c>
      <c r="E158" s="165">
        <f>VLOOKUP(B158,'Snapshot (Volume)'!$A$7:$G$168,7,0)</f>
        <v>71322200</v>
      </c>
      <c r="F158" s="165">
        <f t="shared" si="54"/>
        <v>-735300</v>
      </c>
      <c r="G158" s="166">
        <f t="shared" si="55"/>
        <v>-1.0309552986307209E-2</v>
      </c>
      <c r="H158" s="165">
        <f>VLOOKUP($B158,'Data shares'!$C:$FB,66)</f>
        <v>104564600</v>
      </c>
      <c r="I158" s="165">
        <f>VLOOKUP($B158,'Data shares'!$C:$FB,67)</f>
        <v>178332100</v>
      </c>
      <c r="J158" s="81">
        <f t="shared" si="56"/>
        <v>-41.365239348384279</v>
      </c>
      <c r="K158" s="5">
        <f>VLOOKUP($B158,'Data Vlaue (Cr)'!$C:$FB,99)</f>
        <v>2064</v>
      </c>
      <c r="L158" s="81">
        <f>VLOOKUP(B158,'OI(Value)'!$A$7:$C$226,3,0)</f>
        <v>-22</v>
      </c>
      <c r="M158" s="33">
        <f t="shared" si="57"/>
        <v>-1.0658914728682169</v>
      </c>
      <c r="N158" s="5">
        <f>VLOOKUP($B158,'Data Vlaue (Cr)'!$C:$FB,67)</f>
        <v>3058</v>
      </c>
      <c r="O158" s="5">
        <f>VLOOKUP($B158,'Data Vlaue (Cr)'!$C:$FB,68)</f>
        <v>5215</v>
      </c>
      <c r="P158" s="5">
        <f t="shared" si="58"/>
        <v>-70.536298234139963</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Finance</v>
      </c>
      <c r="B159" s="79" t="str">
        <f>'Data shares'!C154</f>
        <v>PFC</v>
      </c>
      <c r="C159" s="4">
        <f>VLOOKUP($B159,'Data shares'!$C:$FB,7)</f>
        <v>413.65</v>
      </c>
      <c r="D159" s="82">
        <f>VLOOKUP($B159,'Data shares'!$C:$FB,98)</f>
        <v>109830500</v>
      </c>
      <c r="E159" s="165">
        <f>VLOOKUP(B159,'Snapshot (Volume)'!$A$7:$G$168,7,0)</f>
        <v>108537000</v>
      </c>
      <c r="F159" s="165">
        <f t="shared" si="54"/>
        <v>1293500</v>
      </c>
      <c r="G159" s="166">
        <f t="shared" si="55"/>
        <v>1.1917594921547491E-2</v>
      </c>
      <c r="H159" s="165">
        <f>VLOOKUP($B159,'Data shares'!$C:$FB,66)</f>
        <v>72846800</v>
      </c>
      <c r="I159" s="165">
        <f>VLOOKUP($B159,'Data shares'!$C:$FB,67)</f>
        <v>45818500</v>
      </c>
      <c r="J159" s="81">
        <f t="shared" si="56"/>
        <v>58.989927649311959</v>
      </c>
      <c r="K159" s="5">
        <f>VLOOKUP($B159,'Data Vlaue (Cr)'!$C:$FB,99)</f>
        <v>4550</v>
      </c>
      <c r="L159" s="81">
        <f>VLOOKUP(B159,'OI(Value)'!$A$7:$C$226,3,0)</f>
        <v>54</v>
      </c>
      <c r="M159" s="33">
        <f t="shared" si="57"/>
        <v>1.1868131868131868</v>
      </c>
      <c r="N159" s="5">
        <f>VLOOKUP($B159,'Data Vlaue (Cr)'!$C:$FB,67)</f>
        <v>3018</v>
      </c>
      <c r="O159" s="5">
        <f>VLOOKUP($B159,'Data Vlaue (Cr)'!$C:$FB,68)</f>
        <v>1898</v>
      </c>
      <c r="P159" s="5">
        <f t="shared" si="58"/>
        <v>37.110669317428766</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Capital_Goods</v>
      </c>
      <c r="B160" s="79" t="str">
        <f>'Data shares'!C155</f>
        <v>PGEL</v>
      </c>
      <c r="C160" s="4">
        <f>VLOOKUP($B160,'Data shares'!$C:$FB,7)</f>
        <v>614.45000000000005</v>
      </c>
      <c r="D160" s="82">
        <f>VLOOKUP($B160,'Data shares'!$C:$FB,98)</f>
        <v>19164350</v>
      </c>
      <c r="E160" s="165">
        <f>VLOOKUP(B160,'Snapshot (Volume)'!$A$7:$G$168,7,0)</f>
        <v>17569300</v>
      </c>
      <c r="F160" s="165">
        <f t="shared" si="54"/>
        <v>1595050</v>
      </c>
      <c r="G160" s="166">
        <f t="shared" si="55"/>
        <v>9.0786200930031355E-2</v>
      </c>
      <c r="H160" s="165">
        <f>VLOOKUP($B160,'Data shares'!$C:$FB,66)</f>
        <v>17339400</v>
      </c>
      <c r="I160" s="165">
        <f>VLOOKUP($B160,'Data shares'!$C:$FB,67)</f>
        <v>16061650</v>
      </c>
      <c r="J160" s="81">
        <f t="shared" si="56"/>
        <v>7.9552847932808897</v>
      </c>
      <c r="K160" s="5">
        <f>VLOOKUP($B160,'Data Vlaue (Cr)'!$C:$FB,99)</f>
        <v>1182</v>
      </c>
      <c r="L160" s="81">
        <f>VLOOKUP(B160,'OI(Value)'!$A$7:$C$226,3,0)</f>
        <v>98</v>
      </c>
      <c r="M160" s="33">
        <f t="shared" si="57"/>
        <v>8.2910321489001699</v>
      </c>
      <c r="N160" s="5">
        <f>VLOOKUP($B160,'Data Vlaue (Cr)'!$C:$FB,67)</f>
        <v>1070</v>
      </c>
      <c r="O160" s="5">
        <f>VLOOKUP($B160,'Data Vlaue (Cr)'!$C:$FB,68)</f>
        <v>991</v>
      </c>
      <c r="P160" s="5">
        <f t="shared" si="58"/>
        <v>7.3831775700934577</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Realty</v>
      </c>
      <c r="B161" s="79" t="str">
        <f>'Data shares'!C156</f>
        <v>PHOENIXLTD</v>
      </c>
      <c r="C161" s="4">
        <f>VLOOKUP($B161,'Data shares'!$C:$FB,7)</f>
        <v>1633.6</v>
      </c>
      <c r="D161" s="82">
        <f>VLOOKUP($B161,'Data shares'!$C:$FB,98)</f>
        <v>5604900</v>
      </c>
      <c r="E161" s="165">
        <f>VLOOKUP(B161,'Snapshot (Volume)'!$A$7:$G$168,7,0)</f>
        <v>5314750</v>
      </c>
      <c r="F161" s="165">
        <f t="shared" si="54"/>
        <v>290150</v>
      </c>
      <c r="G161" s="166">
        <f t="shared" si="55"/>
        <v>5.4593348699374385E-2</v>
      </c>
      <c r="H161" s="165">
        <f>VLOOKUP($B161,'Data shares'!$C:$FB,66)</f>
        <v>6462750</v>
      </c>
      <c r="I161" s="165">
        <f>VLOOKUP($B161,'Data shares'!$C:$FB,67)</f>
        <v>1541400</v>
      </c>
      <c r="J161" s="81">
        <f t="shared" si="56"/>
        <v>319.27792915531336</v>
      </c>
      <c r="K161" s="5">
        <f>VLOOKUP($B161,'Data Vlaue (Cr)'!$C:$FB,99)</f>
        <v>918</v>
      </c>
      <c r="L161" s="81">
        <f>VLOOKUP(B161,'OI(Value)'!$A$7:$C$226,3,0)</f>
        <v>48</v>
      </c>
      <c r="M161" s="33">
        <f t="shared" si="57"/>
        <v>5.2287581699346406</v>
      </c>
      <c r="N161" s="5">
        <f>VLOOKUP($B161,'Data Vlaue (Cr)'!$C:$FB,67)</f>
        <v>1058</v>
      </c>
      <c r="O161" s="5">
        <f>VLOOKUP($B161,'Data Vlaue (Cr)'!$C:$FB,68)</f>
        <v>252</v>
      </c>
      <c r="P161" s="5">
        <f t="shared" si="58"/>
        <v>76.181474480151223</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FMCG</v>
      </c>
      <c r="B162" s="79" t="str">
        <f>'Data shares'!C157</f>
        <v>PIDILITIND</v>
      </c>
      <c r="C162" s="4">
        <f>VLOOKUP($B162,'Data shares'!$C:$FB,7)</f>
        <v>1445.9</v>
      </c>
      <c r="D162" s="82">
        <f>VLOOKUP($B162,'Data shares'!$C:$FB,98)</f>
        <v>10011500</v>
      </c>
      <c r="E162" s="165">
        <f>VLOOKUP(B162,'Snapshot (Volume)'!$A$7:$G$168,7,0)</f>
        <v>9924500</v>
      </c>
      <c r="F162" s="165">
        <f t="shared" si="54"/>
        <v>87000</v>
      </c>
      <c r="G162" s="166">
        <f t="shared" si="55"/>
        <v>8.7661846944430445E-3</v>
      </c>
      <c r="H162" s="165">
        <f>VLOOKUP($B162,'Data shares'!$C:$FB,66)</f>
        <v>2797000</v>
      </c>
      <c r="I162" s="165">
        <f>VLOOKUP($B162,'Data shares'!$C:$FB,67)</f>
        <v>3642500</v>
      </c>
      <c r="J162" s="81">
        <f t="shared" si="56"/>
        <v>-23.212079615648591</v>
      </c>
      <c r="K162" s="5">
        <f>VLOOKUP($B162,'Data Vlaue (Cr)'!$C:$FB,99)</f>
        <v>1448</v>
      </c>
      <c r="L162" s="81">
        <f>VLOOKUP(B162,'OI(Value)'!$A$7:$C$226,3,0)</f>
        <v>13</v>
      </c>
      <c r="M162" s="33">
        <f t="shared" si="57"/>
        <v>0.89779005524861877</v>
      </c>
      <c r="N162" s="5">
        <f>VLOOKUP($B162,'Data Vlaue (Cr)'!$C:$FB,67)</f>
        <v>405</v>
      </c>
      <c r="O162" s="5">
        <f>VLOOKUP($B162,'Data Vlaue (Cr)'!$C:$FB,68)</f>
        <v>527</v>
      </c>
      <c r="P162" s="5">
        <f>(N162-O162)/N162*100</f>
        <v>-30.123456790123459</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Chemicals</v>
      </c>
      <c r="B163" s="79" t="str">
        <f>'Data shares'!C158</f>
        <v>PIIND</v>
      </c>
      <c r="C163" s="4">
        <f>VLOOKUP($B163,'Data shares'!$C:$FB,7)</f>
        <v>3089</v>
      </c>
      <c r="D163" s="82">
        <f>VLOOKUP($B163,'Data shares'!$C:$FB,98)</f>
        <v>4611950</v>
      </c>
      <c r="E163" s="165">
        <f>VLOOKUP(B163,'Snapshot (Volume)'!$A$7:$G$168,7,0)</f>
        <v>4606525</v>
      </c>
      <c r="F163" s="165">
        <f t="shared" si="54"/>
        <v>5425</v>
      </c>
      <c r="G163" s="166">
        <f t="shared" si="55"/>
        <v>1.1776773164153022E-3</v>
      </c>
      <c r="H163" s="165">
        <f>VLOOKUP($B163,'Data shares'!$C:$FB,66)</f>
        <v>1044400</v>
      </c>
      <c r="I163" s="165">
        <f>VLOOKUP($B163,'Data shares'!$C:$FB,67)</f>
        <v>1416100</v>
      </c>
      <c r="J163" s="81">
        <f t="shared" si="56"/>
        <v>-26.248146317350468</v>
      </c>
      <c r="K163" s="5">
        <f>VLOOKUP($B163,'Data Vlaue (Cr)'!$C:$FB,99)</f>
        <v>1421</v>
      </c>
      <c r="L163" s="81">
        <f>VLOOKUP(B163,'OI(Value)'!$A$7:$C$226,3,0)</f>
        <v>2</v>
      </c>
      <c r="M163" s="33">
        <f t="shared" si="57"/>
        <v>0.14074595355383532</v>
      </c>
      <c r="N163" s="5">
        <f>VLOOKUP($B163,'Data Vlaue (Cr)'!$C:$FB,67)</f>
        <v>322</v>
      </c>
      <c r="O163" s="5">
        <f>VLOOKUP($B163,'Data Vlaue (Cr)'!$C:$FB,68)</f>
        <v>436</v>
      </c>
      <c r="P163" s="5">
        <f>(N163-O163)/N163*100</f>
        <v>-35.403726708074537</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Banking</v>
      </c>
      <c r="B164" s="79" t="str">
        <f>'Data shares'!C159</f>
        <v>PNB</v>
      </c>
      <c r="C164" s="4">
        <f>VLOOKUP($B164,'Data shares'!$C:$FB,7)</f>
        <v>122.2</v>
      </c>
      <c r="D164" s="82">
        <f>VLOOKUP($B164,'Data shares'!$C:$FB,98)</f>
        <v>432440000</v>
      </c>
      <c r="E164" s="165">
        <f>VLOOKUP(B164,'Snapshot (Volume)'!$A$7:$G$168,7,0)</f>
        <v>404880000</v>
      </c>
      <c r="F164" s="165">
        <f t="shared" si="54"/>
        <v>27560000</v>
      </c>
      <c r="G164" s="166">
        <f t="shared" si="55"/>
        <v>6.8069551472041093E-2</v>
      </c>
      <c r="H164" s="165">
        <f>VLOOKUP($B164,'Data shares'!$C:$FB,66)</f>
        <v>234560000</v>
      </c>
      <c r="I164" s="165">
        <f>VLOOKUP($B164,'Data shares'!$C:$FB,67)</f>
        <v>301448000</v>
      </c>
      <c r="J164" s="81">
        <f t="shared" si="56"/>
        <v>-22.18890156842971</v>
      </c>
      <c r="K164" s="5">
        <f>VLOOKUP($B164,'Data Vlaue (Cr)'!$C:$FB,99)</f>
        <v>5310</v>
      </c>
      <c r="L164" s="81">
        <f>VLOOKUP(B164,'OI(Value)'!$A$7:$C$226,3,0)</f>
        <v>338</v>
      </c>
      <c r="M164" s="33">
        <f t="shared" si="57"/>
        <v>6.365348399246705</v>
      </c>
      <c r="N164" s="5">
        <f>VLOOKUP($B164,'Data Vlaue (Cr)'!$C:$FB,67)</f>
        <v>2880</v>
      </c>
      <c r="O164" s="5">
        <f>VLOOKUP($B164,'Data Vlaue (Cr)'!$C:$FB,68)</f>
        <v>3701</v>
      </c>
      <c r="P164" s="5">
        <f>(N164-O164)/N164*100</f>
        <v>-28.506944444444443</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VLOOKUP(B165,'OI(Value)'!$A$7:$C$226,3,0)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shares'!B213</f>
        <v>Pharma</v>
      </c>
      <c r="B166" s="79" t="str">
        <f>'Data shares'!C213</f>
        <v>ZYDUSLIFE</v>
      </c>
      <c r="C166" s="4">
        <f>VLOOKUP($B166,'Data shares'!$C:$FB,7)</f>
        <v>914.65</v>
      </c>
      <c r="D166" s="82">
        <f>VLOOKUP($B166,'Data shares'!$C:$FB,98)</f>
        <v>16960500</v>
      </c>
      <c r="E166" s="165" t="e">
        <f>VLOOKUP(B166,'Snapshot (Volume)'!$A$7:$G$168,7,0)</f>
        <v>#N/A</v>
      </c>
      <c r="F166" s="165" t="e">
        <f t="shared" si="54"/>
        <v>#N/A</v>
      </c>
      <c r="G166" s="166" t="e">
        <f t="shared" si="55"/>
        <v>#N/A</v>
      </c>
      <c r="H166" s="165">
        <f>VLOOKUP($B166,'Data shares'!$C:$FB,66)</f>
        <v>7759800</v>
      </c>
      <c r="I166" s="165">
        <f>VLOOKUP($B166,'Data shares'!$C:$FB,67)</f>
        <v>7312500</v>
      </c>
      <c r="J166" s="81">
        <f t="shared" si="56"/>
        <v>6.1169230769230767</v>
      </c>
      <c r="K166" s="5">
        <f>VLOOKUP($B166,'Data Vlaue (Cr)'!$C:$FB,99)</f>
        <v>1554</v>
      </c>
      <c r="L166" s="81">
        <f>VLOOKUP(B166,'OI(Value)'!$A$7:$C$226,3,0)</f>
        <v>-15</v>
      </c>
      <c r="M166" s="33">
        <f t="shared" si="57"/>
        <v>-0.96525096525096521</v>
      </c>
      <c r="N166" s="5">
        <f>VLOOKUP($B166,'Data Vlaue (Cr)'!$C:$FB,67)</f>
        <v>711</v>
      </c>
      <c r="O166" s="5">
        <f>VLOOKUP($B166,'Data Vlaue (Cr)'!$C:$FB,68)</f>
        <v>670</v>
      </c>
      <c r="P166" s="5">
        <f>(N166-O166)/N166*100</f>
        <v>5.766526019690577</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3"/>
  <sheetViews>
    <sheetView zoomScale="85" zoomScaleNormal="85" workbookViewId="0">
      <pane ySplit="6" topLeftCell="A211" activePane="bottomLeft" state="frozen"/>
      <selection activeCell="Q163" sqref="Q163"/>
      <selection pane="bottomLeft" activeCell="A218" sqref="A218:O220"/>
    </sheetView>
  </sheetViews>
  <sheetFormatPr defaultRowHeight="15" x14ac:dyDescent="0.25"/>
  <cols>
    <col min="1" max="1" width="14.5703125" style="74" bestFit="1" customWidth="1"/>
    <col min="2" max="2" width="12.28515625" bestFit="1" customWidth="1"/>
    <col min="3" max="3" width="10.28515625" bestFit="1" customWidth="1"/>
    <col min="5" max="5" width="12.28515625" bestFit="1" customWidth="1"/>
    <col min="6" max="6" width="10.28515625" bestFit="1" customWidth="1"/>
    <col min="7" max="7" width="6.42578125" bestFit="1" customWidth="1"/>
    <col min="8" max="8" width="11.5703125" bestFit="1" customWidth="1"/>
    <col min="9" max="9" width="10.5703125" bestFit="1" customWidth="1"/>
    <col min="10" max="10" width="7.140625" bestFit="1" customWidth="1"/>
    <col min="11" max="11" width="11.5703125" bestFit="1" customWidth="1"/>
    <col min="12" max="12" width="10.28515625" bestFit="1" customWidth="1"/>
    <col min="13" max="13" width="7.140625" bestFit="1" customWidth="1"/>
    <col min="14" max="14" width="11.85546875" bestFit="1" customWidth="1"/>
  </cols>
  <sheetData>
    <row r="1" spans="1:15" hidden="1" x14ac:dyDescent="0.25"/>
    <row r="2" spans="1:15" ht="15.75" thickBot="1" x14ac:dyDescent="0.3"/>
    <row r="3" spans="1:15" s="85" customFormat="1" ht="23.25" customHeight="1" thickBot="1" x14ac:dyDescent="0.3">
      <c r="A3" s="276" t="s">
        <v>334</v>
      </c>
      <c r="B3" s="277"/>
      <c r="C3" s="277"/>
      <c r="D3" s="278"/>
      <c r="E3" s="279"/>
      <c r="F3" s="279"/>
      <c r="G3" s="279"/>
      <c r="H3" s="279"/>
      <c r="I3" s="279"/>
      <c r="J3" s="279"/>
      <c r="K3" s="279"/>
      <c r="L3" s="279"/>
      <c r="M3" s="279"/>
      <c r="N3" s="279"/>
      <c r="O3" s="280"/>
    </row>
    <row r="4" spans="1:15" s="84" customFormat="1" x14ac:dyDescent="0.25">
      <c r="A4" s="273" t="s">
        <v>330</v>
      </c>
      <c r="B4" s="273" t="s">
        <v>340</v>
      </c>
      <c r="C4" s="273"/>
      <c r="D4" s="273"/>
      <c r="E4" s="273"/>
      <c r="F4" s="273"/>
      <c r="G4" s="273"/>
      <c r="H4" s="273"/>
      <c r="I4" s="273"/>
      <c r="J4" s="273"/>
      <c r="K4" s="273"/>
      <c r="L4" s="273"/>
      <c r="M4" s="273"/>
      <c r="N4" s="273"/>
      <c r="O4" s="273"/>
    </row>
    <row r="5" spans="1:15" s="84" customFormat="1" x14ac:dyDescent="0.25">
      <c r="A5" s="274"/>
      <c r="B5" s="274" t="s">
        <v>314</v>
      </c>
      <c r="C5" s="274"/>
      <c r="D5" s="274"/>
      <c r="E5" s="274" t="s">
        <v>341</v>
      </c>
      <c r="F5" s="274"/>
      <c r="G5" s="274"/>
      <c r="H5" s="274" t="s">
        <v>336</v>
      </c>
      <c r="I5" s="274"/>
      <c r="J5" s="274"/>
      <c r="K5" s="274" t="s">
        <v>342</v>
      </c>
      <c r="L5" s="274"/>
      <c r="M5" s="274"/>
      <c r="N5" s="274" t="s">
        <v>338</v>
      </c>
      <c r="O5" s="274"/>
    </row>
    <row r="6" spans="1:15" s="84" customFormat="1" x14ac:dyDescent="0.25">
      <c r="A6" s="71" t="s">
        <v>318</v>
      </c>
      <c r="B6" s="66">
        <f>'OI(Value)'!B6</f>
        <v>46086</v>
      </c>
      <c r="C6" s="71" t="s">
        <v>333</v>
      </c>
      <c r="D6" s="71" t="s">
        <v>328</v>
      </c>
      <c r="E6" s="66">
        <f>B6</f>
        <v>46086</v>
      </c>
      <c r="F6" s="71" t="s">
        <v>333</v>
      </c>
      <c r="G6" s="71" t="s">
        <v>328</v>
      </c>
      <c r="H6" s="66">
        <f>B6</f>
        <v>46086</v>
      </c>
      <c r="I6" s="71" t="s">
        <v>333</v>
      </c>
      <c r="J6" s="71" t="s">
        <v>328</v>
      </c>
      <c r="K6" s="66">
        <f>B6</f>
        <v>46086</v>
      </c>
      <c r="L6" s="71" t="s">
        <v>333</v>
      </c>
      <c r="M6" s="71" t="s">
        <v>328</v>
      </c>
      <c r="N6" s="71" t="s">
        <v>339</v>
      </c>
      <c r="O6" s="71" t="s">
        <v>328</v>
      </c>
    </row>
    <row r="7" spans="1:15" x14ac:dyDescent="0.25">
      <c r="A7" s="100" t="str">
        <f>'Data Vlaue (Cr)'!C2</f>
        <v>360ONE</v>
      </c>
      <c r="B7" s="82">
        <f>VLOOKUP(A7,'Data shares'!$C$2:$CV$213,98,0)</f>
        <v>4273500</v>
      </c>
      <c r="C7" s="82">
        <f>VLOOKUP(A7,'Data shares'!$C$2:$CX$213,100,0)</f>
        <v>5500</v>
      </c>
      <c r="D7" s="141">
        <f>VLOOKUP(A7,'Data shares'!$C$2:$CY$536,101,0)</f>
        <v>1.2999999999999999E-3</v>
      </c>
      <c r="E7" s="86">
        <f>VLOOKUP($A7,'Data shares'!$C:$FA,74)</f>
        <v>3080500</v>
      </c>
      <c r="F7" s="86">
        <f>VLOOKUP($A7,'Data shares'!$C:$FA,76)</f>
        <v>-70500</v>
      </c>
      <c r="G7" s="87">
        <f>VLOOKUP(A7,'Data shares'!$C$2:$CA$213,77,0)</f>
        <v>-2.24E-2</v>
      </c>
      <c r="H7" s="86">
        <f>VLOOKUP($A7,'Data shares'!$C:$FA,90)</f>
        <v>785500</v>
      </c>
      <c r="I7" s="86">
        <f>VLOOKUP($A7,'Data shares'!$C:$FA,92)</f>
        <v>81500</v>
      </c>
      <c r="J7" s="87">
        <f>VLOOKUP($A7,'Data shares'!$C:$FA,93)</f>
        <v>0.1158</v>
      </c>
      <c r="K7" s="86">
        <f>VLOOKUP($A7,'Data shares'!$C:$FA,94)</f>
        <v>407500</v>
      </c>
      <c r="L7" s="86">
        <f>VLOOKUP($A7,'Data shares'!$C:$FA,96)</f>
        <v>-5500</v>
      </c>
      <c r="M7" s="87">
        <f>VLOOKUP($A7,'Data shares'!$C:$FA,97)</f>
        <v>-1.3299999999999999E-2</v>
      </c>
      <c r="N7" s="86">
        <f>VLOOKUP($A7,'Data shares'!$C:$FA,78)</f>
        <v>3036500</v>
      </c>
      <c r="O7" s="87">
        <f>VLOOKUP($A7,'Data shares'!$C:$FA,81)</f>
        <v>-2.2700000000000001E-2</v>
      </c>
    </row>
    <row r="8" spans="1:15" x14ac:dyDescent="0.25">
      <c r="A8" s="100" t="str">
        <f>'Data Vlaue (Cr)'!C3</f>
        <v>ABB</v>
      </c>
      <c r="B8" s="82">
        <f>VLOOKUP(A8,'Data shares'!$C$2:$CV$213,98,0)</f>
        <v>3862000</v>
      </c>
      <c r="C8" s="82">
        <f>VLOOKUP(A8,'Data shares'!$C$2:$CX$213,100,0)</f>
        <v>-56875</v>
      </c>
      <c r="D8" s="141">
        <f>VLOOKUP(A8,'Data shares'!$C$2:$CY$536,101,0)</f>
        <v>-1.4500000000000001E-2</v>
      </c>
      <c r="E8" s="86">
        <f>VLOOKUP($A8,'Data shares'!$C:$FA,74)</f>
        <v>2065375</v>
      </c>
      <c r="F8" s="86">
        <f>VLOOKUP($A8,'Data shares'!$C:$FA,76)</f>
        <v>-56375</v>
      </c>
      <c r="G8" s="87">
        <f>VLOOKUP(A8,'Data shares'!$C$2:$CA$213,77,0)</f>
        <v>-2.6599999999999999E-2</v>
      </c>
      <c r="H8" s="86">
        <f>VLOOKUP($A8,'Data shares'!$C:$FA,90)</f>
        <v>1069625</v>
      </c>
      <c r="I8" s="86">
        <f>VLOOKUP($A8,'Data shares'!$C:$FA,92)</f>
        <v>13000</v>
      </c>
      <c r="J8" s="87">
        <f>VLOOKUP($A8,'Data shares'!$C:$FA,93)</f>
        <v>1.23E-2</v>
      </c>
      <c r="K8" s="86">
        <f>VLOOKUP($A8,'Data shares'!$C:$FA,94)</f>
        <v>727000</v>
      </c>
      <c r="L8" s="86">
        <f>VLOOKUP($A8,'Data shares'!$C:$FA,96)</f>
        <v>-13500</v>
      </c>
      <c r="M8" s="87">
        <f>VLOOKUP($A8,'Data shares'!$C:$FA,97)</f>
        <v>-1.8200000000000001E-2</v>
      </c>
      <c r="N8" s="86">
        <f>VLOOKUP($A8,'Data shares'!$C:$FA,78)</f>
        <v>2025000</v>
      </c>
      <c r="O8" s="87">
        <f>VLOOKUP($A8,'Data shares'!$C:$FA,81)</f>
        <v>-2.7900000000000001E-2</v>
      </c>
    </row>
    <row r="9" spans="1:15" x14ac:dyDescent="0.25">
      <c r="A9" s="100" t="str">
        <f>'Data Vlaue (Cr)'!C4</f>
        <v>ABCAPITAL</v>
      </c>
      <c r="B9" s="82">
        <f>VLOOKUP(A9,'Data shares'!$C$2:$CV$213,98,0)</f>
        <v>76086400</v>
      </c>
      <c r="C9" s="82">
        <f>VLOOKUP(A9,'Data shares'!$C$2:$CX$213,100,0)</f>
        <v>-775000</v>
      </c>
      <c r="D9" s="141">
        <f>VLOOKUP(A9,'Data shares'!$C$2:$CY$536,101,0)</f>
        <v>-1.01E-2</v>
      </c>
      <c r="E9" s="86">
        <f>VLOOKUP($A9,'Data shares'!$C:$FA,74)</f>
        <v>49541100</v>
      </c>
      <c r="F9" s="86">
        <f>VLOOKUP($A9,'Data shares'!$C:$FA,76)</f>
        <v>-465000</v>
      </c>
      <c r="G9" s="87">
        <f>VLOOKUP(A9,'Data shares'!$C$2:$CA$213,77,0)</f>
        <v>-9.2999999999999992E-3</v>
      </c>
      <c r="H9" s="86">
        <f>VLOOKUP($A9,'Data shares'!$C:$FA,90)</f>
        <v>16402100</v>
      </c>
      <c r="I9" s="86">
        <f>VLOOKUP($A9,'Data shares'!$C:$FA,92)</f>
        <v>-306900</v>
      </c>
      <c r="J9" s="87">
        <f>VLOOKUP($A9,'Data shares'!$C:$FA,93)</f>
        <v>-1.84E-2</v>
      </c>
      <c r="K9" s="86">
        <f>VLOOKUP($A9,'Data shares'!$C:$FA,94)</f>
        <v>10143200</v>
      </c>
      <c r="L9" s="86">
        <f>VLOOKUP($A9,'Data shares'!$C:$FA,96)</f>
        <v>-3100</v>
      </c>
      <c r="M9" s="87">
        <f>VLOOKUP($A9,'Data shares'!$C:$FA,97)</f>
        <v>-2.9999999999999997E-4</v>
      </c>
      <c r="N9" s="86">
        <f>VLOOKUP($A9,'Data shares'!$C:$FA,78)</f>
        <v>48753700</v>
      </c>
      <c r="O9" s="87">
        <f>VLOOKUP($A9,'Data shares'!$C:$FA,81)</f>
        <v>-9.9000000000000008E-3</v>
      </c>
    </row>
    <row r="10" spans="1:15" x14ac:dyDescent="0.25">
      <c r="A10" s="100" t="str">
        <f>'Data Vlaue (Cr)'!C5</f>
        <v>ADANIENSOL</v>
      </c>
      <c r="B10" s="82">
        <f>VLOOKUP(A10,'Data shares'!$C$2:$CV$213,98,0)</f>
        <v>25394175</v>
      </c>
      <c r="C10" s="82">
        <f>VLOOKUP(A10,'Data shares'!$C$2:$CX$213,100,0)</f>
        <v>326700</v>
      </c>
      <c r="D10" s="141">
        <f>VLOOKUP(A10,'Data shares'!$C$2:$CY$536,101,0)</f>
        <v>1.2999999999999999E-2</v>
      </c>
      <c r="E10" s="86">
        <f>VLOOKUP($A10,'Data shares'!$C:$FA,74)</f>
        <v>21371175</v>
      </c>
      <c r="F10" s="86">
        <f>VLOOKUP($A10,'Data shares'!$C:$FA,76)</f>
        <v>-103275</v>
      </c>
      <c r="G10" s="87">
        <f>VLOOKUP(A10,'Data shares'!$C$2:$CA$213,77,0)</f>
        <v>-4.7999999999999996E-3</v>
      </c>
      <c r="H10" s="86">
        <f>VLOOKUP($A10,'Data shares'!$C:$FA,90)</f>
        <v>2259900</v>
      </c>
      <c r="I10" s="86">
        <f>VLOOKUP($A10,'Data shares'!$C:$FA,92)</f>
        <v>187650</v>
      </c>
      <c r="J10" s="87">
        <f>VLOOKUP($A10,'Data shares'!$C:$FA,93)</f>
        <v>9.06E-2</v>
      </c>
      <c r="K10" s="86">
        <f>VLOOKUP($A10,'Data shares'!$C:$FA,94)</f>
        <v>1763100</v>
      </c>
      <c r="L10" s="86">
        <f>VLOOKUP($A10,'Data shares'!$C:$FA,96)</f>
        <v>242325</v>
      </c>
      <c r="M10" s="87">
        <f>VLOOKUP($A10,'Data shares'!$C:$FA,97)</f>
        <v>0.1593</v>
      </c>
      <c r="N10" s="86">
        <f>VLOOKUP($A10,'Data shares'!$C:$FA,78)</f>
        <v>20760975</v>
      </c>
      <c r="O10" s="87">
        <f>VLOOKUP($A10,'Data shares'!$C:$FA,81)</f>
        <v>-5.1999999999999998E-3</v>
      </c>
    </row>
    <row r="11" spans="1:15" x14ac:dyDescent="0.25">
      <c r="A11" s="100" t="str">
        <f>'Data Vlaue (Cr)'!C6</f>
        <v>ADANIENT</v>
      </c>
      <c r="B11" s="82">
        <f>VLOOKUP(A11,'Data shares'!$C$2:$CV$213,98,0)</f>
        <v>28498143</v>
      </c>
      <c r="C11" s="82">
        <f>VLOOKUP(A11,'Data shares'!$C$2:$CX$213,100,0)</f>
        <v>572268</v>
      </c>
      <c r="D11" s="141">
        <f>VLOOKUP(A11,'Data shares'!$C$2:$CY$536,101,0)</f>
        <v>2.0500000000000001E-2</v>
      </c>
      <c r="E11" s="86">
        <f>VLOOKUP($A11,'Data shares'!$C:$FA,74)</f>
        <v>18666381</v>
      </c>
      <c r="F11" s="86">
        <f>VLOOKUP($A11,'Data shares'!$C:$FA,76)</f>
        <v>-84357</v>
      </c>
      <c r="G11" s="87">
        <f>VLOOKUP(A11,'Data shares'!$C$2:$CA$213,77,0)</f>
        <v>-4.4999999999999997E-3</v>
      </c>
      <c r="H11" s="86">
        <f>VLOOKUP($A11,'Data shares'!$C:$FA,90)</f>
        <v>5054004</v>
      </c>
      <c r="I11" s="86">
        <f>VLOOKUP($A11,'Data shares'!$C:$FA,92)</f>
        <v>426420</v>
      </c>
      <c r="J11" s="87">
        <f>VLOOKUP($A11,'Data shares'!$C:$FA,93)</f>
        <v>9.2100000000000001E-2</v>
      </c>
      <c r="K11" s="86">
        <f>VLOOKUP($A11,'Data shares'!$C:$FA,94)</f>
        <v>4777758</v>
      </c>
      <c r="L11" s="86">
        <f>VLOOKUP($A11,'Data shares'!$C:$FA,96)</f>
        <v>230205</v>
      </c>
      <c r="M11" s="87">
        <f>VLOOKUP($A11,'Data shares'!$C:$FA,97)</f>
        <v>5.0599999999999999E-2</v>
      </c>
      <c r="N11" s="86">
        <f>VLOOKUP($A11,'Data shares'!$C:$FA,78)</f>
        <v>16201797</v>
      </c>
      <c r="O11" s="87">
        <f>VLOOKUP($A11,'Data shares'!$C:$FA,81)</f>
        <v>-7.4999999999999997E-3</v>
      </c>
    </row>
    <row r="12" spans="1:15" x14ac:dyDescent="0.25">
      <c r="A12" s="100" t="str">
        <f>'Data Vlaue (Cr)'!C7</f>
        <v>ADANIGREEN</v>
      </c>
      <c r="B12" s="82">
        <f>VLOOKUP(A12,'Data shares'!$C$2:$CV$213,98,0)</f>
        <v>34618200</v>
      </c>
      <c r="C12" s="82">
        <f>VLOOKUP(A12,'Data shares'!$C$2:$CX$213,100,0)</f>
        <v>1959600</v>
      </c>
      <c r="D12" s="141">
        <f>VLOOKUP(A12,'Data shares'!$C$2:$CY$536,101,0)</f>
        <v>0.06</v>
      </c>
      <c r="E12" s="86">
        <f>VLOOKUP($A12,'Data shares'!$C:$FA,74)</f>
        <v>22128600</v>
      </c>
      <c r="F12" s="86">
        <f>VLOOKUP($A12,'Data shares'!$C:$FA,76)</f>
        <v>102000</v>
      </c>
      <c r="G12" s="87">
        <f>VLOOKUP(A12,'Data shares'!$C$2:$CA$213,77,0)</f>
        <v>4.5999999999999999E-3</v>
      </c>
      <c r="H12" s="86">
        <f>VLOOKUP($A12,'Data shares'!$C:$FA,90)</f>
        <v>7704600</v>
      </c>
      <c r="I12" s="86">
        <f>VLOOKUP($A12,'Data shares'!$C:$FA,92)</f>
        <v>1579800</v>
      </c>
      <c r="J12" s="87">
        <f>VLOOKUP($A12,'Data shares'!$C:$FA,93)</f>
        <v>0.25790000000000002</v>
      </c>
      <c r="K12" s="86">
        <f>VLOOKUP($A12,'Data shares'!$C:$FA,94)</f>
        <v>4785000</v>
      </c>
      <c r="L12" s="86">
        <f>VLOOKUP($A12,'Data shares'!$C:$FA,96)</f>
        <v>277800</v>
      </c>
      <c r="M12" s="87">
        <f>VLOOKUP($A12,'Data shares'!$C:$FA,97)</f>
        <v>6.1600000000000002E-2</v>
      </c>
      <c r="N12" s="86">
        <f>VLOOKUP($A12,'Data shares'!$C:$FA,78)</f>
        <v>21574200</v>
      </c>
      <c r="O12" s="87">
        <f>VLOOKUP($A12,'Data shares'!$C:$FA,81)</f>
        <v>0</v>
      </c>
    </row>
    <row r="13" spans="1:15" x14ac:dyDescent="0.25">
      <c r="A13" s="100" t="str">
        <f>'Data Vlaue (Cr)'!C8</f>
        <v>ADANIPORTS</v>
      </c>
      <c r="B13" s="82">
        <f>VLOOKUP(A13,'Data shares'!$C$2:$CV$213,98,0)</f>
        <v>34416600</v>
      </c>
      <c r="C13" s="82">
        <f>VLOOKUP(A13,'Data shares'!$C$2:$CX$213,100,0)</f>
        <v>-130625</v>
      </c>
      <c r="D13" s="141">
        <f>VLOOKUP(A13,'Data shares'!$C$2:$CY$536,101,0)</f>
        <v>-3.8E-3</v>
      </c>
      <c r="E13" s="86">
        <f>VLOOKUP($A13,'Data shares'!$C:$FA,74)</f>
        <v>21037750</v>
      </c>
      <c r="F13" s="86">
        <f>VLOOKUP($A13,'Data shares'!$C:$FA,76)</f>
        <v>-355300</v>
      </c>
      <c r="G13" s="87">
        <f>VLOOKUP(A13,'Data shares'!$C$2:$CA$213,77,0)</f>
        <v>-1.66E-2</v>
      </c>
      <c r="H13" s="86">
        <f>VLOOKUP($A13,'Data shares'!$C:$FA,90)</f>
        <v>6978225</v>
      </c>
      <c r="I13" s="86">
        <f>VLOOKUP($A13,'Data shares'!$C:$FA,92)</f>
        <v>187150</v>
      </c>
      <c r="J13" s="87">
        <f>VLOOKUP($A13,'Data shares'!$C:$FA,93)</f>
        <v>2.76E-2</v>
      </c>
      <c r="K13" s="86">
        <f>VLOOKUP($A13,'Data shares'!$C:$FA,94)</f>
        <v>6400625</v>
      </c>
      <c r="L13" s="86">
        <f>VLOOKUP($A13,'Data shares'!$C:$FA,96)</f>
        <v>37525</v>
      </c>
      <c r="M13" s="87">
        <f>VLOOKUP($A13,'Data shares'!$C:$FA,97)</f>
        <v>5.8999999999999999E-3</v>
      </c>
      <c r="N13" s="86">
        <f>VLOOKUP($A13,'Data shares'!$C:$FA,78)</f>
        <v>20369425</v>
      </c>
      <c r="O13" s="87">
        <f>VLOOKUP($A13,'Data shares'!$C:$FA,81)</f>
        <v>-1.67E-2</v>
      </c>
    </row>
    <row r="14" spans="1:15" x14ac:dyDescent="0.25">
      <c r="A14" s="100" t="str">
        <f>'Data Vlaue (Cr)'!C9</f>
        <v>ALKEM</v>
      </c>
      <c r="B14" s="82">
        <f>VLOOKUP(A14,'Data shares'!$C$2:$CV$213,98,0)</f>
        <v>1608250</v>
      </c>
      <c r="C14" s="82">
        <f>VLOOKUP(A14,'Data shares'!$C$2:$CX$213,100,0)</f>
        <v>40625</v>
      </c>
      <c r="D14" s="141">
        <f>VLOOKUP(A14,'Data shares'!$C$2:$CY$536,101,0)</f>
        <v>2.5899999999999999E-2</v>
      </c>
      <c r="E14" s="86">
        <f>VLOOKUP($A14,'Data shares'!$C:$FA,74)</f>
        <v>1240875</v>
      </c>
      <c r="F14" s="86">
        <f>VLOOKUP($A14,'Data shares'!$C:$FA,76)</f>
        <v>6625</v>
      </c>
      <c r="G14" s="87">
        <f>VLOOKUP(A14,'Data shares'!$C$2:$CA$213,77,0)</f>
        <v>5.4000000000000003E-3</v>
      </c>
      <c r="H14" s="86">
        <f>VLOOKUP($A14,'Data shares'!$C:$FA,90)</f>
        <v>223375</v>
      </c>
      <c r="I14" s="86">
        <f>VLOOKUP($A14,'Data shares'!$C:$FA,92)</f>
        <v>31500</v>
      </c>
      <c r="J14" s="87">
        <f>VLOOKUP($A14,'Data shares'!$C:$FA,93)</f>
        <v>0.16420000000000001</v>
      </c>
      <c r="K14" s="86">
        <f>VLOOKUP($A14,'Data shares'!$C:$FA,94)</f>
        <v>144000</v>
      </c>
      <c r="L14" s="86">
        <f>VLOOKUP($A14,'Data shares'!$C:$FA,96)</f>
        <v>2500</v>
      </c>
      <c r="M14" s="87">
        <f>VLOOKUP($A14,'Data shares'!$C:$FA,97)</f>
        <v>1.77E-2</v>
      </c>
      <c r="N14" s="86">
        <f>VLOOKUP($A14,'Data shares'!$C:$FA,78)</f>
        <v>1236375</v>
      </c>
      <c r="O14" s="87">
        <f>VLOOKUP($A14,'Data shares'!$C:$FA,81)</f>
        <v>5.3E-3</v>
      </c>
    </row>
    <row r="15" spans="1:15" x14ac:dyDescent="0.25">
      <c r="A15" s="100" t="str">
        <f>'Data Vlaue (Cr)'!C10</f>
        <v>AMBER</v>
      </c>
      <c r="B15" s="82">
        <f>VLOOKUP(A15,'Data shares'!$C$2:$CV$213,98,0)</f>
        <v>1943400</v>
      </c>
      <c r="C15" s="82">
        <f>VLOOKUP(A15,'Data shares'!$C$2:$CX$213,100,0)</f>
        <v>118100</v>
      </c>
      <c r="D15" s="141">
        <f>VLOOKUP(A15,'Data shares'!$C$2:$CY$536,101,0)</f>
        <v>6.4699999999999994E-2</v>
      </c>
      <c r="E15" s="86">
        <f>VLOOKUP($A15,'Data shares'!$C:$FA,74)</f>
        <v>964500</v>
      </c>
      <c r="F15" s="86">
        <f>VLOOKUP($A15,'Data shares'!$C:$FA,76)</f>
        <v>19400</v>
      </c>
      <c r="G15" s="87">
        <f>VLOOKUP(A15,'Data shares'!$C$2:$CA$213,77,0)</f>
        <v>2.0500000000000001E-2</v>
      </c>
      <c r="H15" s="86">
        <f>VLOOKUP($A15,'Data shares'!$C:$FA,90)</f>
        <v>588300</v>
      </c>
      <c r="I15" s="86">
        <f>VLOOKUP($A15,'Data shares'!$C:$FA,92)</f>
        <v>29100</v>
      </c>
      <c r="J15" s="87">
        <f>VLOOKUP($A15,'Data shares'!$C:$FA,93)</f>
        <v>5.1999999999999998E-2</v>
      </c>
      <c r="K15" s="86">
        <f>VLOOKUP($A15,'Data shares'!$C:$FA,94)</f>
        <v>390600</v>
      </c>
      <c r="L15" s="86">
        <f>VLOOKUP($A15,'Data shares'!$C:$FA,96)</f>
        <v>69600</v>
      </c>
      <c r="M15" s="87">
        <f>VLOOKUP($A15,'Data shares'!$C:$FA,97)</f>
        <v>0.21679999999999999</v>
      </c>
      <c r="N15" s="86">
        <f>VLOOKUP($A15,'Data shares'!$C:$FA,78)</f>
        <v>934900</v>
      </c>
      <c r="O15" s="87">
        <f>VLOOKUP($A15,'Data shares'!$C:$FA,81)</f>
        <v>0.02</v>
      </c>
    </row>
    <row r="16" spans="1:15" x14ac:dyDescent="0.25">
      <c r="A16" s="100" t="str">
        <f>'Data Vlaue (Cr)'!C11</f>
        <v>AMBUJACEM</v>
      </c>
      <c r="B16" s="82">
        <f>VLOOKUP(A16,'Data shares'!$C$2:$CV$213,98,0)</f>
        <v>76030500</v>
      </c>
      <c r="C16" s="82">
        <f>VLOOKUP(A16,'Data shares'!$C$2:$CX$213,100,0)</f>
        <v>806400</v>
      </c>
      <c r="D16" s="141">
        <f>VLOOKUP(A16,'Data shares'!$C$2:$CY$536,101,0)</f>
        <v>1.0699999999999999E-2</v>
      </c>
      <c r="E16" s="86">
        <f>VLOOKUP($A16,'Data shares'!$C:$FA,74)</f>
        <v>51557100</v>
      </c>
      <c r="F16" s="86">
        <f>VLOOKUP($A16,'Data shares'!$C:$FA,76)</f>
        <v>523950</v>
      </c>
      <c r="G16" s="87">
        <f>VLOOKUP(A16,'Data shares'!$C$2:$CA$213,77,0)</f>
        <v>1.03E-2</v>
      </c>
      <c r="H16" s="86">
        <f>VLOOKUP($A16,'Data shares'!$C:$FA,90)</f>
        <v>14665350</v>
      </c>
      <c r="I16" s="86">
        <f>VLOOKUP($A16,'Data shares'!$C:$FA,92)</f>
        <v>-110250</v>
      </c>
      <c r="J16" s="87">
        <f>VLOOKUP($A16,'Data shares'!$C:$FA,93)</f>
        <v>-7.4999999999999997E-3</v>
      </c>
      <c r="K16" s="86">
        <f>VLOOKUP($A16,'Data shares'!$C:$FA,94)</f>
        <v>9808050</v>
      </c>
      <c r="L16" s="86">
        <f>VLOOKUP($A16,'Data shares'!$C:$FA,96)</f>
        <v>392700</v>
      </c>
      <c r="M16" s="87">
        <f>VLOOKUP($A16,'Data shares'!$C:$FA,97)</f>
        <v>4.1700000000000001E-2</v>
      </c>
      <c r="N16" s="86">
        <f>VLOOKUP($A16,'Data shares'!$C:$FA,78)</f>
        <v>50013600</v>
      </c>
      <c r="O16" s="87">
        <f>VLOOKUP($A16,'Data shares'!$C:$FA,81)</f>
        <v>8.3000000000000001E-3</v>
      </c>
    </row>
    <row r="17" spans="1:15" x14ac:dyDescent="0.25">
      <c r="A17" s="100" t="str">
        <f>'Data Vlaue (Cr)'!C12</f>
        <v>ANGELONE</v>
      </c>
      <c r="B17" s="82">
        <f>VLOOKUP(A17,'Data shares'!$C$2:$CV$213,98,0)</f>
        <v>72062500</v>
      </c>
      <c r="C17" s="82">
        <f>VLOOKUP(A17,'Data shares'!$C$2:$CX$213,100,0)</f>
        <v>2982500</v>
      </c>
      <c r="D17" s="141">
        <f>VLOOKUP(A17,'Data shares'!$C$2:$CY$536,101,0)</f>
        <v>4.3200000000000002E-2</v>
      </c>
      <c r="E17" s="86">
        <f>VLOOKUP($A17,'Data shares'!$C:$FA,74)</f>
        <v>36737500</v>
      </c>
      <c r="F17" s="86">
        <f>VLOOKUP($A17,'Data shares'!$C:$FA,76)</f>
        <v>2960000</v>
      </c>
      <c r="G17" s="87">
        <f>VLOOKUP(A17,'Data shares'!$C$2:$CA$213,77,0)</f>
        <v>8.7599999999999997E-2</v>
      </c>
      <c r="H17" s="86">
        <f>VLOOKUP($A17,'Data shares'!$C:$FA,90)</f>
        <v>22267500</v>
      </c>
      <c r="I17" s="86">
        <f>VLOOKUP($A17,'Data shares'!$C:$FA,92)</f>
        <v>135000</v>
      </c>
      <c r="J17" s="87">
        <f>VLOOKUP($A17,'Data shares'!$C:$FA,93)</f>
        <v>6.1000000000000004E-3</v>
      </c>
      <c r="K17" s="86">
        <f>VLOOKUP($A17,'Data shares'!$C:$FA,94)</f>
        <v>13057500</v>
      </c>
      <c r="L17" s="86">
        <f>VLOOKUP($A17,'Data shares'!$C:$FA,96)</f>
        <v>-112500</v>
      </c>
      <c r="M17" s="87">
        <f>VLOOKUP($A17,'Data shares'!$C:$FA,97)</f>
        <v>-8.5000000000000006E-3</v>
      </c>
      <c r="N17" s="86">
        <f>VLOOKUP($A17,'Data shares'!$C:$FA,78)</f>
        <v>29935000</v>
      </c>
      <c r="O17" s="87">
        <f>VLOOKUP($A17,'Data shares'!$C:$FA,81)</f>
        <v>0.1007</v>
      </c>
    </row>
    <row r="18" spans="1:15" x14ac:dyDescent="0.25">
      <c r="A18" s="100" t="str">
        <f>'Data Vlaue (Cr)'!C13</f>
        <v>APLAPOLLO</v>
      </c>
      <c r="B18" s="82">
        <f>VLOOKUP(A18,'Data shares'!$C$2:$CV$213,98,0)</f>
        <v>6862450</v>
      </c>
      <c r="C18" s="82">
        <f>VLOOKUP(A18,'Data shares'!$C$2:$CX$213,100,0)</f>
        <v>11900</v>
      </c>
      <c r="D18" s="141">
        <f>VLOOKUP(A18,'Data shares'!$C$2:$CY$536,101,0)</f>
        <v>1.6999999999999999E-3</v>
      </c>
      <c r="E18" s="86">
        <f>VLOOKUP($A18,'Data shares'!$C:$FA,74)</f>
        <v>4848200</v>
      </c>
      <c r="F18" s="86">
        <f>VLOOKUP($A18,'Data shares'!$C:$FA,76)</f>
        <v>-19250</v>
      </c>
      <c r="G18" s="87">
        <f>VLOOKUP(A18,'Data shares'!$C$2:$CA$213,77,0)</f>
        <v>-4.0000000000000001E-3</v>
      </c>
      <c r="H18" s="86">
        <f>VLOOKUP($A18,'Data shares'!$C:$FA,90)</f>
        <v>1044400</v>
      </c>
      <c r="I18" s="86">
        <f>VLOOKUP($A18,'Data shares'!$C:$FA,92)</f>
        <v>-7700</v>
      </c>
      <c r="J18" s="87">
        <f>VLOOKUP($A18,'Data shares'!$C:$FA,93)</f>
        <v>-7.3000000000000001E-3</v>
      </c>
      <c r="K18" s="86">
        <f>VLOOKUP($A18,'Data shares'!$C:$FA,94)</f>
        <v>969850</v>
      </c>
      <c r="L18" s="86">
        <f>VLOOKUP($A18,'Data shares'!$C:$FA,96)</f>
        <v>38850</v>
      </c>
      <c r="M18" s="87">
        <f>VLOOKUP($A18,'Data shares'!$C:$FA,97)</f>
        <v>4.1700000000000001E-2</v>
      </c>
      <c r="N18" s="86">
        <f>VLOOKUP($A18,'Data shares'!$C:$FA,78)</f>
        <v>4804450</v>
      </c>
      <c r="O18" s="87">
        <f>VLOOKUP($A18,'Data shares'!$C:$FA,81)</f>
        <v>-4.1999999999999997E-3</v>
      </c>
    </row>
    <row r="19" spans="1:15" x14ac:dyDescent="0.25">
      <c r="A19" s="100" t="str">
        <f>'Data Vlaue (Cr)'!C14</f>
        <v>APOLLOHOSP</v>
      </c>
      <c r="B19" s="82">
        <f>VLOOKUP(A19,'Data shares'!$C$2:$CV$213,98,0)</f>
        <v>4161750</v>
      </c>
      <c r="C19" s="82">
        <f>VLOOKUP(A19,'Data shares'!$C$2:$CX$213,100,0)</f>
        <v>88500</v>
      </c>
      <c r="D19" s="141">
        <f>VLOOKUP(A19,'Data shares'!$C$2:$CY$536,101,0)</f>
        <v>2.1700000000000001E-2</v>
      </c>
      <c r="E19" s="86">
        <f>VLOOKUP($A19,'Data shares'!$C:$FA,74)</f>
        <v>2547375</v>
      </c>
      <c r="F19" s="86">
        <f>VLOOKUP($A19,'Data shares'!$C:$FA,76)</f>
        <v>-88000</v>
      </c>
      <c r="G19" s="87">
        <f>VLOOKUP(A19,'Data shares'!$C$2:$CA$213,77,0)</f>
        <v>-3.3399999999999999E-2</v>
      </c>
      <c r="H19" s="86">
        <f>VLOOKUP($A19,'Data shares'!$C:$FA,90)</f>
        <v>923000</v>
      </c>
      <c r="I19" s="86">
        <f>VLOOKUP($A19,'Data shares'!$C:$FA,92)</f>
        <v>65500</v>
      </c>
      <c r="J19" s="87">
        <f>VLOOKUP($A19,'Data shares'!$C:$FA,93)</f>
        <v>7.6399999999999996E-2</v>
      </c>
      <c r="K19" s="86">
        <f>VLOOKUP($A19,'Data shares'!$C:$FA,94)</f>
        <v>691375</v>
      </c>
      <c r="L19" s="86">
        <f>VLOOKUP($A19,'Data shares'!$C:$FA,96)</f>
        <v>111000</v>
      </c>
      <c r="M19" s="87">
        <f>VLOOKUP($A19,'Data shares'!$C:$FA,97)</f>
        <v>0.1913</v>
      </c>
      <c r="N19" s="86">
        <f>VLOOKUP($A19,'Data shares'!$C:$FA,78)</f>
        <v>2520000</v>
      </c>
      <c r="O19" s="87">
        <f>VLOOKUP($A19,'Data shares'!$C:$FA,81)</f>
        <v>-3.39E-2</v>
      </c>
    </row>
    <row r="20" spans="1:15" x14ac:dyDescent="0.25">
      <c r="A20" s="100" t="str">
        <f>'Data Vlaue (Cr)'!C15</f>
        <v>ASHOKLEY</v>
      </c>
      <c r="B20" s="82">
        <f>VLOOKUP(A20,'Data shares'!$C$2:$CV$213,98,0)</f>
        <v>222560000</v>
      </c>
      <c r="C20" s="82">
        <f>VLOOKUP(A20,'Data shares'!$C$2:$CX$213,100,0)</f>
        <v>440000</v>
      </c>
      <c r="D20" s="141">
        <f>VLOOKUP(A20,'Data shares'!$C$2:$CY$536,101,0)</f>
        <v>2E-3</v>
      </c>
      <c r="E20" s="86">
        <f>VLOOKUP($A20,'Data shares'!$C:$FA,74)</f>
        <v>151330000</v>
      </c>
      <c r="F20" s="86">
        <f>VLOOKUP($A20,'Data shares'!$C:$FA,76)</f>
        <v>-560000</v>
      </c>
      <c r="G20" s="87">
        <f>VLOOKUP(A20,'Data shares'!$C$2:$CA$213,77,0)</f>
        <v>-3.7000000000000002E-3</v>
      </c>
      <c r="H20" s="86">
        <f>VLOOKUP($A20,'Data shares'!$C:$FA,90)</f>
        <v>41550000</v>
      </c>
      <c r="I20" s="86">
        <f>VLOOKUP($A20,'Data shares'!$C:$FA,92)</f>
        <v>-430000</v>
      </c>
      <c r="J20" s="87">
        <f>VLOOKUP($A20,'Data shares'!$C:$FA,93)</f>
        <v>-1.0200000000000001E-2</v>
      </c>
      <c r="K20" s="86">
        <f>VLOOKUP($A20,'Data shares'!$C:$FA,94)</f>
        <v>29680000</v>
      </c>
      <c r="L20" s="86">
        <f>VLOOKUP($A20,'Data shares'!$C:$FA,96)</f>
        <v>1430000</v>
      </c>
      <c r="M20" s="87">
        <f>VLOOKUP($A20,'Data shares'!$C:$FA,97)</f>
        <v>5.0599999999999999E-2</v>
      </c>
      <c r="N20" s="86">
        <f>VLOOKUP($A20,'Data shares'!$C:$FA,78)</f>
        <v>146925000</v>
      </c>
      <c r="O20" s="87">
        <f>VLOOKUP($A20,'Data shares'!$C:$FA,81)</f>
        <v>-7.6E-3</v>
      </c>
    </row>
    <row r="21" spans="1:15" x14ac:dyDescent="0.25">
      <c r="A21" s="100" t="str">
        <f>'Data Vlaue (Cr)'!C16</f>
        <v>ASIANPAINT</v>
      </c>
      <c r="B21" s="82">
        <f>VLOOKUP(A21,'Data shares'!$C$2:$CV$213,98,0)</f>
        <v>20974000</v>
      </c>
      <c r="C21" s="82">
        <f>VLOOKUP(A21,'Data shares'!$C$2:$CX$213,100,0)</f>
        <v>-21250</v>
      </c>
      <c r="D21" s="141">
        <f>VLOOKUP(A21,'Data shares'!$C$2:$CY$536,101,0)</f>
        <v>-1E-3</v>
      </c>
      <c r="E21" s="86">
        <f>VLOOKUP($A21,'Data shares'!$C:$FA,74)</f>
        <v>12795250</v>
      </c>
      <c r="F21" s="86">
        <f>VLOOKUP($A21,'Data shares'!$C:$FA,76)</f>
        <v>3250</v>
      </c>
      <c r="G21" s="87">
        <f>VLOOKUP(A21,'Data shares'!$C$2:$CA$213,77,0)</f>
        <v>2.9999999999999997E-4</v>
      </c>
      <c r="H21" s="86">
        <f>VLOOKUP($A21,'Data shares'!$C:$FA,90)</f>
        <v>4314000</v>
      </c>
      <c r="I21" s="86">
        <f>VLOOKUP($A21,'Data shares'!$C:$FA,92)</f>
        <v>159500</v>
      </c>
      <c r="J21" s="87">
        <f>VLOOKUP($A21,'Data shares'!$C:$FA,93)</f>
        <v>3.8399999999999997E-2</v>
      </c>
      <c r="K21" s="86">
        <f>VLOOKUP($A21,'Data shares'!$C:$FA,94)</f>
        <v>3864750</v>
      </c>
      <c r="L21" s="86">
        <f>VLOOKUP($A21,'Data shares'!$C:$FA,96)</f>
        <v>-184000</v>
      </c>
      <c r="M21" s="87">
        <f>VLOOKUP($A21,'Data shares'!$C:$FA,97)</f>
        <v>-4.5400000000000003E-2</v>
      </c>
      <c r="N21" s="86">
        <f>VLOOKUP($A21,'Data shares'!$C:$FA,78)</f>
        <v>12544250</v>
      </c>
      <c r="O21" s="87">
        <f>VLOOKUP($A21,'Data shares'!$C:$FA,81)</f>
        <v>-1E-4</v>
      </c>
    </row>
    <row r="22" spans="1:15" x14ac:dyDescent="0.25">
      <c r="A22" s="100" t="str">
        <f>'Data Vlaue (Cr)'!C17</f>
        <v>ASTRAL</v>
      </c>
      <c r="B22" s="82">
        <f>VLOOKUP(A22,'Data shares'!$C$2:$CV$213,98,0)</f>
        <v>11826475</v>
      </c>
      <c r="C22" s="82">
        <f>VLOOKUP(A22,'Data shares'!$C$2:$CX$213,100,0)</f>
        <v>390150</v>
      </c>
      <c r="D22" s="141">
        <f>VLOOKUP(A22,'Data shares'!$C$2:$CY$536,101,0)</f>
        <v>3.4099999999999998E-2</v>
      </c>
      <c r="E22" s="86">
        <f>VLOOKUP($A22,'Data shares'!$C:$FA,74)</f>
        <v>9067800</v>
      </c>
      <c r="F22" s="86">
        <f>VLOOKUP($A22,'Data shares'!$C:$FA,76)</f>
        <v>263075</v>
      </c>
      <c r="G22" s="87">
        <f>VLOOKUP(A22,'Data shares'!$C$2:$CA$213,77,0)</f>
        <v>2.9899999999999999E-2</v>
      </c>
      <c r="H22" s="86">
        <f>VLOOKUP($A22,'Data shares'!$C:$FA,90)</f>
        <v>1808800</v>
      </c>
      <c r="I22" s="86">
        <f>VLOOKUP($A22,'Data shares'!$C:$FA,92)</f>
        <v>113900</v>
      </c>
      <c r="J22" s="87">
        <f>VLOOKUP($A22,'Data shares'!$C:$FA,93)</f>
        <v>6.7199999999999996E-2</v>
      </c>
      <c r="K22" s="86">
        <f>VLOOKUP($A22,'Data shares'!$C:$FA,94)</f>
        <v>949875</v>
      </c>
      <c r="L22" s="86">
        <f>VLOOKUP($A22,'Data shares'!$C:$FA,96)</f>
        <v>13175</v>
      </c>
      <c r="M22" s="87">
        <f>VLOOKUP($A22,'Data shares'!$C:$FA,97)</f>
        <v>1.41E-2</v>
      </c>
      <c r="N22" s="86">
        <f>VLOOKUP($A22,'Data shares'!$C:$FA,78)</f>
        <v>8662350</v>
      </c>
      <c r="O22" s="87">
        <f>VLOOKUP($A22,'Data shares'!$C:$FA,81)</f>
        <v>1.2699999999999999E-2</v>
      </c>
    </row>
    <row r="23" spans="1:15" x14ac:dyDescent="0.25">
      <c r="A23" s="100" t="str">
        <f>'Data Vlaue (Cr)'!C18</f>
        <v>AUBANK</v>
      </c>
      <c r="B23" s="82">
        <f>VLOOKUP(A23,'Data shares'!$C$2:$CV$213,98,0)</f>
        <v>34004000</v>
      </c>
      <c r="C23" s="82">
        <f>VLOOKUP(A23,'Data shares'!$C$2:$CX$213,100,0)</f>
        <v>191000</v>
      </c>
      <c r="D23" s="141">
        <f>VLOOKUP(A23,'Data shares'!$C$2:$CY$536,101,0)</f>
        <v>5.5999999999999999E-3</v>
      </c>
      <c r="E23" s="86">
        <f>VLOOKUP($A23,'Data shares'!$C:$FA,74)</f>
        <v>22479000</v>
      </c>
      <c r="F23" s="86">
        <f>VLOOKUP($A23,'Data shares'!$C:$FA,76)</f>
        <v>549000</v>
      </c>
      <c r="G23" s="87">
        <f>VLOOKUP(A23,'Data shares'!$C$2:$CA$213,77,0)</f>
        <v>2.5000000000000001E-2</v>
      </c>
      <c r="H23" s="86">
        <f>VLOOKUP($A23,'Data shares'!$C:$FA,90)</f>
        <v>6690000</v>
      </c>
      <c r="I23" s="86">
        <f>VLOOKUP($A23,'Data shares'!$C:$FA,92)</f>
        <v>-548000</v>
      </c>
      <c r="J23" s="87">
        <f>VLOOKUP($A23,'Data shares'!$C:$FA,93)</f>
        <v>-7.5700000000000003E-2</v>
      </c>
      <c r="K23" s="86">
        <f>VLOOKUP($A23,'Data shares'!$C:$FA,94)</f>
        <v>4835000</v>
      </c>
      <c r="L23" s="86">
        <f>VLOOKUP($A23,'Data shares'!$C:$FA,96)</f>
        <v>190000</v>
      </c>
      <c r="M23" s="87">
        <f>VLOOKUP($A23,'Data shares'!$C:$FA,97)</f>
        <v>4.0899999999999999E-2</v>
      </c>
      <c r="N23" s="86">
        <f>VLOOKUP($A23,'Data shares'!$C:$FA,78)</f>
        <v>22113000</v>
      </c>
      <c r="O23" s="87">
        <f>VLOOKUP($A23,'Data shares'!$C:$FA,81)</f>
        <v>2.7400000000000001E-2</v>
      </c>
    </row>
    <row r="24" spans="1:15" x14ac:dyDescent="0.25">
      <c r="A24" s="100" t="str">
        <f>'Data Vlaue (Cr)'!C19</f>
        <v>AUROPHARMA</v>
      </c>
      <c r="B24" s="82">
        <f>VLOOKUP(A24,'Data shares'!$C$2:$CV$213,98,0)</f>
        <v>28567550</v>
      </c>
      <c r="C24" s="82">
        <f>VLOOKUP(A24,'Data shares'!$C$2:$CX$213,100,0)</f>
        <v>90750</v>
      </c>
      <c r="D24" s="141">
        <f>VLOOKUP(A24,'Data shares'!$C$2:$CY$536,101,0)</f>
        <v>3.2000000000000002E-3</v>
      </c>
      <c r="E24" s="86">
        <f>VLOOKUP($A24,'Data shares'!$C:$FA,74)</f>
        <v>22171600</v>
      </c>
      <c r="F24" s="86">
        <f>VLOOKUP($A24,'Data shares'!$C:$FA,76)</f>
        <v>17050</v>
      </c>
      <c r="G24" s="87">
        <f>VLOOKUP(A24,'Data shares'!$C$2:$CA$213,77,0)</f>
        <v>8.0000000000000004E-4</v>
      </c>
      <c r="H24" s="86">
        <f>VLOOKUP($A24,'Data shares'!$C:$FA,90)</f>
        <v>3853850</v>
      </c>
      <c r="I24" s="86">
        <f>VLOOKUP($A24,'Data shares'!$C:$FA,92)</f>
        <v>-29150</v>
      </c>
      <c r="J24" s="87">
        <f>VLOOKUP($A24,'Data shares'!$C:$FA,93)</f>
        <v>-7.4999999999999997E-3</v>
      </c>
      <c r="K24" s="86">
        <f>VLOOKUP($A24,'Data shares'!$C:$FA,94)</f>
        <v>2542100</v>
      </c>
      <c r="L24" s="86">
        <f>VLOOKUP($A24,'Data shares'!$C:$FA,96)</f>
        <v>102850</v>
      </c>
      <c r="M24" s="87">
        <f>VLOOKUP($A24,'Data shares'!$C:$FA,97)</f>
        <v>4.2200000000000001E-2</v>
      </c>
      <c r="N24" s="86">
        <f>VLOOKUP($A24,'Data shares'!$C:$FA,78)</f>
        <v>22047850</v>
      </c>
      <c r="O24" s="87">
        <f>VLOOKUP($A24,'Data shares'!$C:$FA,81)</f>
        <v>4.0000000000000002E-4</v>
      </c>
    </row>
    <row r="25" spans="1:15" x14ac:dyDescent="0.25">
      <c r="A25" s="100" t="str">
        <f>'Data Vlaue (Cr)'!C20</f>
        <v>AXISBANK</v>
      </c>
      <c r="B25" s="82">
        <f>VLOOKUP(A25,'Data shares'!$C$2:$CV$213,98,0)</f>
        <v>88471875</v>
      </c>
      <c r="C25" s="82">
        <f>VLOOKUP(A25,'Data shares'!$C$2:$CX$213,100,0)</f>
        <v>2188750</v>
      </c>
      <c r="D25" s="141">
        <f>VLOOKUP(A25,'Data shares'!$C$2:$CY$536,101,0)</f>
        <v>2.5399999999999999E-2</v>
      </c>
      <c r="E25" s="86">
        <f>VLOOKUP($A25,'Data shares'!$C:$FA,74)</f>
        <v>63453125</v>
      </c>
      <c r="F25" s="86">
        <f>VLOOKUP($A25,'Data shares'!$C:$FA,76)</f>
        <v>905000</v>
      </c>
      <c r="G25" s="87">
        <f>VLOOKUP(A25,'Data shares'!$C$2:$CA$213,77,0)</f>
        <v>1.4500000000000001E-2</v>
      </c>
      <c r="H25" s="86">
        <f>VLOOKUP($A25,'Data shares'!$C:$FA,90)</f>
        <v>15836250</v>
      </c>
      <c r="I25" s="86">
        <f>VLOOKUP($A25,'Data shares'!$C:$FA,92)</f>
        <v>1140625</v>
      </c>
      <c r="J25" s="87">
        <f>VLOOKUP($A25,'Data shares'!$C:$FA,93)</f>
        <v>7.7600000000000002E-2</v>
      </c>
      <c r="K25" s="86">
        <f>VLOOKUP($A25,'Data shares'!$C:$FA,94)</f>
        <v>9182500</v>
      </c>
      <c r="L25" s="86">
        <f>VLOOKUP($A25,'Data shares'!$C:$FA,96)</f>
        <v>143125</v>
      </c>
      <c r="M25" s="87">
        <f>VLOOKUP($A25,'Data shares'!$C:$FA,97)</f>
        <v>1.5800000000000002E-2</v>
      </c>
      <c r="N25" s="86">
        <f>VLOOKUP($A25,'Data shares'!$C:$FA,78)</f>
        <v>62717500</v>
      </c>
      <c r="O25" s="87">
        <f>VLOOKUP($A25,'Data shares'!$C:$FA,81)</f>
        <v>1.2500000000000001E-2</v>
      </c>
    </row>
    <row r="26" spans="1:15" x14ac:dyDescent="0.25">
      <c r="A26" s="100" t="str">
        <f>'Data Vlaue (Cr)'!C21</f>
        <v>BAJAJ-AUTO</v>
      </c>
      <c r="B26" s="82">
        <f>VLOOKUP(A26,'Data shares'!$C$2:$CV$213,98,0)</f>
        <v>5066325</v>
      </c>
      <c r="C26" s="82">
        <f>VLOOKUP(A26,'Data shares'!$C$2:$CX$213,100,0)</f>
        <v>-13350</v>
      </c>
      <c r="D26" s="141">
        <f>VLOOKUP(A26,'Data shares'!$C$2:$CY$536,101,0)</f>
        <v>-2.5999999999999999E-3</v>
      </c>
      <c r="E26" s="86">
        <f>VLOOKUP($A26,'Data shares'!$C:$FA,74)</f>
        <v>3058950</v>
      </c>
      <c r="F26" s="86">
        <f>VLOOKUP($A26,'Data shares'!$C:$FA,76)</f>
        <v>34650</v>
      </c>
      <c r="G26" s="87">
        <f>VLOOKUP(A26,'Data shares'!$C$2:$CA$213,77,0)</f>
        <v>1.15E-2</v>
      </c>
      <c r="H26" s="86">
        <f>VLOOKUP($A26,'Data shares'!$C:$FA,90)</f>
        <v>1316850</v>
      </c>
      <c r="I26" s="86">
        <f>VLOOKUP($A26,'Data shares'!$C:$FA,92)</f>
        <v>-70500</v>
      </c>
      <c r="J26" s="87">
        <f>VLOOKUP($A26,'Data shares'!$C:$FA,93)</f>
        <v>-5.0799999999999998E-2</v>
      </c>
      <c r="K26" s="86">
        <f>VLOOKUP($A26,'Data shares'!$C:$FA,94)</f>
        <v>690525</v>
      </c>
      <c r="L26" s="86">
        <f>VLOOKUP($A26,'Data shares'!$C:$FA,96)</f>
        <v>22500</v>
      </c>
      <c r="M26" s="87">
        <f>VLOOKUP($A26,'Data shares'!$C:$FA,97)</f>
        <v>3.3700000000000001E-2</v>
      </c>
      <c r="N26" s="86">
        <f>VLOOKUP($A26,'Data shares'!$C:$FA,78)</f>
        <v>3035700</v>
      </c>
      <c r="O26" s="87">
        <f>VLOOKUP($A26,'Data shares'!$C:$FA,81)</f>
        <v>1.21E-2</v>
      </c>
    </row>
    <row r="27" spans="1:15" x14ac:dyDescent="0.25">
      <c r="A27" s="100" t="str">
        <f>'Data Vlaue (Cr)'!C22</f>
        <v>BAJAJFINSV</v>
      </c>
      <c r="B27" s="82">
        <f>VLOOKUP(A27,'Data shares'!$C$2:$CV$213,98,0)</f>
        <v>21270250</v>
      </c>
      <c r="C27" s="82">
        <f>VLOOKUP(A27,'Data shares'!$C$2:$CX$213,100,0)</f>
        <v>211000</v>
      </c>
      <c r="D27" s="141">
        <f>VLOOKUP(A27,'Data shares'!$C$2:$CY$536,101,0)</f>
        <v>0.01</v>
      </c>
      <c r="E27" s="86">
        <f>VLOOKUP($A27,'Data shares'!$C:$FA,74)</f>
        <v>12489000</v>
      </c>
      <c r="F27" s="86">
        <f>VLOOKUP($A27,'Data shares'!$C:$FA,76)</f>
        <v>-204250</v>
      </c>
      <c r="G27" s="87">
        <f>VLOOKUP(A27,'Data shares'!$C$2:$CA$213,77,0)</f>
        <v>-1.61E-2</v>
      </c>
      <c r="H27" s="86">
        <f>VLOOKUP($A27,'Data shares'!$C:$FA,90)</f>
        <v>5583000</v>
      </c>
      <c r="I27" s="86">
        <f>VLOOKUP($A27,'Data shares'!$C:$FA,92)</f>
        <v>413750</v>
      </c>
      <c r="J27" s="87">
        <f>VLOOKUP($A27,'Data shares'!$C:$FA,93)</f>
        <v>0.08</v>
      </c>
      <c r="K27" s="86">
        <f>VLOOKUP($A27,'Data shares'!$C:$FA,94)</f>
        <v>3198250</v>
      </c>
      <c r="L27" s="86">
        <f>VLOOKUP($A27,'Data shares'!$C:$FA,96)</f>
        <v>1500</v>
      </c>
      <c r="M27" s="87">
        <f>VLOOKUP($A27,'Data shares'!$C:$FA,97)</f>
        <v>5.0000000000000001E-4</v>
      </c>
      <c r="N27" s="86">
        <f>VLOOKUP($A27,'Data shares'!$C:$FA,78)</f>
        <v>12319500</v>
      </c>
      <c r="O27" s="87">
        <f>VLOOKUP($A27,'Data shares'!$C:$FA,81)</f>
        <v>-1.6299999999999999E-2</v>
      </c>
    </row>
    <row r="28" spans="1:15" x14ac:dyDescent="0.25">
      <c r="A28" s="100" t="str">
        <f>'Data Vlaue (Cr)'!C23</f>
        <v>BAJAJHLDNG</v>
      </c>
      <c r="B28" s="82">
        <f>VLOOKUP(A28,'Data shares'!$C$2:$CV$213,98,0)</f>
        <v>363650</v>
      </c>
      <c r="C28" s="82">
        <f>VLOOKUP(A28,'Data shares'!$C$2:$CX$213,100,0)</f>
        <v>3550</v>
      </c>
      <c r="D28" s="141">
        <f>VLOOKUP(A28,'Data shares'!$C$2:$CY$536,101,0)</f>
        <v>9.9000000000000008E-3</v>
      </c>
      <c r="E28" s="86">
        <f>VLOOKUP($A28,'Data shares'!$C:$FA,74)</f>
        <v>221200</v>
      </c>
      <c r="F28" s="86">
        <f>VLOOKUP($A28,'Data shares'!$C:$FA,76)</f>
        <v>2500</v>
      </c>
      <c r="G28" s="87">
        <f>VLOOKUP(A28,'Data shares'!$C$2:$CA$213,77,0)</f>
        <v>1.14E-2</v>
      </c>
      <c r="H28" s="86">
        <f>VLOOKUP($A28,'Data shares'!$C:$FA,90)</f>
        <v>95800</v>
      </c>
      <c r="I28" s="86">
        <f>VLOOKUP($A28,'Data shares'!$C:$FA,92)</f>
        <v>850</v>
      </c>
      <c r="J28" s="87">
        <f>VLOOKUP($A28,'Data shares'!$C:$FA,93)</f>
        <v>8.9999999999999993E-3</v>
      </c>
      <c r="K28" s="86">
        <f>VLOOKUP($A28,'Data shares'!$C:$FA,94)</f>
        <v>46650</v>
      </c>
      <c r="L28" s="86">
        <f>VLOOKUP($A28,'Data shares'!$C:$FA,96)</f>
        <v>200</v>
      </c>
      <c r="M28" s="87">
        <f>VLOOKUP($A28,'Data shares'!$C:$FA,97)</f>
        <v>4.3E-3</v>
      </c>
      <c r="N28" s="86">
        <f>VLOOKUP($A28,'Data shares'!$C:$FA,78)</f>
        <v>218300</v>
      </c>
      <c r="O28" s="87">
        <f>VLOOKUP($A28,'Data shares'!$C:$FA,81)</f>
        <v>9.9000000000000008E-3</v>
      </c>
    </row>
    <row r="29" spans="1:15" x14ac:dyDescent="0.25">
      <c r="A29" s="100" t="str">
        <f>'Data Vlaue (Cr)'!C24</f>
        <v>BAJFINANCE</v>
      </c>
      <c r="B29" s="82">
        <f>VLOOKUP(A29,'Data shares'!$C$2:$CV$213,98,0)</f>
        <v>104751750</v>
      </c>
      <c r="C29" s="82">
        <f>VLOOKUP(A29,'Data shares'!$C$2:$CX$213,100,0)</f>
        <v>-524250</v>
      </c>
      <c r="D29" s="141">
        <f>VLOOKUP(A29,'Data shares'!$C$2:$CY$536,101,0)</f>
        <v>-5.0000000000000001E-3</v>
      </c>
      <c r="E29" s="86">
        <f>VLOOKUP($A29,'Data shares'!$C:$FA,74)</f>
        <v>77542500</v>
      </c>
      <c r="F29" s="86">
        <f>VLOOKUP($A29,'Data shares'!$C:$FA,76)</f>
        <v>-1377750</v>
      </c>
      <c r="G29" s="87">
        <f>VLOOKUP(A29,'Data shares'!$C$2:$CA$213,77,0)</f>
        <v>-1.7500000000000002E-2</v>
      </c>
      <c r="H29" s="86">
        <f>VLOOKUP($A29,'Data shares'!$C:$FA,90)</f>
        <v>14562750</v>
      </c>
      <c r="I29" s="86">
        <f>VLOOKUP($A29,'Data shares'!$C:$FA,92)</f>
        <v>588750</v>
      </c>
      <c r="J29" s="87">
        <f>VLOOKUP($A29,'Data shares'!$C:$FA,93)</f>
        <v>4.2099999999999999E-2</v>
      </c>
      <c r="K29" s="86">
        <f>VLOOKUP($A29,'Data shares'!$C:$FA,94)</f>
        <v>12646500</v>
      </c>
      <c r="L29" s="86">
        <f>VLOOKUP($A29,'Data shares'!$C:$FA,96)</f>
        <v>264750</v>
      </c>
      <c r="M29" s="87">
        <f>VLOOKUP($A29,'Data shares'!$C:$FA,97)</f>
        <v>2.1399999999999999E-2</v>
      </c>
      <c r="N29" s="86">
        <f>VLOOKUP($A29,'Data shares'!$C:$FA,78)</f>
        <v>75914250</v>
      </c>
      <c r="O29" s="87">
        <f>VLOOKUP($A29,'Data shares'!$C:$FA,81)</f>
        <v>-1.8499999999999999E-2</v>
      </c>
    </row>
    <row r="30" spans="1:15" x14ac:dyDescent="0.25">
      <c r="A30" s="100" t="str">
        <f>'Data Vlaue (Cr)'!C25</f>
        <v>BANDHANBNK</v>
      </c>
      <c r="B30" s="82">
        <f>VLOOKUP(A30,'Data shares'!$C$2:$CV$213,98,0)</f>
        <v>137541600</v>
      </c>
      <c r="C30" s="82">
        <f>VLOOKUP(A30,'Data shares'!$C$2:$CX$213,100,0)</f>
        <v>1108800</v>
      </c>
      <c r="D30" s="141">
        <f>VLOOKUP(A30,'Data shares'!$C$2:$CY$536,101,0)</f>
        <v>8.0999999999999996E-3</v>
      </c>
      <c r="E30" s="86">
        <f>VLOOKUP($A30,'Data shares'!$C:$FA,74)</f>
        <v>90399600</v>
      </c>
      <c r="F30" s="86">
        <f>VLOOKUP($A30,'Data shares'!$C:$FA,76)</f>
        <v>342000</v>
      </c>
      <c r="G30" s="87">
        <f>VLOOKUP(A30,'Data shares'!$C$2:$CA$213,77,0)</f>
        <v>3.8E-3</v>
      </c>
      <c r="H30" s="86">
        <f>VLOOKUP($A30,'Data shares'!$C:$FA,90)</f>
        <v>28375200</v>
      </c>
      <c r="I30" s="86">
        <f>VLOOKUP($A30,'Data shares'!$C:$FA,92)</f>
        <v>-720000</v>
      </c>
      <c r="J30" s="87">
        <f>VLOOKUP($A30,'Data shares'!$C:$FA,93)</f>
        <v>-2.47E-2</v>
      </c>
      <c r="K30" s="86">
        <f>VLOOKUP($A30,'Data shares'!$C:$FA,94)</f>
        <v>18766800</v>
      </c>
      <c r="L30" s="86">
        <f>VLOOKUP($A30,'Data shares'!$C:$FA,96)</f>
        <v>1486800</v>
      </c>
      <c r="M30" s="87">
        <f>VLOOKUP($A30,'Data shares'!$C:$FA,97)</f>
        <v>8.5999999999999993E-2</v>
      </c>
      <c r="N30" s="86">
        <f>VLOOKUP($A30,'Data shares'!$C:$FA,78)</f>
        <v>87580800</v>
      </c>
      <c r="O30" s="87">
        <f>VLOOKUP($A30,'Data shares'!$C:$FA,81)</f>
        <v>4.4000000000000003E-3</v>
      </c>
    </row>
    <row r="31" spans="1:15" x14ac:dyDescent="0.25">
      <c r="A31" s="100" t="str">
        <f>'Data Vlaue (Cr)'!C26</f>
        <v>BANKBARODA</v>
      </c>
      <c r="B31" s="82">
        <f>VLOOKUP(A31,'Data shares'!$C$2:$CV$213,98,0)</f>
        <v>162507150</v>
      </c>
      <c r="C31" s="82">
        <f>VLOOKUP(A31,'Data shares'!$C$2:$CX$213,100,0)</f>
        <v>10129275</v>
      </c>
      <c r="D31" s="141">
        <f>VLOOKUP(A31,'Data shares'!$C$2:$CY$536,101,0)</f>
        <v>6.6500000000000004E-2</v>
      </c>
      <c r="E31" s="86">
        <f>VLOOKUP($A31,'Data shares'!$C:$FA,74)</f>
        <v>98057700</v>
      </c>
      <c r="F31" s="86">
        <f>VLOOKUP($A31,'Data shares'!$C:$FA,76)</f>
        <v>7356375</v>
      </c>
      <c r="G31" s="87">
        <f>VLOOKUP(A31,'Data shares'!$C$2:$CA$213,77,0)</f>
        <v>8.1100000000000005E-2</v>
      </c>
      <c r="H31" s="86">
        <f>VLOOKUP($A31,'Data shares'!$C:$FA,90)</f>
        <v>35231625</v>
      </c>
      <c r="I31" s="86">
        <f>VLOOKUP($A31,'Data shares'!$C:$FA,92)</f>
        <v>2328300</v>
      </c>
      <c r="J31" s="87">
        <f>VLOOKUP($A31,'Data shares'!$C:$FA,93)</f>
        <v>7.0800000000000002E-2</v>
      </c>
      <c r="K31" s="86">
        <f>VLOOKUP($A31,'Data shares'!$C:$FA,94)</f>
        <v>29217825</v>
      </c>
      <c r="L31" s="86">
        <f>VLOOKUP($A31,'Data shares'!$C:$FA,96)</f>
        <v>444600</v>
      </c>
      <c r="M31" s="87">
        <f>VLOOKUP($A31,'Data shares'!$C:$FA,97)</f>
        <v>1.55E-2</v>
      </c>
      <c r="N31" s="86">
        <f>VLOOKUP($A31,'Data shares'!$C:$FA,78)</f>
        <v>83432700</v>
      </c>
      <c r="O31" s="87">
        <f>VLOOKUP($A31,'Data shares'!$C:$FA,81)</f>
        <v>3.6799999999999999E-2</v>
      </c>
    </row>
    <row r="32" spans="1:15" x14ac:dyDescent="0.25">
      <c r="A32" s="100" t="str">
        <f>'Data Vlaue (Cr)'!C27</f>
        <v>BANKINDIA</v>
      </c>
      <c r="B32" s="82">
        <f>VLOOKUP(A32,'Data shares'!$C$2:$CV$213,98,0)</f>
        <v>88649600</v>
      </c>
      <c r="C32" s="82">
        <f>VLOOKUP(A32,'Data shares'!$C$2:$CX$213,100,0)</f>
        <v>3489200</v>
      </c>
      <c r="D32" s="141">
        <f>VLOOKUP(A32,'Data shares'!$C$2:$CY$536,101,0)</f>
        <v>4.1000000000000002E-2</v>
      </c>
      <c r="E32" s="86">
        <f>VLOOKUP($A32,'Data shares'!$C:$FA,74)</f>
        <v>53991600</v>
      </c>
      <c r="F32" s="86">
        <f>VLOOKUP($A32,'Data shares'!$C:$FA,76)</f>
        <v>1591200</v>
      </c>
      <c r="G32" s="87">
        <f>VLOOKUP(A32,'Data shares'!$C$2:$CA$213,77,0)</f>
        <v>3.04E-2</v>
      </c>
      <c r="H32" s="86">
        <f>VLOOKUP($A32,'Data shares'!$C:$FA,90)</f>
        <v>18855200</v>
      </c>
      <c r="I32" s="86">
        <f>VLOOKUP($A32,'Data shares'!$C:$FA,92)</f>
        <v>1414400</v>
      </c>
      <c r="J32" s="87">
        <f>VLOOKUP($A32,'Data shares'!$C:$FA,93)</f>
        <v>8.1100000000000005E-2</v>
      </c>
      <c r="K32" s="86">
        <f>VLOOKUP($A32,'Data shares'!$C:$FA,94)</f>
        <v>15802800</v>
      </c>
      <c r="L32" s="86">
        <f>VLOOKUP($A32,'Data shares'!$C:$FA,96)</f>
        <v>483600</v>
      </c>
      <c r="M32" s="87">
        <f>VLOOKUP($A32,'Data shares'!$C:$FA,97)</f>
        <v>3.1600000000000003E-2</v>
      </c>
      <c r="N32" s="86">
        <f>VLOOKUP($A32,'Data shares'!$C:$FA,78)</f>
        <v>52353600</v>
      </c>
      <c r="O32" s="87">
        <f>VLOOKUP($A32,'Data shares'!$C:$FA,81)</f>
        <v>2.98E-2</v>
      </c>
    </row>
    <row r="33" spans="1:15" x14ac:dyDescent="0.25">
      <c r="A33" s="100" t="str">
        <f>'Data Vlaue (Cr)'!C28</f>
        <v>BANKNIFTY</v>
      </c>
      <c r="B33" s="82">
        <f>VLOOKUP(A33,'Data shares'!$C$2:$CV$213,98,0)</f>
        <v>29539550</v>
      </c>
      <c r="C33" s="82">
        <f>VLOOKUP(A33,'Data shares'!$C$2:$CX$213,100,0)</f>
        <v>1808120</v>
      </c>
      <c r="D33" s="141">
        <f>VLOOKUP(A33,'Data shares'!$C$2:$CY$536,101,0)</f>
        <v>6.5199999999999994E-2</v>
      </c>
      <c r="E33" s="86">
        <f>VLOOKUP($A33,'Data shares'!$C:$FA,74)</f>
        <v>2548320</v>
      </c>
      <c r="F33" s="86">
        <f>VLOOKUP($A33,'Data shares'!$C:$FA,76)</f>
        <v>66300</v>
      </c>
      <c r="G33" s="87">
        <f>VLOOKUP(A33,'Data shares'!$C$2:$CA$213,77,0)</f>
        <v>2.6700000000000002E-2</v>
      </c>
      <c r="H33" s="86">
        <f>VLOOKUP($A33,'Data shares'!$C:$FA,90)</f>
        <v>14063830</v>
      </c>
      <c r="I33" s="86">
        <f>VLOOKUP($A33,'Data shares'!$C:$FA,92)</f>
        <v>991895</v>
      </c>
      <c r="J33" s="87">
        <f>VLOOKUP($A33,'Data shares'!$C:$FA,93)</f>
        <v>7.5899999999999995E-2</v>
      </c>
      <c r="K33" s="86">
        <f>VLOOKUP($A33,'Data shares'!$C:$FA,94)</f>
        <v>12927400</v>
      </c>
      <c r="L33" s="86">
        <f>VLOOKUP($A33,'Data shares'!$C:$FA,96)</f>
        <v>749925</v>
      </c>
      <c r="M33" s="87">
        <f>VLOOKUP($A33,'Data shares'!$C:$FA,97)</f>
        <v>6.1600000000000002E-2</v>
      </c>
      <c r="N33" s="86">
        <f>VLOOKUP($A33,'Data shares'!$C:$FA,78)</f>
        <v>1950420</v>
      </c>
      <c r="O33" s="87">
        <f>VLOOKUP($A33,'Data shares'!$C:$FA,81)</f>
        <v>2.81E-2</v>
      </c>
    </row>
    <row r="34" spans="1:15" x14ac:dyDescent="0.25">
      <c r="A34" s="100" t="str">
        <f>'Data Vlaue (Cr)'!C29</f>
        <v>BDL</v>
      </c>
      <c r="B34" s="82">
        <f>VLOOKUP(A34,'Data shares'!$C$2:$CV$213,98,0)</f>
        <v>11420850</v>
      </c>
      <c r="C34" s="82">
        <f>VLOOKUP(A34,'Data shares'!$C$2:$CX$213,100,0)</f>
        <v>-651000</v>
      </c>
      <c r="D34" s="141">
        <f>VLOOKUP(A34,'Data shares'!$C$2:$CY$536,101,0)</f>
        <v>-5.3900000000000003E-2</v>
      </c>
      <c r="E34" s="86">
        <f>VLOOKUP($A34,'Data shares'!$C:$FA,74)</f>
        <v>5269600</v>
      </c>
      <c r="F34" s="86">
        <f>VLOOKUP($A34,'Data shares'!$C:$FA,76)</f>
        <v>-402150</v>
      </c>
      <c r="G34" s="87">
        <f>VLOOKUP(A34,'Data shares'!$C$2:$CA$213,77,0)</f>
        <v>-7.0900000000000005E-2</v>
      </c>
      <c r="H34" s="86">
        <f>VLOOKUP($A34,'Data shares'!$C:$FA,90)</f>
        <v>3806950</v>
      </c>
      <c r="I34" s="86">
        <f>VLOOKUP($A34,'Data shares'!$C:$FA,92)</f>
        <v>-245000</v>
      </c>
      <c r="J34" s="87">
        <f>VLOOKUP($A34,'Data shares'!$C:$FA,93)</f>
        <v>-6.0499999999999998E-2</v>
      </c>
      <c r="K34" s="86">
        <f>VLOOKUP($A34,'Data shares'!$C:$FA,94)</f>
        <v>2344300</v>
      </c>
      <c r="L34" s="86">
        <f>VLOOKUP($A34,'Data shares'!$C:$FA,96)</f>
        <v>-3850</v>
      </c>
      <c r="M34" s="87">
        <f>VLOOKUP($A34,'Data shares'!$C:$FA,97)</f>
        <v>-1.6000000000000001E-3</v>
      </c>
      <c r="N34" s="86">
        <f>VLOOKUP($A34,'Data shares'!$C:$FA,78)</f>
        <v>4706100</v>
      </c>
      <c r="O34" s="87">
        <f>VLOOKUP($A34,'Data shares'!$C:$FA,81)</f>
        <v>-9.1600000000000001E-2</v>
      </c>
    </row>
    <row r="35" spans="1:15" x14ac:dyDescent="0.25">
      <c r="A35" s="100" t="str">
        <f>'Data Vlaue (Cr)'!C30</f>
        <v>BEL</v>
      </c>
      <c r="B35" s="82">
        <f>VLOOKUP(A35,'Data shares'!$C$2:$CV$213,98,0)</f>
        <v>179225100</v>
      </c>
      <c r="C35" s="82">
        <f>VLOOKUP(A35,'Data shares'!$C$2:$CX$213,100,0)</f>
        <v>-6991050</v>
      </c>
      <c r="D35" s="141">
        <f>VLOOKUP(A35,'Data shares'!$C$2:$CY$536,101,0)</f>
        <v>-3.7499999999999999E-2</v>
      </c>
      <c r="E35" s="86">
        <f>VLOOKUP($A35,'Data shares'!$C:$FA,74)</f>
        <v>109451400</v>
      </c>
      <c r="F35" s="86">
        <f>VLOOKUP($A35,'Data shares'!$C:$FA,76)</f>
        <v>-3414300</v>
      </c>
      <c r="G35" s="87">
        <f>VLOOKUP(A35,'Data shares'!$C$2:$CA$213,77,0)</f>
        <v>-3.0300000000000001E-2</v>
      </c>
      <c r="H35" s="86">
        <f>VLOOKUP($A35,'Data shares'!$C:$FA,90)</f>
        <v>41847975</v>
      </c>
      <c r="I35" s="86">
        <f>VLOOKUP($A35,'Data shares'!$C:$FA,92)</f>
        <v>-6244350</v>
      </c>
      <c r="J35" s="87">
        <f>VLOOKUP($A35,'Data shares'!$C:$FA,93)</f>
        <v>-0.1298</v>
      </c>
      <c r="K35" s="86">
        <f>VLOOKUP($A35,'Data shares'!$C:$FA,94)</f>
        <v>27925725</v>
      </c>
      <c r="L35" s="86">
        <f>VLOOKUP($A35,'Data shares'!$C:$FA,96)</f>
        <v>2667600</v>
      </c>
      <c r="M35" s="87">
        <f>VLOOKUP($A35,'Data shares'!$C:$FA,97)</f>
        <v>0.1056</v>
      </c>
      <c r="N35" s="86">
        <f>VLOOKUP($A35,'Data shares'!$C:$FA,78)</f>
        <v>104244450</v>
      </c>
      <c r="O35" s="87">
        <f>VLOOKUP($A35,'Data shares'!$C:$FA,81)</f>
        <v>-3.1399999999999997E-2</v>
      </c>
    </row>
    <row r="36" spans="1:15" x14ac:dyDescent="0.25">
      <c r="A36" s="100" t="str">
        <f>'Data Vlaue (Cr)'!C31</f>
        <v>BHARATFORG</v>
      </c>
      <c r="B36" s="82">
        <f>VLOOKUP(A36,'Data shares'!$C$2:$CV$213,98,0)</f>
        <v>13053000</v>
      </c>
      <c r="C36" s="82">
        <f>VLOOKUP(A36,'Data shares'!$C$2:$CX$213,100,0)</f>
        <v>1055500</v>
      </c>
      <c r="D36" s="141">
        <f>VLOOKUP(A36,'Data shares'!$C$2:$CY$536,101,0)</f>
        <v>8.7999999999999995E-2</v>
      </c>
      <c r="E36" s="86">
        <f>VLOOKUP($A36,'Data shares'!$C:$FA,74)</f>
        <v>7007500</v>
      </c>
      <c r="F36" s="86">
        <f>VLOOKUP($A36,'Data shares'!$C:$FA,76)</f>
        <v>197500</v>
      </c>
      <c r="G36" s="87">
        <f>VLOOKUP(A36,'Data shares'!$C$2:$CA$213,77,0)</f>
        <v>2.9000000000000001E-2</v>
      </c>
      <c r="H36" s="86">
        <f>VLOOKUP($A36,'Data shares'!$C:$FA,90)</f>
        <v>3483000</v>
      </c>
      <c r="I36" s="86">
        <f>VLOOKUP($A36,'Data shares'!$C:$FA,92)</f>
        <v>750000</v>
      </c>
      <c r="J36" s="87">
        <f>VLOOKUP($A36,'Data shares'!$C:$FA,93)</f>
        <v>0.27439999999999998</v>
      </c>
      <c r="K36" s="86">
        <f>VLOOKUP($A36,'Data shares'!$C:$FA,94)</f>
        <v>2562500</v>
      </c>
      <c r="L36" s="86">
        <f>VLOOKUP($A36,'Data shares'!$C:$FA,96)</f>
        <v>108000</v>
      </c>
      <c r="M36" s="87">
        <f>VLOOKUP($A36,'Data shares'!$C:$FA,97)</f>
        <v>4.3999999999999997E-2</v>
      </c>
      <c r="N36" s="86">
        <f>VLOOKUP($A36,'Data shares'!$C:$FA,78)</f>
        <v>6898500</v>
      </c>
      <c r="O36" s="87">
        <f>VLOOKUP($A36,'Data shares'!$C:$FA,81)</f>
        <v>2.86E-2</v>
      </c>
    </row>
    <row r="37" spans="1:15" x14ac:dyDescent="0.25">
      <c r="A37" s="100" t="str">
        <f>'Data Vlaue (Cr)'!C32</f>
        <v>BHARTIARTL</v>
      </c>
      <c r="B37" s="82">
        <f>VLOOKUP(A37,'Data shares'!$C$2:$CV$213,98,0)</f>
        <v>82147925</v>
      </c>
      <c r="C37" s="82">
        <f>VLOOKUP(A37,'Data shares'!$C$2:$CX$213,100,0)</f>
        <v>-2006400</v>
      </c>
      <c r="D37" s="141">
        <f>VLOOKUP(A37,'Data shares'!$C$2:$CY$536,101,0)</f>
        <v>-2.3800000000000002E-2</v>
      </c>
      <c r="E37" s="86">
        <f>VLOOKUP($A37,'Data shares'!$C:$FA,74)</f>
        <v>59609650</v>
      </c>
      <c r="F37" s="86">
        <f>VLOOKUP($A37,'Data shares'!$C:$FA,76)</f>
        <v>-1413125</v>
      </c>
      <c r="G37" s="87">
        <f>VLOOKUP(A37,'Data shares'!$C$2:$CA$213,77,0)</f>
        <v>-2.3199999999999998E-2</v>
      </c>
      <c r="H37" s="86">
        <f>VLOOKUP($A37,'Data shares'!$C:$FA,90)</f>
        <v>14461850</v>
      </c>
      <c r="I37" s="86">
        <f>VLOOKUP($A37,'Data shares'!$C:$FA,92)</f>
        <v>53675</v>
      </c>
      <c r="J37" s="87">
        <f>VLOOKUP($A37,'Data shares'!$C:$FA,93)</f>
        <v>3.7000000000000002E-3</v>
      </c>
      <c r="K37" s="86">
        <f>VLOOKUP($A37,'Data shares'!$C:$FA,94)</f>
        <v>8076425</v>
      </c>
      <c r="L37" s="86">
        <f>VLOOKUP($A37,'Data shares'!$C:$FA,96)</f>
        <v>-646950</v>
      </c>
      <c r="M37" s="87">
        <f>VLOOKUP($A37,'Data shares'!$C:$FA,97)</f>
        <v>-7.4200000000000002E-2</v>
      </c>
      <c r="N37" s="86">
        <f>VLOOKUP($A37,'Data shares'!$C:$FA,78)</f>
        <v>57000950</v>
      </c>
      <c r="O37" s="87">
        <f>VLOOKUP($A37,'Data shares'!$C:$FA,81)</f>
        <v>-2.52E-2</v>
      </c>
    </row>
    <row r="38" spans="1:15" x14ac:dyDescent="0.25">
      <c r="A38" s="100" t="str">
        <f>'Data Vlaue (Cr)'!C33</f>
        <v>BHEL</v>
      </c>
      <c r="B38" s="82">
        <f>VLOOKUP(A38,'Data shares'!$C$2:$CV$213,98,0)</f>
        <v>187871250</v>
      </c>
      <c r="C38" s="82">
        <f>VLOOKUP(A38,'Data shares'!$C$2:$CX$213,100,0)</f>
        <v>5431125</v>
      </c>
      <c r="D38" s="141">
        <f>VLOOKUP(A38,'Data shares'!$C$2:$CY$536,101,0)</f>
        <v>2.98E-2</v>
      </c>
      <c r="E38" s="86">
        <f>VLOOKUP($A38,'Data shares'!$C:$FA,74)</f>
        <v>135114000</v>
      </c>
      <c r="F38" s="86">
        <f>VLOOKUP($A38,'Data shares'!$C:$FA,76)</f>
        <v>4851000</v>
      </c>
      <c r="G38" s="87">
        <f>VLOOKUP(A38,'Data shares'!$C$2:$CA$213,77,0)</f>
        <v>3.7199999999999997E-2</v>
      </c>
      <c r="H38" s="86">
        <f>VLOOKUP($A38,'Data shares'!$C:$FA,90)</f>
        <v>30195375</v>
      </c>
      <c r="I38" s="86">
        <f>VLOOKUP($A38,'Data shares'!$C:$FA,92)</f>
        <v>136500</v>
      </c>
      <c r="J38" s="87">
        <f>VLOOKUP($A38,'Data shares'!$C:$FA,93)</f>
        <v>4.4999999999999997E-3</v>
      </c>
      <c r="K38" s="86">
        <f>VLOOKUP($A38,'Data shares'!$C:$FA,94)</f>
        <v>22561875</v>
      </c>
      <c r="L38" s="86">
        <f>VLOOKUP($A38,'Data shares'!$C:$FA,96)</f>
        <v>443625</v>
      </c>
      <c r="M38" s="87">
        <f>VLOOKUP($A38,'Data shares'!$C:$FA,97)</f>
        <v>2.01E-2</v>
      </c>
      <c r="N38" s="86">
        <f>VLOOKUP($A38,'Data shares'!$C:$FA,78)</f>
        <v>118723500</v>
      </c>
      <c r="O38" s="87">
        <f>VLOOKUP($A38,'Data shares'!$C:$FA,81)</f>
        <v>-4.0000000000000001E-3</v>
      </c>
    </row>
    <row r="39" spans="1:15" x14ac:dyDescent="0.25">
      <c r="A39" s="100" t="str">
        <f>'Data Vlaue (Cr)'!C34</f>
        <v>BIOCON</v>
      </c>
      <c r="B39" s="82">
        <f>VLOOKUP(A39,'Data shares'!$C$2:$CV$213,98,0)</f>
        <v>62855000</v>
      </c>
      <c r="C39" s="82">
        <f>VLOOKUP(A39,'Data shares'!$C$2:$CX$213,100,0)</f>
        <v>-1152500</v>
      </c>
      <c r="D39" s="141">
        <f>VLOOKUP(A39,'Data shares'!$C$2:$CY$536,101,0)</f>
        <v>-1.7999999999999999E-2</v>
      </c>
      <c r="E39" s="86">
        <f>VLOOKUP($A39,'Data shares'!$C:$FA,74)</f>
        <v>37137500</v>
      </c>
      <c r="F39" s="86">
        <f>VLOOKUP($A39,'Data shares'!$C:$FA,76)</f>
        <v>-1397500</v>
      </c>
      <c r="G39" s="87">
        <f>VLOOKUP(A39,'Data shares'!$C$2:$CA$213,77,0)</f>
        <v>-3.6299999999999999E-2</v>
      </c>
      <c r="H39" s="86">
        <f>VLOOKUP($A39,'Data shares'!$C:$FA,90)</f>
        <v>15480000</v>
      </c>
      <c r="I39" s="86">
        <f>VLOOKUP($A39,'Data shares'!$C:$FA,92)</f>
        <v>230000</v>
      </c>
      <c r="J39" s="87">
        <f>VLOOKUP($A39,'Data shares'!$C:$FA,93)</f>
        <v>1.5100000000000001E-2</v>
      </c>
      <c r="K39" s="86">
        <f>VLOOKUP($A39,'Data shares'!$C:$FA,94)</f>
        <v>10237500</v>
      </c>
      <c r="L39" s="86">
        <f>VLOOKUP($A39,'Data shares'!$C:$FA,96)</f>
        <v>15000</v>
      </c>
      <c r="M39" s="87">
        <f>VLOOKUP($A39,'Data shares'!$C:$FA,97)</f>
        <v>1.5E-3</v>
      </c>
      <c r="N39" s="86">
        <f>VLOOKUP($A39,'Data shares'!$C:$FA,78)</f>
        <v>35437500</v>
      </c>
      <c r="O39" s="87">
        <f>VLOOKUP($A39,'Data shares'!$C:$FA,81)</f>
        <v>-3.7999999999999999E-2</v>
      </c>
    </row>
    <row r="40" spans="1:15" x14ac:dyDescent="0.25">
      <c r="A40" s="100" t="str">
        <f>'Data Vlaue (Cr)'!C35</f>
        <v>BLUESTARCO</v>
      </c>
      <c r="B40" s="82">
        <f>VLOOKUP(A40,'Data shares'!$C$2:$CV$213,98,0)</f>
        <v>4253600</v>
      </c>
      <c r="C40" s="82">
        <f>VLOOKUP(A40,'Data shares'!$C$2:$CX$213,100,0)</f>
        <v>304200</v>
      </c>
      <c r="D40" s="141">
        <f>VLOOKUP(A40,'Data shares'!$C$2:$CY$536,101,0)</f>
        <v>7.6999999999999999E-2</v>
      </c>
      <c r="E40" s="86">
        <f>VLOOKUP($A40,'Data shares'!$C:$FA,74)</f>
        <v>2692625</v>
      </c>
      <c r="F40" s="86">
        <f>VLOOKUP($A40,'Data shares'!$C:$FA,76)</f>
        <v>74100</v>
      </c>
      <c r="G40" s="87">
        <f>VLOOKUP(A40,'Data shares'!$C$2:$CA$213,77,0)</f>
        <v>2.8299999999999999E-2</v>
      </c>
      <c r="H40" s="86">
        <f>VLOOKUP($A40,'Data shares'!$C:$FA,90)</f>
        <v>1046825</v>
      </c>
      <c r="I40" s="86">
        <f>VLOOKUP($A40,'Data shares'!$C:$FA,92)</f>
        <v>131300</v>
      </c>
      <c r="J40" s="87">
        <f>VLOOKUP($A40,'Data shares'!$C:$FA,93)</f>
        <v>0.1434</v>
      </c>
      <c r="K40" s="86">
        <f>VLOOKUP($A40,'Data shares'!$C:$FA,94)</f>
        <v>514150</v>
      </c>
      <c r="L40" s="86">
        <f>VLOOKUP($A40,'Data shares'!$C:$FA,96)</f>
        <v>98800</v>
      </c>
      <c r="M40" s="87">
        <f>VLOOKUP($A40,'Data shares'!$C:$FA,97)</f>
        <v>0.2379</v>
      </c>
      <c r="N40" s="86">
        <f>VLOOKUP($A40,'Data shares'!$C:$FA,78)</f>
        <v>2661100</v>
      </c>
      <c r="O40" s="87">
        <f>VLOOKUP($A40,'Data shares'!$C:$FA,81)</f>
        <v>2.6599999999999999E-2</v>
      </c>
    </row>
    <row r="41" spans="1:15" x14ac:dyDescent="0.25">
      <c r="A41" s="100" t="str">
        <f>'Data Vlaue (Cr)'!C36</f>
        <v>BOSCHLTD</v>
      </c>
      <c r="B41" s="82">
        <f>VLOOKUP(A41,'Data shares'!$C$2:$CV$213,98,0)</f>
        <v>463650</v>
      </c>
      <c r="C41" s="82">
        <f>VLOOKUP(A41,'Data shares'!$C$2:$CX$213,100,0)</f>
        <v>18175</v>
      </c>
      <c r="D41" s="141">
        <f>VLOOKUP(A41,'Data shares'!$C$2:$CY$536,101,0)</f>
        <v>4.0800000000000003E-2</v>
      </c>
      <c r="E41" s="86">
        <f>VLOOKUP($A41,'Data shares'!$C:$FA,74)</f>
        <v>208075</v>
      </c>
      <c r="F41" s="86">
        <f>VLOOKUP($A41,'Data shares'!$C:$FA,76)</f>
        <v>425</v>
      </c>
      <c r="G41" s="87">
        <f>VLOOKUP(A41,'Data shares'!$C$2:$CA$213,77,0)</f>
        <v>2E-3</v>
      </c>
      <c r="H41" s="86">
        <f>VLOOKUP($A41,'Data shares'!$C:$FA,90)</f>
        <v>172575</v>
      </c>
      <c r="I41" s="86">
        <f>VLOOKUP($A41,'Data shares'!$C:$FA,92)</f>
        <v>17050</v>
      </c>
      <c r="J41" s="87">
        <f>VLOOKUP($A41,'Data shares'!$C:$FA,93)</f>
        <v>0.1096</v>
      </c>
      <c r="K41" s="86">
        <f>VLOOKUP($A41,'Data shares'!$C:$FA,94)</f>
        <v>83000</v>
      </c>
      <c r="L41" s="86">
        <f>VLOOKUP($A41,'Data shares'!$C:$FA,96)</f>
        <v>700</v>
      </c>
      <c r="M41" s="87">
        <f>VLOOKUP($A41,'Data shares'!$C:$FA,97)</f>
        <v>8.5000000000000006E-3</v>
      </c>
      <c r="N41" s="86">
        <f>VLOOKUP($A41,'Data shares'!$C:$FA,78)</f>
        <v>202825</v>
      </c>
      <c r="O41" s="87">
        <f>VLOOKUP($A41,'Data shares'!$C:$FA,81)</f>
        <v>-4.7999999999999996E-3</v>
      </c>
    </row>
    <row r="42" spans="1:15" x14ac:dyDescent="0.25">
      <c r="A42" s="100" t="str">
        <f>'Data Vlaue (Cr)'!C37</f>
        <v>BPCL</v>
      </c>
      <c r="B42" s="82">
        <f>VLOOKUP(A42,'Data shares'!$C$2:$CV$213,98,0)</f>
        <v>70430475</v>
      </c>
      <c r="C42" s="82">
        <f>VLOOKUP(A42,'Data shares'!$C$2:$CX$213,100,0)</f>
        <v>6685375</v>
      </c>
      <c r="D42" s="141">
        <f>VLOOKUP(A42,'Data shares'!$C$2:$CY$536,101,0)</f>
        <v>0.10489999999999999</v>
      </c>
      <c r="E42" s="86">
        <f>VLOOKUP($A42,'Data shares'!$C:$FA,74)</f>
        <v>38777150</v>
      </c>
      <c r="F42" s="86">
        <f>VLOOKUP($A42,'Data shares'!$C:$FA,76)</f>
        <v>2719575</v>
      </c>
      <c r="G42" s="87">
        <f>VLOOKUP(A42,'Data shares'!$C$2:$CA$213,77,0)</f>
        <v>7.5399999999999995E-2</v>
      </c>
      <c r="H42" s="86">
        <f>VLOOKUP($A42,'Data shares'!$C:$FA,90)</f>
        <v>17160775</v>
      </c>
      <c r="I42" s="86">
        <f>VLOOKUP($A42,'Data shares'!$C:$FA,92)</f>
        <v>2310750</v>
      </c>
      <c r="J42" s="87">
        <f>VLOOKUP($A42,'Data shares'!$C:$FA,93)</f>
        <v>0.15559999999999999</v>
      </c>
      <c r="K42" s="86">
        <f>VLOOKUP($A42,'Data shares'!$C:$FA,94)</f>
        <v>14492550</v>
      </c>
      <c r="L42" s="86">
        <f>VLOOKUP($A42,'Data shares'!$C:$FA,96)</f>
        <v>1655050</v>
      </c>
      <c r="M42" s="87">
        <f>VLOOKUP($A42,'Data shares'!$C:$FA,97)</f>
        <v>0.12889999999999999</v>
      </c>
      <c r="N42" s="86">
        <f>VLOOKUP($A42,'Data shares'!$C:$FA,78)</f>
        <v>38224150</v>
      </c>
      <c r="O42" s="87">
        <f>VLOOKUP($A42,'Data shares'!$C:$FA,81)</f>
        <v>7.46E-2</v>
      </c>
    </row>
    <row r="43" spans="1:15" x14ac:dyDescent="0.25">
      <c r="A43" s="100" t="str">
        <f>'Data Vlaue (Cr)'!C38</f>
        <v>BRITANNIA</v>
      </c>
      <c r="B43" s="82">
        <f>VLOOKUP(A43,'Data shares'!$C$2:$CV$213,98,0)</f>
        <v>4316500</v>
      </c>
      <c r="C43" s="82">
        <f>VLOOKUP(A43,'Data shares'!$C$2:$CX$213,100,0)</f>
        <v>32250</v>
      </c>
      <c r="D43" s="141">
        <f>VLOOKUP(A43,'Data shares'!$C$2:$CY$536,101,0)</f>
        <v>7.4999999999999997E-3</v>
      </c>
      <c r="E43" s="86">
        <f>VLOOKUP($A43,'Data shares'!$C:$FA,74)</f>
        <v>3346250</v>
      </c>
      <c r="F43" s="86">
        <f>VLOOKUP($A43,'Data shares'!$C:$FA,76)</f>
        <v>-33500</v>
      </c>
      <c r="G43" s="87">
        <f>VLOOKUP(A43,'Data shares'!$C$2:$CA$213,77,0)</f>
        <v>-9.9000000000000008E-3</v>
      </c>
      <c r="H43" s="86">
        <f>VLOOKUP($A43,'Data shares'!$C:$FA,90)</f>
        <v>642250</v>
      </c>
      <c r="I43" s="86">
        <f>VLOOKUP($A43,'Data shares'!$C:$FA,92)</f>
        <v>36750</v>
      </c>
      <c r="J43" s="87">
        <f>VLOOKUP($A43,'Data shares'!$C:$FA,93)</f>
        <v>6.0699999999999997E-2</v>
      </c>
      <c r="K43" s="86">
        <f>VLOOKUP($A43,'Data shares'!$C:$FA,94)</f>
        <v>328000</v>
      </c>
      <c r="L43" s="86">
        <f>VLOOKUP($A43,'Data shares'!$C:$FA,96)</f>
        <v>29000</v>
      </c>
      <c r="M43" s="87">
        <f>VLOOKUP($A43,'Data shares'!$C:$FA,97)</f>
        <v>9.7000000000000003E-2</v>
      </c>
      <c r="N43" s="86">
        <f>VLOOKUP($A43,'Data shares'!$C:$FA,78)</f>
        <v>3331250</v>
      </c>
      <c r="O43" s="87">
        <f>VLOOKUP($A43,'Data shares'!$C:$FA,81)</f>
        <v>-1.04E-2</v>
      </c>
    </row>
    <row r="44" spans="1:15" x14ac:dyDescent="0.25">
      <c r="A44" s="100" t="str">
        <f>'Data Vlaue (Cr)'!C39</f>
        <v>BSE</v>
      </c>
      <c r="B44" s="82">
        <f>VLOOKUP(A44,'Data shares'!$C$2:$CV$213,98,0)</f>
        <v>21330750</v>
      </c>
      <c r="C44" s="82">
        <f>VLOOKUP(A44,'Data shares'!$C$2:$CX$213,100,0)</f>
        <v>-289500</v>
      </c>
      <c r="D44" s="141">
        <f>VLOOKUP(A44,'Data shares'!$C$2:$CY$536,101,0)</f>
        <v>-1.34E-2</v>
      </c>
      <c r="E44" s="86">
        <f>VLOOKUP($A44,'Data shares'!$C:$FA,74)</f>
        <v>8667375</v>
      </c>
      <c r="F44" s="86">
        <f>VLOOKUP($A44,'Data shares'!$C:$FA,76)</f>
        <v>-452250</v>
      </c>
      <c r="G44" s="87">
        <f>VLOOKUP(A44,'Data shares'!$C$2:$CA$213,77,0)</f>
        <v>-4.9599999999999998E-2</v>
      </c>
      <c r="H44" s="86">
        <f>VLOOKUP($A44,'Data shares'!$C:$FA,90)</f>
        <v>7206375</v>
      </c>
      <c r="I44" s="86">
        <f>VLOOKUP($A44,'Data shares'!$C:$FA,92)</f>
        <v>-35250</v>
      </c>
      <c r="J44" s="87">
        <f>VLOOKUP($A44,'Data shares'!$C:$FA,93)</f>
        <v>-4.8999999999999998E-3</v>
      </c>
      <c r="K44" s="86">
        <f>VLOOKUP($A44,'Data shares'!$C:$FA,94)</f>
        <v>5457000</v>
      </c>
      <c r="L44" s="86">
        <f>VLOOKUP($A44,'Data shares'!$C:$FA,96)</f>
        <v>198000</v>
      </c>
      <c r="M44" s="87">
        <f>VLOOKUP($A44,'Data shares'!$C:$FA,97)</f>
        <v>3.7600000000000001E-2</v>
      </c>
      <c r="N44" s="86">
        <f>VLOOKUP($A44,'Data shares'!$C:$FA,78)</f>
        <v>8091000</v>
      </c>
      <c r="O44" s="87">
        <f>VLOOKUP($A44,'Data shares'!$C:$FA,81)</f>
        <v>-5.5E-2</v>
      </c>
    </row>
    <row r="45" spans="1:15" x14ac:dyDescent="0.25">
      <c r="A45" s="100" t="str">
        <f>'Data Vlaue (Cr)'!C40</f>
        <v>CAMS</v>
      </c>
      <c r="B45" s="82">
        <f>VLOOKUP(A45,'Data shares'!$C$2:$CV$213,98,0)</f>
        <v>12657750</v>
      </c>
      <c r="C45" s="82">
        <f>VLOOKUP(A45,'Data shares'!$C$2:$CX$213,100,0)</f>
        <v>161250</v>
      </c>
      <c r="D45" s="141">
        <f>VLOOKUP(A45,'Data shares'!$C$2:$CY$536,101,0)</f>
        <v>1.29E-2</v>
      </c>
      <c r="E45" s="86">
        <f>VLOOKUP($A45,'Data shares'!$C:$FA,74)</f>
        <v>7476000</v>
      </c>
      <c r="F45" s="86">
        <f>VLOOKUP($A45,'Data shares'!$C:$FA,76)</f>
        <v>53250</v>
      </c>
      <c r="G45" s="87">
        <f>VLOOKUP(A45,'Data shares'!$C$2:$CA$213,77,0)</f>
        <v>7.1999999999999998E-3</v>
      </c>
      <c r="H45" s="86">
        <f>VLOOKUP($A45,'Data shares'!$C:$FA,90)</f>
        <v>2868000</v>
      </c>
      <c r="I45" s="86">
        <f>VLOOKUP($A45,'Data shares'!$C:$FA,92)</f>
        <v>36000</v>
      </c>
      <c r="J45" s="87">
        <f>VLOOKUP($A45,'Data shares'!$C:$FA,93)</f>
        <v>1.2699999999999999E-2</v>
      </c>
      <c r="K45" s="86">
        <f>VLOOKUP($A45,'Data shares'!$C:$FA,94)</f>
        <v>2313750</v>
      </c>
      <c r="L45" s="86">
        <f>VLOOKUP($A45,'Data shares'!$C:$FA,96)</f>
        <v>72000</v>
      </c>
      <c r="M45" s="87">
        <f>VLOOKUP($A45,'Data shares'!$C:$FA,97)</f>
        <v>3.2099999999999997E-2</v>
      </c>
      <c r="N45" s="86">
        <f>VLOOKUP($A45,'Data shares'!$C:$FA,78)</f>
        <v>7101750</v>
      </c>
      <c r="O45" s="87">
        <f>VLOOKUP($A45,'Data shares'!$C:$FA,81)</f>
        <v>5.4999999999999997E-3</v>
      </c>
    </row>
    <row r="46" spans="1:15" x14ac:dyDescent="0.25">
      <c r="A46" s="100" t="str">
        <f>'Data Vlaue (Cr)'!C41</f>
        <v>CANBK</v>
      </c>
      <c r="B46" s="82">
        <f>VLOOKUP(A46,'Data shares'!$C$2:$CV$213,98,0)</f>
        <v>327496500</v>
      </c>
      <c r="C46" s="82">
        <f>VLOOKUP(A46,'Data shares'!$C$2:$CX$213,100,0)</f>
        <v>21235500</v>
      </c>
      <c r="D46" s="141">
        <f>VLOOKUP(A46,'Data shares'!$C$2:$CY$536,101,0)</f>
        <v>6.93E-2</v>
      </c>
      <c r="E46" s="86">
        <f>VLOOKUP($A46,'Data shares'!$C:$FA,74)</f>
        <v>164538000</v>
      </c>
      <c r="F46" s="86">
        <f>VLOOKUP($A46,'Data shares'!$C:$FA,76)</f>
        <v>2956500</v>
      </c>
      <c r="G46" s="87">
        <f>VLOOKUP(A46,'Data shares'!$C$2:$CA$213,77,0)</f>
        <v>1.83E-2</v>
      </c>
      <c r="H46" s="86">
        <f>VLOOKUP($A46,'Data shares'!$C:$FA,90)</f>
        <v>92468250</v>
      </c>
      <c r="I46" s="86">
        <f>VLOOKUP($A46,'Data shares'!$C:$FA,92)</f>
        <v>11670750</v>
      </c>
      <c r="J46" s="87">
        <f>VLOOKUP($A46,'Data shares'!$C:$FA,93)</f>
        <v>0.1444</v>
      </c>
      <c r="K46" s="86">
        <f>VLOOKUP($A46,'Data shares'!$C:$FA,94)</f>
        <v>70490250</v>
      </c>
      <c r="L46" s="86">
        <f>VLOOKUP($A46,'Data shares'!$C:$FA,96)</f>
        <v>6608250</v>
      </c>
      <c r="M46" s="87">
        <f>VLOOKUP($A46,'Data shares'!$C:$FA,97)</f>
        <v>0.10340000000000001</v>
      </c>
      <c r="N46" s="86">
        <f>VLOOKUP($A46,'Data shares'!$C:$FA,78)</f>
        <v>155904750</v>
      </c>
      <c r="O46" s="87">
        <f>VLOOKUP($A46,'Data shares'!$C:$FA,81)</f>
        <v>1.17E-2</v>
      </c>
    </row>
    <row r="47" spans="1:15" x14ac:dyDescent="0.25">
      <c r="A47" s="100" t="str">
        <f>'Data Vlaue (Cr)'!C42</f>
        <v>CDSL</v>
      </c>
      <c r="B47" s="82">
        <f>VLOOKUP(A47,'Data shares'!$C$2:$CV$213,98,0)</f>
        <v>22648950</v>
      </c>
      <c r="C47" s="82">
        <f>VLOOKUP(A47,'Data shares'!$C$2:$CX$213,100,0)</f>
        <v>85500</v>
      </c>
      <c r="D47" s="141">
        <f>VLOOKUP(A47,'Data shares'!$C$2:$CY$536,101,0)</f>
        <v>3.8E-3</v>
      </c>
      <c r="E47" s="86">
        <f>VLOOKUP($A47,'Data shares'!$C:$FA,74)</f>
        <v>11377200</v>
      </c>
      <c r="F47" s="86">
        <f>VLOOKUP($A47,'Data shares'!$C:$FA,76)</f>
        <v>22800</v>
      </c>
      <c r="G47" s="87">
        <f>VLOOKUP(A47,'Data shares'!$C$2:$CA$213,77,0)</f>
        <v>2E-3</v>
      </c>
      <c r="H47" s="86">
        <f>VLOOKUP($A47,'Data shares'!$C:$FA,90)</f>
        <v>6382575</v>
      </c>
      <c r="I47" s="86">
        <f>VLOOKUP($A47,'Data shares'!$C:$FA,92)</f>
        <v>105450</v>
      </c>
      <c r="J47" s="87">
        <f>VLOOKUP($A47,'Data shares'!$C:$FA,93)</f>
        <v>1.6799999999999999E-2</v>
      </c>
      <c r="K47" s="86">
        <f>VLOOKUP($A47,'Data shares'!$C:$FA,94)</f>
        <v>4889175</v>
      </c>
      <c r="L47" s="86">
        <f>VLOOKUP($A47,'Data shares'!$C:$FA,96)</f>
        <v>-42750</v>
      </c>
      <c r="M47" s="87">
        <f>VLOOKUP($A47,'Data shares'!$C:$FA,97)</f>
        <v>-8.6999999999999994E-3</v>
      </c>
      <c r="N47" s="86">
        <f>VLOOKUP($A47,'Data shares'!$C:$FA,78)</f>
        <v>10261900</v>
      </c>
      <c r="O47" s="87">
        <f>VLOOKUP($A47,'Data shares'!$C:$FA,81)</f>
        <v>-3.0000000000000001E-3</v>
      </c>
    </row>
    <row r="48" spans="1:15" x14ac:dyDescent="0.25">
      <c r="A48" s="100" t="str">
        <f>'Data Vlaue (Cr)'!C43</f>
        <v>CGPOWER</v>
      </c>
      <c r="B48" s="82">
        <f>VLOOKUP(A48,'Data shares'!$C$2:$CV$213,98,0)</f>
        <v>20464600</v>
      </c>
      <c r="C48" s="82">
        <f>VLOOKUP(A48,'Data shares'!$C$2:$CX$213,100,0)</f>
        <v>-327250</v>
      </c>
      <c r="D48" s="141">
        <f>VLOOKUP(A48,'Data shares'!$C$2:$CY$536,101,0)</f>
        <v>-1.5699999999999999E-2</v>
      </c>
      <c r="E48" s="86">
        <f>VLOOKUP($A48,'Data shares'!$C:$FA,74)</f>
        <v>14911550</v>
      </c>
      <c r="F48" s="86">
        <f>VLOOKUP($A48,'Data shares'!$C:$FA,76)</f>
        <v>-205700</v>
      </c>
      <c r="G48" s="87">
        <f>VLOOKUP(A48,'Data shares'!$C$2:$CA$213,77,0)</f>
        <v>-1.3599999999999999E-2</v>
      </c>
      <c r="H48" s="86">
        <f>VLOOKUP($A48,'Data shares'!$C:$FA,90)</f>
        <v>3432300</v>
      </c>
      <c r="I48" s="86">
        <f>VLOOKUP($A48,'Data shares'!$C:$FA,92)</f>
        <v>-95200</v>
      </c>
      <c r="J48" s="87">
        <f>VLOOKUP($A48,'Data shares'!$C:$FA,93)</f>
        <v>-2.7E-2</v>
      </c>
      <c r="K48" s="86">
        <f>VLOOKUP($A48,'Data shares'!$C:$FA,94)</f>
        <v>2120750</v>
      </c>
      <c r="L48" s="86">
        <f>VLOOKUP($A48,'Data shares'!$C:$FA,96)</f>
        <v>-26350</v>
      </c>
      <c r="M48" s="87">
        <f>VLOOKUP($A48,'Data shares'!$C:$FA,97)</f>
        <v>-1.23E-2</v>
      </c>
      <c r="N48" s="86">
        <f>VLOOKUP($A48,'Data shares'!$C:$FA,78)</f>
        <v>14735600</v>
      </c>
      <c r="O48" s="87">
        <f>VLOOKUP($A48,'Data shares'!$C:$FA,81)</f>
        <v>-1.43E-2</v>
      </c>
    </row>
    <row r="49" spans="1:15" x14ac:dyDescent="0.25">
      <c r="A49" s="100" t="str">
        <f>'Data Vlaue (Cr)'!C44</f>
        <v>CHOLAFIN</v>
      </c>
      <c r="B49" s="82">
        <f>VLOOKUP(A49,'Data shares'!$C$2:$CV$213,98,0)</f>
        <v>21763750</v>
      </c>
      <c r="C49" s="82">
        <f>VLOOKUP(A49,'Data shares'!$C$2:$CX$213,100,0)</f>
        <v>-166250</v>
      </c>
      <c r="D49" s="141">
        <f>VLOOKUP(A49,'Data shares'!$C$2:$CY$536,101,0)</f>
        <v>-7.6E-3</v>
      </c>
      <c r="E49" s="86">
        <f>VLOOKUP($A49,'Data shares'!$C:$FA,74)</f>
        <v>16037500</v>
      </c>
      <c r="F49" s="86">
        <f>VLOOKUP($A49,'Data shares'!$C:$FA,76)</f>
        <v>118125</v>
      </c>
      <c r="G49" s="87">
        <f>VLOOKUP(A49,'Data shares'!$C$2:$CA$213,77,0)</f>
        <v>7.4000000000000003E-3</v>
      </c>
      <c r="H49" s="86">
        <f>VLOOKUP($A49,'Data shares'!$C:$FA,90)</f>
        <v>2863750</v>
      </c>
      <c r="I49" s="86">
        <f>VLOOKUP($A49,'Data shares'!$C:$FA,92)</f>
        <v>1250</v>
      </c>
      <c r="J49" s="87">
        <f>VLOOKUP($A49,'Data shares'!$C:$FA,93)</f>
        <v>4.0000000000000002E-4</v>
      </c>
      <c r="K49" s="86">
        <f>VLOOKUP($A49,'Data shares'!$C:$FA,94)</f>
        <v>2862500</v>
      </c>
      <c r="L49" s="86">
        <f>VLOOKUP($A49,'Data shares'!$C:$FA,96)</f>
        <v>-285625</v>
      </c>
      <c r="M49" s="87">
        <f>VLOOKUP($A49,'Data shares'!$C:$FA,97)</f>
        <v>-9.0700000000000003E-2</v>
      </c>
      <c r="N49" s="86">
        <f>VLOOKUP($A49,'Data shares'!$C:$FA,78)</f>
        <v>15938125</v>
      </c>
      <c r="O49" s="87">
        <f>VLOOKUP($A49,'Data shares'!$C:$FA,81)</f>
        <v>7.0000000000000001E-3</v>
      </c>
    </row>
    <row r="50" spans="1:15" x14ac:dyDescent="0.25">
      <c r="A50" s="100" t="str">
        <f>'Data Vlaue (Cr)'!C45</f>
        <v>CIPLA</v>
      </c>
      <c r="B50" s="82">
        <f>VLOOKUP(A50,'Data shares'!$C$2:$CV$213,98,0)</f>
        <v>21161250</v>
      </c>
      <c r="C50" s="82">
        <f>VLOOKUP(A50,'Data shares'!$C$2:$CX$213,100,0)</f>
        <v>-282750</v>
      </c>
      <c r="D50" s="141">
        <f>VLOOKUP(A50,'Data shares'!$C$2:$CY$536,101,0)</f>
        <v>-1.32E-2</v>
      </c>
      <c r="E50" s="86">
        <f>VLOOKUP($A50,'Data shares'!$C:$FA,74)</f>
        <v>13269375</v>
      </c>
      <c r="F50" s="86">
        <f>VLOOKUP($A50,'Data shares'!$C:$FA,76)</f>
        <v>-52125</v>
      </c>
      <c r="G50" s="87">
        <f>VLOOKUP(A50,'Data shares'!$C$2:$CA$213,77,0)</f>
        <v>-3.8999999999999998E-3</v>
      </c>
      <c r="H50" s="86">
        <f>VLOOKUP($A50,'Data shares'!$C:$FA,90)</f>
        <v>4858125</v>
      </c>
      <c r="I50" s="86">
        <f>VLOOKUP($A50,'Data shares'!$C:$FA,92)</f>
        <v>-258000</v>
      </c>
      <c r="J50" s="87">
        <f>VLOOKUP($A50,'Data shares'!$C:$FA,93)</f>
        <v>-5.04E-2</v>
      </c>
      <c r="K50" s="86">
        <f>VLOOKUP($A50,'Data shares'!$C:$FA,94)</f>
        <v>3033750</v>
      </c>
      <c r="L50" s="86">
        <f>VLOOKUP($A50,'Data shares'!$C:$FA,96)</f>
        <v>27375</v>
      </c>
      <c r="M50" s="87">
        <f>VLOOKUP($A50,'Data shares'!$C:$FA,97)</f>
        <v>9.1000000000000004E-3</v>
      </c>
      <c r="N50" s="86">
        <f>VLOOKUP($A50,'Data shares'!$C:$FA,78)</f>
        <v>13060500</v>
      </c>
      <c r="O50" s="87">
        <f>VLOOKUP($A50,'Data shares'!$C:$FA,81)</f>
        <v>-4.4000000000000003E-3</v>
      </c>
    </row>
    <row r="51" spans="1:15" x14ac:dyDescent="0.25">
      <c r="A51" s="100" t="str">
        <f>'Data Vlaue (Cr)'!C46</f>
        <v>COALINDIA</v>
      </c>
      <c r="B51" s="82">
        <f>VLOOKUP(A51,'Data shares'!$C$2:$CV$213,98,0)</f>
        <v>96304950</v>
      </c>
      <c r="C51" s="82">
        <f>VLOOKUP(A51,'Data shares'!$C$2:$CX$213,100,0)</f>
        <v>8974800</v>
      </c>
      <c r="D51" s="141">
        <f>VLOOKUP(A51,'Data shares'!$C$2:$CY$536,101,0)</f>
        <v>0.1028</v>
      </c>
      <c r="E51" s="86">
        <f>VLOOKUP($A51,'Data shares'!$C:$FA,74)</f>
        <v>46484550</v>
      </c>
      <c r="F51" s="86">
        <f>VLOOKUP($A51,'Data shares'!$C:$FA,76)</f>
        <v>232200</v>
      </c>
      <c r="G51" s="87">
        <f>VLOOKUP(A51,'Data shares'!$C$2:$CA$213,77,0)</f>
        <v>5.0000000000000001E-3</v>
      </c>
      <c r="H51" s="86">
        <f>VLOOKUP($A51,'Data shares'!$C:$FA,90)</f>
        <v>28588950</v>
      </c>
      <c r="I51" s="86">
        <f>VLOOKUP($A51,'Data shares'!$C:$FA,92)</f>
        <v>3181950</v>
      </c>
      <c r="J51" s="87">
        <f>VLOOKUP($A51,'Data shares'!$C:$FA,93)</f>
        <v>0.12520000000000001</v>
      </c>
      <c r="K51" s="86">
        <f>VLOOKUP($A51,'Data shares'!$C:$FA,94)</f>
        <v>21231450</v>
      </c>
      <c r="L51" s="86">
        <f>VLOOKUP($A51,'Data shares'!$C:$FA,96)</f>
        <v>5560650</v>
      </c>
      <c r="M51" s="87">
        <f>VLOOKUP($A51,'Data shares'!$C:$FA,97)</f>
        <v>0.3548</v>
      </c>
      <c r="N51" s="86">
        <f>VLOOKUP($A51,'Data shares'!$C:$FA,78)</f>
        <v>41316750</v>
      </c>
      <c r="O51" s="87">
        <f>VLOOKUP($A51,'Data shares'!$C:$FA,81)</f>
        <v>5.7999999999999996E-3</v>
      </c>
    </row>
    <row r="52" spans="1:15" x14ac:dyDescent="0.25">
      <c r="A52" s="100" t="str">
        <f>'Data Vlaue (Cr)'!C47</f>
        <v>COFORGE</v>
      </c>
      <c r="B52" s="82">
        <f>VLOOKUP(A52,'Data shares'!$C$2:$CV$213,98,0)</f>
        <v>43167750</v>
      </c>
      <c r="C52" s="82">
        <f>VLOOKUP(A52,'Data shares'!$C$2:$CX$213,100,0)</f>
        <v>1885500</v>
      </c>
      <c r="D52" s="141">
        <f>VLOOKUP(A52,'Data shares'!$C$2:$CY$536,101,0)</f>
        <v>4.5699999999999998E-2</v>
      </c>
      <c r="E52" s="86">
        <f>VLOOKUP($A52,'Data shares'!$C:$FA,74)</f>
        <v>27118875</v>
      </c>
      <c r="F52" s="86">
        <f>VLOOKUP($A52,'Data shares'!$C:$FA,76)</f>
        <v>736125</v>
      </c>
      <c r="G52" s="87">
        <f>VLOOKUP(A52,'Data shares'!$C$2:$CA$213,77,0)</f>
        <v>2.7900000000000001E-2</v>
      </c>
      <c r="H52" s="86">
        <f>VLOOKUP($A52,'Data shares'!$C:$FA,90)</f>
        <v>11232375</v>
      </c>
      <c r="I52" s="86">
        <f>VLOOKUP($A52,'Data shares'!$C:$FA,92)</f>
        <v>894750</v>
      </c>
      <c r="J52" s="87">
        <f>VLOOKUP($A52,'Data shares'!$C:$FA,93)</f>
        <v>8.6599999999999996E-2</v>
      </c>
      <c r="K52" s="86">
        <f>VLOOKUP($A52,'Data shares'!$C:$FA,94)</f>
        <v>4816500</v>
      </c>
      <c r="L52" s="86">
        <f>VLOOKUP($A52,'Data shares'!$C:$FA,96)</f>
        <v>254625</v>
      </c>
      <c r="M52" s="87">
        <f>VLOOKUP($A52,'Data shares'!$C:$FA,97)</f>
        <v>5.5800000000000002E-2</v>
      </c>
      <c r="N52" s="86">
        <f>VLOOKUP($A52,'Data shares'!$C:$FA,78)</f>
        <v>26085750</v>
      </c>
      <c r="O52" s="87">
        <f>VLOOKUP($A52,'Data shares'!$C:$FA,81)</f>
        <v>2.3E-2</v>
      </c>
    </row>
    <row r="53" spans="1:15" x14ac:dyDescent="0.25">
      <c r="A53" s="100" t="str">
        <f>'Data Vlaue (Cr)'!C48</f>
        <v>COLPAL</v>
      </c>
      <c r="B53" s="82">
        <f>VLOOKUP(A53,'Data shares'!$C$2:$CV$213,98,0)</f>
        <v>8506575</v>
      </c>
      <c r="C53" s="82">
        <f>VLOOKUP(A53,'Data shares'!$C$2:$CX$213,100,0)</f>
        <v>80550</v>
      </c>
      <c r="D53" s="141">
        <f>VLOOKUP(A53,'Data shares'!$C$2:$CY$536,101,0)</f>
        <v>9.5999999999999992E-3</v>
      </c>
      <c r="E53" s="86">
        <f>VLOOKUP($A53,'Data shares'!$C:$FA,74)</f>
        <v>5510925</v>
      </c>
      <c r="F53" s="86">
        <f>VLOOKUP($A53,'Data shares'!$C:$FA,76)</f>
        <v>-16650</v>
      </c>
      <c r="G53" s="87">
        <f>VLOOKUP(A53,'Data shares'!$C$2:$CA$213,77,0)</f>
        <v>-3.0000000000000001E-3</v>
      </c>
      <c r="H53" s="86">
        <f>VLOOKUP($A53,'Data shares'!$C:$FA,90)</f>
        <v>1785825</v>
      </c>
      <c r="I53" s="86">
        <f>VLOOKUP($A53,'Data shares'!$C:$FA,92)</f>
        <v>-9675</v>
      </c>
      <c r="J53" s="87">
        <f>VLOOKUP($A53,'Data shares'!$C:$FA,93)</f>
        <v>-5.4000000000000003E-3</v>
      </c>
      <c r="K53" s="86">
        <f>VLOOKUP($A53,'Data shares'!$C:$FA,94)</f>
        <v>1209825</v>
      </c>
      <c r="L53" s="86">
        <f>VLOOKUP($A53,'Data shares'!$C:$FA,96)</f>
        <v>106875</v>
      </c>
      <c r="M53" s="87">
        <f>VLOOKUP($A53,'Data shares'!$C:$FA,97)</f>
        <v>9.69E-2</v>
      </c>
      <c r="N53" s="86">
        <f>VLOOKUP($A53,'Data shares'!$C:$FA,78)</f>
        <v>5358375</v>
      </c>
      <c r="O53" s="87">
        <f>VLOOKUP($A53,'Data shares'!$C:$FA,81)</f>
        <v>-4.7000000000000002E-3</v>
      </c>
    </row>
    <row r="54" spans="1:15" x14ac:dyDescent="0.25">
      <c r="A54" s="100" t="str">
        <f>'Data Vlaue (Cr)'!C49</f>
        <v>CONCOR</v>
      </c>
      <c r="B54" s="82">
        <f>VLOOKUP(A54,'Data shares'!$C$2:$CV$213,98,0)</f>
        <v>47403750</v>
      </c>
      <c r="C54" s="82">
        <f>VLOOKUP(A54,'Data shares'!$C$2:$CX$213,100,0)</f>
        <v>-345000</v>
      </c>
      <c r="D54" s="141">
        <f>VLOOKUP(A54,'Data shares'!$C$2:$CY$536,101,0)</f>
        <v>-7.1999999999999998E-3</v>
      </c>
      <c r="E54" s="86">
        <f>VLOOKUP($A54,'Data shares'!$C:$FA,74)</f>
        <v>29300000</v>
      </c>
      <c r="F54" s="86">
        <f>VLOOKUP($A54,'Data shares'!$C:$FA,76)</f>
        <v>-246250</v>
      </c>
      <c r="G54" s="87">
        <f>VLOOKUP(A54,'Data shares'!$C$2:$CA$213,77,0)</f>
        <v>-8.3000000000000001E-3</v>
      </c>
      <c r="H54" s="86">
        <f>VLOOKUP($A54,'Data shares'!$C:$FA,90)</f>
        <v>10265000</v>
      </c>
      <c r="I54" s="86">
        <f>VLOOKUP($A54,'Data shares'!$C:$FA,92)</f>
        <v>-600000</v>
      </c>
      <c r="J54" s="87">
        <f>VLOOKUP($A54,'Data shares'!$C:$FA,93)</f>
        <v>-5.5199999999999999E-2</v>
      </c>
      <c r="K54" s="86">
        <f>VLOOKUP($A54,'Data shares'!$C:$FA,94)</f>
        <v>7838750</v>
      </c>
      <c r="L54" s="86">
        <f>VLOOKUP($A54,'Data shares'!$C:$FA,96)</f>
        <v>501250</v>
      </c>
      <c r="M54" s="87">
        <f>VLOOKUP($A54,'Data shares'!$C:$FA,97)</f>
        <v>6.83E-2</v>
      </c>
      <c r="N54" s="86">
        <f>VLOOKUP($A54,'Data shares'!$C:$FA,78)</f>
        <v>28122500</v>
      </c>
      <c r="O54" s="87">
        <f>VLOOKUP($A54,'Data shares'!$C:$FA,81)</f>
        <v>-7.1000000000000004E-3</v>
      </c>
    </row>
    <row r="55" spans="1:15" x14ac:dyDescent="0.25">
      <c r="A55" s="100" t="str">
        <f>'Data Vlaue (Cr)'!C50</f>
        <v>CROMPTON</v>
      </c>
      <c r="B55" s="82">
        <f>VLOOKUP(A55,'Data shares'!$C$2:$CV$213,98,0)</f>
        <v>61664400</v>
      </c>
      <c r="C55" s="82">
        <f>VLOOKUP(A55,'Data shares'!$C$2:$CX$213,100,0)</f>
        <v>900000</v>
      </c>
      <c r="D55" s="141">
        <f>VLOOKUP(A55,'Data shares'!$C$2:$CY$536,101,0)</f>
        <v>1.4800000000000001E-2</v>
      </c>
      <c r="E55" s="86">
        <f>VLOOKUP($A55,'Data shares'!$C:$FA,74)</f>
        <v>48369600</v>
      </c>
      <c r="F55" s="86">
        <f>VLOOKUP($A55,'Data shares'!$C:$FA,76)</f>
        <v>313200</v>
      </c>
      <c r="G55" s="87">
        <f>VLOOKUP(A55,'Data shares'!$C$2:$CA$213,77,0)</f>
        <v>6.4999999999999997E-3</v>
      </c>
      <c r="H55" s="86">
        <f>VLOOKUP($A55,'Data shares'!$C:$FA,90)</f>
        <v>8816400</v>
      </c>
      <c r="I55" s="86">
        <f>VLOOKUP($A55,'Data shares'!$C:$FA,92)</f>
        <v>370800</v>
      </c>
      <c r="J55" s="87">
        <f>VLOOKUP($A55,'Data shares'!$C:$FA,93)</f>
        <v>4.3900000000000002E-2</v>
      </c>
      <c r="K55" s="86">
        <f>VLOOKUP($A55,'Data shares'!$C:$FA,94)</f>
        <v>4478400</v>
      </c>
      <c r="L55" s="86">
        <f>VLOOKUP($A55,'Data shares'!$C:$FA,96)</f>
        <v>216000</v>
      </c>
      <c r="M55" s="87">
        <f>VLOOKUP($A55,'Data shares'!$C:$FA,97)</f>
        <v>5.0700000000000002E-2</v>
      </c>
      <c r="N55" s="86">
        <f>VLOOKUP($A55,'Data shares'!$C:$FA,78)</f>
        <v>47467800</v>
      </c>
      <c r="O55" s="87">
        <f>VLOOKUP($A55,'Data shares'!$C:$FA,81)</f>
        <v>6.0000000000000001E-3</v>
      </c>
    </row>
    <row r="56" spans="1:15" x14ac:dyDescent="0.25">
      <c r="A56" s="100" t="str">
        <f>'Data Vlaue (Cr)'!C51</f>
        <v>CUMMINSIND</v>
      </c>
      <c r="B56" s="82">
        <f>VLOOKUP(A56,'Data shares'!$C$2:$CV$213,98,0)</f>
        <v>4685400</v>
      </c>
      <c r="C56" s="82">
        <f>VLOOKUP(A56,'Data shares'!$C$2:$CX$213,100,0)</f>
        <v>40400</v>
      </c>
      <c r="D56" s="141">
        <f>VLOOKUP(A56,'Data shares'!$C$2:$CY$536,101,0)</f>
        <v>8.6999999999999994E-3</v>
      </c>
      <c r="E56" s="86">
        <f>VLOOKUP($A56,'Data shares'!$C:$FA,74)</f>
        <v>3262200</v>
      </c>
      <c r="F56" s="86">
        <f>VLOOKUP($A56,'Data shares'!$C:$FA,76)</f>
        <v>-47400</v>
      </c>
      <c r="G56" s="87">
        <f>VLOOKUP(A56,'Data shares'!$C$2:$CA$213,77,0)</f>
        <v>-1.43E-2</v>
      </c>
      <c r="H56" s="86">
        <f>VLOOKUP($A56,'Data shares'!$C:$FA,90)</f>
        <v>832800</v>
      </c>
      <c r="I56" s="86">
        <f>VLOOKUP($A56,'Data shares'!$C:$FA,92)</f>
        <v>95800</v>
      </c>
      <c r="J56" s="87">
        <f>VLOOKUP($A56,'Data shares'!$C:$FA,93)</f>
        <v>0.13</v>
      </c>
      <c r="K56" s="86">
        <f>VLOOKUP($A56,'Data shares'!$C:$FA,94)</f>
        <v>590400</v>
      </c>
      <c r="L56" s="86">
        <f>VLOOKUP($A56,'Data shares'!$C:$FA,96)</f>
        <v>-8000</v>
      </c>
      <c r="M56" s="87">
        <f>VLOOKUP($A56,'Data shares'!$C:$FA,97)</f>
        <v>-1.34E-2</v>
      </c>
      <c r="N56" s="86">
        <f>VLOOKUP($A56,'Data shares'!$C:$FA,78)</f>
        <v>3228800</v>
      </c>
      <c r="O56" s="87">
        <f>VLOOKUP($A56,'Data shares'!$C:$FA,81)</f>
        <v>-1.6E-2</v>
      </c>
    </row>
    <row r="57" spans="1:15" x14ac:dyDescent="0.25">
      <c r="A57" s="100" t="str">
        <f>'Data Vlaue (Cr)'!C52</f>
        <v>DABUR</v>
      </c>
      <c r="B57" s="82">
        <f>VLOOKUP(A57,'Data shares'!$C$2:$CV$213,98,0)</f>
        <v>38438750</v>
      </c>
      <c r="C57" s="82">
        <f>VLOOKUP(A57,'Data shares'!$C$2:$CX$213,100,0)</f>
        <v>1502500</v>
      </c>
      <c r="D57" s="141">
        <f>VLOOKUP(A57,'Data shares'!$C$2:$CY$536,101,0)</f>
        <v>4.07E-2</v>
      </c>
      <c r="E57" s="86">
        <f>VLOOKUP($A57,'Data shares'!$C:$FA,74)</f>
        <v>25213750</v>
      </c>
      <c r="F57" s="86">
        <f>VLOOKUP($A57,'Data shares'!$C:$FA,76)</f>
        <v>361250</v>
      </c>
      <c r="G57" s="87">
        <f>VLOOKUP(A57,'Data shares'!$C$2:$CA$213,77,0)</f>
        <v>1.4500000000000001E-2</v>
      </c>
      <c r="H57" s="86">
        <f>VLOOKUP($A57,'Data shares'!$C:$FA,90)</f>
        <v>8855000</v>
      </c>
      <c r="I57" s="86">
        <f>VLOOKUP($A57,'Data shares'!$C:$FA,92)</f>
        <v>1000000</v>
      </c>
      <c r="J57" s="87">
        <f>VLOOKUP($A57,'Data shares'!$C:$FA,93)</f>
        <v>0.1273</v>
      </c>
      <c r="K57" s="86">
        <f>VLOOKUP($A57,'Data shares'!$C:$FA,94)</f>
        <v>4370000</v>
      </c>
      <c r="L57" s="86">
        <f>VLOOKUP($A57,'Data shares'!$C:$FA,96)</f>
        <v>141250</v>
      </c>
      <c r="M57" s="87">
        <f>VLOOKUP($A57,'Data shares'!$C:$FA,97)</f>
        <v>3.3399999999999999E-2</v>
      </c>
      <c r="N57" s="86">
        <f>VLOOKUP($A57,'Data shares'!$C:$FA,78)</f>
        <v>24767500</v>
      </c>
      <c r="O57" s="87">
        <f>VLOOKUP($A57,'Data shares'!$C:$FA,81)</f>
        <v>1.06E-2</v>
      </c>
    </row>
    <row r="58" spans="1:15" x14ac:dyDescent="0.25">
      <c r="A58" s="100" t="str">
        <f>'Data Vlaue (Cr)'!C53</f>
        <v>DALBHARAT</v>
      </c>
      <c r="B58" s="82">
        <f>VLOOKUP(A58,'Data shares'!$C$2:$CV$213,98,0)</f>
        <v>3984500</v>
      </c>
      <c r="C58" s="82">
        <f>VLOOKUP(A58,'Data shares'!$C$2:$CX$213,100,0)</f>
        <v>50700</v>
      </c>
      <c r="D58" s="141">
        <f>VLOOKUP(A58,'Data shares'!$C$2:$CY$536,101,0)</f>
        <v>1.29E-2</v>
      </c>
      <c r="E58" s="86">
        <f>VLOOKUP($A58,'Data shares'!$C:$FA,74)</f>
        <v>2102750</v>
      </c>
      <c r="F58" s="86">
        <f>VLOOKUP($A58,'Data shares'!$C:$FA,76)</f>
        <v>-6825</v>
      </c>
      <c r="G58" s="87">
        <f>VLOOKUP(A58,'Data shares'!$C$2:$CA$213,77,0)</f>
        <v>-3.2000000000000002E-3</v>
      </c>
      <c r="H58" s="86">
        <f>VLOOKUP($A58,'Data shares'!$C:$FA,90)</f>
        <v>944125</v>
      </c>
      <c r="I58" s="86">
        <f>VLOOKUP($A58,'Data shares'!$C:$FA,92)</f>
        <v>71825</v>
      </c>
      <c r="J58" s="87">
        <f>VLOOKUP($A58,'Data shares'!$C:$FA,93)</f>
        <v>8.2299999999999998E-2</v>
      </c>
      <c r="K58" s="86">
        <f>VLOOKUP($A58,'Data shares'!$C:$FA,94)</f>
        <v>937625</v>
      </c>
      <c r="L58" s="86">
        <f>VLOOKUP($A58,'Data shares'!$C:$FA,96)</f>
        <v>-14300</v>
      </c>
      <c r="M58" s="87">
        <f>VLOOKUP($A58,'Data shares'!$C:$FA,97)</f>
        <v>-1.4999999999999999E-2</v>
      </c>
      <c r="N58" s="86">
        <f>VLOOKUP($A58,'Data shares'!$C:$FA,78)</f>
        <v>2071875</v>
      </c>
      <c r="O58" s="87">
        <f>VLOOKUP($A58,'Data shares'!$C:$FA,81)</f>
        <v>-5.1000000000000004E-3</v>
      </c>
    </row>
    <row r="59" spans="1:15" x14ac:dyDescent="0.25">
      <c r="A59" s="100" t="str">
        <f>'Data Vlaue (Cr)'!C54</f>
        <v>DELHIVERY</v>
      </c>
      <c r="B59" s="82">
        <f>VLOOKUP(A59,'Data shares'!$C$2:$CV$213,98,0)</f>
        <v>32536000</v>
      </c>
      <c r="C59" s="82">
        <f>VLOOKUP(A59,'Data shares'!$C$2:$CX$213,100,0)</f>
        <v>1572850</v>
      </c>
      <c r="D59" s="141">
        <f>VLOOKUP(A59,'Data shares'!$C$2:$CY$536,101,0)</f>
        <v>5.0799999999999998E-2</v>
      </c>
      <c r="E59" s="86">
        <f>VLOOKUP($A59,'Data shares'!$C:$FA,74)</f>
        <v>23513900</v>
      </c>
      <c r="F59" s="86">
        <f>VLOOKUP($A59,'Data shares'!$C:$FA,76)</f>
        <v>112050</v>
      </c>
      <c r="G59" s="87">
        <f>VLOOKUP(A59,'Data shares'!$C$2:$CA$213,77,0)</f>
        <v>4.7999999999999996E-3</v>
      </c>
      <c r="H59" s="86">
        <f>VLOOKUP($A59,'Data shares'!$C:$FA,90)</f>
        <v>6262350</v>
      </c>
      <c r="I59" s="86">
        <f>VLOOKUP($A59,'Data shares'!$C:$FA,92)</f>
        <v>1110125</v>
      </c>
      <c r="J59" s="87">
        <f>VLOOKUP($A59,'Data shares'!$C:$FA,93)</f>
        <v>0.2155</v>
      </c>
      <c r="K59" s="86">
        <f>VLOOKUP($A59,'Data shares'!$C:$FA,94)</f>
        <v>2759750</v>
      </c>
      <c r="L59" s="86">
        <f>VLOOKUP($A59,'Data shares'!$C:$FA,96)</f>
        <v>350675</v>
      </c>
      <c r="M59" s="87">
        <f>VLOOKUP($A59,'Data shares'!$C:$FA,97)</f>
        <v>0.14560000000000001</v>
      </c>
      <c r="N59" s="86">
        <f>VLOOKUP($A59,'Data shares'!$C:$FA,78)</f>
        <v>23221325</v>
      </c>
      <c r="O59" s="87">
        <f>VLOOKUP($A59,'Data shares'!$C:$FA,81)</f>
        <v>4.4000000000000003E-3</v>
      </c>
    </row>
    <row r="60" spans="1:15" x14ac:dyDescent="0.25">
      <c r="A60" s="100" t="str">
        <f>'Data Vlaue (Cr)'!C55</f>
        <v>DIVISLAB</v>
      </c>
      <c r="B60" s="82">
        <f>VLOOKUP(A60,'Data shares'!$C$2:$CV$213,98,0)</f>
        <v>3831400</v>
      </c>
      <c r="C60" s="82">
        <f>VLOOKUP(A60,'Data shares'!$C$2:$CX$213,100,0)</f>
        <v>39300</v>
      </c>
      <c r="D60" s="141">
        <f>VLOOKUP(A60,'Data shares'!$C$2:$CY$536,101,0)</f>
        <v>1.04E-2</v>
      </c>
      <c r="E60" s="86">
        <f>VLOOKUP($A60,'Data shares'!$C:$FA,74)</f>
        <v>2732000</v>
      </c>
      <c r="F60" s="86">
        <f>VLOOKUP($A60,'Data shares'!$C:$FA,76)</f>
        <v>-16600</v>
      </c>
      <c r="G60" s="87">
        <f>VLOOKUP(A60,'Data shares'!$C$2:$CA$213,77,0)</f>
        <v>-6.0000000000000001E-3</v>
      </c>
      <c r="H60" s="86">
        <f>VLOOKUP($A60,'Data shares'!$C:$FA,90)</f>
        <v>700000</v>
      </c>
      <c r="I60" s="86">
        <f>VLOOKUP($A60,'Data shares'!$C:$FA,92)</f>
        <v>39800</v>
      </c>
      <c r="J60" s="87">
        <f>VLOOKUP($A60,'Data shares'!$C:$FA,93)</f>
        <v>6.0299999999999999E-2</v>
      </c>
      <c r="K60" s="86">
        <f>VLOOKUP($A60,'Data shares'!$C:$FA,94)</f>
        <v>399400</v>
      </c>
      <c r="L60" s="86">
        <f>VLOOKUP($A60,'Data shares'!$C:$FA,96)</f>
        <v>16100</v>
      </c>
      <c r="M60" s="87">
        <f>VLOOKUP($A60,'Data shares'!$C:$FA,97)</f>
        <v>4.2000000000000003E-2</v>
      </c>
      <c r="N60" s="86">
        <f>VLOOKUP($A60,'Data shares'!$C:$FA,78)</f>
        <v>2713300</v>
      </c>
      <c r="O60" s="87">
        <f>VLOOKUP($A60,'Data shares'!$C:$FA,81)</f>
        <v>-6.3E-3</v>
      </c>
    </row>
    <row r="61" spans="1:15" x14ac:dyDescent="0.25">
      <c r="A61" s="100" t="str">
        <f>'Data Vlaue (Cr)'!C56</f>
        <v>DIXON</v>
      </c>
      <c r="B61" s="82">
        <f>VLOOKUP(A61,'Data shares'!$C$2:$CV$213,98,0)</f>
        <v>5607950</v>
      </c>
      <c r="C61" s="82">
        <f>VLOOKUP(A61,'Data shares'!$C$2:$CX$213,100,0)</f>
        <v>-39350</v>
      </c>
      <c r="D61" s="141">
        <f>VLOOKUP(A61,'Data shares'!$C$2:$CY$536,101,0)</f>
        <v>-7.0000000000000001E-3</v>
      </c>
      <c r="E61" s="86">
        <f>VLOOKUP($A61,'Data shares'!$C:$FA,74)</f>
        <v>2610100</v>
      </c>
      <c r="F61" s="86">
        <f>VLOOKUP($A61,'Data shares'!$C:$FA,76)</f>
        <v>-39700</v>
      </c>
      <c r="G61" s="87">
        <f>VLOOKUP(A61,'Data shares'!$C$2:$CA$213,77,0)</f>
        <v>-1.4999999999999999E-2</v>
      </c>
      <c r="H61" s="86">
        <f>VLOOKUP($A61,'Data shares'!$C:$FA,90)</f>
        <v>1867450</v>
      </c>
      <c r="I61" s="86">
        <f>VLOOKUP($A61,'Data shares'!$C:$FA,92)</f>
        <v>1100</v>
      </c>
      <c r="J61" s="87">
        <f>VLOOKUP($A61,'Data shares'!$C:$FA,93)</f>
        <v>5.9999999999999995E-4</v>
      </c>
      <c r="K61" s="86">
        <f>VLOOKUP($A61,'Data shares'!$C:$FA,94)</f>
        <v>1130400</v>
      </c>
      <c r="L61" s="86">
        <f>VLOOKUP($A61,'Data shares'!$C:$FA,96)</f>
        <v>-750</v>
      </c>
      <c r="M61" s="87">
        <f>VLOOKUP($A61,'Data shares'!$C:$FA,97)</f>
        <v>-6.9999999999999999E-4</v>
      </c>
      <c r="N61" s="86">
        <f>VLOOKUP($A61,'Data shares'!$C:$FA,78)</f>
        <v>2472600</v>
      </c>
      <c r="O61" s="87">
        <f>VLOOKUP($A61,'Data shares'!$C:$FA,81)</f>
        <v>-1.5800000000000002E-2</v>
      </c>
    </row>
    <row r="62" spans="1:15" x14ac:dyDescent="0.25">
      <c r="A62" s="100" t="str">
        <f>'Data Vlaue (Cr)'!C57</f>
        <v>DLF</v>
      </c>
      <c r="B62" s="82">
        <f>VLOOKUP(A62,'Data shares'!$C$2:$CV$213,98,0)</f>
        <v>76043550</v>
      </c>
      <c r="C62" s="82">
        <f>VLOOKUP(A62,'Data shares'!$C$2:$CX$213,100,0)</f>
        <v>-688875</v>
      </c>
      <c r="D62" s="141">
        <f>VLOOKUP(A62,'Data shares'!$C$2:$CY$536,101,0)</f>
        <v>-8.9999999999999993E-3</v>
      </c>
      <c r="E62" s="86">
        <f>VLOOKUP($A62,'Data shares'!$C:$FA,74)</f>
        <v>55259325</v>
      </c>
      <c r="F62" s="86">
        <f>VLOOKUP($A62,'Data shares'!$C:$FA,76)</f>
        <v>-584925</v>
      </c>
      <c r="G62" s="87">
        <f>VLOOKUP(A62,'Data shares'!$C$2:$CA$213,77,0)</f>
        <v>-1.0500000000000001E-2</v>
      </c>
      <c r="H62" s="86">
        <f>VLOOKUP($A62,'Data shares'!$C:$FA,90)</f>
        <v>11295900</v>
      </c>
      <c r="I62" s="86">
        <f>VLOOKUP($A62,'Data shares'!$C:$FA,92)</f>
        <v>-172425</v>
      </c>
      <c r="J62" s="87">
        <f>VLOOKUP($A62,'Data shares'!$C:$FA,93)</f>
        <v>-1.4999999999999999E-2</v>
      </c>
      <c r="K62" s="86">
        <f>VLOOKUP($A62,'Data shares'!$C:$FA,94)</f>
        <v>9488325</v>
      </c>
      <c r="L62" s="86">
        <f>VLOOKUP($A62,'Data shares'!$C:$FA,96)</f>
        <v>68475</v>
      </c>
      <c r="M62" s="87">
        <f>VLOOKUP($A62,'Data shares'!$C:$FA,97)</f>
        <v>7.3000000000000001E-3</v>
      </c>
      <c r="N62" s="86">
        <f>VLOOKUP($A62,'Data shares'!$C:$FA,78)</f>
        <v>52429575</v>
      </c>
      <c r="O62" s="87">
        <f>VLOOKUP($A62,'Data shares'!$C:$FA,81)</f>
        <v>-1.23E-2</v>
      </c>
    </row>
    <row r="63" spans="1:15" x14ac:dyDescent="0.25">
      <c r="A63" s="100" t="str">
        <f>'Data Vlaue (Cr)'!C58</f>
        <v>DMART</v>
      </c>
      <c r="B63" s="82">
        <f>VLOOKUP(A63,'Data shares'!$C$2:$CV$213,98,0)</f>
        <v>7288650</v>
      </c>
      <c r="C63" s="82">
        <f>VLOOKUP(A63,'Data shares'!$C$2:$CX$213,100,0)</f>
        <v>78150</v>
      </c>
      <c r="D63" s="141">
        <f>VLOOKUP(A63,'Data shares'!$C$2:$CY$536,101,0)</f>
        <v>1.0800000000000001E-2</v>
      </c>
      <c r="E63" s="86">
        <f>VLOOKUP($A63,'Data shares'!$C:$FA,74)</f>
        <v>5549550</v>
      </c>
      <c r="F63" s="86">
        <f>VLOOKUP($A63,'Data shares'!$C:$FA,76)</f>
        <v>-63150</v>
      </c>
      <c r="G63" s="87">
        <f>VLOOKUP(A63,'Data shares'!$C$2:$CA$213,77,0)</f>
        <v>-1.1299999999999999E-2</v>
      </c>
      <c r="H63" s="86">
        <f>VLOOKUP($A63,'Data shares'!$C:$FA,90)</f>
        <v>977400</v>
      </c>
      <c r="I63" s="86">
        <f>VLOOKUP($A63,'Data shares'!$C:$FA,92)</f>
        <v>105600</v>
      </c>
      <c r="J63" s="87">
        <f>VLOOKUP($A63,'Data shares'!$C:$FA,93)</f>
        <v>0.1211</v>
      </c>
      <c r="K63" s="86">
        <f>VLOOKUP($A63,'Data shares'!$C:$FA,94)</f>
        <v>761700</v>
      </c>
      <c r="L63" s="86">
        <f>VLOOKUP($A63,'Data shares'!$C:$FA,96)</f>
        <v>35700</v>
      </c>
      <c r="M63" s="87">
        <f>VLOOKUP($A63,'Data shares'!$C:$FA,97)</f>
        <v>4.9200000000000001E-2</v>
      </c>
      <c r="N63" s="86">
        <f>VLOOKUP($A63,'Data shares'!$C:$FA,78)</f>
        <v>5293650</v>
      </c>
      <c r="O63" s="87">
        <f>VLOOKUP($A63,'Data shares'!$C:$FA,81)</f>
        <v>-2.2100000000000002E-2</v>
      </c>
    </row>
    <row r="64" spans="1:15" x14ac:dyDescent="0.25">
      <c r="A64" s="100" t="str">
        <f>'Data Vlaue (Cr)'!C59</f>
        <v>DRREDDY</v>
      </c>
      <c r="B64" s="82">
        <f>VLOOKUP(A64,'Data shares'!$C$2:$CV$213,98,0)</f>
        <v>23436250</v>
      </c>
      <c r="C64" s="82">
        <f>VLOOKUP(A64,'Data shares'!$C$2:$CX$213,100,0)</f>
        <v>218125</v>
      </c>
      <c r="D64" s="141">
        <f>VLOOKUP(A64,'Data shares'!$C$2:$CY$536,101,0)</f>
        <v>9.4000000000000004E-3</v>
      </c>
      <c r="E64" s="86">
        <f>VLOOKUP($A64,'Data shares'!$C:$FA,74)</f>
        <v>15733750</v>
      </c>
      <c r="F64" s="86">
        <f>VLOOKUP($A64,'Data shares'!$C:$FA,76)</f>
        <v>-167500</v>
      </c>
      <c r="G64" s="87">
        <f>VLOOKUP(A64,'Data shares'!$C$2:$CA$213,77,0)</f>
        <v>-1.0500000000000001E-2</v>
      </c>
      <c r="H64" s="86">
        <f>VLOOKUP($A64,'Data shares'!$C:$FA,90)</f>
        <v>4626250</v>
      </c>
      <c r="I64" s="86">
        <f>VLOOKUP($A64,'Data shares'!$C:$FA,92)</f>
        <v>235625</v>
      </c>
      <c r="J64" s="87">
        <f>VLOOKUP($A64,'Data shares'!$C:$FA,93)</f>
        <v>5.3699999999999998E-2</v>
      </c>
      <c r="K64" s="86">
        <f>VLOOKUP($A64,'Data shares'!$C:$FA,94)</f>
        <v>3076250</v>
      </c>
      <c r="L64" s="86">
        <f>VLOOKUP($A64,'Data shares'!$C:$FA,96)</f>
        <v>150000</v>
      </c>
      <c r="M64" s="87">
        <f>VLOOKUP($A64,'Data shares'!$C:$FA,97)</f>
        <v>5.1299999999999998E-2</v>
      </c>
      <c r="N64" s="86">
        <f>VLOOKUP($A64,'Data shares'!$C:$FA,78)</f>
        <v>15538750</v>
      </c>
      <c r="O64" s="87">
        <f>VLOOKUP($A64,'Data shares'!$C:$FA,81)</f>
        <v>-9.5999999999999992E-3</v>
      </c>
    </row>
    <row r="65" spans="1:15" x14ac:dyDescent="0.25">
      <c r="A65" s="100" t="str">
        <f>'Data Vlaue (Cr)'!C60</f>
        <v>EICHERMOT</v>
      </c>
      <c r="B65" s="82">
        <f>VLOOKUP(A65,'Data shares'!$C$2:$CV$213,98,0)</f>
        <v>5913000</v>
      </c>
      <c r="C65" s="82">
        <f>VLOOKUP(A65,'Data shares'!$C$2:$CX$213,100,0)</f>
        <v>51100</v>
      </c>
      <c r="D65" s="141">
        <f>VLOOKUP(A65,'Data shares'!$C$2:$CY$536,101,0)</f>
        <v>8.6999999999999994E-3</v>
      </c>
      <c r="E65" s="86">
        <f>VLOOKUP($A65,'Data shares'!$C:$FA,74)</f>
        <v>3029900</v>
      </c>
      <c r="F65" s="86">
        <f>VLOOKUP($A65,'Data shares'!$C:$FA,76)</f>
        <v>-5000</v>
      </c>
      <c r="G65" s="87">
        <f>VLOOKUP(A65,'Data shares'!$C$2:$CA$213,77,0)</f>
        <v>-1.6000000000000001E-3</v>
      </c>
      <c r="H65" s="86">
        <f>VLOOKUP($A65,'Data shares'!$C:$FA,90)</f>
        <v>1786900</v>
      </c>
      <c r="I65" s="86">
        <f>VLOOKUP($A65,'Data shares'!$C:$FA,92)</f>
        <v>50900</v>
      </c>
      <c r="J65" s="87">
        <f>VLOOKUP($A65,'Data shares'!$C:$FA,93)</f>
        <v>2.93E-2</v>
      </c>
      <c r="K65" s="86">
        <f>VLOOKUP($A65,'Data shares'!$C:$FA,94)</f>
        <v>1096200</v>
      </c>
      <c r="L65" s="86">
        <f>VLOOKUP($A65,'Data shares'!$C:$FA,96)</f>
        <v>5200</v>
      </c>
      <c r="M65" s="87">
        <f>VLOOKUP($A65,'Data shares'!$C:$FA,97)</f>
        <v>4.7999999999999996E-3</v>
      </c>
      <c r="N65" s="86">
        <f>VLOOKUP($A65,'Data shares'!$C:$FA,78)</f>
        <v>2964600</v>
      </c>
      <c r="O65" s="87">
        <f>VLOOKUP($A65,'Data shares'!$C:$FA,81)</f>
        <v>-2.5999999999999999E-3</v>
      </c>
    </row>
    <row r="66" spans="1:15" x14ac:dyDescent="0.25">
      <c r="A66" s="100" t="str">
        <f>'Data Vlaue (Cr)'!C61</f>
        <v>ETERNAL</v>
      </c>
      <c r="B66" s="82">
        <f>VLOOKUP(A66,'Data shares'!$C$2:$CV$213,98,0)</f>
        <v>457733300</v>
      </c>
      <c r="C66" s="82">
        <f>VLOOKUP(A66,'Data shares'!$C$2:$CX$213,100,0)</f>
        <v>10961000</v>
      </c>
      <c r="D66" s="141">
        <f>VLOOKUP(A66,'Data shares'!$C$2:$CY$536,101,0)</f>
        <v>2.4500000000000001E-2</v>
      </c>
      <c r="E66" s="86">
        <f>VLOOKUP($A66,'Data shares'!$C:$FA,74)</f>
        <v>291885125</v>
      </c>
      <c r="F66" s="86">
        <f>VLOOKUP($A66,'Data shares'!$C:$FA,76)</f>
        <v>-1733875</v>
      </c>
      <c r="G66" s="87">
        <f>VLOOKUP(A66,'Data shares'!$C$2:$CA$213,77,0)</f>
        <v>-5.8999999999999999E-3</v>
      </c>
      <c r="H66" s="86">
        <f>VLOOKUP($A66,'Data shares'!$C:$FA,90)</f>
        <v>111225050</v>
      </c>
      <c r="I66" s="86">
        <f>VLOOKUP($A66,'Data shares'!$C:$FA,92)</f>
        <v>8494775</v>
      </c>
      <c r="J66" s="87">
        <f>VLOOKUP($A66,'Data shares'!$C:$FA,93)</f>
        <v>8.2699999999999996E-2</v>
      </c>
      <c r="K66" s="86">
        <f>VLOOKUP($A66,'Data shares'!$C:$FA,94)</f>
        <v>54623125</v>
      </c>
      <c r="L66" s="86">
        <f>VLOOKUP($A66,'Data shares'!$C:$FA,96)</f>
        <v>4200100</v>
      </c>
      <c r="M66" s="87">
        <f>VLOOKUP($A66,'Data shares'!$C:$FA,97)</f>
        <v>8.3299999999999999E-2</v>
      </c>
      <c r="N66" s="86">
        <f>VLOOKUP($A66,'Data shares'!$C:$FA,78)</f>
        <v>262465025</v>
      </c>
      <c r="O66" s="87">
        <f>VLOOKUP($A66,'Data shares'!$C:$FA,81)</f>
        <v>-1.2999999999999999E-2</v>
      </c>
    </row>
    <row r="67" spans="1:15" x14ac:dyDescent="0.25">
      <c r="A67" s="100" t="str">
        <f>'Data Vlaue (Cr)'!C62</f>
        <v>EXIDEIND</v>
      </c>
      <c r="B67" s="82">
        <f>VLOOKUP(A67,'Data shares'!$C$2:$CV$213,98,0)</f>
        <v>48416400</v>
      </c>
      <c r="C67" s="82">
        <f>VLOOKUP(A67,'Data shares'!$C$2:$CX$213,100,0)</f>
        <v>439200</v>
      </c>
      <c r="D67" s="141">
        <f>VLOOKUP(A67,'Data shares'!$C$2:$CY$536,101,0)</f>
        <v>9.1999999999999998E-3</v>
      </c>
      <c r="E67" s="86">
        <f>VLOOKUP($A67,'Data shares'!$C:$FA,74)</f>
        <v>29655000</v>
      </c>
      <c r="F67" s="86">
        <f>VLOOKUP($A67,'Data shares'!$C:$FA,76)</f>
        <v>-500400</v>
      </c>
      <c r="G67" s="87">
        <f>VLOOKUP(A67,'Data shares'!$C$2:$CA$213,77,0)</f>
        <v>-1.66E-2</v>
      </c>
      <c r="H67" s="86">
        <f>VLOOKUP($A67,'Data shares'!$C:$FA,90)</f>
        <v>9687600</v>
      </c>
      <c r="I67" s="86">
        <f>VLOOKUP($A67,'Data shares'!$C:$FA,92)</f>
        <v>343800</v>
      </c>
      <c r="J67" s="87">
        <f>VLOOKUP($A67,'Data shares'!$C:$FA,93)</f>
        <v>3.6799999999999999E-2</v>
      </c>
      <c r="K67" s="86">
        <f>VLOOKUP($A67,'Data shares'!$C:$FA,94)</f>
        <v>9073800</v>
      </c>
      <c r="L67" s="86">
        <f>VLOOKUP($A67,'Data shares'!$C:$FA,96)</f>
        <v>595800</v>
      </c>
      <c r="M67" s="87">
        <f>VLOOKUP($A67,'Data shares'!$C:$FA,97)</f>
        <v>7.0300000000000001E-2</v>
      </c>
      <c r="N67" s="86">
        <f>VLOOKUP($A67,'Data shares'!$C:$FA,78)</f>
        <v>28315800</v>
      </c>
      <c r="O67" s="87">
        <f>VLOOKUP($A67,'Data shares'!$C:$FA,81)</f>
        <v>-1.8499999999999999E-2</v>
      </c>
    </row>
    <row r="68" spans="1:15" x14ac:dyDescent="0.25">
      <c r="A68" s="100" t="str">
        <f>'Data Vlaue (Cr)'!C63</f>
        <v>FEDERALBNK</v>
      </c>
      <c r="B68" s="82">
        <f>VLOOKUP(A68,'Data shares'!$C$2:$CV$213,98,0)</f>
        <v>125230000</v>
      </c>
      <c r="C68" s="82">
        <f>VLOOKUP(A68,'Data shares'!$C$2:$CX$213,100,0)</f>
        <v>8835000</v>
      </c>
      <c r="D68" s="141">
        <f>VLOOKUP(A68,'Data shares'!$C$2:$CY$536,101,0)</f>
        <v>7.5899999999999995E-2</v>
      </c>
      <c r="E68" s="86">
        <f>VLOOKUP($A68,'Data shares'!$C:$FA,74)</f>
        <v>64315000</v>
      </c>
      <c r="F68" s="86">
        <f>VLOOKUP($A68,'Data shares'!$C:$FA,76)</f>
        <v>960000</v>
      </c>
      <c r="G68" s="87">
        <f>VLOOKUP(A68,'Data shares'!$C$2:$CA$213,77,0)</f>
        <v>1.52E-2</v>
      </c>
      <c r="H68" s="86">
        <f>VLOOKUP($A68,'Data shares'!$C:$FA,90)</f>
        <v>35730000</v>
      </c>
      <c r="I68" s="86">
        <f>VLOOKUP($A68,'Data shares'!$C:$FA,92)</f>
        <v>4830000</v>
      </c>
      <c r="J68" s="87">
        <f>VLOOKUP($A68,'Data shares'!$C:$FA,93)</f>
        <v>0.15629999999999999</v>
      </c>
      <c r="K68" s="86">
        <f>VLOOKUP($A68,'Data shares'!$C:$FA,94)</f>
        <v>25185000</v>
      </c>
      <c r="L68" s="86">
        <f>VLOOKUP($A68,'Data shares'!$C:$FA,96)</f>
        <v>3045000</v>
      </c>
      <c r="M68" s="87">
        <f>VLOOKUP($A68,'Data shares'!$C:$FA,97)</f>
        <v>0.13750000000000001</v>
      </c>
      <c r="N68" s="86">
        <f>VLOOKUP($A68,'Data shares'!$C:$FA,78)</f>
        <v>62495000</v>
      </c>
      <c r="O68" s="87">
        <f>VLOOKUP($A68,'Data shares'!$C:$FA,81)</f>
        <v>1.0999999999999999E-2</v>
      </c>
    </row>
    <row r="69" spans="1:15" x14ac:dyDescent="0.25">
      <c r="A69" s="100" t="str">
        <f>'Data Vlaue (Cr)'!C64</f>
        <v>FINNIFTY</v>
      </c>
      <c r="B69" s="82">
        <f>VLOOKUP(A69,'Data shares'!$C$2:$CV$213,98,0)</f>
        <v>1395720</v>
      </c>
      <c r="C69" s="82">
        <f>VLOOKUP(A69,'Data shares'!$C$2:$CX$213,100,0)</f>
        <v>50580</v>
      </c>
      <c r="D69" s="141">
        <f>VLOOKUP(A69,'Data shares'!$C$2:$CY$536,101,0)</f>
        <v>3.7600000000000001E-2</v>
      </c>
      <c r="E69" s="86">
        <f>VLOOKUP($A69,'Data shares'!$C:$FA,74)</f>
        <v>56880</v>
      </c>
      <c r="F69" s="86">
        <f>VLOOKUP($A69,'Data shares'!$C:$FA,76)</f>
        <v>6000</v>
      </c>
      <c r="G69" s="87">
        <f>VLOOKUP(A69,'Data shares'!$C$2:$CA$213,77,0)</f>
        <v>0.1179</v>
      </c>
      <c r="H69" s="86">
        <f>VLOOKUP($A69,'Data shares'!$C:$FA,90)</f>
        <v>721980</v>
      </c>
      <c r="I69" s="86">
        <f>VLOOKUP($A69,'Data shares'!$C:$FA,92)</f>
        <v>19320</v>
      </c>
      <c r="J69" s="87">
        <f>VLOOKUP($A69,'Data shares'!$C:$FA,93)</f>
        <v>2.75E-2</v>
      </c>
      <c r="K69" s="86">
        <f>VLOOKUP($A69,'Data shares'!$C:$FA,94)</f>
        <v>616860</v>
      </c>
      <c r="L69" s="86">
        <f>VLOOKUP($A69,'Data shares'!$C:$FA,96)</f>
        <v>25260</v>
      </c>
      <c r="M69" s="87">
        <f>VLOOKUP($A69,'Data shares'!$C:$FA,97)</f>
        <v>4.2700000000000002E-2</v>
      </c>
      <c r="N69" s="86">
        <f>VLOOKUP($A69,'Data shares'!$C:$FA,78)</f>
        <v>55860</v>
      </c>
      <c r="O69" s="87">
        <f>VLOOKUP($A69,'Data shares'!$C:$FA,81)</f>
        <v>0.1031</v>
      </c>
    </row>
    <row r="70" spans="1:15" x14ac:dyDescent="0.25">
      <c r="A70" s="100" t="str">
        <f>'Data Vlaue (Cr)'!C65</f>
        <v>FORTIS</v>
      </c>
      <c r="B70" s="82">
        <f>VLOOKUP(A70,'Data shares'!$C$2:$CV$213,98,0)</f>
        <v>16643125</v>
      </c>
      <c r="C70" s="82">
        <f>VLOOKUP(A70,'Data shares'!$C$2:$CX$213,100,0)</f>
        <v>423925</v>
      </c>
      <c r="D70" s="141">
        <f>VLOOKUP(A70,'Data shares'!$C$2:$CY$536,101,0)</f>
        <v>2.6100000000000002E-2</v>
      </c>
      <c r="E70" s="86">
        <f>VLOOKUP($A70,'Data shares'!$C:$FA,74)</f>
        <v>11293300</v>
      </c>
      <c r="F70" s="86">
        <f>VLOOKUP($A70,'Data shares'!$C:$FA,76)</f>
        <v>-22475</v>
      </c>
      <c r="G70" s="87">
        <f>VLOOKUP(A70,'Data shares'!$C$2:$CA$213,77,0)</f>
        <v>-2E-3</v>
      </c>
      <c r="H70" s="86">
        <f>VLOOKUP($A70,'Data shares'!$C:$FA,90)</f>
        <v>3658000</v>
      </c>
      <c r="I70" s="86">
        <f>VLOOKUP($A70,'Data shares'!$C:$FA,92)</f>
        <v>429350</v>
      </c>
      <c r="J70" s="87">
        <f>VLOOKUP($A70,'Data shares'!$C:$FA,93)</f>
        <v>0.13300000000000001</v>
      </c>
      <c r="K70" s="86">
        <f>VLOOKUP($A70,'Data shares'!$C:$FA,94)</f>
        <v>1691825</v>
      </c>
      <c r="L70" s="86">
        <f>VLOOKUP($A70,'Data shares'!$C:$FA,96)</f>
        <v>17050</v>
      </c>
      <c r="M70" s="87">
        <f>VLOOKUP($A70,'Data shares'!$C:$FA,97)</f>
        <v>1.0200000000000001E-2</v>
      </c>
      <c r="N70" s="86">
        <f>VLOOKUP($A70,'Data shares'!$C:$FA,78)</f>
        <v>11129000</v>
      </c>
      <c r="O70" s="87">
        <f>VLOOKUP($A70,'Data shares'!$C:$FA,81)</f>
        <v>-4.8999999999999998E-3</v>
      </c>
    </row>
    <row r="71" spans="1:15" x14ac:dyDescent="0.25">
      <c r="A71" s="100" t="str">
        <f>'Data Vlaue (Cr)'!C66</f>
        <v>GAIL</v>
      </c>
      <c r="B71" s="82">
        <f>VLOOKUP(A71,'Data shares'!$C$2:$CV$213,98,0)</f>
        <v>169674750</v>
      </c>
      <c r="C71" s="82">
        <f>VLOOKUP(A71,'Data shares'!$C$2:$CX$213,100,0)</f>
        <v>3635100</v>
      </c>
      <c r="D71" s="141">
        <f>VLOOKUP(A71,'Data shares'!$C$2:$CY$536,101,0)</f>
        <v>2.1899999999999999E-2</v>
      </c>
      <c r="E71" s="86">
        <f>VLOOKUP($A71,'Data shares'!$C:$FA,74)</f>
        <v>95980500</v>
      </c>
      <c r="F71" s="86">
        <f>VLOOKUP($A71,'Data shares'!$C:$FA,76)</f>
        <v>787500</v>
      </c>
      <c r="G71" s="87">
        <f>VLOOKUP(A71,'Data shares'!$C$2:$CA$213,77,0)</f>
        <v>8.3000000000000001E-3</v>
      </c>
      <c r="H71" s="86">
        <f>VLOOKUP($A71,'Data shares'!$C:$FA,90)</f>
        <v>33207300</v>
      </c>
      <c r="I71" s="86">
        <f>VLOOKUP($A71,'Data shares'!$C:$FA,92)</f>
        <v>2853900</v>
      </c>
      <c r="J71" s="87">
        <f>VLOOKUP($A71,'Data shares'!$C:$FA,93)</f>
        <v>9.4E-2</v>
      </c>
      <c r="K71" s="86">
        <f>VLOOKUP($A71,'Data shares'!$C:$FA,94)</f>
        <v>40486950</v>
      </c>
      <c r="L71" s="86">
        <f>VLOOKUP($A71,'Data shares'!$C:$FA,96)</f>
        <v>-6300</v>
      </c>
      <c r="M71" s="87">
        <f>VLOOKUP($A71,'Data shares'!$C:$FA,97)</f>
        <v>-2.0000000000000001E-4</v>
      </c>
      <c r="N71" s="86">
        <f>VLOOKUP($A71,'Data shares'!$C:$FA,78)</f>
        <v>90483750</v>
      </c>
      <c r="O71" s="87">
        <f>VLOOKUP($A71,'Data shares'!$C:$FA,81)</f>
        <v>4.1999999999999997E-3</v>
      </c>
    </row>
    <row r="72" spans="1:15" x14ac:dyDescent="0.25">
      <c r="A72" s="100" t="str">
        <f>'Data Vlaue (Cr)'!C67</f>
        <v>GLENMARK</v>
      </c>
      <c r="B72" s="82">
        <f>VLOOKUP(A72,'Data shares'!$C$2:$CV$213,98,0)</f>
        <v>13863000</v>
      </c>
      <c r="C72" s="82">
        <f>VLOOKUP(A72,'Data shares'!$C$2:$CX$213,100,0)</f>
        <v>-87000</v>
      </c>
      <c r="D72" s="141">
        <f>VLOOKUP(A72,'Data shares'!$C$2:$CY$536,101,0)</f>
        <v>-6.1999999999999998E-3</v>
      </c>
      <c r="E72" s="86">
        <f>VLOOKUP($A72,'Data shares'!$C:$FA,74)</f>
        <v>11495625</v>
      </c>
      <c r="F72" s="86">
        <f>VLOOKUP($A72,'Data shares'!$C:$FA,76)</f>
        <v>-119625</v>
      </c>
      <c r="G72" s="87">
        <f>VLOOKUP(A72,'Data shares'!$C$2:$CA$213,77,0)</f>
        <v>-1.03E-2</v>
      </c>
      <c r="H72" s="86">
        <f>VLOOKUP($A72,'Data shares'!$C:$FA,90)</f>
        <v>1606125</v>
      </c>
      <c r="I72" s="86">
        <f>VLOOKUP($A72,'Data shares'!$C:$FA,92)</f>
        <v>18750</v>
      </c>
      <c r="J72" s="87">
        <f>VLOOKUP($A72,'Data shares'!$C:$FA,93)</f>
        <v>1.18E-2</v>
      </c>
      <c r="K72" s="86">
        <f>VLOOKUP($A72,'Data shares'!$C:$FA,94)</f>
        <v>761250</v>
      </c>
      <c r="L72" s="86">
        <f>VLOOKUP($A72,'Data shares'!$C:$FA,96)</f>
        <v>13875</v>
      </c>
      <c r="M72" s="87">
        <f>VLOOKUP($A72,'Data shares'!$C:$FA,97)</f>
        <v>1.8599999999999998E-2</v>
      </c>
      <c r="N72" s="86">
        <f>VLOOKUP($A72,'Data shares'!$C:$FA,78)</f>
        <v>11443125</v>
      </c>
      <c r="O72" s="87">
        <f>VLOOKUP($A72,'Data shares'!$C:$FA,81)</f>
        <v>-1.0999999999999999E-2</v>
      </c>
    </row>
    <row r="73" spans="1:15" x14ac:dyDescent="0.25">
      <c r="A73" s="100" t="str">
        <f>'Data Vlaue (Cr)'!C68</f>
        <v>GMRAIRPORT</v>
      </c>
      <c r="B73" s="82">
        <f>VLOOKUP(A73,'Data shares'!$C$2:$CV$213,98,0)</f>
        <v>234855225</v>
      </c>
      <c r="C73" s="82">
        <f>VLOOKUP(A73,'Data shares'!$C$2:$CX$213,100,0)</f>
        <v>-732375</v>
      </c>
      <c r="D73" s="141">
        <f>VLOOKUP(A73,'Data shares'!$C$2:$CY$536,101,0)</f>
        <v>-3.0999999999999999E-3</v>
      </c>
      <c r="E73" s="86">
        <f>VLOOKUP($A73,'Data shares'!$C:$FA,74)</f>
        <v>146977200</v>
      </c>
      <c r="F73" s="86">
        <f>VLOOKUP($A73,'Data shares'!$C:$FA,76)</f>
        <v>-1604250</v>
      </c>
      <c r="G73" s="87">
        <f>VLOOKUP(A73,'Data shares'!$C$2:$CA$213,77,0)</f>
        <v>-1.0800000000000001E-2</v>
      </c>
      <c r="H73" s="86">
        <f>VLOOKUP($A73,'Data shares'!$C:$FA,90)</f>
        <v>51384825</v>
      </c>
      <c r="I73" s="86">
        <f>VLOOKUP($A73,'Data shares'!$C:$FA,92)</f>
        <v>-160425</v>
      </c>
      <c r="J73" s="87">
        <f>VLOOKUP($A73,'Data shares'!$C:$FA,93)</f>
        <v>-3.0999999999999999E-3</v>
      </c>
      <c r="K73" s="86">
        <f>VLOOKUP($A73,'Data shares'!$C:$FA,94)</f>
        <v>36493200</v>
      </c>
      <c r="L73" s="86">
        <f>VLOOKUP($A73,'Data shares'!$C:$FA,96)</f>
        <v>1032300</v>
      </c>
      <c r="M73" s="87">
        <f>VLOOKUP($A73,'Data shares'!$C:$FA,97)</f>
        <v>2.9100000000000001E-2</v>
      </c>
      <c r="N73" s="86">
        <f>VLOOKUP($A73,'Data shares'!$C:$FA,78)</f>
        <v>143761725</v>
      </c>
      <c r="O73" s="87">
        <f>VLOOKUP($A73,'Data shares'!$C:$FA,81)</f>
        <v>-1.18E-2</v>
      </c>
    </row>
    <row r="74" spans="1:15" x14ac:dyDescent="0.25">
      <c r="A74" s="100" t="str">
        <f>'Data Vlaue (Cr)'!C69</f>
        <v>GODREJCP</v>
      </c>
      <c r="B74" s="82">
        <f>VLOOKUP(A74,'Data shares'!$C$2:$CV$213,98,0)</f>
        <v>10767500</v>
      </c>
      <c r="C74" s="82">
        <f>VLOOKUP(A74,'Data shares'!$C$2:$CX$213,100,0)</f>
        <v>387000</v>
      </c>
      <c r="D74" s="141">
        <f>VLOOKUP(A74,'Data shares'!$C$2:$CY$536,101,0)</f>
        <v>3.73E-2</v>
      </c>
      <c r="E74" s="86">
        <f>VLOOKUP($A74,'Data shares'!$C:$FA,74)</f>
        <v>8433000</v>
      </c>
      <c r="F74" s="86">
        <f>VLOOKUP($A74,'Data shares'!$C:$FA,76)</f>
        <v>125000</v>
      </c>
      <c r="G74" s="87">
        <f>VLOOKUP(A74,'Data shares'!$C$2:$CA$213,77,0)</f>
        <v>1.4999999999999999E-2</v>
      </c>
      <c r="H74" s="86">
        <f>VLOOKUP($A74,'Data shares'!$C:$FA,90)</f>
        <v>1262500</v>
      </c>
      <c r="I74" s="86">
        <f>VLOOKUP($A74,'Data shares'!$C:$FA,92)</f>
        <v>97000</v>
      </c>
      <c r="J74" s="87">
        <f>VLOOKUP($A74,'Data shares'!$C:$FA,93)</f>
        <v>8.3199999999999996E-2</v>
      </c>
      <c r="K74" s="86">
        <f>VLOOKUP($A74,'Data shares'!$C:$FA,94)</f>
        <v>1072000</v>
      </c>
      <c r="L74" s="86">
        <f>VLOOKUP($A74,'Data shares'!$C:$FA,96)</f>
        <v>165000</v>
      </c>
      <c r="M74" s="87">
        <f>VLOOKUP($A74,'Data shares'!$C:$FA,97)</f>
        <v>0.18190000000000001</v>
      </c>
      <c r="N74" s="86">
        <f>VLOOKUP($A74,'Data shares'!$C:$FA,78)</f>
        <v>8389500</v>
      </c>
      <c r="O74" s="87">
        <f>VLOOKUP($A74,'Data shares'!$C:$FA,81)</f>
        <v>1.41E-2</v>
      </c>
    </row>
    <row r="75" spans="1:15" x14ac:dyDescent="0.25">
      <c r="A75" s="100" t="str">
        <f>'Data Vlaue (Cr)'!C70</f>
        <v>GODREJPROP</v>
      </c>
      <c r="B75" s="82">
        <f>VLOOKUP(A75,'Data shares'!$C$2:$CV$213,98,0)</f>
        <v>12076350</v>
      </c>
      <c r="C75" s="82">
        <f>VLOOKUP(A75,'Data shares'!$C$2:$CX$213,100,0)</f>
        <v>161700</v>
      </c>
      <c r="D75" s="141">
        <f>VLOOKUP(A75,'Data shares'!$C$2:$CY$536,101,0)</f>
        <v>1.3599999999999999E-2</v>
      </c>
      <c r="E75" s="86">
        <f>VLOOKUP($A75,'Data shares'!$C:$FA,74)</f>
        <v>7829525</v>
      </c>
      <c r="F75" s="86">
        <f>VLOOKUP($A75,'Data shares'!$C:$FA,76)</f>
        <v>78375</v>
      </c>
      <c r="G75" s="87">
        <f>VLOOKUP(A75,'Data shares'!$C$2:$CA$213,77,0)</f>
        <v>1.01E-2</v>
      </c>
      <c r="H75" s="86">
        <f>VLOOKUP($A75,'Data shares'!$C:$FA,90)</f>
        <v>2280575</v>
      </c>
      <c r="I75" s="86">
        <f>VLOOKUP($A75,'Data shares'!$C:$FA,92)</f>
        <v>-31625</v>
      </c>
      <c r="J75" s="87">
        <f>VLOOKUP($A75,'Data shares'!$C:$FA,93)</f>
        <v>-1.37E-2</v>
      </c>
      <c r="K75" s="86">
        <f>VLOOKUP($A75,'Data shares'!$C:$FA,94)</f>
        <v>1966250</v>
      </c>
      <c r="L75" s="86">
        <f>VLOOKUP($A75,'Data shares'!$C:$FA,96)</f>
        <v>114950</v>
      </c>
      <c r="M75" s="87">
        <f>VLOOKUP($A75,'Data shares'!$C:$FA,97)</f>
        <v>6.2100000000000002E-2</v>
      </c>
      <c r="N75" s="86">
        <f>VLOOKUP($A75,'Data shares'!$C:$FA,78)</f>
        <v>7684325</v>
      </c>
      <c r="O75" s="87">
        <f>VLOOKUP($A75,'Data shares'!$C:$FA,81)</f>
        <v>1.01E-2</v>
      </c>
    </row>
    <row r="76" spans="1:15" x14ac:dyDescent="0.25">
      <c r="A76" s="100" t="str">
        <f>'Data Vlaue (Cr)'!C71</f>
        <v>GRASIM</v>
      </c>
      <c r="B76" s="82">
        <f>VLOOKUP(A76,'Data shares'!$C$2:$CV$213,98,0)</f>
        <v>19212500</v>
      </c>
      <c r="C76" s="82">
        <f>VLOOKUP(A76,'Data shares'!$C$2:$CX$213,100,0)</f>
        <v>87250</v>
      </c>
      <c r="D76" s="141">
        <f>VLOOKUP(A76,'Data shares'!$C$2:$CY$536,101,0)</f>
        <v>4.5999999999999999E-3</v>
      </c>
      <c r="E76" s="86">
        <f>VLOOKUP($A76,'Data shares'!$C:$FA,74)</f>
        <v>16308750</v>
      </c>
      <c r="F76" s="86">
        <f>VLOOKUP($A76,'Data shares'!$C:$FA,76)</f>
        <v>-94000</v>
      </c>
      <c r="G76" s="87">
        <f>VLOOKUP(A76,'Data shares'!$C$2:$CA$213,77,0)</f>
        <v>-5.7000000000000002E-3</v>
      </c>
      <c r="H76" s="86">
        <f>VLOOKUP($A76,'Data shares'!$C:$FA,90)</f>
        <v>1887750</v>
      </c>
      <c r="I76" s="86">
        <f>VLOOKUP($A76,'Data shares'!$C:$FA,92)</f>
        <v>94750</v>
      </c>
      <c r="J76" s="87">
        <f>VLOOKUP($A76,'Data shares'!$C:$FA,93)</f>
        <v>5.28E-2</v>
      </c>
      <c r="K76" s="86">
        <f>VLOOKUP($A76,'Data shares'!$C:$FA,94)</f>
        <v>1016000</v>
      </c>
      <c r="L76" s="86">
        <f>VLOOKUP($A76,'Data shares'!$C:$FA,96)</f>
        <v>86500</v>
      </c>
      <c r="M76" s="87">
        <f>VLOOKUP($A76,'Data shares'!$C:$FA,97)</f>
        <v>9.3100000000000002E-2</v>
      </c>
      <c r="N76" s="86">
        <f>VLOOKUP($A76,'Data shares'!$C:$FA,78)</f>
        <v>16255250</v>
      </c>
      <c r="O76" s="87">
        <f>VLOOKUP($A76,'Data shares'!$C:$FA,81)</f>
        <v>-6.1000000000000004E-3</v>
      </c>
    </row>
    <row r="77" spans="1:15" x14ac:dyDescent="0.25">
      <c r="A77" s="100" t="str">
        <f>'Data Vlaue (Cr)'!C72</f>
        <v>HAL</v>
      </c>
      <c r="B77" s="82">
        <f>VLOOKUP(A77,'Data shares'!$C$2:$CV$213,98,0)</f>
        <v>20043600</v>
      </c>
      <c r="C77" s="82">
        <f>VLOOKUP(A77,'Data shares'!$C$2:$CX$213,100,0)</f>
        <v>520500</v>
      </c>
      <c r="D77" s="141">
        <f>VLOOKUP(A77,'Data shares'!$C$2:$CY$536,101,0)</f>
        <v>2.6700000000000002E-2</v>
      </c>
      <c r="E77" s="86">
        <f>VLOOKUP($A77,'Data shares'!$C:$FA,74)</f>
        <v>10538550</v>
      </c>
      <c r="F77" s="86">
        <f>VLOOKUP($A77,'Data shares'!$C:$FA,76)</f>
        <v>382800</v>
      </c>
      <c r="G77" s="87">
        <f>VLOOKUP(A77,'Data shares'!$C$2:$CA$213,77,0)</f>
        <v>3.7699999999999997E-2</v>
      </c>
      <c r="H77" s="86">
        <f>VLOOKUP($A77,'Data shares'!$C:$FA,90)</f>
        <v>5796300</v>
      </c>
      <c r="I77" s="86">
        <f>VLOOKUP($A77,'Data shares'!$C:$FA,92)</f>
        <v>145200</v>
      </c>
      <c r="J77" s="87">
        <f>VLOOKUP($A77,'Data shares'!$C:$FA,93)</f>
        <v>2.5700000000000001E-2</v>
      </c>
      <c r="K77" s="86">
        <f>VLOOKUP($A77,'Data shares'!$C:$FA,94)</f>
        <v>3708750</v>
      </c>
      <c r="L77" s="86">
        <f>VLOOKUP($A77,'Data shares'!$C:$FA,96)</f>
        <v>-7500</v>
      </c>
      <c r="M77" s="87">
        <f>VLOOKUP($A77,'Data shares'!$C:$FA,97)</f>
        <v>-2E-3</v>
      </c>
      <c r="N77" s="86">
        <f>VLOOKUP($A77,'Data shares'!$C:$FA,78)</f>
        <v>9911250</v>
      </c>
      <c r="O77" s="87">
        <f>VLOOKUP($A77,'Data shares'!$C:$FA,81)</f>
        <v>3.8600000000000002E-2</v>
      </c>
    </row>
    <row r="78" spans="1:15" x14ac:dyDescent="0.25">
      <c r="A78" s="100" t="str">
        <f>'Data Vlaue (Cr)'!C73</f>
        <v>HAVELLS</v>
      </c>
      <c r="B78" s="82">
        <f>VLOOKUP(A78,'Data shares'!$C$2:$CV$213,98,0)</f>
        <v>14686500</v>
      </c>
      <c r="C78" s="82">
        <f>VLOOKUP(A78,'Data shares'!$C$2:$CX$213,100,0)</f>
        <v>82000</v>
      </c>
      <c r="D78" s="141">
        <f>VLOOKUP(A78,'Data shares'!$C$2:$CY$536,101,0)</f>
        <v>5.5999999999999999E-3</v>
      </c>
      <c r="E78" s="86">
        <f>VLOOKUP($A78,'Data shares'!$C:$FA,74)</f>
        <v>10242000</v>
      </c>
      <c r="F78" s="86">
        <f>VLOOKUP($A78,'Data shares'!$C:$FA,76)</f>
        <v>-96000</v>
      </c>
      <c r="G78" s="87">
        <f>VLOOKUP(A78,'Data shares'!$C$2:$CA$213,77,0)</f>
        <v>-9.2999999999999992E-3</v>
      </c>
      <c r="H78" s="86">
        <f>VLOOKUP($A78,'Data shares'!$C:$FA,90)</f>
        <v>2478500</v>
      </c>
      <c r="I78" s="86">
        <f>VLOOKUP($A78,'Data shares'!$C:$FA,92)</f>
        <v>176000</v>
      </c>
      <c r="J78" s="87">
        <f>VLOOKUP($A78,'Data shares'!$C:$FA,93)</f>
        <v>7.6399999999999996E-2</v>
      </c>
      <c r="K78" s="86">
        <f>VLOOKUP($A78,'Data shares'!$C:$FA,94)</f>
        <v>1966000</v>
      </c>
      <c r="L78" s="86">
        <f>VLOOKUP($A78,'Data shares'!$C:$FA,96)</f>
        <v>2000</v>
      </c>
      <c r="M78" s="87">
        <f>VLOOKUP($A78,'Data shares'!$C:$FA,97)</f>
        <v>1E-3</v>
      </c>
      <c r="N78" s="86">
        <f>VLOOKUP($A78,'Data shares'!$C:$FA,78)</f>
        <v>10095500</v>
      </c>
      <c r="O78" s="87">
        <f>VLOOKUP($A78,'Data shares'!$C:$FA,81)</f>
        <v>-9.7999999999999997E-3</v>
      </c>
    </row>
    <row r="79" spans="1:15" x14ac:dyDescent="0.25">
      <c r="A79" s="100" t="str">
        <f>'Data Vlaue (Cr)'!C74</f>
        <v>HCLTECH</v>
      </c>
      <c r="B79" s="82">
        <f>VLOOKUP(A79,'Data shares'!$C$2:$CV$213,98,0)</f>
        <v>36384600</v>
      </c>
      <c r="C79" s="82">
        <f>VLOOKUP(A79,'Data shares'!$C$2:$CX$213,100,0)</f>
        <v>714700</v>
      </c>
      <c r="D79" s="141">
        <f>VLOOKUP(A79,'Data shares'!$C$2:$CY$536,101,0)</f>
        <v>0.02</v>
      </c>
      <c r="E79" s="86">
        <f>VLOOKUP($A79,'Data shares'!$C:$FA,74)</f>
        <v>27292300</v>
      </c>
      <c r="F79" s="86">
        <f>VLOOKUP($A79,'Data shares'!$C:$FA,76)</f>
        <v>-15750</v>
      </c>
      <c r="G79" s="87">
        <f>VLOOKUP(A79,'Data shares'!$C$2:$CA$213,77,0)</f>
        <v>-5.9999999999999995E-4</v>
      </c>
      <c r="H79" s="86">
        <f>VLOOKUP($A79,'Data shares'!$C:$FA,90)</f>
        <v>5676650</v>
      </c>
      <c r="I79" s="86">
        <f>VLOOKUP($A79,'Data shares'!$C:$FA,92)</f>
        <v>460250</v>
      </c>
      <c r="J79" s="87">
        <f>VLOOKUP($A79,'Data shares'!$C:$FA,93)</f>
        <v>8.8200000000000001E-2</v>
      </c>
      <c r="K79" s="86">
        <f>VLOOKUP($A79,'Data shares'!$C:$FA,94)</f>
        <v>3415650</v>
      </c>
      <c r="L79" s="86">
        <f>VLOOKUP($A79,'Data shares'!$C:$FA,96)</f>
        <v>270200</v>
      </c>
      <c r="M79" s="87">
        <f>VLOOKUP($A79,'Data shares'!$C:$FA,97)</f>
        <v>8.5900000000000004E-2</v>
      </c>
      <c r="N79" s="86">
        <f>VLOOKUP($A79,'Data shares'!$C:$FA,78)</f>
        <v>26801950</v>
      </c>
      <c r="O79" s="87">
        <f>VLOOKUP($A79,'Data shares'!$C:$FA,81)</f>
        <v>-1.6000000000000001E-3</v>
      </c>
    </row>
    <row r="80" spans="1:15" x14ac:dyDescent="0.25">
      <c r="A80" s="100" t="str">
        <f>'Data Vlaue (Cr)'!C75</f>
        <v>HDFCAMC</v>
      </c>
      <c r="B80" s="82">
        <f>VLOOKUP(A80,'Data shares'!$C$2:$CV$213,98,0)</f>
        <v>6991200</v>
      </c>
      <c r="C80" s="82">
        <f>VLOOKUP(A80,'Data shares'!$C$2:$CX$213,100,0)</f>
        <v>267000</v>
      </c>
      <c r="D80" s="141">
        <f>VLOOKUP(A80,'Data shares'!$C$2:$CY$536,101,0)</f>
        <v>3.9699999999999999E-2</v>
      </c>
      <c r="E80" s="86">
        <f>VLOOKUP($A80,'Data shares'!$C:$FA,74)</f>
        <v>5116200</v>
      </c>
      <c r="F80" s="86">
        <f>VLOOKUP($A80,'Data shares'!$C:$FA,76)</f>
        <v>111000</v>
      </c>
      <c r="G80" s="87">
        <f>VLOOKUP(A80,'Data shares'!$C$2:$CA$213,77,0)</f>
        <v>2.2200000000000001E-2</v>
      </c>
      <c r="H80" s="86">
        <f>VLOOKUP($A80,'Data shares'!$C:$FA,90)</f>
        <v>1093800</v>
      </c>
      <c r="I80" s="86">
        <f>VLOOKUP($A80,'Data shares'!$C:$FA,92)</f>
        <v>34200</v>
      </c>
      <c r="J80" s="87">
        <f>VLOOKUP($A80,'Data shares'!$C:$FA,93)</f>
        <v>3.2300000000000002E-2</v>
      </c>
      <c r="K80" s="86">
        <f>VLOOKUP($A80,'Data shares'!$C:$FA,94)</f>
        <v>781200</v>
      </c>
      <c r="L80" s="86">
        <f>VLOOKUP($A80,'Data shares'!$C:$FA,96)</f>
        <v>121800</v>
      </c>
      <c r="M80" s="87">
        <f>VLOOKUP($A80,'Data shares'!$C:$FA,97)</f>
        <v>0.1847</v>
      </c>
      <c r="N80" s="86">
        <f>VLOOKUP($A80,'Data shares'!$C:$FA,78)</f>
        <v>5069700</v>
      </c>
      <c r="O80" s="87">
        <f>VLOOKUP($A80,'Data shares'!$C:$FA,81)</f>
        <v>2.07E-2</v>
      </c>
    </row>
    <row r="81" spans="1:15" x14ac:dyDescent="0.25">
      <c r="A81" s="100" t="str">
        <f>'Data Vlaue (Cr)'!C76</f>
        <v>HDFCBANK</v>
      </c>
      <c r="B81" s="82">
        <f>VLOOKUP(A81,'Data shares'!$C$2:$CV$213,98,0)</f>
        <v>414854550</v>
      </c>
      <c r="C81" s="82">
        <f>VLOOKUP(A81,'Data shares'!$C$2:$CX$213,100,0)</f>
        <v>5280000</v>
      </c>
      <c r="D81" s="141">
        <f>VLOOKUP(A81,'Data shares'!$C$2:$CY$536,101,0)</f>
        <v>1.29E-2</v>
      </c>
      <c r="E81" s="86">
        <f>VLOOKUP($A81,'Data shares'!$C:$FA,74)</f>
        <v>317230650</v>
      </c>
      <c r="F81" s="86">
        <f>VLOOKUP($A81,'Data shares'!$C:$FA,76)</f>
        <v>1650550</v>
      </c>
      <c r="G81" s="87">
        <f>VLOOKUP(A81,'Data shares'!$C$2:$CA$213,77,0)</f>
        <v>5.1999999999999998E-3</v>
      </c>
      <c r="H81" s="86">
        <f>VLOOKUP($A81,'Data shares'!$C:$FA,90)</f>
        <v>61264500</v>
      </c>
      <c r="I81" s="86">
        <f>VLOOKUP($A81,'Data shares'!$C:$FA,92)</f>
        <v>2405150</v>
      </c>
      <c r="J81" s="87">
        <f>VLOOKUP($A81,'Data shares'!$C:$FA,93)</f>
        <v>4.0899999999999999E-2</v>
      </c>
      <c r="K81" s="86">
        <f>VLOOKUP($A81,'Data shares'!$C:$FA,94)</f>
        <v>36359400</v>
      </c>
      <c r="L81" s="86">
        <f>VLOOKUP($A81,'Data shares'!$C:$FA,96)</f>
        <v>1224300</v>
      </c>
      <c r="M81" s="87">
        <f>VLOOKUP($A81,'Data shares'!$C:$FA,97)</f>
        <v>3.4799999999999998E-2</v>
      </c>
      <c r="N81" s="86">
        <f>VLOOKUP($A81,'Data shares'!$C:$FA,78)</f>
        <v>295326900</v>
      </c>
      <c r="O81" s="87">
        <f>VLOOKUP($A81,'Data shares'!$C:$FA,81)</f>
        <v>-3.0300000000000001E-2</v>
      </c>
    </row>
    <row r="82" spans="1:15" x14ac:dyDescent="0.25">
      <c r="A82" s="100" t="str">
        <f>'Data Vlaue (Cr)'!C77</f>
        <v>HDFCLIFE</v>
      </c>
      <c r="B82" s="82">
        <f>VLOOKUP(A82,'Data shares'!$C$2:$CV$213,98,0)</f>
        <v>53674500</v>
      </c>
      <c r="C82" s="82">
        <f>VLOOKUP(A82,'Data shares'!$C$2:$CX$213,100,0)</f>
        <v>3017300</v>
      </c>
      <c r="D82" s="141">
        <f>VLOOKUP(A82,'Data shares'!$C$2:$CY$536,101,0)</f>
        <v>5.96E-2</v>
      </c>
      <c r="E82" s="86">
        <f>VLOOKUP($A82,'Data shares'!$C:$FA,74)</f>
        <v>36208700</v>
      </c>
      <c r="F82" s="86">
        <f>VLOOKUP($A82,'Data shares'!$C:$FA,76)</f>
        <v>551100</v>
      </c>
      <c r="G82" s="87">
        <f>VLOOKUP(A82,'Data shares'!$C$2:$CA$213,77,0)</f>
        <v>1.55E-2</v>
      </c>
      <c r="H82" s="86">
        <f>VLOOKUP($A82,'Data shares'!$C:$FA,90)</f>
        <v>12276000</v>
      </c>
      <c r="I82" s="86">
        <f>VLOOKUP($A82,'Data shares'!$C:$FA,92)</f>
        <v>1722600</v>
      </c>
      <c r="J82" s="87">
        <f>VLOOKUP($A82,'Data shares'!$C:$FA,93)</f>
        <v>0.16320000000000001</v>
      </c>
      <c r="K82" s="86">
        <f>VLOOKUP($A82,'Data shares'!$C:$FA,94)</f>
        <v>5189800</v>
      </c>
      <c r="L82" s="86">
        <f>VLOOKUP($A82,'Data shares'!$C:$FA,96)</f>
        <v>743600</v>
      </c>
      <c r="M82" s="87">
        <f>VLOOKUP($A82,'Data shares'!$C:$FA,97)</f>
        <v>0.16719999999999999</v>
      </c>
      <c r="N82" s="86">
        <f>VLOOKUP($A82,'Data shares'!$C:$FA,78)</f>
        <v>35619100</v>
      </c>
      <c r="O82" s="87">
        <f>VLOOKUP($A82,'Data shares'!$C:$FA,81)</f>
        <v>1.2800000000000001E-2</v>
      </c>
    </row>
    <row r="83" spans="1:15" x14ac:dyDescent="0.25">
      <c r="A83" s="100" t="str">
        <f>'Data Vlaue (Cr)'!C78</f>
        <v>HEROMOTOCO</v>
      </c>
      <c r="B83" s="82">
        <f>VLOOKUP(A83,'Data shares'!$C$2:$CV$213,98,0)</f>
        <v>6058350</v>
      </c>
      <c r="C83" s="82">
        <f>VLOOKUP(A83,'Data shares'!$C$2:$CX$213,100,0)</f>
        <v>-10950</v>
      </c>
      <c r="D83" s="141">
        <f>VLOOKUP(A83,'Data shares'!$C$2:$CY$536,101,0)</f>
        <v>-1.8E-3</v>
      </c>
      <c r="E83" s="86">
        <f>VLOOKUP($A83,'Data shares'!$C:$FA,74)</f>
        <v>3437250</v>
      </c>
      <c r="F83" s="86">
        <f>VLOOKUP($A83,'Data shares'!$C:$FA,76)</f>
        <v>-5100</v>
      </c>
      <c r="G83" s="87">
        <f>VLOOKUP(A83,'Data shares'!$C$2:$CA$213,77,0)</f>
        <v>-1.5E-3</v>
      </c>
      <c r="H83" s="86">
        <f>VLOOKUP($A83,'Data shares'!$C:$FA,90)</f>
        <v>1583100</v>
      </c>
      <c r="I83" s="86">
        <f>VLOOKUP($A83,'Data shares'!$C:$FA,92)</f>
        <v>26250</v>
      </c>
      <c r="J83" s="87">
        <f>VLOOKUP($A83,'Data shares'!$C:$FA,93)</f>
        <v>1.6899999999999998E-2</v>
      </c>
      <c r="K83" s="86">
        <f>VLOOKUP($A83,'Data shares'!$C:$FA,94)</f>
        <v>1038000</v>
      </c>
      <c r="L83" s="86">
        <f>VLOOKUP($A83,'Data shares'!$C:$FA,96)</f>
        <v>-32100</v>
      </c>
      <c r="M83" s="87">
        <f>VLOOKUP($A83,'Data shares'!$C:$FA,97)</f>
        <v>-0.03</v>
      </c>
      <c r="N83" s="86">
        <f>VLOOKUP($A83,'Data shares'!$C:$FA,78)</f>
        <v>3380700</v>
      </c>
      <c r="O83" s="87">
        <f>VLOOKUP($A83,'Data shares'!$C:$FA,81)</f>
        <v>-2.0999999999999999E-3</v>
      </c>
    </row>
    <row r="84" spans="1:15" x14ac:dyDescent="0.25">
      <c r="A84" s="100" t="str">
        <f>'Data Vlaue (Cr)'!C79</f>
        <v>HINDALCO</v>
      </c>
      <c r="B84" s="82">
        <f>VLOOKUP(A84,'Data shares'!$C$2:$CV$213,98,0)</f>
        <v>63000000</v>
      </c>
      <c r="C84" s="82">
        <f>VLOOKUP(A84,'Data shares'!$C$2:$CX$213,100,0)</f>
        <v>3118500</v>
      </c>
      <c r="D84" s="141">
        <f>VLOOKUP(A84,'Data shares'!$C$2:$CY$536,101,0)</f>
        <v>5.21E-2</v>
      </c>
      <c r="E84" s="86">
        <f>VLOOKUP($A84,'Data shares'!$C:$FA,74)</f>
        <v>43016400</v>
      </c>
      <c r="F84" s="86">
        <f>VLOOKUP($A84,'Data shares'!$C:$FA,76)</f>
        <v>-978600</v>
      </c>
      <c r="G84" s="87">
        <f>VLOOKUP(A84,'Data shares'!$C$2:$CA$213,77,0)</f>
        <v>-2.2200000000000001E-2</v>
      </c>
      <c r="H84" s="86">
        <f>VLOOKUP($A84,'Data shares'!$C:$FA,90)</f>
        <v>10821300</v>
      </c>
      <c r="I84" s="86">
        <f>VLOOKUP($A84,'Data shares'!$C:$FA,92)</f>
        <v>2188200</v>
      </c>
      <c r="J84" s="87">
        <f>VLOOKUP($A84,'Data shares'!$C:$FA,93)</f>
        <v>0.2535</v>
      </c>
      <c r="K84" s="86">
        <f>VLOOKUP($A84,'Data shares'!$C:$FA,94)</f>
        <v>9162300</v>
      </c>
      <c r="L84" s="86">
        <f>VLOOKUP($A84,'Data shares'!$C:$FA,96)</f>
        <v>1908900</v>
      </c>
      <c r="M84" s="87">
        <f>VLOOKUP($A84,'Data shares'!$C:$FA,97)</f>
        <v>0.26319999999999999</v>
      </c>
      <c r="N84" s="86">
        <f>VLOOKUP($A84,'Data shares'!$C:$FA,78)</f>
        <v>38226300</v>
      </c>
      <c r="O84" s="87">
        <f>VLOOKUP($A84,'Data shares'!$C:$FA,81)</f>
        <v>-6.1800000000000001E-2</v>
      </c>
    </row>
    <row r="85" spans="1:15" x14ac:dyDescent="0.25">
      <c r="A85" s="100" t="str">
        <f>'Data Vlaue (Cr)'!C80</f>
        <v>HINDPETRO</v>
      </c>
      <c r="B85" s="82">
        <f>VLOOKUP(A85,'Data shares'!$C$2:$CV$213,98,0)</f>
        <v>70901325</v>
      </c>
      <c r="C85" s="82">
        <f>VLOOKUP(A85,'Data shares'!$C$2:$CX$213,100,0)</f>
        <v>1042875</v>
      </c>
      <c r="D85" s="141">
        <f>VLOOKUP(A85,'Data shares'!$C$2:$CY$536,101,0)</f>
        <v>1.49E-2</v>
      </c>
      <c r="E85" s="86">
        <f>VLOOKUP($A85,'Data shares'!$C:$FA,74)</f>
        <v>43474725</v>
      </c>
      <c r="F85" s="86">
        <f>VLOOKUP($A85,'Data shares'!$C:$FA,76)</f>
        <v>-2205225</v>
      </c>
      <c r="G85" s="87">
        <f>VLOOKUP(A85,'Data shares'!$C$2:$CA$213,77,0)</f>
        <v>-4.8300000000000003E-2</v>
      </c>
      <c r="H85" s="86">
        <f>VLOOKUP($A85,'Data shares'!$C:$FA,90)</f>
        <v>13846950</v>
      </c>
      <c r="I85" s="86">
        <f>VLOOKUP($A85,'Data shares'!$C:$FA,92)</f>
        <v>2425950</v>
      </c>
      <c r="J85" s="87">
        <f>VLOOKUP($A85,'Data shares'!$C:$FA,93)</f>
        <v>0.21240000000000001</v>
      </c>
      <c r="K85" s="86">
        <f>VLOOKUP($A85,'Data shares'!$C:$FA,94)</f>
        <v>13579650</v>
      </c>
      <c r="L85" s="86">
        <f>VLOOKUP($A85,'Data shares'!$C:$FA,96)</f>
        <v>822150</v>
      </c>
      <c r="M85" s="87">
        <f>VLOOKUP($A85,'Data shares'!$C:$FA,97)</f>
        <v>6.4399999999999999E-2</v>
      </c>
      <c r="N85" s="86">
        <f>VLOOKUP($A85,'Data shares'!$C:$FA,78)</f>
        <v>42423750</v>
      </c>
      <c r="O85" s="87">
        <f>VLOOKUP($A85,'Data shares'!$C:$FA,81)</f>
        <v>-5.1999999999999998E-2</v>
      </c>
    </row>
    <row r="86" spans="1:15" x14ac:dyDescent="0.25">
      <c r="A86" s="100" t="str">
        <f>'Data Vlaue (Cr)'!C81</f>
        <v>HINDUNILVR</v>
      </c>
      <c r="B86" s="82">
        <f>VLOOKUP(A86,'Data shares'!$C$2:$CV$213,98,0)</f>
        <v>23574300</v>
      </c>
      <c r="C86" s="82">
        <f>VLOOKUP(A86,'Data shares'!$C$2:$CX$213,100,0)</f>
        <v>465000</v>
      </c>
      <c r="D86" s="141">
        <f>VLOOKUP(A86,'Data shares'!$C$2:$CY$536,101,0)</f>
        <v>2.01E-2</v>
      </c>
      <c r="E86" s="86">
        <f>VLOOKUP($A86,'Data shares'!$C:$FA,74)</f>
        <v>16083300</v>
      </c>
      <c r="F86" s="86">
        <f>VLOOKUP($A86,'Data shares'!$C:$FA,76)</f>
        <v>157800</v>
      </c>
      <c r="G86" s="87">
        <f>VLOOKUP(A86,'Data shares'!$C$2:$CA$213,77,0)</f>
        <v>9.9000000000000008E-3</v>
      </c>
      <c r="H86" s="86">
        <f>VLOOKUP($A86,'Data shares'!$C:$FA,90)</f>
        <v>4847700</v>
      </c>
      <c r="I86" s="86">
        <f>VLOOKUP($A86,'Data shares'!$C:$FA,92)</f>
        <v>108600</v>
      </c>
      <c r="J86" s="87">
        <f>VLOOKUP($A86,'Data shares'!$C:$FA,93)</f>
        <v>2.29E-2</v>
      </c>
      <c r="K86" s="86">
        <f>VLOOKUP($A86,'Data shares'!$C:$FA,94)</f>
        <v>2643300</v>
      </c>
      <c r="L86" s="86">
        <f>VLOOKUP($A86,'Data shares'!$C:$FA,96)</f>
        <v>198600</v>
      </c>
      <c r="M86" s="87">
        <f>VLOOKUP($A86,'Data shares'!$C:$FA,97)</f>
        <v>8.1199999999999994E-2</v>
      </c>
      <c r="N86" s="86">
        <f>VLOOKUP($A86,'Data shares'!$C:$FA,78)</f>
        <v>15795000</v>
      </c>
      <c r="O86" s="87">
        <f>VLOOKUP($A86,'Data shares'!$C:$FA,81)</f>
        <v>7.9000000000000008E-3</v>
      </c>
    </row>
    <row r="87" spans="1:15" x14ac:dyDescent="0.25">
      <c r="A87" s="100" t="str">
        <f>'Data Vlaue (Cr)'!C82</f>
        <v>HINDZINC</v>
      </c>
      <c r="B87" s="82">
        <f>VLOOKUP(A87,'Data shares'!$C$2:$CV$213,98,0)</f>
        <v>78243200</v>
      </c>
      <c r="C87" s="82">
        <f>VLOOKUP(A87,'Data shares'!$C$2:$CX$213,100,0)</f>
        <v>1884050</v>
      </c>
      <c r="D87" s="141">
        <f>VLOOKUP(A87,'Data shares'!$C$2:$CY$536,101,0)</f>
        <v>2.47E-2</v>
      </c>
      <c r="E87" s="86">
        <f>VLOOKUP($A87,'Data shares'!$C:$FA,74)</f>
        <v>35864325</v>
      </c>
      <c r="F87" s="86">
        <f>VLOOKUP($A87,'Data shares'!$C:$FA,76)</f>
        <v>445900</v>
      </c>
      <c r="G87" s="87">
        <f>VLOOKUP(A87,'Data shares'!$C$2:$CA$213,77,0)</f>
        <v>1.26E-2</v>
      </c>
      <c r="H87" s="86">
        <f>VLOOKUP($A87,'Data shares'!$C:$FA,90)</f>
        <v>27084750</v>
      </c>
      <c r="I87" s="86">
        <f>VLOOKUP($A87,'Data shares'!$C:$FA,92)</f>
        <v>1751750</v>
      </c>
      <c r="J87" s="87">
        <f>VLOOKUP($A87,'Data shares'!$C:$FA,93)</f>
        <v>6.9099999999999995E-2</v>
      </c>
      <c r="K87" s="86">
        <f>VLOOKUP($A87,'Data shares'!$C:$FA,94)</f>
        <v>15294125</v>
      </c>
      <c r="L87" s="86">
        <f>VLOOKUP($A87,'Data shares'!$C:$FA,96)</f>
        <v>-313600</v>
      </c>
      <c r="M87" s="87">
        <f>VLOOKUP($A87,'Data shares'!$C:$FA,97)</f>
        <v>-2.01E-2</v>
      </c>
      <c r="N87" s="86">
        <f>VLOOKUP($A87,'Data shares'!$C:$FA,78)</f>
        <v>33082350</v>
      </c>
      <c r="O87" s="87">
        <f>VLOOKUP($A87,'Data shares'!$C:$FA,81)</f>
        <v>1.2E-2</v>
      </c>
    </row>
    <row r="88" spans="1:15" x14ac:dyDescent="0.25">
      <c r="A88" s="100" t="str">
        <f>'Data Vlaue (Cr)'!C83</f>
        <v>HUDCO</v>
      </c>
      <c r="B88" s="82">
        <f>VLOOKUP(A88,'Data shares'!$C$2:$CV$213,98,0)</f>
        <v>72829875</v>
      </c>
      <c r="C88" s="82">
        <f>VLOOKUP(A88,'Data shares'!$C$2:$CX$213,100,0)</f>
        <v>754800</v>
      </c>
      <c r="D88" s="141">
        <f>VLOOKUP(A88,'Data shares'!$C$2:$CY$536,101,0)</f>
        <v>1.0500000000000001E-2</v>
      </c>
      <c r="E88" s="86">
        <f>VLOOKUP($A88,'Data shares'!$C:$FA,74)</f>
        <v>42429750</v>
      </c>
      <c r="F88" s="86">
        <f>VLOOKUP($A88,'Data shares'!$C:$FA,76)</f>
        <v>-391275</v>
      </c>
      <c r="G88" s="87">
        <f>VLOOKUP(A88,'Data shares'!$C$2:$CA$213,77,0)</f>
        <v>-9.1000000000000004E-3</v>
      </c>
      <c r="H88" s="86">
        <f>VLOOKUP($A88,'Data shares'!$C:$FA,90)</f>
        <v>17657325</v>
      </c>
      <c r="I88" s="86">
        <f>VLOOKUP($A88,'Data shares'!$C:$FA,92)</f>
        <v>793650</v>
      </c>
      <c r="J88" s="87">
        <f>VLOOKUP($A88,'Data shares'!$C:$FA,93)</f>
        <v>4.7100000000000003E-2</v>
      </c>
      <c r="K88" s="86">
        <f>VLOOKUP($A88,'Data shares'!$C:$FA,94)</f>
        <v>12742800</v>
      </c>
      <c r="L88" s="86">
        <f>VLOOKUP($A88,'Data shares'!$C:$FA,96)</f>
        <v>352425</v>
      </c>
      <c r="M88" s="87">
        <f>VLOOKUP($A88,'Data shares'!$C:$FA,97)</f>
        <v>2.8400000000000002E-2</v>
      </c>
      <c r="N88" s="86">
        <f>VLOOKUP($A88,'Data shares'!$C:$FA,78)</f>
        <v>41083875</v>
      </c>
      <c r="O88" s="87">
        <f>VLOOKUP($A88,'Data shares'!$C:$FA,81)</f>
        <v>-1.0500000000000001E-2</v>
      </c>
    </row>
    <row r="89" spans="1:15" x14ac:dyDescent="0.25">
      <c r="A89" s="100" t="str">
        <f>'Data Vlaue (Cr)'!C84</f>
        <v>ICICIBANK</v>
      </c>
      <c r="B89" s="82">
        <f>VLOOKUP(A89,'Data shares'!$C$2:$CV$213,98,0)</f>
        <v>155199800</v>
      </c>
      <c r="C89" s="82">
        <f>VLOOKUP(A89,'Data shares'!$C$2:$CX$213,100,0)</f>
        <v>4333000</v>
      </c>
      <c r="D89" s="141">
        <f>VLOOKUP(A89,'Data shares'!$C$2:$CY$536,101,0)</f>
        <v>2.87E-2</v>
      </c>
      <c r="E89" s="86">
        <f>VLOOKUP($A89,'Data shares'!$C:$FA,74)</f>
        <v>116623500</v>
      </c>
      <c r="F89" s="86">
        <f>VLOOKUP($A89,'Data shares'!$C:$FA,76)</f>
        <v>2212000</v>
      </c>
      <c r="G89" s="87">
        <f>VLOOKUP(A89,'Data shares'!$C$2:$CA$213,77,0)</f>
        <v>1.9300000000000001E-2</v>
      </c>
      <c r="H89" s="86">
        <f>VLOOKUP($A89,'Data shares'!$C:$FA,90)</f>
        <v>23703400</v>
      </c>
      <c r="I89" s="86">
        <f>VLOOKUP($A89,'Data shares'!$C:$FA,92)</f>
        <v>2365300</v>
      </c>
      <c r="J89" s="87">
        <f>VLOOKUP($A89,'Data shares'!$C:$FA,93)</f>
        <v>0.1108</v>
      </c>
      <c r="K89" s="86">
        <f>VLOOKUP($A89,'Data shares'!$C:$FA,94)</f>
        <v>14872900</v>
      </c>
      <c r="L89" s="86">
        <f>VLOOKUP($A89,'Data shares'!$C:$FA,96)</f>
        <v>-244300</v>
      </c>
      <c r="M89" s="87">
        <f>VLOOKUP($A89,'Data shares'!$C:$FA,97)</f>
        <v>-1.6199999999999999E-2</v>
      </c>
      <c r="N89" s="86">
        <f>VLOOKUP($A89,'Data shares'!$C:$FA,78)</f>
        <v>114966600</v>
      </c>
      <c r="O89" s="87">
        <f>VLOOKUP($A89,'Data shares'!$C:$FA,81)</f>
        <v>1.7600000000000001E-2</v>
      </c>
    </row>
    <row r="90" spans="1:15" x14ac:dyDescent="0.25">
      <c r="A90" s="100" t="str">
        <f>'Data Vlaue (Cr)'!C85</f>
        <v>ICICIGI</v>
      </c>
      <c r="B90" s="82">
        <f>VLOOKUP(A90,'Data shares'!$C$2:$CV$213,98,0)</f>
        <v>6123650</v>
      </c>
      <c r="C90" s="82">
        <f>VLOOKUP(A90,'Data shares'!$C$2:$CX$213,100,0)</f>
        <v>3900</v>
      </c>
      <c r="D90" s="141">
        <f>VLOOKUP(A90,'Data shares'!$C$2:$CY$536,101,0)</f>
        <v>5.9999999999999995E-4</v>
      </c>
      <c r="E90" s="86">
        <f>VLOOKUP($A90,'Data shares'!$C:$FA,74)</f>
        <v>4699175</v>
      </c>
      <c r="F90" s="86">
        <f>VLOOKUP($A90,'Data shares'!$C:$FA,76)</f>
        <v>-24700</v>
      </c>
      <c r="G90" s="87">
        <f>VLOOKUP(A90,'Data shares'!$C$2:$CA$213,77,0)</f>
        <v>-5.1999999999999998E-3</v>
      </c>
      <c r="H90" s="86">
        <f>VLOOKUP($A90,'Data shares'!$C:$FA,90)</f>
        <v>815425</v>
      </c>
      <c r="I90" s="86">
        <f>VLOOKUP($A90,'Data shares'!$C:$FA,92)</f>
        <v>63375</v>
      </c>
      <c r="J90" s="87">
        <f>VLOOKUP($A90,'Data shares'!$C:$FA,93)</f>
        <v>8.43E-2</v>
      </c>
      <c r="K90" s="86">
        <f>VLOOKUP($A90,'Data shares'!$C:$FA,94)</f>
        <v>609050</v>
      </c>
      <c r="L90" s="86">
        <f>VLOOKUP($A90,'Data shares'!$C:$FA,96)</f>
        <v>-34775</v>
      </c>
      <c r="M90" s="87">
        <f>VLOOKUP($A90,'Data shares'!$C:$FA,97)</f>
        <v>-5.3999999999999999E-2</v>
      </c>
      <c r="N90" s="86">
        <f>VLOOKUP($A90,'Data shares'!$C:$FA,78)</f>
        <v>4680000</v>
      </c>
      <c r="O90" s="87">
        <f>VLOOKUP($A90,'Data shares'!$C:$FA,81)</f>
        <v>-5.3E-3</v>
      </c>
    </row>
    <row r="91" spans="1:15" x14ac:dyDescent="0.25">
      <c r="A91" s="100" t="str">
        <f>'Data Vlaue (Cr)'!C86</f>
        <v>ICICIPRULI</v>
      </c>
      <c r="B91" s="82">
        <f>VLOOKUP(A91,'Data shares'!$C$2:$CV$213,98,0)</f>
        <v>23778050</v>
      </c>
      <c r="C91" s="82">
        <f>VLOOKUP(A91,'Data shares'!$C$2:$CX$213,100,0)</f>
        <v>334850</v>
      </c>
      <c r="D91" s="141">
        <f>VLOOKUP(A91,'Data shares'!$C$2:$CY$536,101,0)</f>
        <v>1.43E-2</v>
      </c>
      <c r="E91" s="86">
        <f>VLOOKUP($A91,'Data shares'!$C:$FA,74)</f>
        <v>19006900</v>
      </c>
      <c r="F91" s="86">
        <f>VLOOKUP($A91,'Data shares'!$C:$FA,76)</f>
        <v>-95275</v>
      </c>
      <c r="G91" s="87">
        <f>VLOOKUP(A91,'Data shares'!$C$2:$CA$213,77,0)</f>
        <v>-5.0000000000000001E-3</v>
      </c>
      <c r="H91" s="86">
        <f>VLOOKUP($A91,'Data shares'!$C:$FA,90)</f>
        <v>2842525</v>
      </c>
      <c r="I91" s="86">
        <f>VLOOKUP($A91,'Data shares'!$C:$FA,92)</f>
        <v>246975</v>
      </c>
      <c r="J91" s="87">
        <f>VLOOKUP($A91,'Data shares'!$C:$FA,93)</f>
        <v>9.5200000000000007E-2</v>
      </c>
      <c r="K91" s="86">
        <f>VLOOKUP($A91,'Data shares'!$C:$FA,94)</f>
        <v>1928625</v>
      </c>
      <c r="L91" s="86">
        <f>VLOOKUP($A91,'Data shares'!$C:$FA,96)</f>
        <v>183150</v>
      </c>
      <c r="M91" s="87">
        <f>VLOOKUP($A91,'Data shares'!$C:$FA,97)</f>
        <v>0.10489999999999999</v>
      </c>
      <c r="N91" s="86">
        <f>VLOOKUP($A91,'Data shares'!$C:$FA,78)</f>
        <v>18928275</v>
      </c>
      <c r="O91" s="87">
        <f>VLOOKUP($A91,'Data shares'!$C:$FA,81)</f>
        <v>-5.1999999999999998E-3</v>
      </c>
    </row>
    <row r="92" spans="1:15" x14ac:dyDescent="0.25">
      <c r="A92" s="100" t="str">
        <f>'Data Vlaue (Cr)'!C87</f>
        <v>IDEA</v>
      </c>
      <c r="B92" s="82">
        <f>VLOOKUP(A92,'Data shares'!$C$2:$CV$213,98,0)</f>
        <v>9802367400</v>
      </c>
      <c r="C92" s="82">
        <f>VLOOKUP(A92,'Data shares'!$C$2:$CX$213,100,0)</f>
        <v>337076100</v>
      </c>
      <c r="D92" s="141">
        <f>VLOOKUP(A92,'Data shares'!$C$2:$CY$536,101,0)</f>
        <v>3.56E-2</v>
      </c>
      <c r="E92" s="86">
        <f>VLOOKUP($A92,'Data shares'!$C:$FA,74)</f>
        <v>7146356400</v>
      </c>
      <c r="F92" s="86">
        <f>VLOOKUP($A92,'Data shares'!$C:$FA,76)</f>
        <v>111215100</v>
      </c>
      <c r="G92" s="87">
        <f>VLOOKUP(A92,'Data shares'!$C$2:$CA$213,77,0)</f>
        <v>1.5800000000000002E-2</v>
      </c>
      <c r="H92" s="86">
        <f>VLOOKUP($A92,'Data shares'!$C:$FA,90)</f>
        <v>1749207675</v>
      </c>
      <c r="I92" s="86">
        <f>VLOOKUP($A92,'Data shares'!$C:$FA,92)</f>
        <v>207063075</v>
      </c>
      <c r="J92" s="87">
        <f>VLOOKUP($A92,'Data shares'!$C:$FA,93)</f>
        <v>0.1343</v>
      </c>
      <c r="K92" s="86">
        <f>VLOOKUP($A92,'Data shares'!$C:$FA,94)</f>
        <v>906803325</v>
      </c>
      <c r="L92" s="86">
        <f>VLOOKUP($A92,'Data shares'!$C:$FA,96)</f>
        <v>18797925</v>
      </c>
      <c r="M92" s="87">
        <f>VLOOKUP($A92,'Data shares'!$C:$FA,97)</f>
        <v>2.12E-2</v>
      </c>
      <c r="N92" s="86">
        <f>VLOOKUP($A92,'Data shares'!$C:$FA,78)</f>
        <v>6870177000</v>
      </c>
      <c r="O92" s="87">
        <f>VLOOKUP($A92,'Data shares'!$C:$FA,81)</f>
        <v>1.1900000000000001E-2</v>
      </c>
    </row>
    <row r="93" spans="1:15" x14ac:dyDescent="0.25">
      <c r="A93" s="100" t="str">
        <f>'Data Vlaue (Cr)'!C88</f>
        <v>IDFCFIRSTB</v>
      </c>
      <c r="B93" s="82">
        <f>VLOOKUP(A93,'Data shares'!$C$2:$CV$213,98,0)</f>
        <v>1000522075</v>
      </c>
      <c r="C93" s="82">
        <f>VLOOKUP(A93,'Data shares'!$C$2:$CX$213,100,0)</f>
        <v>20154575</v>
      </c>
      <c r="D93" s="141">
        <f>VLOOKUP(A93,'Data shares'!$C$2:$CY$536,101,0)</f>
        <v>2.06E-2</v>
      </c>
      <c r="E93" s="86">
        <f>VLOOKUP($A93,'Data shares'!$C:$FA,74)</f>
        <v>484999025</v>
      </c>
      <c r="F93" s="86">
        <f>VLOOKUP($A93,'Data shares'!$C:$FA,76)</f>
        <v>3654350</v>
      </c>
      <c r="G93" s="87">
        <f>VLOOKUP(A93,'Data shares'!$C$2:$CA$213,77,0)</f>
        <v>7.6E-3</v>
      </c>
      <c r="H93" s="86">
        <f>VLOOKUP($A93,'Data shares'!$C:$FA,90)</f>
        <v>307540450</v>
      </c>
      <c r="I93" s="86">
        <f>VLOOKUP($A93,'Data shares'!$C:$FA,92)</f>
        <v>8338225</v>
      </c>
      <c r="J93" s="87">
        <f>VLOOKUP($A93,'Data shares'!$C:$FA,93)</f>
        <v>2.7900000000000001E-2</v>
      </c>
      <c r="K93" s="86">
        <f>VLOOKUP($A93,'Data shares'!$C:$FA,94)</f>
        <v>207982600</v>
      </c>
      <c r="L93" s="86">
        <f>VLOOKUP($A93,'Data shares'!$C:$FA,96)</f>
        <v>8162000</v>
      </c>
      <c r="M93" s="87">
        <f>VLOOKUP($A93,'Data shares'!$C:$FA,97)</f>
        <v>4.0800000000000003E-2</v>
      </c>
      <c r="N93" s="86">
        <f>VLOOKUP($A93,'Data shares'!$C:$FA,78)</f>
        <v>447472375</v>
      </c>
      <c r="O93" s="87">
        <f>VLOOKUP($A93,'Data shares'!$C:$FA,81)</f>
        <v>4.8999999999999998E-3</v>
      </c>
    </row>
    <row r="94" spans="1:15" x14ac:dyDescent="0.25">
      <c r="A94" s="100" t="str">
        <f>'Data Vlaue (Cr)'!C89</f>
        <v>IEX</v>
      </c>
      <c r="B94" s="82">
        <f>VLOOKUP(A94,'Data shares'!$C$2:$CV$213,98,0)</f>
        <v>133398750</v>
      </c>
      <c r="C94" s="82">
        <f>VLOOKUP(A94,'Data shares'!$C$2:$CX$213,100,0)</f>
        <v>543750</v>
      </c>
      <c r="D94" s="141">
        <f>VLOOKUP(A94,'Data shares'!$C$2:$CY$536,101,0)</f>
        <v>4.1000000000000003E-3</v>
      </c>
      <c r="E94" s="86">
        <f>VLOOKUP($A94,'Data shares'!$C:$FA,74)</f>
        <v>70335000</v>
      </c>
      <c r="F94" s="86">
        <f>VLOOKUP($A94,'Data shares'!$C:$FA,76)</f>
        <v>-180000</v>
      </c>
      <c r="G94" s="87">
        <f>VLOOKUP(A94,'Data shares'!$C$2:$CA$213,77,0)</f>
        <v>-2.5999999999999999E-3</v>
      </c>
      <c r="H94" s="86">
        <f>VLOOKUP($A94,'Data shares'!$C:$FA,90)</f>
        <v>35497500</v>
      </c>
      <c r="I94" s="86">
        <f>VLOOKUP($A94,'Data shares'!$C:$FA,92)</f>
        <v>348750</v>
      </c>
      <c r="J94" s="87">
        <f>VLOOKUP($A94,'Data shares'!$C:$FA,93)</f>
        <v>9.9000000000000008E-3</v>
      </c>
      <c r="K94" s="86">
        <f>VLOOKUP($A94,'Data shares'!$C:$FA,94)</f>
        <v>27566250</v>
      </c>
      <c r="L94" s="86">
        <f>VLOOKUP($A94,'Data shares'!$C:$FA,96)</f>
        <v>375000</v>
      </c>
      <c r="M94" s="87">
        <f>VLOOKUP($A94,'Data shares'!$C:$FA,97)</f>
        <v>1.38E-2</v>
      </c>
      <c r="N94" s="86">
        <f>VLOOKUP($A94,'Data shares'!$C:$FA,78)</f>
        <v>65835000</v>
      </c>
      <c r="O94" s="87">
        <f>VLOOKUP($A94,'Data shares'!$C:$FA,81)</f>
        <v>-1.77E-2</v>
      </c>
    </row>
    <row r="95" spans="1:15" x14ac:dyDescent="0.25">
      <c r="A95" s="100" t="str">
        <f>'Data Vlaue (Cr)'!C90</f>
        <v>INDHOTEL</v>
      </c>
      <c r="B95" s="82">
        <f>VLOOKUP(A95,'Data shares'!$C$2:$CV$213,98,0)</f>
        <v>35842000</v>
      </c>
      <c r="C95" s="82">
        <f>VLOOKUP(A95,'Data shares'!$C$2:$CX$213,100,0)</f>
        <v>2010000</v>
      </c>
      <c r="D95" s="141">
        <f>VLOOKUP(A95,'Data shares'!$C$2:$CY$536,101,0)</f>
        <v>5.9400000000000001E-2</v>
      </c>
      <c r="E95" s="86">
        <f>VLOOKUP($A95,'Data shares'!$C:$FA,74)</f>
        <v>22301000</v>
      </c>
      <c r="F95" s="86">
        <f>VLOOKUP($A95,'Data shares'!$C:$FA,76)</f>
        <v>163000</v>
      </c>
      <c r="G95" s="87">
        <f>VLOOKUP(A95,'Data shares'!$C$2:$CA$213,77,0)</f>
        <v>7.4000000000000003E-3</v>
      </c>
      <c r="H95" s="86">
        <f>VLOOKUP($A95,'Data shares'!$C:$FA,90)</f>
        <v>7690000</v>
      </c>
      <c r="I95" s="86">
        <f>VLOOKUP($A95,'Data shares'!$C:$FA,92)</f>
        <v>1360000</v>
      </c>
      <c r="J95" s="87">
        <f>VLOOKUP($A95,'Data shares'!$C:$FA,93)</f>
        <v>0.21479999999999999</v>
      </c>
      <c r="K95" s="86">
        <f>VLOOKUP($A95,'Data shares'!$C:$FA,94)</f>
        <v>5851000</v>
      </c>
      <c r="L95" s="86">
        <f>VLOOKUP($A95,'Data shares'!$C:$FA,96)</f>
        <v>487000</v>
      </c>
      <c r="M95" s="87">
        <f>VLOOKUP($A95,'Data shares'!$C:$FA,97)</f>
        <v>9.0800000000000006E-2</v>
      </c>
      <c r="N95" s="86">
        <f>VLOOKUP($A95,'Data shares'!$C:$FA,78)</f>
        <v>21503000</v>
      </c>
      <c r="O95" s="87">
        <f>VLOOKUP($A95,'Data shares'!$C:$FA,81)</f>
        <v>3.8999999999999998E-3</v>
      </c>
    </row>
    <row r="96" spans="1:15" x14ac:dyDescent="0.25">
      <c r="A96" s="100" t="str">
        <f>'Data Vlaue (Cr)'!C91</f>
        <v>INDIANB</v>
      </c>
      <c r="B96" s="82">
        <f>VLOOKUP(A96,'Data shares'!$C$2:$CV$213,98,0)</f>
        <v>14431000</v>
      </c>
      <c r="C96" s="82">
        <f>VLOOKUP(A96,'Data shares'!$C$2:$CX$213,100,0)</f>
        <v>-106000</v>
      </c>
      <c r="D96" s="141">
        <f>VLOOKUP(A96,'Data shares'!$C$2:$CY$536,101,0)</f>
        <v>-7.3000000000000001E-3</v>
      </c>
      <c r="E96" s="86">
        <f>VLOOKUP($A96,'Data shares'!$C:$FA,74)</f>
        <v>7224000</v>
      </c>
      <c r="F96" s="86">
        <f>VLOOKUP($A96,'Data shares'!$C:$FA,76)</f>
        <v>-177000</v>
      </c>
      <c r="G96" s="87">
        <f>VLOOKUP(A96,'Data shares'!$C$2:$CA$213,77,0)</f>
        <v>-2.3900000000000001E-2</v>
      </c>
      <c r="H96" s="86">
        <f>VLOOKUP($A96,'Data shares'!$C:$FA,90)</f>
        <v>4350000</v>
      </c>
      <c r="I96" s="86">
        <f>VLOOKUP($A96,'Data shares'!$C:$FA,92)</f>
        <v>82000</v>
      </c>
      <c r="J96" s="87">
        <f>VLOOKUP($A96,'Data shares'!$C:$FA,93)</f>
        <v>1.9199999999999998E-2</v>
      </c>
      <c r="K96" s="86">
        <f>VLOOKUP($A96,'Data shares'!$C:$FA,94)</f>
        <v>2857000</v>
      </c>
      <c r="L96" s="86">
        <f>VLOOKUP($A96,'Data shares'!$C:$FA,96)</f>
        <v>-11000</v>
      </c>
      <c r="M96" s="87">
        <f>VLOOKUP($A96,'Data shares'!$C:$FA,97)</f>
        <v>-3.8E-3</v>
      </c>
      <c r="N96" s="86">
        <f>VLOOKUP($A96,'Data shares'!$C:$FA,78)</f>
        <v>7087000</v>
      </c>
      <c r="O96" s="87">
        <f>VLOOKUP($A96,'Data shares'!$C:$FA,81)</f>
        <v>-2.69E-2</v>
      </c>
    </row>
    <row r="97" spans="1:15" x14ac:dyDescent="0.25">
      <c r="A97" s="100" t="str">
        <f>'Data Vlaue (Cr)'!C92</f>
        <v>INDIAVIX</v>
      </c>
      <c r="B97" s="82">
        <f>VLOOKUP(A97,'Data shares'!$C$2:$CV$213,98,0)</f>
        <v>0</v>
      </c>
      <c r="C97" s="82">
        <f>VLOOKUP(A97,'Data shares'!$C$2:$CX$213,100,0)</f>
        <v>0</v>
      </c>
      <c r="D97" s="141">
        <f>VLOOKUP(A97,'Data shares'!$C$2:$CY$536,101,0)</f>
        <v>0</v>
      </c>
      <c r="E97" s="86">
        <f>VLOOKUP($A97,'Data shares'!$C:$FA,74)</f>
        <v>0</v>
      </c>
      <c r="F97" s="86">
        <f>VLOOKUP($A97,'Data shares'!$C:$FA,76)</f>
        <v>0</v>
      </c>
      <c r="G97" s="87">
        <f>VLOOKUP(A97,'Data shares'!$C$2:$CA$213,77,0)</f>
        <v>0</v>
      </c>
      <c r="H97" s="86">
        <f>VLOOKUP($A97,'Data shares'!$C:$FA,90)</f>
        <v>0</v>
      </c>
      <c r="I97" s="86">
        <f>VLOOKUP($A97,'Data shares'!$C:$FA,92)</f>
        <v>0</v>
      </c>
      <c r="J97" s="87">
        <f>VLOOKUP($A97,'Data shares'!$C:$FA,93)</f>
        <v>0</v>
      </c>
      <c r="K97" s="86">
        <f>VLOOKUP($A97,'Data shares'!$C:$FA,94)</f>
        <v>0</v>
      </c>
      <c r="L97" s="86">
        <f>VLOOKUP($A97,'Data shares'!$C:$FA,96)</f>
        <v>0</v>
      </c>
      <c r="M97" s="87">
        <f>VLOOKUP($A97,'Data shares'!$C:$FA,97)</f>
        <v>0</v>
      </c>
      <c r="N97" s="86">
        <f>VLOOKUP($A97,'Data shares'!$C:$FA,78)</f>
        <v>0</v>
      </c>
      <c r="O97" s="87">
        <f>VLOOKUP($A97,'Data shares'!$C:$FA,81)</f>
        <v>0</v>
      </c>
    </row>
    <row r="98" spans="1:15" x14ac:dyDescent="0.25">
      <c r="A98" s="100" t="str">
        <f>'Data Vlaue (Cr)'!C93</f>
        <v>INDIGO</v>
      </c>
      <c r="B98" s="82">
        <f>VLOOKUP(A98,'Data shares'!$C$2:$CV$213,98,0)</f>
        <v>18290100</v>
      </c>
      <c r="C98" s="82">
        <f>VLOOKUP(A98,'Data shares'!$C$2:$CX$213,100,0)</f>
        <v>944850</v>
      </c>
      <c r="D98" s="141">
        <f>VLOOKUP(A98,'Data shares'!$C$2:$CY$536,101,0)</f>
        <v>5.45E-2</v>
      </c>
      <c r="E98" s="86">
        <f>VLOOKUP($A98,'Data shares'!$C:$FA,74)</f>
        <v>9210750</v>
      </c>
      <c r="F98" s="86">
        <f>VLOOKUP($A98,'Data shares'!$C:$FA,76)</f>
        <v>-142350</v>
      </c>
      <c r="G98" s="87">
        <f>VLOOKUP(A98,'Data shares'!$C$2:$CA$213,77,0)</f>
        <v>-1.52E-2</v>
      </c>
      <c r="H98" s="86">
        <f>VLOOKUP($A98,'Data shares'!$C:$FA,90)</f>
        <v>5236200</v>
      </c>
      <c r="I98" s="86">
        <f>VLOOKUP($A98,'Data shares'!$C:$FA,92)</f>
        <v>701550</v>
      </c>
      <c r="J98" s="87">
        <f>VLOOKUP($A98,'Data shares'!$C:$FA,93)</f>
        <v>0.1547</v>
      </c>
      <c r="K98" s="86">
        <f>VLOOKUP($A98,'Data shares'!$C:$FA,94)</f>
        <v>3843150</v>
      </c>
      <c r="L98" s="86">
        <f>VLOOKUP($A98,'Data shares'!$C:$FA,96)</f>
        <v>385650</v>
      </c>
      <c r="M98" s="87">
        <f>VLOOKUP($A98,'Data shares'!$C:$FA,97)</f>
        <v>0.1115</v>
      </c>
      <c r="N98" s="86">
        <f>VLOOKUP($A98,'Data shares'!$C:$FA,78)</f>
        <v>8387400</v>
      </c>
      <c r="O98" s="87">
        <f>VLOOKUP($A98,'Data shares'!$C:$FA,81)</f>
        <v>-1.8700000000000001E-2</v>
      </c>
    </row>
    <row r="99" spans="1:15" x14ac:dyDescent="0.25">
      <c r="A99" s="100" t="str">
        <f>'Data Vlaue (Cr)'!C94</f>
        <v>INDUSINDBK</v>
      </c>
      <c r="B99" s="82">
        <f>VLOOKUP(A99,'Data shares'!$C$2:$CV$213,98,0)</f>
        <v>46287500</v>
      </c>
      <c r="C99" s="82">
        <f>VLOOKUP(A99,'Data shares'!$C$2:$CX$213,100,0)</f>
        <v>214200</v>
      </c>
      <c r="D99" s="141">
        <f>VLOOKUP(A99,'Data shares'!$C$2:$CY$536,101,0)</f>
        <v>4.5999999999999999E-3</v>
      </c>
      <c r="E99" s="86">
        <f>VLOOKUP($A99,'Data shares'!$C:$FA,74)</f>
        <v>35873600</v>
      </c>
      <c r="F99" s="86">
        <f>VLOOKUP($A99,'Data shares'!$C:$FA,76)</f>
        <v>401100</v>
      </c>
      <c r="G99" s="87">
        <f>VLOOKUP(A99,'Data shares'!$C$2:$CA$213,77,0)</f>
        <v>1.1299999999999999E-2</v>
      </c>
      <c r="H99" s="86">
        <f>VLOOKUP($A99,'Data shares'!$C:$FA,90)</f>
        <v>6166300</v>
      </c>
      <c r="I99" s="86">
        <f>VLOOKUP($A99,'Data shares'!$C:$FA,92)</f>
        <v>-67200</v>
      </c>
      <c r="J99" s="87">
        <f>VLOOKUP($A99,'Data shares'!$C:$FA,93)</f>
        <v>-1.0800000000000001E-2</v>
      </c>
      <c r="K99" s="86">
        <f>VLOOKUP($A99,'Data shares'!$C:$FA,94)</f>
        <v>4247600</v>
      </c>
      <c r="L99" s="86">
        <f>VLOOKUP($A99,'Data shares'!$C:$FA,96)</f>
        <v>-119700</v>
      </c>
      <c r="M99" s="87">
        <f>VLOOKUP($A99,'Data shares'!$C:$FA,97)</f>
        <v>-2.7400000000000001E-2</v>
      </c>
      <c r="N99" s="86">
        <f>VLOOKUP($A99,'Data shares'!$C:$FA,78)</f>
        <v>34393100</v>
      </c>
      <c r="O99" s="87">
        <f>VLOOKUP($A99,'Data shares'!$C:$FA,81)</f>
        <v>7.3000000000000001E-3</v>
      </c>
    </row>
    <row r="100" spans="1:15" x14ac:dyDescent="0.25">
      <c r="A100" s="100" t="str">
        <f>'Data Vlaue (Cr)'!C95</f>
        <v>INDUSTOWER</v>
      </c>
      <c r="B100" s="82">
        <f>VLOOKUP(A100,'Data shares'!$C$2:$CV$213,98,0)</f>
        <v>88741700</v>
      </c>
      <c r="C100" s="82">
        <f>VLOOKUP(A100,'Data shares'!$C$2:$CX$213,100,0)</f>
        <v>504900</v>
      </c>
      <c r="D100" s="141">
        <f>VLOOKUP(A100,'Data shares'!$C$2:$CY$536,101,0)</f>
        <v>5.7000000000000002E-3</v>
      </c>
      <c r="E100" s="86">
        <f>VLOOKUP($A100,'Data shares'!$C:$FA,74)</f>
        <v>71400000</v>
      </c>
      <c r="F100" s="86">
        <f>VLOOKUP($A100,'Data shares'!$C:$FA,76)</f>
        <v>98600</v>
      </c>
      <c r="G100" s="87">
        <f>VLOOKUP(A100,'Data shares'!$C$2:$CA$213,77,0)</f>
        <v>1.4E-3</v>
      </c>
      <c r="H100" s="86">
        <f>VLOOKUP($A100,'Data shares'!$C:$FA,90)</f>
        <v>11255700</v>
      </c>
      <c r="I100" s="86">
        <f>VLOOKUP($A100,'Data shares'!$C:$FA,92)</f>
        <v>-91800</v>
      </c>
      <c r="J100" s="87">
        <f>VLOOKUP($A100,'Data shares'!$C:$FA,93)</f>
        <v>-8.0999999999999996E-3</v>
      </c>
      <c r="K100" s="86">
        <f>VLOOKUP($A100,'Data shares'!$C:$FA,94)</f>
        <v>6086000</v>
      </c>
      <c r="L100" s="86">
        <f>VLOOKUP($A100,'Data shares'!$C:$FA,96)</f>
        <v>498100</v>
      </c>
      <c r="M100" s="87">
        <f>VLOOKUP($A100,'Data shares'!$C:$FA,97)</f>
        <v>8.9099999999999999E-2</v>
      </c>
      <c r="N100" s="86">
        <f>VLOOKUP($A100,'Data shares'!$C:$FA,78)</f>
        <v>70465000</v>
      </c>
      <c r="O100" s="87">
        <f>VLOOKUP($A100,'Data shares'!$C:$FA,81)</f>
        <v>1.1000000000000001E-3</v>
      </c>
    </row>
    <row r="101" spans="1:15" x14ac:dyDescent="0.25">
      <c r="A101" s="100" t="str">
        <f>'Data Vlaue (Cr)'!C96</f>
        <v>INFY</v>
      </c>
      <c r="B101" s="82">
        <f>VLOOKUP(A101,'Data shares'!$C$2:$CV$213,98,0)</f>
        <v>138706000</v>
      </c>
      <c r="C101" s="82">
        <f>VLOOKUP(A101,'Data shares'!$C$2:$CX$213,100,0)</f>
        <v>-522400</v>
      </c>
      <c r="D101" s="141">
        <f>VLOOKUP(A101,'Data shares'!$C$2:$CY$536,101,0)</f>
        <v>-3.8E-3</v>
      </c>
      <c r="E101" s="86">
        <f>VLOOKUP($A101,'Data shares'!$C:$FA,74)</f>
        <v>81372800</v>
      </c>
      <c r="F101" s="86">
        <f>VLOOKUP($A101,'Data shares'!$C:$FA,76)</f>
        <v>-732800</v>
      </c>
      <c r="G101" s="87">
        <f>VLOOKUP(A101,'Data shares'!$C$2:$CA$213,77,0)</f>
        <v>-8.8999999999999999E-3</v>
      </c>
      <c r="H101" s="86">
        <f>VLOOKUP($A101,'Data shares'!$C:$FA,90)</f>
        <v>37096800</v>
      </c>
      <c r="I101" s="86">
        <f>VLOOKUP($A101,'Data shares'!$C:$FA,92)</f>
        <v>628000</v>
      </c>
      <c r="J101" s="87">
        <f>VLOOKUP($A101,'Data shares'!$C:$FA,93)</f>
        <v>1.72E-2</v>
      </c>
      <c r="K101" s="86">
        <f>VLOOKUP($A101,'Data shares'!$C:$FA,94)</f>
        <v>20236400</v>
      </c>
      <c r="L101" s="86">
        <f>VLOOKUP($A101,'Data shares'!$C:$FA,96)</f>
        <v>-417600</v>
      </c>
      <c r="M101" s="87">
        <f>VLOOKUP($A101,'Data shares'!$C:$FA,97)</f>
        <v>-2.0199999999999999E-2</v>
      </c>
      <c r="N101" s="86">
        <f>VLOOKUP($A101,'Data shares'!$C:$FA,78)</f>
        <v>75771600</v>
      </c>
      <c r="O101" s="87">
        <f>VLOOKUP($A101,'Data shares'!$C:$FA,81)</f>
        <v>-1.04E-2</v>
      </c>
    </row>
    <row r="102" spans="1:15" x14ac:dyDescent="0.25">
      <c r="A102" s="100" t="str">
        <f>'Data Vlaue (Cr)'!C97</f>
        <v>INOXWIND</v>
      </c>
      <c r="B102" s="82">
        <f>VLOOKUP(A102,'Data shares'!$C$2:$CV$213,98,0)</f>
        <v>159180450</v>
      </c>
      <c r="C102" s="82">
        <f>VLOOKUP(A102,'Data shares'!$C$2:$CX$213,100,0)</f>
        <v>3085225</v>
      </c>
      <c r="D102" s="141">
        <f>VLOOKUP(A102,'Data shares'!$C$2:$CY$536,101,0)</f>
        <v>1.9800000000000002E-2</v>
      </c>
      <c r="E102" s="86">
        <f>VLOOKUP($A102,'Data shares'!$C:$FA,74)</f>
        <v>103088700</v>
      </c>
      <c r="F102" s="86">
        <f>VLOOKUP($A102,'Data shares'!$C:$FA,76)</f>
        <v>-1819675</v>
      </c>
      <c r="G102" s="87">
        <f>VLOOKUP(A102,'Data shares'!$C$2:$CA$213,77,0)</f>
        <v>-1.7299999999999999E-2</v>
      </c>
      <c r="H102" s="86">
        <f>VLOOKUP($A102,'Data shares'!$C:$FA,90)</f>
        <v>32171425</v>
      </c>
      <c r="I102" s="86">
        <f>VLOOKUP($A102,'Data shares'!$C:$FA,92)</f>
        <v>2313025</v>
      </c>
      <c r="J102" s="87">
        <f>VLOOKUP($A102,'Data shares'!$C:$FA,93)</f>
        <v>7.7499999999999999E-2</v>
      </c>
      <c r="K102" s="86">
        <f>VLOOKUP($A102,'Data shares'!$C:$FA,94)</f>
        <v>23920325</v>
      </c>
      <c r="L102" s="86">
        <f>VLOOKUP($A102,'Data shares'!$C:$FA,96)</f>
        <v>2591875</v>
      </c>
      <c r="M102" s="87">
        <f>VLOOKUP($A102,'Data shares'!$C:$FA,97)</f>
        <v>0.1215</v>
      </c>
      <c r="N102" s="86">
        <f>VLOOKUP($A102,'Data shares'!$C:$FA,78)</f>
        <v>98652125</v>
      </c>
      <c r="O102" s="87">
        <f>VLOOKUP($A102,'Data shares'!$C:$FA,81)</f>
        <v>-1.9699999999999999E-2</v>
      </c>
    </row>
    <row r="103" spans="1:15" x14ac:dyDescent="0.25">
      <c r="A103" s="100" t="str">
        <f>'Data Vlaue (Cr)'!C98</f>
        <v>IOC</v>
      </c>
      <c r="B103" s="82">
        <f>VLOOKUP(A103,'Data shares'!$C$2:$CV$213,98,0)</f>
        <v>189554625</v>
      </c>
      <c r="C103" s="82">
        <f>VLOOKUP(A103,'Data shares'!$C$2:$CX$213,100,0)</f>
        <v>16370250</v>
      </c>
      <c r="D103" s="141">
        <f>VLOOKUP(A103,'Data shares'!$C$2:$CY$536,101,0)</f>
        <v>9.4500000000000001E-2</v>
      </c>
      <c r="E103" s="86">
        <f>VLOOKUP($A103,'Data shares'!$C:$FA,74)</f>
        <v>95164875</v>
      </c>
      <c r="F103" s="86">
        <f>VLOOKUP($A103,'Data shares'!$C:$FA,76)</f>
        <v>6644625</v>
      </c>
      <c r="G103" s="87">
        <f>VLOOKUP(A103,'Data shares'!$C$2:$CA$213,77,0)</f>
        <v>7.51E-2</v>
      </c>
      <c r="H103" s="86">
        <f>VLOOKUP($A103,'Data shares'!$C:$FA,90)</f>
        <v>51402000</v>
      </c>
      <c r="I103" s="86">
        <f>VLOOKUP($A103,'Data shares'!$C:$FA,92)</f>
        <v>8414250</v>
      </c>
      <c r="J103" s="87">
        <f>VLOOKUP($A103,'Data shares'!$C:$FA,93)</f>
        <v>0.19570000000000001</v>
      </c>
      <c r="K103" s="86">
        <f>VLOOKUP($A103,'Data shares'!$C:$FA,94)</f>
        <v>42987750</v>
      </c>
      <c r="L103" s="86">
        <f>VLOOKUP($A103,'Data shares'!$C:$FA,96)</f>
        <v>1311375</v>
      </c>
      <c r="M103" s="87">
        <f>VLOOKUP($A103,'Data shares'!$C:$FA,97)</f>
        <v>3.15E-2</v>
      </c>
      <c r="N103" s="86">
        <f>VLOOKUP($A103,'Data shares'!$C:$FA,78)</f>
        <v>92064375</v>
      </c>
      <c r="O103" s="87">
        <f>VLOOKUP($A103,'Data shares'!$C:$FA,81)</f>
        <v>7.22E-2</v>
      </c>
    </row>
    <row r="104" spans="1:15" x14ac:dyDescent="0.25">
      <c r="A104" s="100" t="str">
        <f>'Data Vlaue (Cr)'!C99</f>
        <v>IREDA</v>
      </c>
      <c r="B104" s="82">
        <f>VLOOKUP(A104,'Data shares'!$C$2:$CV$213,98,0)</f>
        <v>113936250</v>
      </c>
      <c r="C104" s="82">
        <f>VLOOKUP(A104,'Data shares'!$C$2:$CX$213,100,0)</f>
        <v>859050</v>
      </c>
      <c r="D104" s="141">
        <f>VLOOKUP(A104,'Data shares'!$C$2:$CY$536,101,0)</f>
        <v>7.6E-3</v>
      </c>
      <c r="E104" s="86">
        <f>VLOOKUP($A104,'Data shares'!$C:$FA,74)</f>
        <v>64908300</v>
      </c>
      <c r="F104" s="86">
        <f>VLOOKUP($A104,'Data shares'!$C:$FA,76)</f>
        <v>-193200</v>
      </c>
      <c r="G104" s="87">
        <f>VLOOKUP(A104,'Data shares'!$C$2:$CA$213,77,0)</f>
        <v>-3.0000000000000001E-3</v>
      </c>
      <c r="H104" s="86">
        <f>VLOOKUP($A104,'Data shares'!$C:$FA,90)</f>
        <v>29218050</v>
      </c>
      <c r="I104" s="86">
        <f>VLOOKUP($A104,'Data shares'!$C:$FA,92)</f>
        <v>986700</v>
      </c>
      <c r="J104" s="87">
        <f>VLOOKUP($A104,'Data shares'!$C:$FA,93)</f>
        <v>3.5000000000000003E-2</v>
      </c>
      <c r="K104" s="86">
        <f>VLOOKUP($A104,'Data shares'!$C:$FA,94)</f>
        <v>19809900</v>
      </c>
      <c r="L104" s="86">
        <f>VLOOKUP($A104,'Data shares'!$C:$FA,96)</f>
        <v>65550</v>
      </c>
      <c r="M104" s="87">
        <f>VLOOKUP($A104,'Data shares'!$C:$FA,97)</f>
        <v>3.3E-3</v>
      </c>
      <c r="N104" s="86">
        <f>VLOOKUP($A104,'Data shares'!$C:$FA,78)</f>
        <v>57973800</v>
      </c>
      <c r="O104" s="87">
        <f>VLOOKUP($A104,'Data shares'!$C:$FA,81)</f>
        <v>-4.5999999999999999E-3</v>
      </c>
    </row>
    <row r="105" spans="1:15" x14ac:dyDescent="0.25">
      <c r="A105" s="100" t="str">
        <f>'Data Vlaue (Cr)'!C100</f>
        <v>IRFC</v>
      </c>
      <c r="B105" s="82">
        <f>VLOOKUP(A105,'Data shares'!$C$2:$CV$213,98,0)</f>
        <v>195491500</v>
      </c>
      <c r="C105" s="82">
        <f>VLOOKUP(A105,'Data shares'!$C$2:$CX$213,100,0)</f>
        <v>2507500</v>
      </c>
      <c r="D105" s="141">
        <f>VLOOKUP(A105,'Data shares'!$C$2:$CY$536,101,0)</f>
        <v>1.2999999999999999E-2</v>
      </c>
      <c r="E105" s="86">
        <f>VLOOKUP($A105,'Data shares'!$C:$FA,74)</f>
        <v>76491500</v>
      </c>
      <c r="F105" s="86">
        <f>VLOOKUP($A105,'Data shares'!$C:$FA,76)</f>
        <v>582250</v>
      </c>
      <c r="G105" s="87">
        <f>VLOOKUP(A105,'Data shares'!$C$2:$CA$213,77,0)</f>
        <v>7.7000000000000002E-3</v>
      </c>
      <c r="H105" s="86">
        <f>VLOOKUP($A105,'Data shares'!$C:$FA,90)</f>
        <v>76440500</v>
      </c>
      <c r="I105" s="86">
        <f>VLOOKUP($A105,'Data shares'!$C:$FA,92)</f>
        <v>1500250</v>
      </c>
      <c r="J105" s="87">
        <f>VLOOKUP($A105,'Data shares'!$C:$FA,93)</f>
        <v>0.02</v>
      </c>
      <c r="K105" s="86">
        <f>VLOOKUP($A105,'Data shares'!$C:$FA,94)</f>
        <v>42559500</v>
      </c>
      <c r="L105" s="86">
        <f>VLOOKUP($A105,'Data shares'!$C:$FA,96)</f>
        <v>425000</v>
      </c>
      <c r="M105" s="87">
        <f>VLOOKUP($A105,'Data shares'!$C:$FA,97)</f>
        <v>1.01E-2</v>
      </c>
      <c r="N105" s="86">
        <f>VLOOKUP($A105,'Data shares'!$C:$FA,78)</f>
        <v>65195000</v>
      </c>
      <c r="O105" s="87">
        <f>VLOOKUP($A105,'Data shares'!$C:$FA,81)</f>
        <v>2.2000000000000001E-3</v>
      </c>
    </row>
    <row r="106" spans="1:15" x14ac:dyDescent="0.25">
      <c r="A106" s="100" t="str">
        <f>'Data Vlaue (Cr)'!C101</f>
        <v>ITC</v>
      </c>
      <c r="B106" s="82">
        <f>VLOOKUP(A106,'Data shares'!$C$2:$CV$213,98,0)</f>
        <v>328963200</v>
      </c>
      <c r="C106" s="82">
        <f>VLOOKUP(A106,'Data shares'!$C$2:$CX$213,100,0)</f>
        <v>3758400</v>
      </c>
      <c r="D106" s="141">
        <f>VLOOKUP(A106,'Data shares'!$C$2:$CY$536,101,0)</f>
        <v>1.1599999999999999E-2</v>
      </c>
      <c r="E106" s="86">
        <f>VLOOKUP($A106,'Data shares'!$C:$FA,74)</f>
        <v>167980800</v>
      </c>
      <c r="F106" s="86">
        <f>VLOOKUP($A106,'Data shares'!$C:$FA,76)</f>
        <v>-902400</v>
      </c>
      <c r="G106" s="87">
        <f>VLOOKUP(A106,'Data shares'!$C$2:$CA$213,77,0)</f>
        <v>-5.3E-3</v>
      </c>
      <c r="H106" s="86">
        <f>VLOOKUP($A106,'Data shares'!$C:$FA,90)</f>
        <v>111120000</v>
      </c>
      <c r="I106" s="86">
        <f>VLOOKUP($A106,'Data shares'!$C:$FA,92)</f>
        <v>3668800</v>
      </c>
      <c r="J106" s="87">
        <f>VLOOKUP($A106,'Data shares'!$C:$FA,93)</f>
        <v>3.4099999999999998E-2</v>
      </c>
      <c r="K106" s="86">
        <f>VLOOKUP($A106,'Data shares'!$C:$FA,94)</f>
        <v>49862400</v>
      </c>
      <c r="L106" s="86">
        <f>VLOOKUP($A106,'Data shares'!$C:$FA,96)</f>
        <v>992000</v>
      </c>
      <c r="M106" s="87">
        <f>VLOOKUP($A106,'Data shares'!$C:$FA,97)</f>
        <v>2.0299999999999999E-2</v>
      </c>
      <c r="N106" s="86">
        <f>VLOOKUP($A106,'Data shares'!$C:$FA,78)</f>
        <v>157585600</v>
      </c>
      <c r="O106" s="87">
        <f>VLOOKUP($A106,'Data shares'!$C:$FA,81)</f>
        <v>-1.03E-2</v>
      </c>
    </row>
    <row r="107" spans="1:15" x14ac:dyDescent="0.25">
      <c r="A107" s="100" t="str">
        <f>'Data Vlaue (Cr)'!C102</f>
        <v>JINDALSTEL</v>
      </c>
      <c r="B107" s="82">
        <f>VLOOKUP(A107,'Data shares'!$C$2:$CV$213,98,0)</f>
        <v>16203125</v>
      </c>
      <c r="C107" s="82">
        <f>VLOOKUP(A107,'Data shares'!$C$2:$CX$213,100,0)</f>
        <v>126875</v>
      </c>
      <c r="D107" s="141">
        <f>VLOOKUP(A107,'Data shares'!$C$2:$CY$536,101,0)</f>
        <v>7.9000000000000008E-3</v>
      </c>
      <c r="E107" s="86">
        <f>VLOOKUP($A107,'Data shares'!$C:$FA,74)</f>
        <v>10081875</v>
      </c>
      <c r="F107" s="86">
        <f>VLOOKUP($A107,'Data shares'!$C:$FA,76)</f>
        <v>-15625</v>
      </c>
      <c r="G107" s="87">
        <f>VLOOKUP(A107,'Data shares'!$C$2:$CA$213,77,0)</f>
        <v>-1.5E-3</v>
      </c>
      <c r="H107" s="86">
        <f>VLOOKUP($A107,'Data shares'!$C:$FA,90)</f>
        <v>2992500</v>
      </c>
      <c r="I107" s="86">
        <f>VLOOKUP($A107,'Data shares'!$C:$FA,92)</f>
        <v>224375</v>
      </c>
      <c r="J107" s="87">
        <f>VLOOKUP($A107,'Data shares'!$C:$FA,93)</f>
        <v>8.1100000000000005E-2</v>
      </c>
      <c r="K107" s="86">
        <f>VLOOKUP($A107,'Data shares'!$C:$FA,94)</f>
        <v>3128750</v>
      </c>
      <c r="L107" s="86">
        <f>VLOOKUP($A107,'Data shares'!$C:$FA,96)</f>
        <v>-81875</v>
      </c>
      <c r="M107" s="87">
        <f>VLOOKUP($A107,'Data shares'!$C:$FA,97)</f>
        <v>-2.5499999999999998E-2</v>
      </c>
      <c r="N107" s="86">
        <f>VLOOKUP($A107,'Data shares'!$C:$FA,78)</f>
        <v>9963750</v>
      </c>
      <c r="O107" s="87">
        <f>VLOOKUP($A107,'Data shares'!$C:$FA,81)</f>
        <v>-2.0999999999999999E-3</v>
      </c>
    </row>
    <row r="108" spans="1:15" x14ac:dyDescent="0.25">
      <c r="A108" s="100" t="str">
        <f>'Data Vlaue (Cr)'!C103</f>
        <v>JIOFIN</v>
      </c>
      <c r="B108" s="82">
        <f>VLOOKUP(A108,'Data shares'!$C$2:$CV$213,98,0)</f>
        <v>254479150</v>
      </c>
      <c r="C108" s="82">
        <f>VLOOKUP(A108,'Data shares'!$C$2:$CX$213,100,0)</f>
        <v>4324000</v>
      </c>
      <c r="D108" s="141">
        <f>VLOOKUP(A108,'Data shares'!$C$2:$CY$536,101,0)</f>
        <v>1.7299999999999999E-2</v>
      </c>
      <c r="E108" s="86">
        <f>VLOOKUP($A108,'Data shares'!$C:$FA,74)</f>
        <v>172863650</v>
      </c>
      <c r="F108" s="86">
        <f>VLOOKUP($A108,'Data shares'!$C:$FA,76)</f>
        <v>784900</v>
      </c>
      <c r="G108" s="87">
        <f>VLOOKUP(A108,'Data shares'!$C$2:$CA$213,77,0)</f>
        <v>4.5999999999999999E-3</v>
      </c>
      <c r="H108" s="86">
        <f>VLOOKUP($A108,'Data shares'!$C:$FA,90)</f>
        <v>45293900</v>
      </c>
      <c r="I108" s="86">
        <f>VLOOKUP($A108,'Data shares'!$C:$FA,92)</f>
        <v>2726000</v>
      </c>
      <c r="J108" s="87">
        <f>VLOOKUP($A108,'Data shares'!$C:$FA,93)</f>
        <v>6.4000000000000001E-2</v>
      </c>
      <c r="K108" s="86">
        <f>VLOOKUP($A108,'Data shares'!$C:$FA,94)</f>
        <v>36321600</v>
      </c>
      <c r="L108" s="86">
        <f>VLOOKUP($A108,'Data shares'!$C:$FA,96)</f>
        <v>813100</v>
      </c>
      <c r="M108" s="87">
        <f>VLOOKUP($A108,'Data shares'!$C:$FA,97)</f>
        <v>2.29E-2</v>
      </c>
      <c r="N108" s="86">
        <f>VLOOKUP($A108,'Data shares'!$C:$FA,78)</f>
        <v>161141850</v>
      </c>
      <c r="O108" s="87">
        <f>VLOOKUP($A108,'Data shares'!$C:$FA,81)</f>
        <v>-7.1000000000000004E-3</v>
      </c>
    </row>
    <row r="109" spans="1:15" x14ac:dyDescent="0.25">
      <c r="A109" s="100" t="str">
        <f>'Data Vlaue (Cr)'!C104</f>
        <v>JSWENERGY</v>
      </c>
      <c r="B109" s="82">
        <f>VLOOKUP(A109,'Data shares'!$C$2:$CV$213,98,0)</f>
        <v>39174000</v>
      </c>
      <c r="C109" s="82">
        <f>VLOOKUP(A109,'Data shares'!$C$2:$CX$213,100,0)</f>
        <v>-179000</v>
      </c>
      <c r="D109" s="141">
        <f>VLOOKUP(A109,'Data shares'!$C$2:$CY$536,101,0)</f>
        <v>-4.4999999999999997E-3</v>
      </c>
      <c r="E109" s="86">
        <f>VLOOKUP($A109,'Data shares'!$C:$FA,74)</f>
        <v>29379000</v>
      </c>
      <c r="F109" s="86">
        <f>VLOOKUP($A109,'Data shares'!$C:$FA,76)</f>
        <v>-451000</v>
      </c>
      <c r="G109" s="87">
        <f>VLOOKUP(A109,'Data shares'!$C$2:$CA$213,77,0)</f>
        <v>-1.5100000000000001E-2</v>
      </c>
      <c r="H109" s="86">
        <f>VLOOKUP($A109,'Data shares'!$C:$FA,90)</f>
        <v>5155000</v>
      </c>
      <c r="I109" s="86">
        <f>VLOOKUP($A109,'Data shares'!$C:$FA,92)</f>
        <v>174000</v>
      </c>
      <c r="J109" s="87">
        <f>VLOOKUP($A109,'Data shares'!$C:$FA,93)</f>
        <v>3.49E-2</v>
      </c>
      <c r="K109" s="86">
        <f>VLOOKUP($A109,'Data shares'!$C:$FA,94)</f>
        <v>4640000</v>
      </c>
      <c r="L109" s="86">
        <f>VLOOKUP($A109,'Data shares'!$C:$FA,96)</f>
        <v>98000</v>
      </c>
      <c r="M109" s="87">
        <f>VLOOKUP($A109,'Data shares'!$C:$FA,97)</f>
        <v>2.1600000000000001E-2</v>
      </c>
      <c r="N109" s="86">
        <f>VLOOKUP($A109,'Data shares'!$C:$FA,78)</f>
        <v>29187000</v>
      </c>
      <c r="O109" s="87">
        <f>VLOOKUP($A109,'Data shares'!$C:$FA,81)</f>
        <v>-1.5800000000000002E-2</v>
      </c>
    </row>
    <row r="110" spans="1:15" x14ac:dyDescent="0.25">
      <c r="A110" s="100" t="str">
        <f>'Data Vlaue (Cr)'!C105</f>
        <v>JSWSTEEL</v>
      </c>
      <c r="B110" s="82">
        <f>VLOOKUP(A110,'Data shares'!$C$2:$CV$213,98,0)</f>
        <v>62794575</v>
      </c>
      <c r="C110" s="82">
        <f>VLOOKUP(A110,'Data shares'!$C$2:$CX$213,100,0)</f>
        <v>788400</v>
      </c>
      <c r="D110" s="141">
        <f>VLOOKUP(A110,'Data shares'!$C$2:$CY$536,101,0)</f>
        <v>1.2699999999999999E-2</v>
      </c>
      <c r="E110" s="86">
        <f>VLOOKUP($A110,'Data shares'!$C:$FA,74)</f>
        <v>53298675</v>
      </c>
      <c r="F110" s="86">
        <f>VLOOKUP($A110,'Data shares'!$C:$FA,76)</f>
        <v>193725</v>
      </c>
      <c r="G110" s="87">
        <f>VLOOKUP(A110,'Data shares'!$C$2:$CA$213,77,0)</f>
        <v>3.5999999999999999E-3</v>
      </c>
      <c r="H110" s="86">
        <f>VLOOKUP($A110,'Data shares'!$C:$FA,90)</f>
        <v>5942700</v>
      </c>
      <c r="I110" s="86">
        <f>VLOOKUP($A110,'Data shares'!$C:$FA,92)</f>
        <v>347625</v>
      </c>
      <c r="J110" s="87">
        <f>VLOOKUP($A110,'Data shares'!$C:$FA,93)</f>
        <v>6.2100000000000002E-2</v>
      </c>
      <c r="K110" s="86">
        <f>VLOOKUP($A110,'Data shares'!$C:$FA,94)</f>
        <v>3553200</v>
      </c>
      <c r="L110" s="86">
        <f>VLOOKUP($A110,'Data shares'!$C:$FA,96)</f>
        <v>247050</v>
      </c>
      <c r="M110" s="87">
        <f>VLOOKUP($A110,'Data shares'!$C:$FA,97)</f>
        <v>7.4700000000000003E-2</v>
      </c>
      <c r="N110" s="86">
        <f>VLOOKUP($A110,'Data shares'!$C:$FA,78)</f>
        <v>52285500</v>
      </c>
      <c r="O110" s="87">
        <f>VLOOKUP($A110,'Data shares'!$C:$FA,81)</f>
        <v>-1.2800000000000001E-2</v>
      </c>
    </row>
    <row r="111" spans="1:15" x14ac:dyDescent="0.25">
      <c r="A111" s="100" t="str">
        <f>'Data Vlaue (Cr)'!C106</f>
        <v>JUBLFOOD</v>
      </c>
      <c r="B111" s="82">
        <f>VLOOKUP(A111,'Data shares'!$C$2:$CV$213,98,0)</f>
        <v>39740000</v>
      </c>
      <c r="C111" s="82">
        <f>VLOOKUP(A111,'Data shares'!$C$2:$CX$213,100,0)</f>
        <v>1250</v>
      </c>
      <c r="D111" s="141">
        <f>VLOOKUP(A111,'Data shares'!$C$2:$CY$536,101,0)</f>
        <v>0</v>
      </c>
      <c r="E111" s="86">
        <f>VLOOKUP($A111,'Data shares'!$C:$FA,74)</f>
        <v>28728750</v>
      </c>
      <c r="F111" s="86">
        <f>VLOOKUP($A111,'Data shares'!$C:$FA,76)</f>
        <v>-418750</v>
      </c>
      <c r="G111" s="87">
        <f>VLOOKUP(A111,'Data shares'!$C$2:$CA$213,77,0)</f>
        <v>-1.44E-2</v>
      </c>
      <c r="H111" s="86">
        <f>VLOOKUP($A111,'Data shares'!$C:$FA,90)</f>
        <v>6725000</v>
      </c>
      <c r="I111" s="86">
        <f>VLOOKUP($A111,'Data shares'!$C:$FA,92)</f>
        <v>418750</v>
      </c>
      <c r="J111" s="87">
        <f>VLOOKUP($A111,'Data shares'!$C:$FA,93)</f>
        <v>6.6400000000000001E-2</v>
      </c>
      <c r="K111" s="86">
        <f>VLOOKUP($A111,'Data shares'!$C:$FA,94)</f>
        <v>4286250</v>
      </c>
      <c r="L111" s="86">
        <f>VLOOKUP($A111,'Data shares'!$C:$FA,96)</f>
        <v>1250</v>
      </c>
      <c r="M111" s="87">
        <f>VLOOKUP($A111,'Data shares'!$C:$FA,97)</f>
        <v>2.9999999999999997E-4</v>
      </c>
      <c r="N111" s="86">
        <f>VLOOKUP($A111,'Data shares'!$C:$FA,78)</f>
        <v>27055000</v>
      </c>
      <c r="O111" s="87">
        <f>VLOOKUP($A111,'Data shares'!$C:$FA,81)</f>
        <v>-2.1000000000000001E-2</v>
      </c>
    </row>
    <row r="112" spans="1:15" x14ac:dyDescent="0.25">
      <c r="A112" s="100" t="str">
        <f>'Data Vlaue (Cr)'!C107</f>
        <v>KALYANKJIL</v>
      </c>
      <c r="B112" s="82">
        <f>VLOOKUP(A112,'Data shares'!$C$2:$CV$213,98,0)</f>
        <v>37840875</v>
      </c>
      <c r="C112" s="82">
        <f>VLOOKUP(A112,'Data shares'!$C$2:$CX$213,100,0)</f>
        <v>405375</v>
      </c>
      <c r="D112" s="141">
        <f>VLOOKUP(A112,'Data shares'!$C$2:$CY$536,101,0)</f>
        <v>1.0800000000000001E-2</v>
      </c>
      <c r="E112" s="86">
        <f>VLOOKUP($A112,'Data shares'!$C:$FA,74)</f>
        <v>25495150</v>
      </c>
      <c r="F112" s="86">
        <f>VLOOKUP($A112,'Data shares'!$C:$FA,76)</f>
        <v>171550</v>
      </c>
      <c r="G112" s="87">
        <f>VLOOKUP(A112,'Data shares'!$C$2:$CA$213,77,0)</f>
        <v>6.7999999999999996E-3</v>
      </c>
      <c r="H112" s="86">
        <f>VLOOKUP($A112,'Data shares'!$C:$FA,90)</f>
        <v>7263850</v>
      </c>
      <c r="I112" s="86">
        <f>VLOOKUP($A112,'Data shares'!$C:$FA,92)</f>
        <v>269075</v>
      </c>
      <c r="J112" s="87">
        <f>VLOOKUP($A112,'Data shares'!$C:$FA,93)</f>
        <v>3.85E-2</v>
      </c>
      <c r="K112" s="86">
        <f>VLOOKUP($A112,'Data shares'!$C:$FA,94)</f>
        <v>5081875</v>
      </c>
      <c r="L112" s="86">
        <f>VLOOKUP($A112,'Data shares'!$C:$FA,96)</f>
        <v>-35250</v>
      </c>
      <c r="M112" s="87">
        <f>VLOOKUP($A112,'Data shares'!$C:$FA,97)</f>
        <v>-6.8999999999999999E-3</v>
      </c>
      <c r="N112" s="86">
        <f>VLOOKUP($A112,'Data shares'!$C:$FA,78)</f>
        <v>24920575</v>
      </c>
      <c r="O112" s="87">
        <f>VLOOKUP($A112,'Data shares'!$C:$FA,81)</f>
        <v>6.4999999999999997E-3</v>
      </c>
    </row>
    <row r="113" spans="1:15" x14ac:dyDescent="0.25">
      <c r="A113" s="100" t="str">
        <f>'Data Vlaue (Cr)'!C108</f>
        <v>KAYNES</v>
      </c>
      <c r="B113" s="82">
        <f>VLOOKUP(A113,'Data shares'!$C$2:$CV$213,98,0)</f>
        <v>6473600</v>
      </c>
      <c r="C113" s="82">
        <f>VLOOKUP(A113,'Data shares'!$C$2:$CX$213,100,0)</f>
        <v>473700</v>
      </c>
      <c r="D113" s="141">
        <f>VLOOKUP(A113,'Data shares'!$C$2:$CY$536,101,0)</f>
        <v>7.9000000000000001E-2</v>
      </c>
      <c r="E113" s="86">
        <f>VLOOKUP($A113,'Data shares'!$C:$FA,74)</f>
        <v>3757500</v>
      </c>
      <c r="F113" s="86">
        <f>VLOOKUP($A113,'Data shares'!$C:$FA,76)</f>
        <v>127900</v>
      </c>
      <c r="G113" s="87">
        <f>VLOOKUP(A113,'Data shares'!$C$2:$CA$213,77,0)</f>
        <v>3.5200000000000002E-2</v>
      </c>
      <c r="H113" s="86">
        <f>VLOOKUP($A113,'Data shares'!$C:$FA,90)</f>
        <v>1445000</v>
      </c>
      <c r="I113" s="86">
        <f>VLOOKUP($A113,'Data shares'!$C:$FA,92)</f>
        <v>153400</v>
      </c>
      <c r="J113" s="87">
        <f>VLOOKUP($A113,'Data shares'!$C:$FA,93)</f>
        <v>0.1188</v>
      </c>
      <c r="K113" s="86">
        <f>VLOOKUP($A113,'Data shares'!$C:$FA,94)</f>
        <v>1271100</v>
      </c>
      <c r="L113" s="86">
        <f>VLOOKUP($A113,'Data shares'!$C:$FA,96)</f>
        <v>192400</v>
      </c>
      <c r="M113" s="87">
        <f>VLOOKUP($A113,'Data shares'!$C:$FA,97)</f>
        <v>0.1784</v>
      </c>
      <c r="N113" s="86">
        <f>VLOOKUP($A113,'Data shares'!$C:$FA,78)</f>
        <v>3582700</v>
      </c>
      <c r="O113" s="87">
        <f>VLOOKUP($A113,'Data shares'!$C:$FA,81)</f>
        <v>3.4099999999999998E-2</v>
      </c>
    </row>
    <row r="114" spans="1:15" x14ac:dyDescent="0.25">
      <c r="A114" s="100" t="str">
        <f>'Data Vlaue (Cr)'!C109</f>
        <v>KEI</v>
      </c>
      <c r="B114" s="82">
        <f>VLOOKUP(A114,'Data shares'!$C$2:$CV$213,98,0)</f>
        <v>2662450</v>
      </c>
      <c r="C114" s="82">
        <f>VLOOKUP(A114,'Data shares'!$C$2:$CX$213,100,0)</f>
        <v>-109200</v>
      </c>
      <c r="D114" s="141">
        <f>VLOOKUP(A114,'Data shares'!$C$2:$CY$536,101,0)</f>
        <v>-3.9399999999999998E-2</v>
      </c>
      <c r="E114" s="86">
        <f>VLOOKUP($A114,'Data shares'!$C:$FA,74)</f>
        <v>1567825</v>
      </c>
      <c r="F114" s="86">
        <f>VLOOKUP($A114,'Data shares'!$C:$FA,76)</f>
        <v>-125825</v>
      </c>
      <c r="G114" s="87">
        <f>VLOOKUP(A114,'Data shares'!$C$2:$CA$213,77,0)</f>
        <v>-7.4300000000000005E-2</v>
      </c>
      <c r="H114" s="86">
        <f>VLOOKUP($A114,'Data shares'!$C:$FA,90)</f>
        <v>610925</v>
      </c>
      <c r="I114" s="86">
        <f>VLOOKUP($A114,'Data shares'!$C:$FA,92)</f>
        <v>7700</v>
      </c>
      <c r="J114" s="87">
        <f>VLOOKUP($A114,'Data shares'!$C:$FA,93)</f>
        <v>1.2800000000000001E-2</v>
      </c>
      <c r="K114" s="86">
        <f>VLOOKUP($A114,'Data shares'!$C:$FA,94)</f>
        <v>483700</v>
      </c>
      <c r="L114" s="86">
        <f>VLOOKUP($A114,'Data shares'!$C:$FA,96)</f>
        <v>8925</v>
      </c>
      <c r="M114" s="87">
        <f>VLOOKUP($A114,'Data shares'!$C:$FA,97)</f>
        <v>1.8800000000000001E-2</v>
      </c>
      <c r="N114" s="86">
        <f>VLOOKUP($A114,'Data shares'!$C:$FA,78)</f>
        <v>1430100</v>
      </c>
      <c r="O114" s="87">
        <f>VLOOKUP($A114,'Data shares'!$C:$FA,81)</f>
        <v>-8.9899999999999994E-2</v>
      </c>
    </row>
    <row r="115" spans="1:15" x14ac:dyDescent="0.25">
      <c r="A115" s="100" t="str">
        <f>'Data Vlaue (Cr)'!C110</f>
        <v>KFINTECH</v>
      </c>
      <c r="B115" s="82">
        <f>VLOOKUP(A115,'Data shares'!$C$2:$CV$213,98,0)</f>
        <v>5431500</v>
      </c>
      <c r="C115" s="82">
        <f>VLOOKUP(A115,'Data shares'!$C$2:$CX$213,100,0)</f>
        <v>183000</v>
      </c>
      <c r="D115" s="141">
        <f>VLOOKUP(A115,'Data shares'!$C$2:$CY$536,101,0)</f>
        <v>3.49E-2</v>
      </c>
      <c r="E115" s="86">
        <f>VLOOKUP($A115,'Data shares'!$C:$FA,74)</f>
        <v>2612500</v>
      </c>
      <c r="F115" s="86">
        <f>VLOOKUP($A115,'Data shares'!$C:$FA,76)</f>
        <v>11500</v>
      </c>
      <c r="G115" s="87">
        <f>VLOOKUP(A115,'Data shares'!$C$2:$CA$213,77,0)</f>
        <v>4.4000000000000003E-3</v>
      </c>
      <c r="H115" s="86">
        <f>VLOOKUP($A115,'Data shares'!$C:$FA,90)</f>
        <v>1719000</v>
      </c>
      <c r="I115" s="86">
        <f>VLOOKUP($A115,'Data shares'!$C:$FA,92)</f>
        <v>124000</v>
      </c>
      <c r="J115" s="87">
        <f>VLOOKUP($A115,'Data shares'!$C:$FA,93)</f>
        <v>7.7700000000000005E-2</v>
      </c>
      <c r="K115" s="86">
        <f>VLOOKUP($A115,'Data shares'!$C:$FA,94)</f>
        <v>1100000</v>
      </c>
      <c r="L115" s="86">
        <f>VLOOKUP($A115,'Data shares'!$C:$FA,96)</f>
        <v>47500</v>
      </c>
      <c r="M115" s="87">
        <f>VLOOKUP($A115,'Data shares'!$C:$FA,97)</f>
        <v>4.5100000000000001E-2</v>
      </c>
      <c r="N115" s="86">
        <f>VLOOKUP($A115,'Data shares'!$C:$FA,78)</f>
        <v>2428500</v>
      </c>
      <c r="O115" s="87">
        <f>VLOOKUP($A115,'Data shares'!$C:$FA,81)</f>
        <v>4.5999999999999999E-3</v>
      </c>
    </row>
    <row r="116" spans="1:15" x14ac:dyDescent="0.25">
      <c r="A116" s="100" t="str">
        <f>'Data Vlaue (Cr)'!C111</f>
        <v>KOTAKBANK</v>
      </c>
      <c r="B116" s="82">
        <f>VLOOKUP(A116,'Data shares'!$C$2:$CV$213,98,0)</f>
        <v>252986000</v>
      </c>
      <c r="C116" s="82">
        <f>VLOOKUP(A116,'Data shares'!$C$2:$CX$213,100,0)</f>
        <v>4084000</v>
      </c>
      <c r="D116" s="141">
        <f>VLOOKUP(A116,'Data shares'!$C$2:$CY$536,101,0)</f>
        <v>1.6400000000000001E-2</v>
      </c>
      <c r="E116" s="86">
        <f>VLOOKUP($A116,'Data shares'!$C:$FA,74)</f>
        <v>202876000</v>
      </c>
      <c r="F116" s="86">
        <f>VLOOKUP($A116,'Data shares'!$C:$FA,76)</f>
        <v>3394000</v>
      </c>
      <c r="G116" s="87">
        <f>VLOOKUP(A116,'Data shares'!$C$2:$CA$213,77,0)</f>
        <v>1.7000000000000001E-2</v>
      </c>
      <c r="H116" s="86">
        <f>VLOOKUP($A116,'Data shares'!$C:$FA,90)</f>
        <v>30366000</v>
      </c>
      <c r="I116" s="86">
        <f>VLOOKUP($A116,'Data shares'!$C:$FA,92)</f>
        <v>1250000</v>
      </c>
      <c r="J116" s="87">
        <f>VLOOKUP($A116,'Data shares'!$C:$FA,93)</f>
        <v>4.2900000000000001E-2</v>
      </c>
      <c r="K116" s="86">
        <f>VLOOKUP($A116,'Data shares'!$C:$FA,94)</f>
        <v>19744000</v>
      </c>
      <c r="L116" s="86">
        <f>VLOOKUP($A116,'Data shares'!$C:$FA,96)</f>
        <v>-560000</v>
      </c>
      <c r="M116" s="87">
        <f>VLOOKUP($A116,'Data shares'!$C:$FA,97)</f>
        <v>-2.76E-2</v>
      </c>
      <c r="N116" s="86">
        <f>VLOOKUP($A116,'Data shares'!$C:$FA,78)</f>
        <v>199930000</v>
      </c>
      <c r="O116" s="87">
        <f>VLOOKUP($A116,'Data shares'!$C:$FA,81)</f>
        <v>1.4800000000000001E-2</v>
      </c>
    </row>
    <row r="117" spans="1:15" x14ac:dyDescent="0.25">
      <c r="A117" s="100" t="str">
        <f>'Data Vlaue (Cr)'!C112</f>
        <v>KPITTECH</v>
      </c>
      <c r="B117" s="82">
        <f>VLOOKUP(A117,'Data shares'!$C$2:$CV$213,98,0)</f>
        <v>13594900</v>
      </c>
      <c r="C117" s="82">
        <f>VLOOKUP(A117,'Data shares'!$C$2:$CX$213,100,0)</f>
        <v>1290300</v>
      </c>
      <c r="D117" s="141">
        <f>VLOOKUP(A117,'Data shares'!$C$2:$CY$536,101,0)</f>
        <v>0.10489999999999999</v>
      </c>
      <c r="E117" s="86">
        <f>VLOOKUP($A117,'Data shares'!$C:$FA,74)</f>
        <v>6649550</v>
      </c>
      <c r="F117" s="86">
        <f>VLOOKUP($A117,'Data shares'!$C:$FA,76)</f>
        <v>430100</v>
      </c>
      <c r="G117" s="87">
        <f>VLOOKUP(A117,'Data shares'!$C$2:$CA$213,77,0)</f>
        <v>6.9199999999999998E-2</v>
      </c>
      <c r="H117" s="86">
        <f>VLOOKUP($A117,'Data shares'!$C:$FA,90)</f>
        <v>4342225</v>
      </c>
      <c r="I117" s="86">
        <f>VLOOKUP($A117,'Data shares'!$C:$FA,92)</f>
        <v>739925</v>
      </c>
      <c r="J117" s="87">
        <f>VLOOKUP($A117,'Data shares'!$C:$FA,93)</f>
        <v>0.2054</v>
      </c>
      <c r="K117" s="86">
        <f>VLOOKUP($A117,'Data shares'!$C:$FA,94)</f>
        <v>2603125</v>
      </c>
      <c r="L117" s="86">
        <f>VLOOKUP($A117,'Data shares'!$C:$FA,96)</f>
        <v>120275</v>
      </c>
      <c r="M117" s="87">
        <f>VLOOKUP($A117,'Data shares'!$C:$FA,97)</f>
        <v>4.8399999999999999E-2</v>
      </c>
      <c r="N117" s="86">
        <f>VLOOKUP($A117,'Data shares'!$C:$FA,78)</f>
        <v>6134875</v>
      </c>
      <c r="O117" s="87">
        <f>VLOOKUP($A117,'Data shares'!$C:$FA,81)</f>
        <v>6.5199999999999994E-2</v>
      </c>
    </row>
    <row r="118" spans="1:15" x14ac:dyDescent="0.25">
      <c r="A118" s="100" t="str">
        <f>'Data Vlaue (Cr)'!C113</f>
        <v>LAURUSLABS</v>
      </c>
      <c r="B118" s="82">
        <f>VLOOKUP(A118,'Data shares'!$C$2:$CV$213,98,0)</f>
        <v>30324600</v>
      </c>
      <c r="C118" s="82">
        <f>VLOOKUP(A118,'Data shares'!$C$2:$CX$213,100,0)</f>
        <v>745450</v>
      </c>
      <c r="D118" s="141">
        <f>VLOOKUP(A118,'Data shares'!$C$2:$CY$536,101,0)</f>
        <v>2.52E-2</v>
      </c>
      <c r="E118" s="86">
        <f>VLOOKUP($A118,'Data shares'!$C:$FA,74)</f>
        <v>19311150</v>
      </c>
      <c r="F118" s="86">
        <f>VLOOKUP($A118,'Data shares'!$C:$FA,76)</f>
        <v>43350</v>
      </c>
      <c r="G118" s="87">
        <f>VLOOKUP(A118,'Data shares'!$C$2:$CA$213,77,0)</f>
        <v>2.2000000000000001E-3</v>
      </c>
      <c r="H118" s="86">
        <f>VLOOKUP($A118,'Data shares'!$C:$FA,90)</f>
        <v>7015900</v>
      </c>
      <c r="I118" s="86">
        <f>VLOOKUP($A118,'Data shares'!$C:$FA,92)</f>
        <v>497250</v>
      </c>
      <c r="J118" s="87">
        <f>VLOOKUP($A118,'Data shares'!$C:$FA,93)</f>
        <v>7.6300000000000007E-2</v>
      </c>
      <c r="K118" s="86">
        <f>VLOOKUP($A118,'Data shares'!$C:$FA,94)</f>
        <v>3997550</v>
      </c>
      <c r="L118" s="86">
        <f>VLOOKUP($A118,'Data shares'!$C:$FA,96)</f>
        <v>204850</v>
      </c>
      <c r="M118" s="87">
        <f>VLOOKUP($A118,'Data shares'!$C:$FA,97)</f>
        <v>5.3999999999999999E-2</v>
      </c>
      <c r="N118" s="86">
        <f>VLOOKUP($A118,'Data shares'!$C:$FA,78)</f>
        <v>18320900</v>
      </c>
      <c r="O118" s="87">
        <f>VLOOKUP($A118,'Data shares'!$C:$FA,81)</f>
        <v>-5.7000000000000002E-3</v>
      </c>
    </row>
    <row r="119" spans="1:15" x14ac:dyDescent="0.25">
      <c r="A119" s="100" t="str">
        <f>'Data Vlaue (Cr)'!C114</f>
        <v>LICHSGFIN</v>
      </c>
      <c r="B119" s="82">
        <f>VLOOKUP(A119,'Data shares'!$C$2:$CV$213,98,0)</f>
        <v>44187000</v>
      </c>
      <c r="C119" s="82">
        <f>VLOOKUP(A119,'Data shares'!$C$2:$CX$213,100,0)</f>
        <v>446000</v>
      </c>
      <c r="D119" s="141">
        <f>VLOOKUP(A119,'Data shares'!$C$2:$CY$536,101,0)</f>
        <v>1.0200000000000001E-2</v>
      </c>
      <c r="E119" s="86">
        <f>VLOOKUP($A119,'Data shares'!$C:$FA,74)</f>
        <v>32059000</v>
      </c>
      <c r="F119" s="86">
        <f>VLOOKUP($A119,'Data shares'!$C:$FA,76)</f>
        <v>334000</v>
      </c>
      <c r="G119" s="87">
        <f>VLOOKUP(A119,'Data shares'!$C$2:$CA$213,77,0)</f>
        <v>1.0500000000000001E-2</v>
      </c>
      <c r="H119" s="86">
        <f>VLOOKUP($A119,'Data shares'!$C:$FA,90)</f>
        <v>6343000</v>
      </c>
      <c r="I119" s="86">
        <f>VLOOKUP($A119,'Data shares'!$C:$FA,92)</f>
        <v>6000</v>
      </c>
      <c r="J119" s="87">
        <f>VLOOKUP($A119,'Data shares'!$C:$FA,93)</f>
        <v>8.9999999999999998E-4</v>
      </c>
      <c r="K119" s="86">
        <f>VLOOKUP($A119,'Data shares'!$C:$FA,94)</f>
        <v>5785000</v>
      </c>
      <c r="L119" s="86">
        <f>VLOOKUP($A119,'Data shares'!$C:$FA,96)</f>
        <v>106000</v>
      </c>
      <c r="M119" s="87">
        <f>VLOOKUP($A119,'Data shares'!$C:$FA,97)</f>
        <v>1.8700000000000001E-2</v>
      </c>
      <c r="N119" s="86">
        <f>VLOOKUP($A119,'Data shares'!$C:$FA,78)</f>
        <v>27891000</v>
      </c>
      <c r="O119" s="87">
        <f>VLOOKUP($A119,'Data shares'!$C:$FA,81)</f>
        <v>0</v>
      </c>
    </row>
    <row r="120" spans="1:15" x14ac:dyDescent="0.25">
      <c r="A120" s="100" t="str">
        <f>'Data Vlaue (Cr)'!C115</f>
        <v>LICI</v>
      </c>
      <c r="B120" s="82">
        <f>VLOOKUP(A120,'Data shares'!$C$2:$CV$213,98,0)</f>
        <v>17814300</v>
      </c>
      <c r="C120" s="82">
        <f>VLOOKUP(A120,'Data shares'!$C$2:$CX$213,100,0)</f>
        <v>291900</v>
      </c>
      <c r="D120" s="141">
        <f>VLOOKUP(A120,'Data shares'!$C$2:$CY$536,101,0)</f>
        <v>1.67E-2</v>
      </c>
      <c r="E120" s="86">
        <f>VLOOKUP($A120,'Data shares'!$C:$FA,74)</f>
        <v>10297000</v>
      </c>
      <c r="F120" s="86">
        <f>VLOOKUP($A120,'Data shares'!$C:$FA,76)</f>
        <v>-70000</v>
      </c>
      <c r="G120" s="87">
        <f>VLOOKUP(A120,'Data shares'!$C$2:$CA$213,77,0)</f>
        <v>-6.7999999999999996E-3</v>
      </c>
      <c r="H120" s="86">
        <f>VLOOKUP($A120,'Data shares'!$C:$FA,90)</f>
        <v>5096700</v>
      </c>
      <c r="I120" s="86">
        <f>VLOOKUP($A120,'Data shares'!$C:$FA,92)</f>
        <v>331800</v>
      </c>
      <c r="J120" s="87">
        <f>VLOOKUP($A120,'Data shares'!$C:$FA,93)</f>
        <v>6.9599999999999995E-2</v>
      </c>
      <c r="K120" s="86">
        <f>VLOOKUP($A120,'Data shares'!$C:$FA,94)</f>
        <v>2420600</v>
      </c>
      <c r="L120" s="86">
        <f>VLOOKUP($A120,'Data shares'!$C:$FA,96)</f>
        <v>30100</v>
      </c>
      <c r="M120" s="87">
        <f>VLOOKUP($A120,'Data shares'!$C:$FA,97)</f>
        <v>1.26E-2</v>
      </c>
      <c r="N120" s="86">
        <f>VLOOKUP($A120,'Data shares'!$C:$FA,78)</f>
        <v>9501800</v>
      </c>
      <c r="O120" s="87">
        <f>VLOOKUP($A120,'Data shares'!$C:$FA,81)</f>
        <v>-1.1900000000000001E-2</v>
      </c>
    </row>
    <row r="121" spans="1:15" x14ac:dyDescent="0.25">
      <c r="A121" s="100" t="str">
        <f>'Data Vlaue (Cr)'!C116</f>
        <v>LODHA</v>
      </c>
      <c r="B121" s="82">
        <f>VLOOKUP(A121,'Data shares'!$C$2:$CV$213,98,0)</f>
        <v>13921650</v>
      </c>
      <c r="C121" s="82">
        <f>VLOOKUP(A121,'Data shares'!$C$2:$CX$213,100,0)</f>
        <v>1170000</v>
      </c>
      <c r="D121" s="141">
        <f>VLOOKUP(A121,'Data shares'!$C$2:$CY$536,101,0)</f>
        <v>9.1800000000000007E-2</v>
      </c>
      <c r="E121" s="86">
        <f>VLOOKUP($A121,'Data shares'!$C:$FA,74)</f>
        <v>9563400</v>
      </c>
      <c r="F121" s="86">
        <f>VLOOKUP($A121,'Data shares'!$C:$FA,76)</f>
        <v>489150</v>
      </c>
      <c r="G121" s="87">
        <f>VLOOKUP(A121,'Data shares'!$C$2:$CA$213,77,0)</f>
        <v>5.3900000000000003E-2</v>
      </c>
      <c r="H121" s="86">
        <f>VLOOKUP($A121,'Data shares'!$C:$FA,90)</f>
        <v>1993950</v>
      </c>
      <c r="I121" s="86">
        <f>VLOOKUP($A121,'Data shares'!$C:$FA,92)</f>
        <v>244350</v>
      </c>
      <c r="J121" s="87">
        <f>VLOOKUP($A121,'Data shares'!$C:$FA,93)</f>
        <v>0.13969999999999999</v>
      </c>
      <c r="K121" s="86">
        <f>VLOOKUP($A121,'Data shares'!$C:$FA,94)</f>
        <v>2364300</v>
      </c>
      <c r="L121" s="86">
        <f>VLOOKUP($A121,'Data shares'!$C:$FA,96)</f>
        <v>436500</v>
      </c>
      <c r="M121" s="87">
        <f>VLOOKUP($A121,'Data shares'!$C:$FA,97)</f>
        <v>0.22639999999999999</v>
      </c>
      <c r="N121" s="86">
        <f>VLOOKUP($A121,'Data shares'!$C:$FA,78)</f>
        <v>9354600</v>
      </c>
      <c r="O121" s="87">
        <f>VLOOKUP($A121,'Data shares'!$C:$FA,81)</f>
        <v>5.3100000000000001E-2</v>
      </c>
    </row>
    <row r="122" spans="1:15" x14ac:dyDescent="0.25">
      <c r="A122" s="100" t="str">
        <f>'Data Vlaue (Cr)'!C117</f>
        <v>LT</v>
      </c>
      <c r="B122" s="82">
        <f>VLOOKUP(A122,'Data shares'!$C$2:$CV$213,98,0)</f>
        <v>30030350</v>
      </c>
      <c r="C122" s="82">
        <f>VLOOKUP(A122,'Data shares'!$C$2:$CX$213,100,0)</f>
        <v>1354150</v>
      </c>
      <c r="D122" s="141">
        <f>VLOOKUP(A122,'Data shares'!$C$2:$CY$536,101,0)</f>
        <v>4.7199999999999999E-2</v>
      </c>
      <c r="E122" s="86">
        <f>VLOOKUP($A122,'Data shares'!$C:$FA,74)</f>
        <v>13587875</v>
      </c>
      <c r="F122" s="86">
        <f>VLOOKUP($A122,'Data shares'!$C:$FA,76)</f>
        <v>-119350</v>
      </c>
      <c r="G122" s="87">
        <f>VLOOKUP(A122,'Data shares'!$C$2:$CA$213,77,0)</f>
        <v>-8.6999999999999994E-3</v>
      </c>
      <c r="H122" s="86">
        <f>VLOOKUP($A122,'Data shares'!$C:$FA,90)</f>
        <v>10235400</v>
      </c>
      <c r="I122" s="86">
        <f>VLOOKUP($A122,'Data shares'!$C:$FA,92)</f>
        <v>443100</v>
      </c>
      <c r="J122" s="87">
        <f>VLOOKUP($A122,'Data shares'!$C:$FA,93)</f>
        <v>4.5199999999999997E-2</v>
      </c>
      <c r="K122" s="86">
        <f>VLOOKUP($A122,'Data shares'!$C:$FA,94)</f>
        <v>6207075</v>
      </c>
      <c r="L122" s="86">
        <f>VLOOKUP($A122,'Data shares'!$C:$FA,96)</f>
        <v>1030400</v>
      </c>
      <c r="M122" s="87">
        <f>VLOOKUP($A122,'Data shares'!$C:$FA,97)</f>
        <v>0.19900000000000001</v>
      </c>
      <c r="N122" s="86">
        <f>VLOOKUP($A122,'Data shares'!$C:$FA,78)</f>
        <v>13182750</v>
      </c>
      <c r="O122" s="87">
        <f>VLOOKUP($A122,'Data shares'!$C:$FA,81)</f>
        <v>-9.9000000000000008E-3</v>
      </c>
    </row>
    <row r="123" spans="1:15" x14ac:dyDescent="0.25">
      <c r="A123" s="100" t="str">
        <f>'Data Vlaue (Cr)'!C118</f>
        <v>LTF</v>
      </c>
      <c r="B123" s="82">
        <f>VLOOKUP(A123,'Data shares'!$C$2:$CV$213,98,0)</f>
        <v>117996750</v>
      </c>
      <c r="C123" s="82">
        <f>VLOOKUP(A123,'Data shares'!$C$2:$CX$213,100,0)</f>
        <v>-1683000</v>
      </c>
      <c r="D123" s="141">
        <f>VLOOKUP(A123,'Data shares'!$C$2:$CY$536,101,0)</f>
        <v>-1.41E-2</v>
      </c>
      <c r="E123" s="86">
        <f>VLOOKUP($A123,'Data shares'!$C:$FA,74)</f>
        <v>59807250</v>
      </c>
      <c r="F123" s="86">
        <f>VLOOKUP($A123,'Data shares'!$C:$FA,76)</f>
        <v>-589500</v>
      </c>
      <c r="G123" s="87">
        <f>VLOOKUP(A123,'Data shares'!$C$2:$CA$213,77,0)</f>
        <v>-9.7999999999999997E-3</v>
      </c>
      <c r="H123" s="86">
        <f>VLOOKUP($A123,'Data shares'!$C:$FA,90)</f>
        <v>37842750</v>
      </c>
      <c r="I123" s="86">
        <f>VLOOKUP($A123,'Data shares'!$C:$FA,92)</f>
        <v>-517500</v>
      </c>
      <c r="J123" s="87">
        <f>VLOOKUP($A123,'Data shares'!$C:$FA,93)</f>
        <v>-1.35E-2</v>
      </c>
      <c r="K123" s="86">
        <f>VLOOKUP($A123,'Data shares'!$C:$FA,94)</f>
        <v>20346750</v>
      </c>
      <c r="L123" s="86">
        <f>VLOOKUP($A123,'Data shares'!$C:$FA,96)</f>
        <v>-576000</v>
      </c>
      <c r="M123" s="87">
        <f>VLOOKUP($A123,'Data shares'!$C:$FA,97)</f>
        <v>-2.75E-2</v>
      </c>
      <c r="N123" s="86">
        <f>VLOOKUP($A123,'Data shares'!$C:$FA,78)</f>
        <v>56281500</v>
      </c>
      <c r="O123" s="87">
        <f>VLOOKUP($A123,'Data shares'!$C:$FA,81)</f>
        <v>-1.78E-2</v>
      </c>
    </row>
    <row r="124" spans="1:15" x14ac:dyDescent="0.25">
      <c r="A124" s="100" t="str">
        <f>'Data Vlaue (Cr)'!C119</f>
        <v>LTM</v>
      </c>
      <c r="B124" s="82">
        <f>VLOOKUP(A124,'Data shares'!$C$2:$CV$213,98,0)</f>
        <v>5340150</v>
      </c>
      <c r="C124" s="82">
        <f>VLOOKUP(A124,'Data shares'!$C$2:$CX$213,100,0)</f>
        <v>291150</v>
      </c>
      <c r="D124" s="141">
        <f>VLOOKUP(A124,'Data shares'!$C$2:$CY$536,101,0)</f>
        <v>5.7700000000000001E-2</v>
      </c>
      <c r="E124" s="86">
        <f>VLOOKUP($A124,'Data shares'!$C:$FA,74)</f>
        <v>3272250</v>
      </c>
      <c r="F124" s="86">
        <f>VLOOKUP($A124,'Data shares'!$C:$FA,76)</f>
        <v>45900</v>
      </c>
      <c r="G124" s="87">
        <f>VLOOKUP(A124,'Data shares'!$C$2:$CA$213,77,0)</f>
        <v>1.4200000000000001E-2</v>
      </c>
      <c r="H124" s="86">
        <f>VLOOKUP($A124,'Data shares'!$C:$FA,90)</f>
        <v>1276650</v>
      </c>
      <c r="I124" s="86">
        <f>VLOOKUP($A124,'Data shares'!$C:$FA,92)</f>
        <v>165000</v>
      </c>
      <c r="J124" s="87">
        <f>VLOOKUP($A124,'Data shares'!$C:$FA,93)</f>
        <v>0.1484</v>
      </c>
      <c r="K124" s="86">
        <f>VLOOKUP($A124,'Data shares'!$C:$FA,94)</f>
        <v>791250</v>
      </c>
      <c r="L124" s="86">
        <f>VLOOKUP($A124,'Data shares'!$C:$FA,96)</f>
        <v>80250</v>
      </c>
      <c r="M124" s="87">
        <f>VLOOKUP($A124,'Data shares'!$C:$FA,97)</f>
        <v>0.1129</v>
      </c>
      <c r="N124" s="86">
        <f>VLOOKUP($A124,'Data shares'!$C:$FA,78)</f>
        <v>3191550</v>
      </c>
      <c r="O124" s="87">
        <f>VLOOKUP($A124,'Data shares'!$C:$FA,81)</f>
        <v>1.2699999999999999E-2</v>
      </c>
    </row>
    <row r="125" spans="1:15" x14ac:dyDescent="0.25">
      <c r="A125" s="100" t="str">
        <f>'Data Vlaue (Cr)'!C120</f>
        <v>LUPIN</v>
      </c>
      <c r="B125" s="82">
        <f>VLOOKUP(A125,'Data shares'!$C$2:$CV$213,98,0)</f>
        <v>11395525</v>
      </c>
      <c r="C125" s="82">
        <f>VLOOKUP(A125,'Data shares'!$C$2:$CX$213,100,0)</f>
        <v>308125</v>
      </c>
      <c r="D125" s="141">
        <f>VLOOKUP(A125,'Data shares'!$C$2:$CY$536,101,0)</f>
        <v>2.7799999999999998E-2</v>
      </c>
      <c r="E125" s="86">
        <f>VLOOKUP($A125,'Data shares'!$C:$FA,74)</f>
        <v>7393725</v>
      </c>
      <c r="F125" s="86">
        <f>VLOOKUP($A125,'Data shares'!$C:$FA,76)</f>
        <v>-5525</v>
      </c>
      <c r="G125" s="87">
        <f>VLOOKUP(A125,'Data shares'!$C$2:$CA$213,77,0)</f>
        <v>-6.9999999999999999E-4</v>
      </c>
      <c r="H125" s="86">
        <f>VLOOKUP($A125,'Data shares'!$C:$FA,90)</f>
        <v>2355775</v>
      </c>
      <c r="I125" s="86">
        <f>VLOOKUP($A125,'Data shares'!$C:$FA,92)</f>
        <v>240125</v>
      </c>
      <c r="J125" s="87">
        <f>VLOOKUP($A125,'Data shares'!$C:$FA,93)</f>
        <v>0.1135</v>
      </c>
      <c r="K125" s="86">
        <f>VLOOKUP($A125,'Data shares'!$C:$FA,94)</f>
        <v>1646025</v>
      </c>
      <c r="L125" s="86">
        <f>VLOOKUP($A125,'Data shares'!$C:$FA,96)</f>
        <v>73525</v>
      </c>
      <c r="M125" s="87">
        <f>VLOOKUP($A125,'Data shares'!$C:$FA,97)</f>
        <v>4.6800000000000001E-2</v>
      </c>
      <c r="N125" s="86">
        <f>VLOOKUP($A125,'Data shares'!$C:$FA,78)</f>
        <v>7225425</v>
      </c>
      <c r="O125" s="87">
        <f>VLOOKUP($A125,'Data shares'!$C:$FA,81)</f>
        <v>-5.5999999999999999E-3</v>
      </c>
    </row>
    <row r="126" spans="1:15" x14ac:dyDescent="0.25">
      <c r="A126" s="100" t="str">
        <f>'Data Vlaue (Cr)'!C121</f>
        <v>M&amp;M</v>
      </c>
      <c r="B126" s="82">
        <f>VLOOKUP(A126,'Data shares'!$C$2:$CV$213,98,0)</f>
        <v>25950600</v>
      </c>
      <c r="C126" s="82">
        <f>VLOOKUP(A126,'Data shares'!$C$2:$CX$213,100,0)</f>
        <v>-563600</v>
      </c>
      <c r="D126" s="141">
        <f>VLOOKUP(A126,'Data shares'!$C$2:$CY$536,101,0)</f>
        <v>-2.1299999999999999E-2</v>
      </c>
      <c r="E126" s="86">
        <f>VLOOKUP($A126,'Data shares'!$C:$FA,74)</f>
        <v>17978400</v>
      </c>
      <c r="F126" s="86">
        <f>VLOOKUP($A126,'Data shares'!$C:$FA,76)</f>
        <v>-498800</v>
      </c>
      <c r="G126" s="87">
        <f>VLOOKUP(A126,'Data shares'!$C$2:$CA$213,77,0)</f>
        <v>-2.7E-2</v>
      </c>
      <c r="H126" s="86">
        <f>VLOOKUP($A126,'Data shares'!$C:$FA,90)</f>
        <v>4852800</v>
      </c>
      <c r="I126" s="86">
        <f>VLOOKUP($A126,'Data shares'!$C:$FA,92)</f>
        <v>-45400</v>
      </c>
      <c r="J126" s="87">
        <f>VLOOKUP($A126,'Data shares'!$C:$FA,93)</f>
        <v>-9.2999999999999992E-3</v>
      </c>
      <c r="K126" s="86">
        <f>VLOOKUP($A126,'Data shares'!$C:$FA,94)</f>
        <v>3119400</v>
      </c>
      <c r="L126" s="86">
        <f>VLOOKUP($A126,'Data shares'!$C:$FA,96)</f>
        <v>-19400</v>
      </c>
      <c r="M126" s="87">
        <f>VLOOKUP($A126,'Data shares'!$C:$FA,97)</f>
        <v>-6.1999999999999998E-3</v>
      </c>
      <c r="N126" s="86">
        <f>VLOOKUP($A126,'Data shares'!$C:$FA,78)</f>
        <v>17627400</v>
      </c>
      <c r="O126" s="87">
        <f>VLOOKUP($A126,'Data shares'!$C:$FA,81)</f>
        <v>-2.7300000000000001E-2</v>
      </c>
    </row>
    <row r="127" spans="1:15" x14ac:dyDescent="0.25">
      <c r="A127" s="100" t="str">
        <f>'Data Vlaue (Cr)'!C122</f>
        <v>MANAPPURAM</v>
      </c>
      <c r="B127" s="82">
        <f>VLOOKUP(A127,'Data shares'!$C$2:$CV$213,98,0)</f>
        <v>83232000</v>
      </c>
      <c r="C127" s="82">
        <f>VLOOKUP(A127,'Data shares'!$C$2:$CX$213,100,0)</f>
        <v>3786000</v>
      </c>
      <c r="D127" s="141">
        <f>VLOOKUP(A127,'Data shares'!$C$2:$CY$536,101,0)</f>
        <v>4.7699999999999999E-2</v>
      </c>
      <c r="E127" s="86">
        <f>VLOOKUP($A127,'Data shares'!$C:$FA,74)</f>
        <v>51375000</v>
      </c>
      <c r="F127" s="86">
        <f>VLOOKUP($A127,'Data shares'!$C:$FA,76)</f>
        <v>1488000</v>
      </c>
      <c r="G127" s="87">
        <f>VLOOKUP(A127,'Data shares'!$C$2:$CA$213,77,0)</f>
        <v>2.98E-2</v>
      </c>
      <c r="H127" s="86">
        <f>VLOOKUP($A127,'Data shares'!$C:$FA,90)</f>
        <v>17973000</v>
      </c>
      <c r="I127" s="86">
        <f>VLOOKUP($A127,'Data shares'!$C:$FA,92)</f>
        <v>1281000</v>
      </c>
      <c r="J127" s="87">
        <f>VLOOKUP($A127,'Data shares'!$C:$FA,93)</f>
        <v>7.6700000000000004E-2</v>
      </c>
      <c r="K127" s="86">
        <f>VLOOKUP($A127,'Data shares'!$C:$FA,94)</f>
        <v>13884000</v>
      </c>
      <c r="L127" s="86">
        <f>VLOOKUP($A127,'Data shares'!$C:$FA,96)</f>
        <v>1017000</v>
      </c>
      <c r="M127" s="87">
        <f>VLOOKUP($A127,'Data shares'!$C:$FA,97)</f>
        <v>7.9000000000000001E-2</v>
      </c>
      <c r="N127" s="86">
        <f>VLOOKUP($A127,'Data shares'!$C:$FA,78)</f>
        <v>50691000</v>
      </c>
      <c r="O127" s="87">
        <f>VLOOKUP($A127,'Data shares'!$C:$FA,81)</f>
        <v>2.7699999999999999E-2</v>
      </c>
    </row>
    <row r="128" spans="1:15" x14ac:dyDescent="0.25">
      <c r="A128" s="100" t="str">
        <f>'Data Vlaue (Cr)'!C123</f>
        <v>MANKIND</v>
      </c>
      <c r="B128" s="82">
        <f>VLOOKUP(A128,'Data shares'!$C$2:$CV$213,98,0)</f>
        <v>4112775</v>
      </c>
      <c r="C128" s="82">
        <f>VLOOKUP(A128,'Data shares'!$C$2:$CX$213,100,0)</f>
        <v>31275</v>
      </c>
      <c r="D128" s="141">
        <f>VLOOKUP(A128,'Data shares'!$C$2:$CY$536,101,0)</f>
        <v>7.7000000000000002E-3</v>
      </c>
      <c r="E128" s="86">
        <f>VLOOKUP($A128,'Data shares'!$C:$FA,74)</f>
        <v>2683125</v>
      </c>
      <c r="F128" s="86">
        <f>VLOOKUP($A128,'Data shares'!$C:$FA,76)</f>
        <v>-18000</v>
      </c>
      <c r="G128" s="87">
        <f>VLOOKUP(A128,'Data shares'!$C$2:$CA$213,77,0)</f>
        <v>-6.7000000000000002E-3</v>
      </c>
      <c r="H128" s="86">
        <f>VLOOKUP($A128,'Data shares'!$C:$FA,90)</f>
        <v>897525</v>
      </c>
      <c r="I128" s="86">
        <f>VLOOKUP($A128,'Data shares'!$C:$FA,92)</f>
        <v>62550</v>
      </c>
      <c r="J128" s="87">
        <f>VLOOKUP($A128,'Data shares'!$C:$FA,93)</f>
        <v>7.4899999999999994E-2</v>
      </c>
      <c r="K128" s="86">
        <f>VLOOKUP($A128,'Data shares'!$C:$FA,94)</f>
        <v>532125</v>
      </c>
      <c r="L128" s="86">
        <f>VLOOKUP($A128,'Data shares'!$C:$FA,96)</f>
        <v>-13275</v>
      </c>
      <c r="M128" s="87">
        <f>VLOOKUP($A128,'Data shares'!$C:$FA,97)</f>
        <v>-2.4299999999999999E-2</v>
      </c>
      <c r="N128" s="86">
        <f>VLOOKUP($A128,'Data shares'!$C:$FA,78)</f>
        <v>2630250</v>
      </c>
      <c r="O128" s="87">
        <f>VLOOKUP($A128,'Data shares'!$C:$FA,81)</f>
        <v>-7.7000000000000002E-3</v>
      </c>
    </row>
    <row r="129" spans="1:15" x14ac:dyDescent="0.25">
      <c r="A129" s="100" t="str">
        <f>'Data Vlaue (Cr)'!C124</f>
        <v>MARICO</v>
      </c>
      <c r="B129" s="82">
        <f>VLOOKUP(A129,'Data shares'!$C$2:$CV$213,98,0)</f>
        <v>33568800</v>
      </c>
      <c r="C129" s="82">
        <f>VLOOKUP(A129,'Data shares'!$C$2:$CX$213,100,0)</f>
        <v>-1200</v>
      </c>
      <c r="D129" s="141">
        <f>VLOOKUP(A129,'Data shares'!$C$2:$CY$536,101,0)</f>
        <v>0</v>
      </c>
      <c r="E129" s="86">
        <f>VLOOKUP($A129,'Data shares'!$C:$FA,74)</f>
        <v>26802000</v>
      </c>
      <c r="F129" s="86">
        <f>VLOOKUP($A129,'Data shares'!$C:$FA,76)</f>
        <v>-188400</v>
      </c>
      <c r="G129" s="87">
        <f>VLOOKUP(A129,'Data shares'!$C$2:$CA$213,77,0)</f>
        <v>-7.0000000000000001E-3</v>
      </c>
      <c r="H129" s="86">
        <f>VLOOKUP($A129,'Data shares'!$C:$FA,90)</f>
        <v>4627200</v>
      </c>
      <c r="I129" s="86">
        <f>VLOOKUP($A129,'Data shares'!$C:$FA,92)</f>
        <v>120000</v>
      </c>
      <c r="J129" s="87">
        <f>VLOOKUP($A129,'Data shares'!$C:$FA,93)</f>
        <v>2.6599999999999999E-2</v>
      </c>
      <c r="K129" s="86">
        <f>VLOOKUP($A129,'Data shares'!$C:$FA,94)</f>
        <v>2139600</v>
      </c>
      <c r="L129" s="86">
        <f>VLOOKUP($A129,'Data shares'!$C:$FA,96)</f>
        <v>67200</v>
      </c>
      <c r="M129" s="87">
        <f>VLOOKUP($A129,'Data shares'!$C:$FA,97)</f>
        <v>3.2399999999999998E-2</v>
      </c>
      <c r="N129" s="86">
        <f>VLOOKUP($A129,'Data shares'!$C:$FA,78)</f>
        <v>26731200</v>
      </c>
      <c r="O129" s="87">
        <f>VLOOKUP($A129,'Data shares'!$C:$FA,81)</f>
        <v>-6.6E-3</v>
      </c>
    </row>
    <row r="130" spans="1:15" x14ac:dyDescent="0.25">
      <c r="A130" s="100" t="str">
        <f>'Data Vlaue (Cr)'!C125</f>
        <v>MARUTI</v>
      </c>
      <c r="B130" s="82">
        <f>VLOOKUP(A130,'Data shares'!$C$2:$CV$213,98,0)</f>
        <v>5286200</v>
      </c>
      <c r="C130" s="82">
        <f>VLOOKUP(A130,'Data shares'!$C$2:$CX$213,100,0)</f>
        <v>48300</v>
      </c>
      <c r="D130" s="141">
        <f>VLOOKUP(A130,'Data shares'!$C$2:$CY$536,101,0)</f>
        <v>9.1999999999999998E-3</v>
      </c>
      <c r="E130" s="86">
        <f>VLOOKUP($A130,'Data shares'!$C:$FA,74)</f>
        <v>2811900</v>
      </c>
      <c r="F130" s="86">
        <f>VLOOKUP($A130,'Data shares'!$C:$FA,76)</f>
        <v>-18400</v>
      </c>
      <c r="G130" s="87">
        <f>VLOOKUP(A130,'Data shares'!$C$2:$CA$213,77,0)</f>
        <v>-6.4999999999999997E-3</v>
      </c>
      <c r="H130" s="86">
        <f>VLOOKUP($A130,'Data shares'!$C:$FA,90)</f>
        <v>1642500</v>
      </c>
      <c r="I130" s="86">
        <f>VLOOKUP($A130,'Data shares'!$C:$FA,92)</f>
        <v>52150</v>
      </c>
      <c r="J130" s="87">
        <f>VLOOKUP($A130,'Data shares'!$C:$FA,93)</f>
        <v>3.2800000000000003E-2</v>
      </c>
      <c r="K130" s="86">
        <f>VLOOKUP($A130,'Data shares'!$C:$FA,94)</f>
        <v>831800</v>
      </c>
      <c r="L130" s="86">
        <f>VLOOKUP($A130,'Data shares'!$C:$FA,96)</f>
        <v>14550</v>
      </c>
      <c r="M130" s="87">
        <f>VLOOKUP($A130,'Data shares'!$C:$FA,97)</f>
        <v>1.78E-2</v>
      </c>
      <c r="N130" s="86">
        <f>VLOOKUP($A130,'Data shares'!$C:$FA,78)</f>
        <v>2765200</v>
      </c>
      <c r="O130" s="87">
        <f>VLOOKUP($A130,'Data shares'!$C:$FA,81)</f>
        <v>-7.9000000000000008E-3</v>
      </c>
    </row>
    <row r="131" spans="1:15" x14ac:dyDescent="0.25">
      <c r="A131" s="100" t="str">
        <f>'Data Vlaue (Cr)'!C126</f>
        <v>MAXHEALTH</v>
      </c>
      <c r="B131" s="82">
        <f>VLOOKUP(A131,'Data shares'!$C$2:$CV$213,98,0)</f>
        <v>17584350</v>
      </c>
      <c r="C131" s="82">
        <f>VLOOKUP(A131,'Data shares'!$C$2:$CX$213,100,0)</f>
        <v>687225</v>
      </c>
      <c r="D131" s="141">
        <f>VLOOKUP(A131,'Data shares'!$C$2:$CY$536,101,0)</f>
        <v>4.07E-2</v>
      </c>
      <c r="E131" s="86">
        <f>VLOOKUP($A131,'Data shares'!$C:$FA,74)</f>
        <v>13412175</v>
      </c>
      <c r="F131" s="86">
        <f>VLOOKUP($A131,'Data shares'!$C:$FA,76)</f>
        <v>104475</v>
      </c>
      <c r="G131" s="87">
        <f>VLOOKUP(A131,'Data shares'!$C$2:$CA$213,77,0)</f>
        <v>7.9000000000000008E-3</v>
      </c>
      <c r="H131" s="86">
        <f>VLOOKUP($A131,'Data shares'!$C:$FA,90)</f>
        <v>2331525</v>
      </c>
      <c r="I131" s="86">
        <f>VLOOKUP($A131,'Data shares'!$C:$FA,92)</f>
        <v>320250</v>
      </c>
      <c r="J131" s="87">
        <f>VLOOKUP($A131,'Data shares'!$C:$FA,93)</f>
        <v>0.15920000000000001</v>
      </c>
      <c r="K131" s="86">
        <f>VLOOKUP($A131,'Data shares'!$C:$FA,94)</f>
        <v>1840650</v>
      </c>
      <c r="L131" s="86">
        <f>VLOOKUP($A131,'Data shares'!$C:$FA,96)</f>
        <v>262500</v>
      </c>
      <c r="M131" s="87">
        <f>VLOOKUP($A131,'Data shares'!$C:$FA,97)</f>
        <v>0.1663</v>
      </c>
      <c r="N131" s="86">
        <f>VLOOKUP($A131,'Data shares'!$C:$FA,78)</f>
        <v>13253100</v>
      </c>
      <c r="O131" s="87">
        <f>VLOOKUP($A131,'Data shares'!$C:$FA,81)</f>
        <v>7.1000000000000004E-3</v>
      </c>
    </row>
    <row r="132" spans="1:15" x14ac:dyDescent="0.25">
      <c r="A132" s="100" t="str">
        <f>'Data Vlaue (Cr)'!C127</f>
        <v>MAZDOCK</v>
      </c>
      <c r="B132" s="82">
        <f>VLOOKUP(A132,'Data shares'!$C$2:$CV$213,98,0)</f>
        <v>9148000</v>
      </c>
      <c r="C132" s="82">
        <f>VLOOKUP(A132,'Data shares'!$C$2:$CX$213,100,0)</f>
        <v>1689000</v>
      </c>
      <c r="D132" s="141">
        <f>VLOOKUP(A132,'Data shares'!$C$2:$CY$536,101,0)</f>
        <v>0.22639999999999999</v>
      </c>
      <c r="E132" s="86">
        <f>VLOOKUP($A132,'Data shares'!$C:$FA,74)</f>
        <v>4322200</v>
      </c>
      <c r="F132" s="86">
        <f>VLOOKUP($A132,'Data shares'!$C:$FA,76)</f>
        <v>-53000</v>
      </c>
      <c r="G132" s="87">
        <f>VLOOKUP(A132,'Data shares'!$C$2:$CA$213,77,0)</f>
        <v>-1.21E-2</v>
      </c>
      <c r="H132" s="86">
        <f>VLOOKUP($A132,'Data shares'!$C:$FA,90)</f>
        <v>3152600</v>
      </c>
      <c r="I132" s="86">
        <f>VLOOKUP($A132,'Data shares'!$C:$FA,92)</f>
        <v>1242200</v>
      </c>
      <c r="J132" s="87">
        <f>VLOOKUP($A132,'Data shares'!$C:$FA,93)</f>
        <v>0.6502</v>
      </c>
      <c r="K132" s="86">
        <f>VLOOKUP($A132,'Data shares'!$C:$FA,94)</f>
        <v>1673200</v>
      </c>
      <c r="L132" s="86">
        <f>VLOOKUP($A132,'Data shares'!$C:$FA,96)</f>
        <v>499800</v>
      </c>
      <c r="M132" s="87">
        <f>VLOOKUP($A132,'Data shares'!$C:$FA,97)</f>
        <v>0.4259</v>
      </c>
      <c r="N132" s="86">
        <f>VLOOKUP($A132,'Data shares'!$C:$FA,78)</f>
        <v>4086200</v>
      </c>
      <c r="O132" s="87">
        <f>VLOOKUP($A132,'Data shares'!$C:$FA,81)</f>
        <v>-1.35E-2</v>
      </c>
    </row>
    <row r="133" spans="1:15" x14ac:dyDescent="0.25">
      <c r="A133" s="100" t="str">
        <f>'Data Vlaue (Cr)'!C128</f>
        <v>MCX</v>
      </c>
      <c r="B133" s="82">
        <f>VLOOKUP(A133,'Data shares'!$C$2:$CV$213,98,0)</f>
        <v>24286875</v>
      </c>
      <c r="C133" s="82">
        <f>VLOOKUP(A133,'Data shares'!$C$2:$CX$213,100,0)</f>
        <v>-353750</v>
      </c>
      <c r="D133" s="141">
        <f>VLOOKUP(A133,'Data shares'!$C$2:$CY$536,101,0)</f>
        <v>-1.44E-2</v>
      </c>
      <c r="E133" s="86">
        <f>VLOOKUP($A133,'Data shares'!$C:$FA,74)</f>
        <v>12566250</v>
      </c>
      <c r="F133" s="86">
        <f>VLOOKUP($A133,'Data shares'!$C:$FA,76)</f>
        <v>-200625</v>
      </c>
      <c r="G133" s="87">
        <f>VLOOKUP(A133,'Data shares'!$C$2:$CA$213,77,0)</f>
        <v>-1.5699999999999999E-2</v>
      </c>
      <c r="H133" s="86">
        <f>VLOOKUP($A133,'Data shares'!$C:$FA,90)</f>
        <v>6579375</v>
      </c>
      <c r="I133" s="86">
        <f>VLOOKUP($A133,'Data shares'!$C:$FA,92)</f>
        <v>-290000</v>
      </c>
      <c r="J133" s="87">
        <f>VLOOKUP($A133,'Data shares'!$C:$FA,93)</f>
        <v>-4.2200000000000001E-2</v>
      </c>
      <c r="K133" s="86">
        <f>VLOOKUP($A133,'Data shares'!$C:$FA,94)</f>
        <v>5141250</v>
      </c>
      <c r="L133" s="86">
        <f>VLOOKUP($A133,'Data shares'!$C:$FA,96)</f>
        <v>136875</v>
      </c>
      <c r="M133" s="87">
        <f>VLOOKUP($A133,'Data shares'!$C:$FA,97)</f>
        <v>2.7400000000000001E-2</v>
      </c>
      <c r="N133" s="86">
        <f>VLOOKUP($A133,'Data shares'!$C:$FA,78)</f>
        <v>11959375</v>
      </c>
      <c r="O133" s="87">
        <f>VLOOKUP($A133,'Data shares'!$C:$FA,81)</f>
        <v>-1.52E-2</v>
      </c>
    </row>
    <row r="134" spans="1:15" x14ac:dyDescent="0.25">
      <c r="A134" s="100" t="str">
        <f>'Data Vlaue (Cr)'!C129</f>
        <v>MFSL</v>
      </c>
      <c r="B134" s="82">
        <f>VLOOKUP(A134,'Data shares'!$C$2:$CV$213,98,0)</f>
        <v>9842800</v>
      </c>
      <c r="C134" s="82">
        <f>VLOOKUP(A134,'Data shares'!$C$2:$CX$213,100,0)</f>
        <v>76400</v>
      </c>
      <c r="D134" s="141">
        <f>VLOOKUP(A134,'Data shares'!$C$2:$CY$536,101,0)</f>
        <v>7.7999999999999996E-3</v>
      </c>
      <c r="E134" s="86">
        <f>VLOOKUP($A134,'Data shares'!$C:$FA,74)</f>
        <v>8634400</v>
      </c>
      <c r="F134" s="86">
        <f>VLOOKUP($A134,'Data shares'!$C:$FA,76)</f>
        <v>-90000</v>
      </c>
      <c r="G134" s="87">
        <f>VLOOKUP(A134,'Data shares'!$C$2:$CA$213,77,0)</f>
        <v>-1.03E-2</v>
      </c>
      <c r="H134" s="86">
        <f>VLOOKUP($A134,'Data shares'!$C:$FA,90)</f>
        <v>707200</v>
      </c>
      <c r="I134" s="86">
        <f>VLOOKUP($A134,'Data shares'!$C:$FA,92)</f>
        <v>139600</v>
      </c>
      <c r="J134" s="87">
        <f>VLOOKUP($A134,'Data shares'!$C:$FA,93)</f>
        <v>0.24590000000000001</v>
      </c>
      <c r="K134" s="86">
        <f>VLOOKUP($A134,'Data shares'!$C:$FA,94)</f>
        <v>501200</v>
      </c>
      <c r="L134" s="86">
        <f>VLOOKUP($A134,'Data shares'!$C:$FA,96)</f>
        <v>26800</v>
      </c>
      <c r="M134" s="87">
        <f>VLOOKUP($A134,'Data shares'!$C:$FA,97)</f>
        <v>5.6500000000000002E-2</v>
      </c>
      <c r="N134" s="86">
        <f>VLOOKUP($A134,'Data shares'!$C:$FA,78)</f>
        <v>8605600</v>
      </c>
      <c r="O134" s="87">
        <f>VLOOKUP($A134,'Data shares'!$C:$FA,81)</f>
        <v>-1.06E-2</v>
      </c>
    </row>
    <row r="135" spans="1:15" x14ac:dyDescent="0.25">
      <c r="A135" s="100" t="str">
        <f>'Data Vlaue (Cr)'!C130</f>
        <v>MIDCPNIFTY</v>
      </c>
      <c r="B135" s="82">
        <f>VLOOKUP(A135,'Data shares'!$C$2:$CV$213,98,0)</f>
        <v>13549800</v>
      </c>
      <c r="C135" s="82">
        <f>VLOOKUP(A135,'Data shares'!$C$2:$CX$213,100,0)</f>
        <v>451560</v>
      </c>
      <c r="D135" s="141">
        <f>VLOOKUP(A135,'Data shares'!$C$2:$CY$536,101,0)</f>
        <v>3.4500000000000003E-2</v>
      </c>
      <c r="E135" s="86">
        <f>VLOOKUP($A135,'Data shares'!$C:$FA,74)</f>
        <v>2556360</v>
      </c>
      <c r="F135" s="86">
        <f>VLOOKUP($A135,'Data shares'!$C:$FA,76)</f>
        <v>-22920</v>
      </c>
      <c r="G135" s="87">
        <f>VLOOKUP(A135,'Data shares'!$C$2:$CA$213,77,0)</f>
        <v>-8.8999999999999999E-3</v>
      </c>
      <c r="H135" s="86">
        <f>VLOOKUP($A135,'Data shares'!$C:$FA,90)</f>
        <v>5580360</v>
      </c>
      <c r="I135" s="86">
        <f>VLOOKUP($A135,'Data shares'!$C:$FA,92)</f>
        <v>185040</v>
      </c>
      <c r="J135" s="87">
        <f>VLOOKUP($A135,'Data shares'!$C:$FA,93)</f>
        <v>3.4299999999999997E-2</v>
      </c>
      <c r="K135" s="86">
        <f>VLOOKUP($A135,'Data shares'!$C:$FA,94)</f>
        <v>5413080</v>
      </c>
      <c r="L135" s="86">
        <f>VLOOKUP($A135,'Data shares'!$C:$FA,96)</f>
        <v>289440</v>
      </c>
      <c r="M135" s="87">
        <f>VLOOKUP($A135,'Data shares'!$C:$FA,97)</f>
        <v>5.6500000000000002E-2</v>
      </c>
      <c r="N135" s="86">
        <f>VLOOKUP($A135,'Data shares'!$C:$FA,78)</f>
        <v>2475240</v>
      </c>
      <c r="O135" s="87">
        <f>VLOOKUP($A135,'Data shares'!$C:$FA,81)</f>
        <v>-1.0500000000000001E-2</v>
      </c>
    </row>
    <row r="136" spans="1:15" x14ac:dyDescent="0.25">
      <c r="A136" s="100" t="str">
        <f>'Data Vlaue (Cr)'!C131</f>
        <v>MOTHERSON</v>
      </c>
      <c r="B136" s="82">
        <f>VLOOKUP(A136,'Data shares'!$C$2:$CV$213,98,0)</f>
        <v>208097550</v>
      </c>
      <c r="C136" s="82">
        <f>VLOOKUP(A136,'Data shares'!$C$2:$CX$213,100,0)</f>
        <v>768750</v>
      </c>
      <c r="D136" s="141">
        <f>VLOOKUP(A136,'Data shares'!$C$2:$CY$536,101,0)</f>
        <v>3.7000000000000002E-3</v>
      </c>
      <c r="E136" s="86">
        <f>VLOOKUP($A136,'Data shares'!$C:$FA,74)</f>
        <v>139414350</v>
      </c>
      <c r="F136" s="86">
        <f>VLOOKUP($A136,'Data shares'!$C:$FA,76)</f>
        <v>-3745350</v>
      </c>
      <c r="G136" s="87">
        <f>VLOOKUP(A136,'Data shares'!$C$2:$CA$213,77,0)</f>
        <v>-2.6200000000000001E-2</v>
      </c>
      <c r="H136" s="86">
        <f>VLOOKUP($A136,'Data shares'!$C:$FA,90)</f>
        <v>42022950</v>
      </c>
      <c r="I136" s="86">
        <f>VLOOKUP($A136,'Data shares'!$C:$FA,92)</f>
        <v>2847450</v>
      </c>
      <c r="J136" s="87">
        <f>VLOOKUP($A136,'Data shares'!$C:$FA,93)</f>
        <v>7.2700000000000001E-2</v>
      </c>
      <c r="K136" s="86">
        <f>VLOOKUP($A136,'Data shares'!$C:$FA,94)</f>
        <v>26660250</v>
      </c>
      <c r="L136" s="86">
        <f>VLOOKUP($A136,'Data shares'!$C:$FA,96)</f>
        <v>1666650</v>
      </c>
      <c r="M136" s="87">
        <f>VLOOKUP($A136,'Data shares'!$C:$FA,97)</f>
        <v>6.6699999999999995E-2</v>
      </c>
      <c r="N136" s="86">
        <f>VLOOKUP($A136,'Data shares'!$C:$FA,78)</f>
        <v>136536150</v>
      </c>
      <c r="O136" s="87">
        <f>VLOOKUP($A136,'Data shares'!$C:$FA,81)</f>
        <v>-2.87E-2</v>
      </c>
    </row>
    <row r="137" spans="1:15" x14ac:dyDescent="0.25">
      <c r="A137" s="100" t="str">
        <f>'Data Vlaue (Cr)'!C132</f>
        <v>MPHASIS</v>
      </c>
      <c r="B137" s="82">
        <f>VLOOKUP(A137,'Data shares'!$C$2:$CV$213,98,0)</f>
        <v>7190975</v>
      </c>
      <c r="C137" s="82">
        <f>VLOOKUP(A137,'Data shares'!$C$2:$CX$213,100,0)</f>
        <v>232100</v>
      </c>
      <c r="D137" s="141">
        <f>VLOOKUP(A137,'Data shares'!$C$2:$CY$536,101,0)</f>
        <v>3.3399999999999999E-2</v>
      </c>
      <c r="E137" s="86">
        <f>VLOOKUP($A137,'Data shares'!$C:$FA,74)</f>
        <v>5450500</v>
      </c>
      <c r="F137" s="86">
        <f>VLOOKUP($A137,'Data shares'!$C:$FA,76)</f>
        <v>209825</v>
      </c>
      <c r="G137" s="87">
        <f>VLOOKUP(A137,'Data shares'!$C$2:$CA$213,77,0)</f>
        <v>0.04</v>
      </c>
      <c r="H137" s="86">
        <f>VLOOKUP($A137,'Data shares'!$C:$FA,90)</f>
        <v>1100275</v>
      </c>
      <c r="I137" s="86">
        <f>VLOOKUP($A137,'Data shares'!$C:$FA,92)</f>
        <v>70125</v>
      </c>
      <c r="J137" s="87">
        <f>VLOOKUP($A137,'Data shares'!$C:$FA,93)</f>
        <v>6.8099999999999994E-2</v>
      </c>
      <c r="K137" s="86">
        <f>VLOOKUP($A137,'Data shares'!$C:$FA,94)</f>
        <v>640200</v>
      </c>
      <c r="L137" s="86">
        <f>VLOOKUP($A137,'Data shares'!$C:$FA,96)</f>
        <v>-47850</v>
      </c>
      <c r="M137" s="87">
        <f>VLOOKUP($A137,'Data shares'!$C:$FA,97)</f>
        <v>-6.9500000000000006E-2</v>
      </c>
      <c r="N137" s="86">
        <f>VLOOKUP($A137,'Data shares'!$C:$FA,78)</f>
        <v>5353700</v>
      </c>
      <c r="O137" s="87">
        <f>VLOOKUP($A137,'Data shares'!$C:$FA,81)</f>
        <v>3.8800000000000001E-2</v>
      </c>
    </row>
    <row r="138" spans="1:15" x14ac:dyDescent="0.25">
      <c r="A138" s="100" t="str">
        <f>'Data Vlaue (Cr)'!C133</f>
        <v>MUTHOOTFIN</v>
      </c>
      <c r="B138" s="82">
        <f>VLOOKUP(A138,'Data shares'!$C$2:$CV$213,98,0)</f>
        <v>9971225</v>
      </c>
      <c r="C138" s="82">
        <f>VLOOKUP(A138,'Data shares'!$C$2:$CX$213,100,0)</f>
        <v>246675</v>
      </c>
      <c r="D138" s="141">
        <f>VLOOKUP(A138,'Data shares'!$C$2:$CY$536,101,0)</f>
        <v>2.5399999999999999E-2</v>
      </c>
      <c r="E138" s="86">
        <f>VLOOKUP($A138,'Data shares'!$C:$FA,74)</f>
        <v>4265525</v>
      </c>
      <c r="F138" s="86">
        <f>VLOOKUP($A138,'Data shares'!$C:$FA,76)</f>
        <v>-114950</v>
      </c>
      <c r="G138" s="87">
        <f>VLOOKUP(A138,'Data shares'!$C$2:$CA$213,77,0)</f>
        <v>-2.6200000000000001E-2</v>
      </c>
      <c r="H138" s="86">
        <f>VLOOKUP($A138,'Data shares'!$C:$FA,90)</f>
        <v>3960825</v>
      </c>
      <c r="I138" s="86">
        <f>VLOOKUP($A138,'Data shares'!$C:$FA,92)</f>
        <v>262900</v>
      </c>
      <c r="J138" s="87">
        <f>VLOOKUP($A138,'Data shares'!$C:$FA,93)</f>
        <v>7.1099999999999997E-2</v>
      </c>
      <c r="K138" s="86">
        <f>VLOOKUP($A138,'Data shares'!$C:$FA,94)</f>
        <v>1744875</v>
      </c>
      <c r="L138" s="86">
        <f>VLOOKUP($A138,'Data shares'!$C:$FA,96)</f>
        <v>98725</v>
      </c>
      <c r="M138" s="87">
        <f>VLOOKUP($A138,'Data shares'!$C:$FA,97)</f>
        <v>0.06</v>
      </c>
      <c r="N138" s="86">
        <f>VLOOKUP($A138,'Data shares'!$C:$FA,78)</f>
        <v>4101625</v>
      </c>
      <c r="O138" s="87">
        <f>VLOOKUP($A138,'Data shares'!$C:$FA,81)</f>
        <v>-2.98E-2</v>
      </c>
    </row>
    <row r="139" spans="1:15" x14ac:dyDescent="0.25">
      <c r="A139" s="100" t="str">
        <f>'Data Vlaue (Cr)'!C134</f>
        <v>NATIONALUM</v>
      </c>
      <c r="B139" s="82">
        <f>VLOOKUP(A139,'Data shares'!$C$2:$CV$213,98,0)</f>
        <v>118687500</v>
      </c>
      <c r="C139" s="82">
        <f>VLOOKUP(A139,'Data shares'!$C$2:$CX$213,100,0)</f>
        <v>13087500</v>
      </c>
      <c r="D139" s="141">
        <f>VLOOKUP(A139,'Data shares'!$C$2:$CY$536,101,0)</f>
        <v>0.1239</v>
      </c>
      <c r="E139" s="86">
        <f>VLOOKUP($A139,'Data shares'!$C:$FA,74)</f>
        <v>59126250</v>
      </c>
      <c r="F139" s="86">
        <f>VLOOKUP($A139,'Data shares'!$C:$FA,76)</f>
        <v>1275000</v>
      </c>
      <c r="G139" s="87">
        <f>VLOOKUP(A139,'Data shares'!$C$2:$CA$213,77,0)</f>
        <v>2.1999999999999999E-2</v>
      </c>
      <c r="H139" s="86">
        <f>VLOOKUP($A139,'Data shares'!$C:$FA,90)</f>
        <v>32838750</v>
      </c>
      <c r="I139" s="86">
        <f>VLOOKUP($A139,'Data shares'!$C:$FA,92)</f>
        <v>6915000</v>
      </c>
      <c r="J139" s="87">
        <f>VLOOKUP($A139,'Data shares'!$C:$FA,93)</f>
        <v>0.26669999999999999</v>
      </c>
      <c r="K139" s="86">
        <f>VLOOKUP($A139,'Data shares'!$C:$FA,94)</f>
        <v>26722500</v>
      </c>
      <c r="L139" s="86">
        <f>VLOOKUP($A139,'Data shares'!$C:$FA,96)</f>
        <v>4897500</v>
      </c>
      <c r="M139" s="87">
        <f>VLOOKUP($A139,'Data shares'!$C:$FA,97)</f>
        <v>0.22439999999999999</v>
      </c>
      <c r="N139" s="86">
        <f>VLOOKUP($A139,'Data shares'!$C:$FA,78)</f>
        <v>48453750</v>
      </c>
      <c r="O139" s="87">
        <f>VLOOKUP($A139,'Data shares'!$C:$FA,81)</f>
        <v>-5.9200000000000003E-2</v>
      </c>
    </row>
    <row r="140" spans="1:15" x14ac:dyDescent="0.25">
      <c r="A140" s="100" t="str">
        <f>'Data Vlaue (Cr)'!C135</f>
        <v>NAUKRI</v>
      </c>
      <c r="B140" s="82">
        <f>VLOOKUP(A140,'Data shares'!$C$2:$CV$213,98,0)</f>
        <v>15366750</v>
      </c>
      <c r="C140" s="82">
        <f>VLOOKUP(A140,'Data shares'!$C$2:$CX$213,100,0)</f>
        <v>-162750</v>
      </c>
      <c r="D140" s="141">
        <f>VLOOKUP(A140,'Data shares'!$C$2:$CY$536,101,0)</f>
        <v>-1.0500000000000001E-2</v>
      </c>
      <c r="E140" s="86">
        <f>VLOOKUP($A140,'Data shares'!$C:$FA,74)</f>
        <v>11216250</v>
      </c>
      <c r="F140" s="86">
        <f>VLOOKUP($A140,'Data shares'!$C:$FA,76)</f>
        <v>-225000</v>
      </c>
      <c r="G140" s="87">
        <f>VLOOKUP(A140,'Data shares'!$C$2:$CA$213,77,0)</f>
        <v>-1.9699999999999999E-2</v>
      </c>
      <c r="H140" s="86">
        <f>VLOOKUP($A140,'Data shares'!$C:$FA,90)</f>
        <v>2773125</v>
      </c>
      <c r="I140" s="86">
        <f>VLOOKUP($A140,'Data shares'!$C:$FA,92)</f>
        <v>46875</v>
      </c>
      <c r="J140" s="87">
        <f>VLOOKUP($A140,'Data shares'!$C:$FA,93)</f>
        <v>1.72E-2</v>
      </c>
      <c r="K140" s="86">
        <f>VLOOKUP($A140,'Data shares'!$C:$FA,94)</f>
        <v>1377375</v>
      </c>
      <c r="L140" s="86">
        <f>VLOOKUP($A140,'Data shares'!$C:$FA,96)</f>
        <v>15375</v>
      </c>
      <c r="M140" s="87">
        <f>VLOOKUP($A140,'Data shares'!$C:$FA,97)</f>
        <v>1.1299999999999999E-2</v>
      </c>
      <c r="N140" s="86">
        <f>VLOOKUP($A140,'Data shares'!$C:$FA,78)</f>
        <v>11011125</v>
      </c>
      <c r="O140" s="87">
        <f>VLOOKUP($A140,'Data shares'!$C:$FA,81)</f>
        <v>-1.95E-2</v>
      </c>
    </row>
    <row r="141" spans="1:15" x14ac:dyDescent="0.25">
      <c r="A141" s="100" t="str">
        <f>'Data Vlaue (Cr)'!C136</f>
        <v>NBCC</v>
      </c>
      <c r="B141" s="82">
        <f>VLOOKUP(A141,'Data shares'!$C$2:$CV$213,98,0)</f>
        <v>139321000</v>
      </c>
      <c r="C141" s="82">
        <f>VLOOKUP(A141,'Data shares'!$C$2:$CX$213,100,0)</f>
        <v>2886000</v>
      </c>
      <c r="D141" s="141">
        <f>VLOOKUP(A141,'Data shares'!$C$2:$CY$536,101,0)</f>
        <v>2.12E-2</v>
      </c>
      <c r="E141" s="86">
        <f>VLOOKUP($A141,'Data shares'!$C:$FA,74)</f>
        <v>89043500</v>
      </c>
      <c r="F141" s="86">
        <f>VLOOKUP($A141,'Data shares'!$C:$FA,76)</f>
        <v>-6500</v>
      </c>
      <c r="G141" s="87">
        <f>VLOOKUP(A141,'Data shares'!$C$2:$CA$213,77,0)</f>
        <v>-1E-4</v>
      </c>
      <c r="H141" s="86">
        <f>VLOOKUP($A141,'Data shares'!$C:$FA,90)</f>
        <v>31798000</v>
      </c>
      <c r="I141" s="86">
        <f>VLOOKUP($A141,'Data shares'!$C:$FA,92)</f>
        <v>2268500</v>
      </c>
      <c r="J141" s="87">
        <f>VLOOKUP($A141,'Data shares'!$C:$FA,93)</f>
        <v>7.6799999999999993E-2</v>
      </c>
      <c r="K141" s="86">
        <f>VLOOKUP($A141,'Data shares'!$C:$FA,94)</f>
        <v>18479500</v>
      </c>
      <c r="L141" s="86">
        <f>VLOOKUP($A141,'Data shares'!$C:$FA,96)</f>
        <v>624000</v>
      </c>
      <c r="M141" s="87">
        <f>VLOOKUP($A141,'Data shares'!$C:$FA,97)</f>
        <v>3.49E-2</v>
      </c>
      <c r="N141" s="86">
        <f>VLOOKUP($A141,'Data shares'!$C:$FA,78)</f>
        <v>86008000</v>
      </c>
      <c r="O141" s="87">
        <f>VLOOKUP($A141,'Data shares'!$C:$FA,81)</f>
        <v>-2.5000000000000001E-3</v>
      </c>
    </row>
    <row r="142" spans="1:15" x14ac:dyDescent="0.25">
      <c r="A142" s="100" t="str">
        <f>'Data Vlaue (Cr)'!C137</f>
        <v>NESTLEIND</v>
      </c>
      <c r="B142" s="82">
        <f>VLOOKUP(A142,'Data shares'!$C$2:$CV$213,98,0)</f>
        <v>20543000</v>
      </c>
      <c r="C142" s="82">
        <f>VLOOKUP(A142,'Data shares'!$C$2:$CX$213,100,0)</f>
        <v>226500</v>
      </c>
      <c r="D142" s="141">
        <f>VLOOKUP(A142,'Data shares'!$C$2:$CY$536,101,0)</f>
        <v>1.11E-2</v>
      </c>
      <c r="E142" s="86">
        <f>VLOOKUP($A142,'Data shares'!$C:$FA,74)</f>
        <v>16394500</v>
      </c>
      <c r="F142" s="86">
        <f>VLOOKUP($A142,'Data shares'!$C:$FA,76)</f>
        <v>-118500</v>
      </c>
      <c r="G142" s="87">
        <f>VLOOKUP(A142,'Data shares'!$C$2:$CA$213,77,0)</f>
        <v>-7.1999999999999998E-3</v>
      </c>
      <c r="H142" s="86">
        <f>VLOOKUP($A142,'Data shares'!$C:$FA,90)</f>
        <v>2697500</v>
      </c>
      <c r="I142" s="86">
        <f>VLOOKUP($A142,'Data shares'!$C:$FA,92)</f>
        <v>167000</v>
      </c>
      <c r="J142" s="87">
        <f>VLOOKUP($A142,'Data shares'!$C:$FA,93)</f>
        <v>6.6000000000000003E-2</v>
      </c>
      <c r="K142" s="86">
        <f>VLOOKUP($A142,'Data shares'!$C:$FA,94)</f>
        <v>1451000</v>
      </c>
      <c r="L142" s="86">
        <f>VLOOKUP($A142,'Data shares'!$C:$FA,96)</f>
        <v>178000</v>
      </c>
      <c r="M142" s="87">
        <f>VLOOKUP($A142,'Data shares'!$C:$FA,97)</f>
        <v>0.13980000000000001</v>
      </c>
      <c r="N142" s="86">
        <f>VLOOKUP($A142,'Data shares'!$C:$FA,78)</f>
        <v>16258000</v>
      </c>
      <c r="O142" s="87">
        <f>VLOOKUP($A142,'Data shares'!$C:$FA,81)</f>
        <v>-7.7000000000000002E-3</v>
      </c>
    </row>
    <row r="143" spans="1:15" x14ac:dyDescent="0.25">
      <c r="A143" s="100" t="str">
        <f>'Data Vlaue (Cr)'!C138</f>
        <v>NHPC</v>
      </c>
      <c r="B143" s="82">
        <f>VLOOKUP(A143,'Data shares'!$C$2:$CV$213,98,0)</f>
        <v>128531200</v>
      </c>
      <c r="C143" s="82">
        <f>VLOOKUP(A143,'Data shares'!$C$2:$CX$213,100,0)</f>
        <v>256000</v>
      </c>
      <c r="D143" s="141">
        <f>VLOOKUP(A143,'Data shares'!$C$2:$CY$536,101,0)</f>
        <v>2E-3</v>
      </c>
      <c r="E143" s="86">
        <f>VLOOKUP($A143,'Data shares'!$C:$FA,74)</f>
        <v>74246400</v>
      </c>
      <c r="F143" s="86">
        <f>VLOOKUP($A143,'Data shares'!$C:$FA,76)</f>
        <v>1254400</v>
      </c>
      <c r="G143" s="87">
        <f>VLOOKUP(A143,'Data shares'!$C$2:$CA$213,77,0)</f>
        <v>1.72E-2</v>
      </c>
      <c r="H143" s="86">
        <f>VLOOKUP($A143,'Data shares'!$C:$FA,90)</f>
        <v>33830400</v>
      </c>
      <c r="I143" s="86">
        <f>VLOOKUP($A143,'Data shares'!$C:$FA,92)</f>
        <v>-1388800</v>
      </c>
      <c r="J143" s="87">
        <f>VLOOKUP($A143,'Data shares'!$C:$FA,93)</f>
        <v>-3.9399999999999998E-2</v>
      </c>
      <c r="K143" s="86">
        <f>VLOOKUP($A143,'Data shares'!$C:$FA,94)</f>
        <v>20454400</v>
      </c>
      <c r="L143" s="86">
        <f>VLOOKUP($A143,'Data shares'!$C:$FA,96)</f>
        <v>390400</v>
      </c>
      <c r="M143" s="87">
        <f>VLOOKUP($A143,'Data shares'!$C:$FA,97)</f>
        <v>1.95E-2</v>
      </c>
      <c r="N143" s="86">
        <f>VLOOKUP($A143,'Data shares'!$C:$FA,78)</f>
        <v>71379200</v>
      </c>
      <c r="O143" s="87">
        <f>VLOOKUP($A143,'Data shares'!$C:$FA,81)</f>
        <v>1.7999999999999999E-2</v>
      </c>
    </row>
    <row r="144" spans="1:15" x14ac:dyDescent="0.25">
      <c r="A144" s="100" t="str">
        <f>'Data Vlaue (Cr)'!C139</f>
        <v>NIFTY</v>
      </c>
      <c r="B144" s="82">
        <f>VLOOKUP(A144,'Data shares'!$C$2:$CV$213,98,0)</f>
        <v>424718995</v>
      </c>
      <c r="C144" s="82">
        <f>VLOOKUP(A144,'Data shares'!$C$2:$CX$213,100,0)</f>
        <v>57704840</v>
      </c>
      <c r="D144" s="141">
        <f>VLOOKUP(A144,'Data shares'!$C$2:$CY$536,101,0)</f>
        <v>0.15720000000000001</v>
      </c>
      <c r="E144" s="86">
        <f>VLOOKUP($A144,'Data shares'!$C:$FA,74)</f>
        <v>17869475</v>
      </c>
      <c r="F144" s="86">
        <f>VLOOKUP($A144,'Data shares'!$C:$FA,76)</f>
        <v>-69810</v>
      </c>
      <c r="G144" s="87">
        <f>VLOOKUP(A144,'Data shares'!$C$2:$CA$213,77,0)</f>
        <v>-3.8999999999999998E-3</v>
      </c>
      <c r="H144" s="86">
        <f>VLOOKUP($A144,'Data shares'!$C:$FA,90)</f>
        <v>201919985</v>
      </c>
      <c r="I144" s="86">
        <f>VLOOKUP($A144,'Data shares'!$C:$FA,92)</f>
        <v>22992025</v>
      </c>
      <c r="J144" s="87">
        <f>VLOOKUP($A144,'Data shares'!$C:$FA,93)</f>
        <v>0.1285</v>
      </c>
      <c r="K144" s="86">
        <f>VLOOKUP($A144,'Data shares'!$C:$FA,94)</f>
        <v>204929535</v>
      </c>
      <c r="L144" s="86">
        <f>VLOOKUP($A144,'Data shares'!$C:$FA,96)</f>
        <v>34782625</v>
      </c>
      <c r="M144" s="87">
        <f>VLOOKUP($A144,'Data shares'!$C:$FA,97)</f>
        <v>0.2044</v>
      </c>
      <c r="N144" s="86">
        <f>VLOOKUP($A144,'Data shares'!$C:$FA,78)</f>
        <v>15464735</v>
      </c>
      <c r="O144" s="87">
        <f>VLOOKUP($A144,'Data shares'!$C:$FA,81)</f>
        <v>-1.47E-2</v>
      </c>
    </row>
    <row r="145" spans="1:15" x14ac:dyDescent="0.25">
      <c r="A145" s="100" t="str">
        <f>'Data Vlaue (Cr)'!C140</f>
        <v>NIFTYNXT50</v>
      </c>
      <c r="B145" s="82">
        <f>VLOOKUP(A145,'Data shares'!$C$2:$CV$213,98,0)</f>
        <v>27500</v>
      </c>
      <c r="C145" s="82">
        <f>VLOOKUP(A145,'Data shares'!$C$2:$CX$213,100,0)</f>
        <v>1350</v>
      </c>
      <c r="D145" s="141">
        <f>VLOOKUP(A145,'Data shares'!$C$2:$CY$536,101,0)</f>
        <v>5.16E-2</v>
      </c>
      <c r="E145" s="86">
        <f>VLOOKUP($A145,'Data shares'!$C:$FA,74)</f>
        <v>17350</v>
      </c>
      <c r="F145" s="86">
        <f>VLOOKUP($A145,'Data shares'!$C:$FA,76)</f>
        <v>-1000</v>
      </c>
      <c r="G145" s="87">
        <f>VLOOKUP(A145,'Data shares'!$C$2:$CA$213,77,0)</f>
        <v>-5.45E-2</v>
      </c>
      <c r="H145" s="86">
        <f>VLOOKUP($A145,'Data shares'!$C:$FA,90)</f>
        <v>7300</v>
      </c>
      <c r="I145" s="86">
        <f>VLOOKUP($A145,'Data shares'!$C:$FA,92)</f>
        <v>1200</v>
      </c>
      <c r="J145" s="87">
        <f>VLOOKUP($A145,'Data shares'!$C:$FA,93)</f>
        <v>0.19670000000000001</v>
      </c>
      <c r="K145" s="86">
        <f>VLOOKUP($A145,'Data shares'!$C:$FA,94)</f>
        <v>2850</v>
      </c>
      <c r="L145" s="86">
        <f>VLOOKUP($A145,'Data shares'!$C:$FA,96)</f>
        <v>1150</v>
      </c>
      <c r="M145" s="87">
        <f>VLOOKUP($A145,'Data shares'!$C:$FA,97)</f>
        <v>0.67649999999999999</v>
      </c>
      <c r="N145" s="86">
        <f>VLOOKUP($A145,'Data shares'!$C:$FA,78)</f>
        <v>15600</v>
      </c>
      <c r="O145" s="87">
        <f>VLOOKUP($A145,'Data shares'!$C:$FA,81)</f>
        <v>-6.4500000000000002E-2</v>
      </c>
    </row>
    <row r="146" spans="1:15" x14ac:dyDescent="0.25">
      <c r="A146" s="100" t="str">
        <f>'Data Vlaue (Cr)'!C141</f>
        <v>NMDC</v>
      </c>
      <c r="B146" s="82">
        <f>VLOOKUP(A146,'Data shares'!$C$2:$CV$213,98,0)</f>
        <v>463272750</v>
      </c>
      <c r="C146" s="82">
        <f>VLOOKUP(A146,'Data shares'!$C$2:$CX$213,100,0)</f>
        <v>5744250</v>
      </c>
      <c r="D146" s="141">
        <f>VLOOKUP(A146,'Data shares'!$C$2:$CY$536,101,0)</f>
        <v>1.26E-2</v>
      </c>
      <c r="E146" s="86">
        <f>VLOOKUP($A146,'Data shares'!$C:$FA,74)</f>
        <v>346126500</v>
      </c>
      <c r="F146" s="86">
        <f>VLOOKUP($A146,'Data shares'!$C:$FA,76)</f>
        <v>891000</v>
      </c>
      <c r="G146" s="87">
        <f>VLOOKUP(A146,'Data shares'!$C$2:$CA$213,77,0)</f>
        <v>2.5999999999999999E-3</v>
      </c>
      <c r="H146" s="86">
        <f>VLOOKUP($A146,'Data shares'!$C:$FA,90)</f>
        <v>74736000</v>
      </c>
      <c r="I146" s="86">
        <f>VLOOKUP($A146,'Data shares'!$C:$FA,92)</f>
        <v>4124250</v>
      </c>
      <c r="J146" s="87">
        <f>VLOOKUP($A146,'Data shares'!$C:$FA,93)</f>
        <v>5.8400000000000001E-2</v>
      </c>
      <c r="K146" s="86">
        <f>VLOOKUP($A146,'Data shares'!$C:$FA,94)</f>
        <v>42410250</v>
      </c>
      <c r="L146" s="86">
        <f>VLOOKUP($A146,'Data shares'!$C:$FA,96)</f>
        <v>729000</v>
      </c>
      <c r="M146" s="87">
        <f>VLOOKUP($A146,'Data shares'!$C:$FA,97)</f>
        <v>1.7500000000000002E-2</v>
      </c>
      <c r="N146" s="86">
        <f>VLOOKUP($A146,'Data shares'!$C:$FA,78)</f>
        <v>334739250</v>
      </c>
      <c r="O146" s="87">
        <f>VLOOKUP($A146,'Data shares'!$C:$FA,81)</f>
        <v>1.5E-3</v>
      </c>
    </row>
    <row r="147" spans="1:15" x14ac:dyDescent="0.25">
      <c r="A147" s="100" t="str">
        <f>'Data Vlaue (Cr)'!C142</f>
        <v>NTPC</v>
      </c>
      <c r="B147" s="82">
        <f>VLOOKUP(A147,'Data shares'!$C$2:$CV$213,98,0)</f>
        <v>180358500</v>
      </c>
      <c r="C147" s="82">
        <f>VLOOKUP(A147,'Data shares'!$C$2:$CX$213,100,0)</f>
        <v>8023500</v>
      </c>
      <c r="D147" s="141">
        <f>VLOOKUP(A147,'Data shares'!$C$2:$CY$536,101,0)</f>
        <v>4.6600000000000003E-2</v>
      </c>
      <c r="E147" s="86">
        <f>VLOOKUP($A147,'Data shares'!$C:$FA,74)</f>
        <v>100033500</v>
      </c>
      <c r="F147" s="86">
        <f>VLOOKUP($A147,'Data shares'!$C:$FA,76)</f>
        <v>-124500</v>
      </c>
      <c r="G147" s="87">
        <f>VLOOKUP(A147,'Data shares'!$C$2:$CA$213,77,0)</f>
        <v>-1.1999999999999999E-3</v>
      </c>
      <c r="H147" s="86">
        <f>VLOOKUP($A147,'Data shares'!$C:$FA,90)</f>
        <v>57927000</v>
      </c>
      <c r="I147" s="86">
        <f>VLOOKUP($A147,'Data shares'!$C:$FA,92)</f>
        <v>5004000</v>
      </c>
      <c r="J147" s="87">
        <f>VLOOKUP($A147,'Data shares'!$C:$FA,93)</f>
        <v>9.4600000000000004E-2</v>
      </c>
      <c r="K147" s="86">
        <f>VLOOKUP($A147,'Data shares'!$C:$FA,94)</f>
        <v>22398000</v>
      </c>
      <c r="L147" s="86">
        <f>VLOOKUP($A147,'Data shares'!$C:$FA,96)</f>
        <v>3144000</v>
      </c>
      <c r="M147" s="87">
        <f>VLOOKUP($A147,'Data shares'!$C:$FA,97)</f>
        <v>0.1633</v>
      </c>
      <c r="N147" s="86">
        <f>VLOOKUP($A147,'Data shares'!$C:$FA,78)</f>
        <v>98428500</v>
      </c>
      <c r="O147" s="87">
        <f>VLOOKUP($A147,'Data shares'!$C:$FA,81)</f>
        <v>-2.3E-3</v>
      </c>
    </row>
    <row r="148" spans="1:15" x14ac:dyDescent="0.25">
      <c r="A148" s="100" t="str">
        <f>'Data Vlaue (Cr)'!C143</f>
        <v>NUVAMA</v>
      </c>
      <c r="B148" s="82">
        <f>VLOOKUP(A148,'Data shares'!$C$2:$CV$213,98,0)</f>
        <v>3347500</v>
      </c>
      <c r="C148" s="82">
        <f>VLOOKUP(A148,'Data shares'!$C$2:$CX$213,100,0)</f>
        <v>101500</v>
      </c>
      <c r="D148" s="141">
        <f>VLOOKUP(A148,'Data shares'!$C$2:$CY$536,101,0)</f>
        <v>3.1300000000000001E-2</v>
      </c>
      <c r="E148" s="86">
        <f>VLOOKUP($A148,'Data shares'!$C:$FA,74)</f>
        <v>2074000</v>
      </c>
      <c r="F148" s="86">
        <f>VLOOKUP($A148,'Data shares'!$C:$FA,76)</f>
        <v>100000</v>
      </c>
      <c r="G148" s="87">
        <f>VLOOKUP(A148,'Data shares'!$C$2:$CA$213,77,0)</f>
        <v>5.0700000000000002E-2</v>
      </c>
      <c r="H148" s="86">
        <f>VLOOKUP($A148,'Data shares'!$C:$FA,90)</f>
        <v>771000</v>
      </c>
      <c r="I148" s="86">
        <f>VLOOKUP($A148,'Data shares'!$C:$FA,92)</f>
        <v>6000</v>
      </c>
      <c r="J148" s="87">
        <f>VLOOKUP($A148,'Data shares'!$C:$FA,93)</f>
        <v>7.7999999999999996E-3</v>
      </c>
      <c r="K148" s="86">
        <f>VLOOKUP($A148,'Data shares'!$C:$FA,94)</f>
        <v>502500</v>
      </c>
      <c r="L148" s="86">
        <f>VLOOKUP($A148,'Data shares'!$C:$FA,96)</f>
        <v>-4500</v>
      </c>
      <c r="M148" s="87">
        <f>VLOOKUP($A148,'Data shares'!$C:$FA,97)</f>
        <v>-8.8999999999999999E-3</v>
      </c>
      <c r="N148" s="86">
        <f>VLOOKUP($A148,'Data shares'!$C:$FA,78)</f>
        <v>1948000</v>
      </c>
      <c r="O148" s="87">
        <f>VLOOKUP($A148,'Data shares'!$C:$FA,81)</f>
        <v>3.8100000000000002E-2</v>
      </c>
    </row>
    <row r="149" spans="1:15" x14ac:dyDescent="0.25">
      <c r="A149" s="100" t="str">
        <f>'Data Vlaue (Cr)'!C144</f>
        <v>NYKAA</v>
      </c>
      <c r="B149" s="82">
        <f>VLOOKUP(A149,'Data shares'!$C$2:$CV$213,98,0)</f>
        <v>56334375</v>
      </c>
      <c r="C149" s="82">
        <f>VLOOKUP(A149,'Data shares'!$C$2:$CX$213,100,0)</f>
        <v>462500</v>
      </c>
      <c r="D149" s="141">
        <f>VLOOKUP(A149,'Data shares'!$C$2:$CY$536,101,0)</f>
        <v>8.3000000000000001E-3</v>
      </c>
      <c r="E149" s="86">
        <f>VLOOKUP($A149,'Data shares'!$C:$FA,74)</f>
        <v>45240625</v>
      </c>
      <c r="F149" s="86">
        <f>VLOOKUP($A149,'Data shares'!$C:$FA,76)</f>
        <v>-112500</v>
      </c>
      <c r="G149" s="87">
        <f>VLOOKUP(A149,'Data shares'!$C$2:$CA$213,77,0)</f>
        <v>-2.5000000000000001E-3</v>
      </c>
      <c r="H149" s="86">
        <f>VLOOKUP($A149,'Data shares'!$C:$FA,90)</f>
        <v>7053125</v>
      </c>
      <c r="I149" s="86">
        <f>VLOOKUP($A149,'Data shares'!$C:$FA,92)</f>
        <v>531250</v>
      </c>
      <c r="J149" s="87">
        <f>VLOOKUP($A149,'Data shares'!$C:$FA,93)</f>
        <v>8.1500000000000003E-2</v>
      </c>
      <c r="K149" s="86">
        <f>VLOOKUP($A149,'Data shares'!$C:$FA,94)</f>
        <v>4040625</v>
      </c>
      <c r="L149" s="86">
        <f>VLOOKUP($A149,'Data shares'!$C:$FA,96)</f>
        <v>43750</v>
      </c>
      <c r="M149" s="87">
        <f>VLOOKUP($A149,'Data shares'!$C:$FA,97)</f>
        <v>1.09E-2</v>
      </c>
      <c r="N149" s="86">
        <f>VLOOKUP($A149,'Data shares'!$C:$FA,78)</f>
        <v>44703125</v>
      </c>
      <c r="O149" s="87">
        <f>VLOOKUP($A149,'Data shares'!$C:$FA,81)</f>
        <v>-2.8999999999999998E-3</v>
      </c>
    </row>
    <row r="150" spans="1:15" x14ac:dyDescent="0.25">
      <c r="A150" s="100" t="str">
        <f>'Data Vlaue (Cr)'!C145</f>
        <v>OBEROIRLTY</v>
      </c>
      <c r="B150" s="82">
        <f>VLOOKUP(A150,'Data shares'!$C$2:$CV$213,98,0)</f>
        <v>8502200</v>
      </c>
      <c r="C150" s="82">
        <f>VLOOKUP(A150,'Data shares'!$C$2:$CX$213,100,0)</f>
        <v>148750</v>
      </c>
      <c r="D150" s="141">
        <f>VLOOKUP(A150,'Data shares'!$C$2:$CY$536,101,0)</f>
        <v>1.78E-2</v>
      </c>
      <c r="E150" s="86">
        <f>VLOOKUP($A150,'Data shares'!$C:$FA,74)</f>
        <v>6367550</v>
      </c>
      <c r="F150" s="86">
        <f>VLOOKUP($A150,'Data shares'!$C:$FA,76)</f>
        <v>114100</v>
      </c>
      <c r="G150" s="87">
        <f>VLOOKUP(A150,'Data shares'!$C$2:$CA$213,77,0)</f>
        <v>1.8200000000000001E-2</v>
      </c>
      <c r="H150" s="86">
        <f>VLOOKUP($A150,'Data shares'!$C:$FA,90)</f>
        <v>1036700</v>
      </c>
      <c r="I150" s="86">
        <f>VLOOKUP($A150,'Data shares'!$C:$FA,92)</f>
        <v>19250</v>
      </c>
      <c r="J150" s="87">
        <f>VLOOKUP($A150,'Data shares'!$C:$FA,93)</f>
        <v>1.89E-2</v>
      </c>
      <c r="K150" s="86">
        <f>VLOOKUP($A150,'Data shares'!$C:$FA,94)</f>
        <v>1097950</v>
      </c>
      <c r="L150" s="86">
        <f>VLOOKUP($A150,'Data shares'!$C:$FA,96)</f>
        <v>15400</v>
      </c>
      <c r="M150" s="87">
        <f>VLOOKUP($A150,'Data shares'!$C:$FA,97)</f>
        <v>1.4200000000000001E-2</v>
      </c>
      <c r="N150" s="86">
        <f>VLOOKUP($A150,'Data shares'!$C:$FA,78)</f>
        <v>6239800</v>
      </c>
      <c r="O150" s="87">
        <f>VLOOKUP($A150,'Data shares'!$C:$FA,81)</f>
        <v>1.3100000000000001E-2</v>
      </c>
    </row>
    <row r="151" spans="1:15" x14ac:dyDescent="0.25">
      <c r="A151" s="100" t="str">
        <f>'Data Vlaue (Cr)'!C146</f>
        <v>OFSS</v>
      </c>
      <c r="B151" s="82">
        <f>VLOOKUP(A151,'Data shares'!$C$2:$CV$213,98,0)</f>
        <v>2207100</v>
      </c>
      <c r="C151" s="82">
        <f>VLOOKUP(A151,'Data shares'!$C$2:$CX$213,100,0)</f>
        <v>32850</v>
      </c>
      <c r="D151" s="141">
        <f>VLOOKUP(A151,'Data shares'!$C$2:$CY$536,101,0)</f>
        <v>1.5100000000000001E-2</v>
      </c>
      <c r="E151" s="86">
        <f>VLOOKUP($A151,'Data shares'!$C:$FA,74)</f>
        <v>1497150</v>
      </c>
      <c r="F151" s="86">
        <f>VLOOKUP($A151,'Data shares'!$C:$FA,76)</f>
        <v>13650</v>
      </c>
      <c r="G151" s="87">
        <f>VLOOKUP(A151,'Data shares'!$C$2:$CA$213,77,0)</f>
        <v>9.1999999999999998E-3</v>
      </c>
      <c r="H151" s="86">
        <f>VLOOKUP($A151,'Data shares'!$C:$FA,90)</f>
        <v>414450</v>
      </c>
      <c r="I151" s="86">
        <f>VLOOKUP($A151,'Data shares'!$C:$FA,92)</f>
        <v>23175</v>
      </c>
      <c r="J151" s="87">
        <f>VLOOKUP($A151,'Data shares'!$C:$FA,93)</f>
        <v>5.9200000000000003E-2</v>
      </c>
      <c r="K151" s="86">
        <f>VLOOKUP($A151,'Data shares'!$C:$FA,94)</f>
        <v>295500</v>
      </c>
      <c r="L151" s="86">
        <f>VLOOKUP($A151,'Data shares'!$C:$FA,96)</f>
        <v>-3975</v>
      </c>
      <c r="M151" s="87">
        <f>VLOOKUP($A151,'Data shares'!$C:$FA,97)</f>
        <v>-1.3299999999999999E-2</v>
      </c>
      <c r="N151" s="86">
        <f>VLOOKUP($A151,'Data shares'!$C:$FA,78)</f>
        <v>1448775</v>
      </c>
      <c r="O151" s="87">
        <f>VLOOKUP($A151,'Data shares'!$C:$FA,81)</f>
        <v>8.0000000000000002E-3</v>
      </c>
    </row>
    <row r="152" spans="1:15" x14ac:dyDescent="0.25">
      <c r="A152" s="100" t="str">
        <f>'Data Vlaue (Cr)'!C147</f>
        <v>OIL</v>
      </c>
      <c r="B152" s="82">
        <f>VLOOKUP(A152,'Data shares'!$C$2:$CV$213,98,0)</f>
        <v>41739600</v>
      </c>
      <c r="C152" s="82">
        <f>VLOOKUP(A152,'Data shares'!$C$2:$CX$213,100,0)</f>
        <v>-1579200</v>
      </c>
      <c r="D152" s="141">
        <f>VLOOKUP(A152,'Data shares'!$C$2:$CY$536,101,0)</f>
        <v>-3.6499999999999998E-2</v>
      </c>
      <c r="E152" s="86">
        <f>VLOOKUP($A152,'Data shares'!$C:$FA,74)</f>
        <v>19373200</v>
      </c>
      <c r="F152" s="86">
        <f>VLOOKUP($A152,'Data shares'!$C:$FA,76)</f>
        <v>-819000</v>
      </c>
      <c r="G152" s="87">
        <f>VLOOKUP(A152,'Data shares'!$C$2:$CA$213,77,0)</f>
        <v>-4.0599999999999997E-2</v>
      </c>
      <c r="H152" s="86">
        <f>VLOOKUP($A152,'Data shares'!$C:$FA,90)</f>
        <v>14634200</v>
      </c>
      <c r="I152" s="86">
        <f>VLOOKUP($A152,'Data shares'!$C:$FA,92)</f>
        <v>-348600</v>
      </c>
      <c r="J152" s="87">
        <f>VLOOKUP($A152,'Data shares'!$C:$FA,93)</f>
        <v>-2.3300000000000001E-2</v>
      </c>
      <c r="K152" s="86">
        <f>VLOOKUP($A152,'Data shares'!$C:$FA,94)</f>
        <v>7732200</v>
      </c>
      <c r="L152" s="86">
        <f>VLOOKUP($A152,'Data shares'!$C:$FA,96)</f>
        <v>-411600</v>
      </c>
      <c r="M152" s="87">
        <f>VLOOKUP($A152,'Data shares'!$C:$FA,97)</f>
        <v>-5.0500000000000003E-2</v>
      </c>
      <c r="N152" s="86">
        <f>VLOOKUP($A152,'Data shares'!$C:$FA,78)</f>
        <v>18414200</v>
      </c>
      <c r="O152" s="87">
        <f>VLOOKUP($A152,'Data shares'!$C:$FA,81)</f>
        <v>-4.58E-2</v>
      </c>
    </row>
    <row r="153" spans="1:15" x14ac:dyDescent="0.25">
      <c r="A153" s="100" t="str">
        <f>'Data Vlaue (Cr)'!C148</f>
        <v>ONGC</v>
      </c>
      <c r="B153" s="82">
        <f>VLOOKUP(A153,'Data shares'!$C$2:$CV$213,98,0)</f>
        <v>217820250</v>
      </c>
      <c r="C153" s="82">
        <f>VLOOKUP(A153,'Data shares'!$C$2:$CX$213,100,0)</f>
        <v>-8365500</v>
      </c>
      <c r="D153" s="141">
        <f>VLOOKUP(A153,'Data shares'!$C$2:$CY$536,101,0)</f>
        <v>-3.6999999999999998E-2</v>
      </c>
      <c r="E153" s="86">
        <f>VLOOKUP($A153,'Data shares'!$C:$FA,74)</f>
        <v>117000000</v>
      </c>
      <c r="F153" s="86">
        <f>VLOOKUP($A153,'Data shares'!$C:$FA,76)</f>
        <v>-5913000</v>
      </c>
      <c r="G153" s="87">
        <f>VLOOKUP(A153,'Data shares'!$C$2:$CA$213,77,0)</f>
        <v>-4.8099999999999997E-2</v>
      </c>
      <c r="H153" s="86">
        <f>VLOOKUP($A153,'Data shares'!$C:$FA,90)</f>
        <v>66912750</v>
      </c>
      <c r="I153" s="86">
        <f>VLOOKUP($A153,'Data shares'!$C:$FA,92)</f>
        <v>-3276000</v>
      </c>
      <c r="J153" s="87">
        <f>VLOOKUP($A153,'Data shares'!$C:$FA,93)</f>
        <v>-4.6699999999999998E-2</v>
      </c>
      <c r="K153" s="86">
        <f>VLOOKUP($A153,'Data shares'!$C:$FA,94)</f>
        <v>33907500</v>
      </c>
      <c r="L153" s="86">
        <f>VLOOKUP($A153,'Data shares'!$C:$FA,96)</f>
        <v>823500</v>
      </c>
      <c r="M153" s="87">
        <f>VLOOKUP($A153,'Data shares'!$C:$FA,97)</f>
        <v>2.4899999999999999E-2</v>
      </c>
      <c r="N153" s="86">
        <f>VLOOKUP($A153,'Data shares'!$C:$FA,78)</f>
        <v>114588000</v>
      </c>
      <c r="O153" s="87">
        <f>VLOOKUP($A153,'Data shares'!$C:$FA,81)</f>
        <v>-4.7800000000000002E-2</v>
      </c>
    </row>
    <row r="154" spans="1:15" x14ac:dyDescent="0.25">
      <c r="A154" s="100" t="str">
        <f>'Data Vlaue (Cr)'!C149</f>
        <v>PAGEIND</v>
      </c>
      <c r="B154" s="82">
        <f>VLOOKUP(A154,'Data shares'!$C$2:$CV$213,98,0)</f>
        <v>359025</v>
      </c>
      <c r="C154" s="82">
        <f>VLOOKUP(A154,'Data shares'!$C$2:$CX$213,100,0)</f>
        <v>-13695</v>
      </c>
      <c r="D154" s="141">
        <f>VLOOKUP(A154,'Data shares'!$C$2:$CY$536,101,0)</f>
        <v>-3.6700000000000003E-2</v>
      </c>
      <c r="E154" s="86">
        <f>VLOOKUP($A154,'Data shares'!$C:$FA,74)</f>
        <v>229635</v>
      </c>
      <c r="F154" s="86">
        <f>VLOOKUP($A154,'Data shares'!$C:$FA,76)</f>
        <v>-10695</v>
      </c>
      <c r="G154" s="87">
        <f>VLOOKUP(A154,'Data shares'!$C$2:$CA$213,77,0)</f>
        <v>-4.4499999999999998E-2</v>
      </c>
      <c r="H154" s="86">
        <f>VLOOKUP($A154,'Data shares'!$C:$FA,90)</f>
        <v>82470</v>
      </c>
      <c r="I154" s="86">
        <f>VLOOKUP($A154,'Data shares'!$C:$FA,92)</f>
        <v>-4095</v>
      </c>
      <c r="J154" s="87">
        <f>VLOOKUP($A154,'Data shares'!$C:$FA,93)</f>
        <v>-4.7300000000000002E-2</v>
      </c>
      <c r="K154" s="86">
        <f>VLOOKUP($A154,'Data shares'!$C:$FA,94)</f>
        <v>46920</v>
      </c>
      <c r="L154" s="86">
        <f>VLOOKUP($A154,'Data shares'!$C:$FA,96)</f>
        <v>1095</v>
      </c>
      <c r="M154" s="87">
        <f>VLOOKUP($A154,'Data shares'!$C:$FA,97)</f>
        <v>2.3900000000000001E-2</v>
      </c>
      <c r="N154" s="86">
        <f>VLOOKUP($A154,'Data shares'!$C:$FA,78)</f>
        <v>217965</v>
      </c>
      <c r="O154" s="87">
        <f>VLOOKUP($A154,'Data shares'!$C:$FA,81)</f>
        <v>-4.8099999999999997E-2</v>
      </c>
    </row>
    <row r="155" spans="1:15" x14ac:dyDescent="0.25">
      <c r="A155" s="100" t="str">
        <f>'Data Vlaue (Cr)'!C150</f>
        <v>PATANJALI</v>
      </c>
      <c r="B155" s="82">
        <f>VLOOKUP(A155,'Data shares'!$C$2:$CV$213,98,0)</f>
        <v>42614100</v>
      </c>
      <c r="C155" s="82">
        <f>VLOOKUP(A155,'Data shares'!$C$2:$CX$213,100,0)</f>
        <v>134100</v>
      </c>
      <c r="D155" s="141">
        <f>VLOOKUP(A155,'Data shares'!$C$2:$CY$536,101,0)</f>
        <v>3.2000000000000002E-3</v>
      </c>
      <c r="E155" s="86">
        <f>VLOOKUP($A155,'Data shares'!$C:$FA,74)</f>
        <v>37811700</v>
      </c>
      <c r="F155" s="86">
        <f>VLOOKUP($A155,'Data shares'!$C:$FA,76)</f>
        <v>-140400</v>
      </c>
      <c r="G155" s="87">
        <f>VLOOKUP(A155,'Data shares'!$C$2:$CA$213,77,0)</f>
        <v>-3.7000000000000002E-3</v>
      </c>
      <c r="H155" s="86">
        <f>VLOOKUP($A155,'Data shares'!$C:$FA,90)</f>
        <v>2952900</v>
      </c>
      <c r="I155" s="86">
        <f>VLOOKUP($A155,'Data shares'!$C:$FA,92)</f>
        <v>315900</v>
      </c>
      <c r="J155" s="87">
        <f>VLOOKUP($A155,'Data shares'!$C:$FA,93)</f>
        <v>0.1198</v>
      </c>
      <c r="K155" s="86">
        <f>VLOOKUP($A155,'Data shares'!$C:$FA,94)</f>
        <v>1849500</v>
      </c>
      <c r="L155" s="86">
        <f>VLOOKUP($A155,'Data shares'!$C:$FA,96)</f>
        <v>-41400</v>
      </c>
      <c r="M155" s="87">
        <f>VLOOKUP($A155,'Data shares'!$C:$FA,97)</f>
        <v>-2.1899999999999999E-2</v>
      </c>
      <c r="N155" s="86">
        <f>VLOOKUP($A155,'Data shares'!$C:$FA,78)</f>
        <v>37660500</v>
      </c>
      <c r="O155" s="87">
        <f>VLOOKUP($A155,'Data shares'!$C:$FA,81)</f>
        <v>-4.1999999999999997E-3</v>
      </c>
    </row>
    <row r="156" spans="1:15" x14ac:dyDescent="0.25">
      <c r="A156" s="100" t="str">
        <f>'Data Vlaue (Cr)'!C151</f>
        <v>PAYTM</v>
      </c>
      <c r="B156" s="82">
        <f>VLOOKUP(A156,'Data shares'!$C$2:$CV$213,98,0)</f>
        <v>35056650</v>
      </c>
      <c r="C156" s="82">
        <f>VLOOKUP(A156,'Data shares'!$C$2:$CX$213,100,0)</f>
        <v>789525</v>
      </c>
      <c r="D156" s="141">
        <f>VLOOKUP(A156,'Data shares'!$C$2:$CY$536,101,0)</f>
        <v>2.3E-2</v>
      </c>
      <c r="E156" s="86">
        <f>VLOOKUP($A156,'Data shares'!$C:$FA,74)</f>
        <v>21917475</v>
      </c>
      <c r="F156" s="86">
        <f>VLOOKUP($A156,'Data shares'!$C:$FA,76)</f>
        <v>564775</v>
      </c>
      <c r="G156" s="87">
        <f>VLOOKUP(A156,'Data shares'!$C$2:$CA$213,77,0)</f>
        <v>2.64E-2</v>
      </c>
      <c r="H156" s="86">
        <f>VLOOKUP($A156,'Data shares'!$C:$FA,90)</f>
        <v>7755325</v>
      </c>
      <c r="I156" s="86">
        <f>VLOOKUP($A156,'Data shares'!$C:$FA,92)</f>
        <v>117450</v>
      </c>
      <c r="J156" s="87">
        <f>VLOOKUP($A156,'Data shares'!$C:$FA,93)</f>
        <v>1.54E-2</v>
      </c>
      <c r="K156" s="86">
        <f>VLOOKUP($A156,'Data shares'!$C:$FA,94)</f>
        <v>5383850</v>
      </c>
      <c r="L156" s="86">
        <f>VLOOKUP($A156,'Data shares'!$C:$FA,96)</f>
        <v>107300</v>
      </c>
      <c r="M156" s="87">
        <f>VLOOKUP($A156,'Data shares'!$C:$FA,97)</f>
        <v>2.0299999999999999E-2</v>
      </c>
      <c r="N156" s="86">
        <f>VLOOKUP($A156,'Data shares'!$C:$FA,78)</f>
        <v>21591225</v>
      </c>
      <c r="O156" s="87">
        <f>VLOOKUP($A156,'Data shares'!$C:$FA,81)</f>
        <v>2.6700000000000002E-2</v>
      </c>
    </row>
    <row r="157" spans="1:15" x14ac:dyDescent="0.25">
      <c r="A157" s="100" t="str">
        <f>'Data Vlaue (Cr)'!C152</f>
        <v>PERSISTENT</v>
      </c>
      <c r="B157" s="82">
        <f>VLOOKUP(A157,'Data shares'!$C$2:$CV$213,98,0)</f>
        <v>7143100</v>
      </c>
      <c r="C157" s="82">
        <f>VLOOKUP(A157,'Data shares'!$C$2:$CX$213,100,0)</f>
        <v>100700</v>
      </c>
      <c r="D157" s="141">
        <f>VLOOKUP(A157,'Data shares'!$C$2:$CY$536,101,0)</f>
        <v>1.43E-2</v>
      </c>
      <c r="E157" s="86">
        <f>VLOOKUP($A157,'Data shares'!$C:$FA,74)</f>
        <v>4090500</v>
      </c>
      <c r="F157" s="86">
        <f>VLOOKUP($A157,'Data shares'!$C:$FA,76)</f>
        <v>23100</v>
      </c>
      <c r="G157" s="87">
        <f>VLOOKUP(A157,'Data shares'!$C$2:$CA$213,77,0)</f>
        <v>5.7000000000000002E-3</v>
      </c>
      <c r="H157" s="86">
        <f>VLOOKUP($A157,'Data shares'!$C:$FA,90)</f>
        <v>1783100</v>
      </c>
      <c r="I157" s="86">
        <f>VLOOKUP($A157,'Data shares'!$C:$FA,92)</f>
        <v>50700</v>
      </c>
      <c r="J157" s="87">
        <f>VLOOKUP($A157,'Data shares'!$C:$FA,93)</f>
        <v>2.93E-2</v>
      </c>
      <c r="K157" s="86">
        <f>VLOOKUP($A157,'Data shares'!$C:$FA,94)</f>
        <v>1269500</v>
      </c>
      <c r="L157" s="86">
        <f>VLOOKUP($A157,'Data shares'!$C:$FA,96)</f>
        <v>26900</v>
      </c>
      <c r="M157" s="87">
        <f>VLOOKUP($A157,'Data shares'!$C:$FA,97)</f>
        <v>2.1600000000000001E-2</v>
      </c>
      <c r="N157" s="86">
        <f>VLOOKUP($A157,'Data shares'!$C:$FA,78)</f>
        <v>3961500</v>
      </c>
      <c r="O157" s="87">
        <f>VLOOKUP($A157,'Data shares'!$C:$FA,81)</f>
        <v>4.4999999999999997E-3</v>
      </c>
    </row>
    <row r="158" spans="1:15" x14ac:dyDescent="0.25">
      <c r="A158" s="100" t="str">
        <f>'Data Vlaue (Cr)'!C153</f>
        <v>PETRONET</v>
      </c>
      <c r="B158" s="82">
        <f>VLOOKUP(A158,'Data shares'!$C$2:$CV$213,98,0)</f>
        <v>70586900</v>
      </c>
      <c r="C158" s="82">
        <f>VLOOKUP(A158,'Data shares'!$C$2:$CX$213,100,0)</f>
        <v>-735300</v>
      </c>
      <c r="D158" s="141">
        <f>VLOOKUP(A158,'Data shares'!$C$2:$CY$536,101,0)</f>
        <v>-1.03E-2</v>
      </c>
      <c r="E158" s="86">
        <f>VLOOKUP($A158,'Data shares'!$C:$FA,74)</f>
        <v>35404600</v>
      </c>
      <c r="F158" s="86">
        <f>VLOOKUP($A158,'Data shares'!$C:$FA,76)</f>
        <v>-3376300</v>
      </c>
      <c r="G158" s="87">
        <f>VLOOKUP(A158,'Data shares'!$C$2:$CA$213,77,0)</f>
        <v>-8.7099999999999997E-2</v>
      </c>
      <c r="H158" s="86">
        <f>VLOOKUP($A158,'Data shares'!$C:$FA,90)</f>
        <v>16987900</v>
      </c>
      <c r="I158" s="86">
        <f>VLOOKUP($A158,'Data shares'!$C:$FA,92)</f>
        <v>1757500</v>
      </c>
      <c r="J158" s="87">
        <f>VLOOKUP($A158,'Data shares'!$C:$FA,93)</f>
        <v>0.1154</v>
      </c>
      <c r="K158" s="86">
        <f>VLOOKUP($A158,'Data shares'!$C:$FA,94)</f>
        <v>18194400</v>
      </c>
      <c r="L158" s="86">
        <f>VLOOKUP($A158,'Data shares'!$C:$FA,96)</f>
        <v>883500</v>
      </c>
      <c r="M158" s="87">
        <f>VLOOKUP($A158,'Data shares'!$C:$FA,97)</f>
        <v>5.0999999999999997E-2</v>
      </c>
      <c r="N158" s="86">
        <f>VLOOKUP($A158,'Data shares'!$C:$FA,78)</f>
        <v>31574200</v>
      </c>
      <c r="O158" s="87">
        <f>VLOOKUP($A158,'Data shares'!$C:$FA,81)</f>
        <v>-9.4200000000000006E-2</v>
      </c>
    </row>
    <row r="159" spans="1:15" x14ac:dyDescent="0.25">
      <c r="A159" s="100" t="str">
        <f>'Data Vlaue (Cr)'!C154</f>
        <v>PFC</v>
      </c>
      <c r="B159" s="82">
        <f>VLOOKUP(A159,'Data shares'!$C$2:$CV$213,98,0)</f>
        <v>109830500</v>
      </c>
      <c r="C159" s="82">
        <f>VLOOKUP(A159,'Data shares'!$C$2:$CX$213,100,0)</f>
        <v>1293500</v>
      </c>
      <c r="D159" s="141">
        <f>VLOOKUP(A159,'Data shares'!$C$2:$CY$536,101,0)</f>
        <v>1.1900000000000001E-2</v>
      </c>
      <c r="E159" s="86">
        <f>VLOOKUP($A159,'Data shares'!$C:$FA,74)</f>
        <v>65007800</v>
      </c>
      <c r="F159" s="86">
        <f>VLOOKUP($A159,'Data shares'!$C:$FA,76)</f>
        <v>786500</v>
      </c>
      <c r="G159" s="87">
        <f>VLOOKUP(A159,'Data shares'!$C$2:$CA$213,77,0)</f>
        <v>1.2200000000000001E-2</v>
      </c>
      <c r="H159" s="86">
        <f>VLOOKUP($A159,'Data shares'!$C:$FA,90)</f>
        <v>29775200</v>
      </c>
      <c r="I159" s="86">
        <f>VLOOKUP($A159,'Data shares'!$C:$FA,92)</f>
        <v>-265200</v>
      </c>
      <c r="J159" s="87">
        <f>VLOOKUP($A159,'Data shares'!$C:$FA,93)</f>
        <v>-8.8000000000000005E-3</v>
      </c>
      <c r="K159" s="86">
        <f>VLOOKUP($A159,'Data shares'!$C:$FA,94)</f>
        <v>15047500</v>
      </c>
      <c r="L159" s="86">
        <f>VLOOKUP($A159,'Data shares'!$C:$FA,96)</f>
        <v>772200</v>
      </c>
      <c r="M159" s="87">
        <f>VLOOKUP($A159,'Data shares'!$C:$FA,97)</f>
        <v>5.4100000000000002E-2</v>
      </c>
      <c r="N159" s="86">
        <f>VLOOKUP($A159,'Data shares'!$C:$FA,78)</f>
        <v>56014400</v>
      </c>
      <c r="O159" s="87">
        <f>VLOOKUP($A159,'Data shares'!$C:$FA,81)</f>
        <v>1.5100000000000001E-2</v>
      </c>
    </row>
    <row r="160" spans="1:15" x14ac:dyDescent="0.25">
      <c r="A160" s="100" t="str">
        <f>'Data Vlaue (Cr)'!C155</f>
        <v>PGEL</v>
      </c>
      <c r="B160" s="82">
        <f>VLOOKUP(A160,'Data shares'!$C$2:$CV$213,98,0)</f>
        <v>19164350</v>
      </c>
      <c r="C160" s="82">
        <f>VLOOKUP(A160,'Data shares'!$C$2:$CX$213,100,0)</f>
        <v>1595050</v>
      </c>
      <c r="D160" s="141">
        <f>VLOOKUP(A160,'Data shares'!$C$2:$CY$536,101,0)</f>
        <v>9.0800000000000006E-2</v>
      </c>
      <c r="E160" s="86">
        <f>VLOOKUP($A160,'Data shares'!$C:$FA,74)</f>
        <v>11833200</v>
      </c>
      <c r="F160" s="86">
        <f>VLOOKUP($A160,'Data shares'!$C:$FA,76)</f>
        <v>390450</v>
      </c>
      <c r="G160" s="87">
        <f>VLOOKUP(A160,'Data shares'!$C$2:$CA$213,77,0)</f>
        <v>3.4099999999999998E-2</v>
      </c>
      <c r="H160" s="86">
        <f>VLOOKUP($A160,'Data shares'!$C:$FA,90)</f>
        <v>4012800</v>
      </c>
      <c r="I160" s="86">
        <f>VLOOKUP($A160,'Data shares'!$C:$FA,92)</f>
        <v>766650</v>
      </c>
      <c r="J160" s="87">
        <f>VLOOKUP($A160,'Data shares'!$C:$FA,93)</f>
        <v>0.23619999999999999</v>
      </c>
      <c r="K160" s="86">
        <f>VLOOKUP($A160,'Data shares'!$C:$FA,94)</f>
        <v>3318350</v>
      </c>
      <c r="L160" s="86">
        <f>VLOOKUP($A160,'Data shares'!$C:$FA,96)</f>
        <v>437950</v>
      </c>
      <c r="M160" s="87">
        <f>VLOOKUP($A160,'Data shares'!$C:$FA,97)</f>
        <v>0.152</v>
      </c>
      <c r="N160" s="86">
        <f>VLOOKUP($A160,'Data shares'!$C:$FA,78)</f>
        <v>11685950</v>
      </c>
      <c r="O160" s="87">
        <f>VLOOKUP($A160,'Data shares'!$C:$FA,81)</f>
        <v>3.32E-2</v>
      </c>
    </row>
    <row r="161" spans="1:15" x14ac:dyDescent="0.25">
      <c r="A161" s="100" t="str">
        <f>'Data Vlaue (Cr)'!C156</f>
        <v>PHOENIXLTD</v>
      </c>
      <c r="B161" s="82">
        <f>VLOOKUP(A161,'Data shares'!$C$2:$CV$213,98,0)</f>
        <v>5604900</v>
      </c>
      <c r="C161" s="82">
        <f>VLOOKUP(A161,'Data shares'!$C$2:$CX$213,100,0)</f>
        <v>290150</v>
      </c>
      <c r="D161" s="141">
        <f>VLOOKUP(A161,'Data shares'!$C$2:$CY$536,101,0)</f>
        <v>5.4600000000000003E-2</v>
      </c>
      <c r="E161" s="86">
        <f>VLOOKUP($A161,'Data shares'!$C:$FA,74)</f>
        <v>4040400</v>
      </c>
      <c r="F161" s="86">
        <f>VLOOKUP($A161,'Data shares'!$C:$FA,76)</f>
        <v>56000</v>
      </c>
      <c r="G161" s="87">
        <f>VLOOKUP(A161,'Data shares'!$C$2:$CA$213,77,0)</f>
        <v>1.41E-2</v>
      </c>
      <c r="H161" s="86">
        <f>VLOOKUP($A161,'Data shares'!$C:$FA,90)</f>
        <v>989450</v>
      </c>
      <c r="I161" s="86">
        <f>VLOOKUP($A161,'Data shares'!$C:$FA,92)</f>
        <v>172900</v>
      </c>
      <c r="J161" s="87">
        <f>VLOOKUP($A161,'Data shares'!$C:$FA,93)</f>
        <v>0.2117</v>
      </c>
      <c r="K161" s="86">
        <f>VLOOKUP($A161,'Data shares'!$C:$FA,94)</f>
        <v>575050</v>
      </c>
      <c r="L161" s="86">
        <f>VLOOKUP($A161,'Data shares'!$C:$FA,96)</f>
        <v>61250</v>
      </c>
      <c r="M161" s="87">
        <f>VLOOKUP($A161,'Data shares'!$C:$FA,97)</f>
        <v>0.1192</v>
      </c>
      <c r="N161" s="86">
        <f>VLOOKUP($A161,'Data shares'!$C:$FA,78)</f>
        <v>4000850</v>
      </c>
      <c r="O161" s="87">
        <f>VLOOKUP($A161,'Data shares'!$C:$FA,81)</f>
        <v>7.4999999999999997E-3</v>
      </c>
    </row>
    <row r="162" spans="1:15" x14ac:dyDescent="0.25">
      <c r="A162" s="100" t="str">
        <f>'Data Vlaue (Cr)'!C157</f>
        <v>PIDILITIND</v>
      </c>
      <c r="B162" s="82">
        <f>VLOOKUP(A162,'Data shares'!$C$2:$CV$213,98,0)</f>
        <v>10011500</v>
      </c>
      <c r="C162" s="82">
        <f>VLOOKUP(A162,'Data shares'!$C$2:$CX$213,100,0)</f>
        <v>87000</v>
      </c>
      <c r="D162" s="141">
        <f>VLOOKUP(A162,'Data shares'!$C$2:$CY$536,101,0)</f>
        <v>8.8000000000000005E-3</v>
      </c>
      <c r="E162" s="86">
        <f>VLOOKUP($A162,'Data shares'!$C:$FA,74)</f>
        <v>7821000</v>
      </c>
      <c r="F162" s="86">
        <f>VLOOKUP($A162,'Data shares'!$C:$FA,76)</f>
        <v>-8000</v>
      </c>
      <c r="G162" s="87">
        <f>VLOOKUP(A162,'Data shares'!$C$2:$CA$213,77,0)</f>
        <v>-1E-3</v>
      </c>
      <c r="H162" s="86">
        <f>VLOOKUP($A162,'Data shares'!$C:$FA,90)</f>
        <v>1443500</v>
      </c>
      <c r="I162" s="86">
        <f>VLOOKUP($A162,'Data shares'!$C:$FA,92)</f>
        <v>105000</v>
      </c>
      <c r="J162" s="87">
        <f>VLOOKUP($A162,'Data shares'!$C:$FA,93)</f>
        <v>7.8399999999999997E-2</v>
      </c>
      <c r="K162" s="86">
        <f>VLOOKUP($A162,'Data shares'!$C:$FA,94)</f>
        <v>747000</v>
      </c>
      <c r="L162" s="86">
        <f>VLOOKUP($A162,'Data shares'!$C:$FA,96)</f>
        <v>-10000</v>
      </c>
      <c r="M162" s="87">
        <f>VLOOKUP($A162,'Data shares'!$C:$FA,97)</f>
        <v>-1.32E-2</v>
      </c>
      <c r="N162" s="86">
        <f>VLOOKUP($A162,'Data shares'!$C:$FA,78)</f>
        <v>7776500</v>
      </c>
      <c r="O162" s="87">
        <f>VLOOKUP($A162,'Data shares'!$C:$FA,81)</f>
        <v>-1E-3</v>
      </c>
    </row>
    <row r="163" spans="1:15" x14ac:dyDescent="0.25">
      <c r="A163" s="100" t="str">
        <f>'Data Vlaue (Cr)'!C158</f>
        <v>PIIND</v>
      </c>
      <c r="B163" s="82">
        <f>VLOOKUP(A163,'Data shares'!$C$2:$CV$213,98,0)</f>
        <v>4611950</v>
      </c>
      <c r="C163" s="82">
        <f>VLOOKUP(A163,'Data shares'!$C$2:$CX$213,100,0)</f>
        <v>5425</v>
      </c>
      <c r="D163" s="141">
        <f>VLOOKUP(A163,'Data shares'!$C$2:$CY$536,101,0)</f>
        <v>1.1999999999999999E-3</v>
      </c>
      <c r="E163" s="86">
        <f>VLOOKUP($A163,'Data shares'!$C:$FA,74)</f>
        <v>3552150</v>
      </c>
      <c r="F163" s="86">
        <f>VLOOKUP($A163,'Data shares'!$C:$FA,76)</f>
        <v>-15400</v>
      </c>
      <c r="G163" s="87">
        <f>VLOOKUP(A163,'Data shares'!$C$2:$CA$213,77,0)</f>
        <v>-4.3E-3</v>
      </c>
      <c r="H163" s="86">
        <f>VLOOKUP($A163,'Data shares'!$C:$FA,90)</f>
        <v>646275</v>
      </c>
      <c r="I163" s="86">
        <f>VLOOKUP($A163,'Data shares'!$C:$FA,92)</f>
        <v>32375</v>
      </c>
      <c r="J163" s="87">
        <f>VLOOKUP($A163,'Data shares'!$C:$FA,93)</f>
        <v>5.2699999999999997E-2</v>
      </c>
      <c r="K163" s="86">
        <f>VLOOKUP($A163,'Data shares'!$C:$FA,94)</f>
        <v>413525</v>
      </c>
      <c r="L163" s="86">
        <f>VLOOKUP($A163,'Data shares'!$C:$FA,96)</f>
        <v>-11550</v>
      </c>
      <c r="M163" s="87">
        <f>VLOOKUP($A163,'Data shares'!$C:$FA,97)</f>
        <v>-2.7199999999999998E-2</v>
      </c>
      <c r="N163" s="86">
        <f>VLOOKUP($A163,'Data shares'!$C:$FA,78)</f>
        <v>3372425</v>
      </c>
      <c r="O163" s="87">
        <f>VLOOKUP($A163,'Data shares'!$C:$FA,81)</f>
        <v>-1.21E-2</v>
      </c>
    </row>
    <row r="164" spans="1:15" x14ac:dyDescent="0.25">
      <c r="A164" s="100" t="str">
        <f>'Data Vlaue (Cr)'!C159</f>
        <v>PNB</v>
      </c>
      <c r="B164" s="82">
        <f>VLOOKUP(A164,'Data shares'!$C$2:$CV$213,98,0)</f>
        <v>432440000</v>
      </c>
      <c r="C164" s="82">
        <f>VLOOKUP(A164,'Data shares'!$C$2:$CX$213,100,0)</f>
        <v>27560000</v>
      </c>
      <c r="D164" s="141">
        <f>VLOOKUP(A164,'Data shares'!$C$2:$CY$536,101,0)</f>
        <v>6.8099999999999994E-2</v>
      </c>
      <c r="E164" s="86">
        <f>VLOOKUP($A164,'Data shares'!$C:$FA,74)</f>
        <v>253048000</v>
      </c>
      <c r="F164" s="86">
        <f>VLOOKUP($A164,'Data shares'!$C:$FA,76)</f>
        <v>3184000</v>
      </c>
      <c r="G164" s="87">
        <f>VLOOKUP(A164,'Data shares'!$C$2:$CA$213,77,0)</f>
        <v>1.2699999999999999E-2</v>
      </c>
      <c r="H164" s="86">
        <f>VLOOKUP($A164,'Data shares'!$C:$FA,90)</f>
        <v>107264000</v>
      </c>
      <c r="I164" s="86">
        <f>VLOOKUP($A164,'Data shares'!$C:$FA,92)</f>
        <v>14640000</v>
      </c>
      <c r="J164" s="87">
        <f>VLOOKUP($A164,'Data shares'!$C:$FA,93)</f>
        <v>0.15809999999999999</v>
      </c>
      <c r="K164" s="86">
        <f>VLOOKUP($A164,'Data shares'!$C:$FA,94)</f>
        <v>72128000</v>
      </c>
      <c r="L164" s="86">
        <f>VLOOKUP($A164,'Data shares'!$C:$FA,96)</f>
        <v>9736000</v>
      </c>
      <c r="M164" s="87">
        <f>VLOOKUP($A164,'Data shares'!$C:$FA,97)</f>
        <v>0.156</v>
      </c>
      <c r="N164" s="86">
        <f>VLOOKUP($A164,'Data shares'!$C:$FA,78)</f>
        <v>236944000</v>
      </c>
      <c r="O164" s="87">
        <f>VLOOKUP($A164,'Data shares'!$C:$FA,81)</f>
        <v>8.3000000000000001E-3</v>
      </c>
    </row>
    <row r="165" spans="1:15" x14ac:dyDescent="0.25">
      <c r="A165" s="100" t="str">
        <f>'Data Vlaue (Cr)'!C160</f>
        <v>PNBHOUSING</v>
      </c>
      <c r="B165" s="82">
        <f>VLOOKUP(A165,'Data shares'!$C$2:$CV$213,98,0)</f>
        <v>16102450</v>
      </c>
      <c r="C165" s="82">
        <f>VLOOKUP(A165,'Data shares'!$C$2:$CX$213,100,0)</f>
        <v>521950</v>
      </c>
      <c r="D165" s="141">
        <f>VLOOKUP(A165,'Data shares'!$C$2:$CY$536,101,0)</f>
        <v>3.3500000000000002E-2</v>
      </c>
      <c r="E165" s="86">
        <f>VLOOKUP($A165,'Data shares'!$C:$FA,74)</f>
        <v>13165750</v>
      </c>
      <c r="F165" s="86">
        <f>VLOOKUP($A165,'Data shares'!$C:$FA,76)</f>
        <v>315250</v>
      </c>
      <c r="G165" s="87">
        <f>VLOOKUP(A165,'Data shares'!$C$2:$CA$213,77,0)</f>
        <v>2.4500000000000001E-2</v>
      </c>
      <c r="H165" s="86">
        <f>VLOOKUP($A165,'Data shares'!$C:$FA,90)</f>
        <v>1680900</v>
      </c>
      <c r="I165" s="86">
        <f>VLOOKUP($A165,'Data shares'!$C:$FA,92)</f>
        <v>168350</v>
      </c>
      <c r="J165" s="87">
        <f>VLOOKUP($A165,'Data shares'!$C:$FA,93)</f>
        <v>0.1113</v>
      </c>
      <c r="K165" s="86">
        <f>VLOOKUP($A165,'Data shares'!$C:$FA,94)</f>
        <v>1255800</v>
      </c>
      <c r="L165" s="86">
        <f>VLOOKUP($A165,'Data shares'!$C:$FA,96)</f>
        <v>38350</v>
      </c>
      <c r="M165" s="87">
        <f>VLOOKUP($A165,'Data shares'!$C:$FA,97)</f>
        <v>3.15E-2</v>
      </c>
      <c r="N165" s="86">
        <f>VLOOKUP($A165,'Data shares'!$C:$FA,78)</f>
        <v>12948000</v>
      </c>
      <c r="O165" s="87">
        <f>VLOOKUP($A165,'Data shares'!$C:$FA,81)</f>
        <v>2.4E-2</v>
      </c>
    </row>
    <row r="166" spans="1:15" x14ac:dyDescent="0.25">
      <c r="A166" s="100" t="str">
        <f>'Data Vlaue (Cr)'!C161</f>
        <v>POLICYBZR</v>
      </c>
      <c r="B166" s="82">
        <f>VLOOKUP(A166,'Data shares'!$C$2:$CV$213,98,0)</f>
        <v>11667950</v>
      </c>
      <c r="C166" s="82">
        <f>VLOOKUP(A166,'Data shares'!$C$2:$CX$213,100,0)</f>
        <v>20650</v>
      </c>
      <c r="D166" s="141">
        <f>VLOOKUP(A166,'Data shares'!$C$2:$CY$536,101,0)</f>
        <v>1.8E-3</v>
      </c>
      <c r="E166" s="86">
        <f>VLOOKUP($A166,'Data shares'!$C:$FA,74)</f>
        <v>8417500</v>
      </c>
      <c r="F166" s="86">
        <f>VLOOKUP($A166,'Data shares'!$C:$FA,76)</f>
        <v>-167650</v>
      </c>
      <c r="G166" s="87">
        <f>VLOOKUP(A166,'Data shares'!$C$2:$CA$213,77,0)</f>
        <v>-1.95E-2</v>
      </c>
      <c r="H166" s="86">
        <f>VLOOKUP($A166,'Data shares'!$C:$FA,90)</f>
        <v>1812300</v>
      </c>
      <c r="I166" s="86">
        <f>VLOOKUP($A166,'Data shares'!$C:$FA,92)</f>
        <v>65800</v>
      </c>
      <c r="J166" s="87">
        <f>VLOOKUP($A166,'Data shares'!$C:$FA,93)</f>
        <v>3.7699999999999997E-2</v>
      </c>
      <c r="K166" s="86">
        <f>VLOOKUP($A166,'Data shares'!$C:$FA,94)</f>
        <v>1438150</v>
      </c>
      <c r="L166" s="86">
        <f>VLOOKUP($A166,'Data shares'!$C:$FA,96)</f>
        <v>122500</v>
      </c>
      <c r="M166" s="87">
        <f>VLOOKUP($A166,'Data shares'!$C:$FA,97)</f>
        <v>9.3100000000000002E-2</v>
      </c>
      <c r="N166" s="86">
        <f>VLOOKUP($A166,'Data shares'!$C:$FA,78)</f>
        <v>8312850</v>
      </c>
      <c r="O166" s="87">
        <f>VLOOKUP($A166,'Data shares'!$C:$FA,81)</f>
        <v>-2.0299999999999999E-2</v>
      </c>
    </row>
    <row r="167" spans="1:15" x14ac:dyDescent="0.25">
      <c r="A167" s="100" t="str">
        <f>'Data Vlaue (Cr)'!C162</f>
        <v>POLYCAB</v>
      </c>
      <c r="B167" s="82">
        <f>VLOOKUP(A167,'Data shares'!$C$2:$CV$213,98,0)</f>
        <v>4627000</v>
      </c>
      <c r="C167" s="82">
        <f>VLOOKUP(A167,'Data shares'!$C$2:$CX$213,100,0)</f>
        <v>172375</v>
      </c>
      <c r="D167" s="141">
        <f>VLOOKUP(A167,'Data shares'!$C$2:$CY$536,101,0)</f>
        <v>3.8699999999999998E-2</v>
      </c>
      <c r="E167" s="86">
        <f>VLOOKUP($A167,'Data shares'!$C:$FA,74)</f>
        <v>2292750</v>
      </c>
      <c r="F167" s="86">
        <f>VLOOKUP($A167,'Data shares'!$C:$FA,76)</f>
        <v>-32875</v>
      </c>
      <c r="G167" s="87">
        <f>VLOOKUP(A167,'Data shares'!$C$2:$CA$213,77,0)</f>
        <v>-1.41E-2</v>
      </c>
      <c r="H167" s="86">
        <f>VLOOKUP($A167,'Data shares'!$C:$FA,90)</f>
        <v>1127500</v>
      </c>
      <c r="I167" s="86">
        <f>VLOOKUP($A167,'Data shares'!$C:$FA,92)</f>
        <v>107500</v>
      </c>
      <c r="J167" s="87">
        <f>VLOOKUP($A167,'Data shares'!$C:$FA,93)</f>
        <v>0.10539999999999999</v>
      </c>
      <c r="K167" s="86">
        <f>VLOOKUP($A167,'Data shares'!$C:$FA,94)</f>
        <v>1206750</v>
      </c>
      <c r="L167" s="86">
        <f>VLOOKUP($A167,'Data shares'!$C:$FA,96)</f>
        <v>97750</v>
      </c>
      <c r="M167" s="87">
        <f>VLOOKUP($A167,'Data shares'!$C:$FA,97)</f>
        <v>8.8099999999999998E-2</v>
      </c>
      <c r="N167" s="86">
        <f>VLOOKUP($A167,'Data shares'!$C:$FA,78)</f>
        <v>2206375</v>
      </c>
      <c r="O167" s="87">
        <f>VLOOKUP($A167,'Data shares'!$C:$FA,81)</f>
        <v>-1.9199999999999998E-2</v>
      </c>
    </row>
    <row r="168" spans="1:15" x14ac:dyDescent="0.25">
      <c r="A168" s="100" t="str">
        <f>'Data Vlaue (Cr)'!C163</f>
        <v>POWERGRID</v>
      </c>
      <c r="B168" s="82">
        <f>VLOOKUP(A168,'Data shares'!$C$2:$CV$213,98,0)</f>
        <v>133704900</v>
      </c>
      <c r="C168" s="82">
        <f>VLOOKUP(A168,'Data shares'!$C$2:$CX$213,100,0)</f>
        <v>1373700</v>
      </c>
      <c r="D168" s="141">
        <f>VLOOKUP(A168,'Data shares'!$C$2:$CY$536,101,0)</f>
        <v>1.04E-2</v>
      </c>
      <c r="E168" s="86">
        <f>VLOOKUP($A168,'Data shares'!$C:$FA,74)</f>
        <v>80938100</v>
      </c>
      <c r="F168" s="86">
        <f>VLOOKUP($A168,'Data shares'!$C:$FA,76)</f>
        <v>-1516200</v>
      </c>
      <c r="G168" s="87">
        <f>VLOOKUP(A168,'Data shares'!$C$2:$CA$213,77,0)</f>
        <v>-1.84E-2</v>
      </c>
      <c r="H168" s="86">
        <f>VLOOKUP($A168,'Data shares'!$C:$FA,90)</f>
        <v>37150700</v>
      </c>
      <c r="I168" s="86">
        <f>VLOOKUP($A168,'Data shares'!$C:$FA,92)</f>
        <v>2589700</v>
      </c>
      <c r="J168" s="87">
        <f>VLOOKUP($A168,'Data shares'!$C:$FA,93)</f>
        <v>7.4899999999999994E-2</v>
      </c>
      <c r="K168" s="86">
        <f>VLOOKUP($A168,'Data shares'!$C:$FA,94)</f>
        <v>15616100</v>
      </c>
      <c r="L168" s="86">
        <f>VLOOKUP($A168,'Data shares'!$C:$FA,96)</f>
        <v>300200</v>
      </c>
      <c r="M168" s="87">
        <f>VLOOKUP($A168,'Data shares'!$C:$FA,97)</f>
        <v>1.9599999999999999E-2</v>
      </c>
      <c r="N168" s="86">
        <f>VLOOKUP($A168,'Data shares'!$C:$FA,78)</f>
        <v>79551100</v>
      </c>
      <c r="O168" s="87">
        <f>VLOOKUP($A168,'Data shares'!$C:$FA,81)</f>
        <v>-2.0400000000000001E-2</v>
      </c>
    </row>
    <row r="169" spans="1:15" x14ac:dyDescent="0.25">
      <c r="A169" s="100" t="str">
        <f>'Data Vlaue (Cr)'!C164</f>
        <v>POWERINDIA</v>
      </c>
      <c r="B169" s="82">
        <f>VLOOKUP(A169,'Data shares'!$C$2:$CV$213,98,0)</f>
        <v>588100</v>
      </c>
      <c r="C169" s="82">
        <f>VLOOKUP(A169,'Data shares'!$C$2:$CX$213,100,0)</f>
        <v>45700</v>
      </c>
      <c r="D169" s="141">
        <f>VLOOKUP(A169,'Data shares'!$C$2:$CY$536,101,0)</f>
        <v>8.43E-2</v>
      </c>
      <c r="E169" s="86">
        <f>VLOOKUP($A169,'Data shares'!$C:$FA,74)</f>
        <v>280850</v>
      </c>
      <c r="F169" s="86">
        <f>VLOOKUP($A169,'Data shares'!$C:$FA,76)</f>
        <v>12300</v>
      </c>
      <c r="G169" s="87">
        <f>VLOOKUP(A169,'Data shares'!$C$2:$CA$213,77,0)</f>
        <v>4.58E-2</v>
      </c>
      <c r="H169" s="86">
        <f>VLOOKUP($A169,'Data shares'!$C:$FA,90)</f>
        <v>160450</v>
      </c>
      <c r="I169" s="86">
        <f>VLOOKUP($A169,'Data shares'!$C:$FA,92)</f>
        <v>17500</v>
      </c>
      <c r="J169" s="87">
        <f>VLOOKUP($A169,'Data shares'!$C:$FA,93)</f>
        <v>0.12239999999999999</v>
      </c>
      <c r="K169" s="86">
        <f>VLOOKUP($A169,'Data shares'!$C:$FA,94)</f>
        <v>146800</v>
      </c>
      <c r="L169" s="86">
        <f>VLOOKUP($A169,'Data shares'!$C:$FA,96)</f>
        <v>15900</v>
      </c>
      <c r="M169" s="87">
        <f>VLOOKUP($A169,'Data shares'!$C:$FA,97)</f>
        <v>0.1215</v>
      </c>
      <c r="N169" s="86">
        <f>VLOOKUP($A169,'Data shares'!$C:$FA,78)</f>
        <v>267650</v>
      </c>
      <c r="O169" s="87">
        <f>VLOOKUP($A169,'Data shares'!$C:$FA,81)</f>
        <v>4.53E-2</v>
      </c>
    </row>
    <row r="170" spans="1:15" x14ac:dyDescent="0.25">
      <c r="A170" s="100" t="str">
        <f>'Data Vlaue (Cr)'!C165</f>
        <v>PPLPHARMA</v>
      </c>
      <c r="B170" s="82">
        <f>VLOOKUP(A170,'Data shares'!$C$2:$CV$213,98,0)</f>
        <v>27853875</v>
      </c>
      <c r="C170" s="82">
        <f>VLOOKUP(A170,'Data shares'!$C$2:$CX$213,100,0)</f>
        <v>202125</v>
      </c>
      <c r="D170" s="141">
        <f>VLOOKUP(A170,'Data shares'!$C$2:$CY$536,101,0)</f>
        <v>7.3000000000000001E-3</v>
      </c>
      <c r="E170" s="86">
        <f>VLOOKUP($A170,'Data shares'!$C:$FA,74)</f>
        <v>17647875</v>
      </c>
      <c r="F170" s="86">
        <f>VLOOKUP($A170,'Data shares'!$C:$FA,76)</f>
        <v>-212625</v>
      </c>
      <c r="G170" s="87">
        <f>VLOOKUP(A170,'Data shares'!$C$2:$CA$213,77,0)</f>
        <v>-1.1900000000000001E-2</v>
      </c>
      <c r="H170" s="86">
        <f>VLOOKUP($A170,'Data shares'!$C:$FA,90)</f>
        <v>6347250</v>
      </c>
      <c r="I170" s="86">
        <f>VLOOKUP($A170,'Data shares'!$C:$FA,92)</f>
        <v>338625</v>
      </c>
      <c r="J170" s="87">
        <f>VLOOKUP($A170,'Data shares'!$C:$FA,93)</f>
        <v>5.6399999999999999E-2</v>
      </c>
      <c r="K170" s="86">
        <f>VLOOKUP($A170,'Data shares'!$C:$FA,94)</f>
        <v>3858750</v>
      </c>
      <c r="L170" s="86">
        <f>VLOOKUP($A170,'Data shares'!$C:$FA,96)</f>
        <v>76125</v>
      </c>
      <c r="M170" s="87">
        <f>VLOOKUP($A170,'Data shares'!$C:$FA,97)</f>
        <v>2.01E-2</v>
      </c>
      <c r="N170" s="86">
        <f>VLOOKUP($A170,'Data shares'!$C:$FA,78)</f>
        <v>16209375</v>
      </c>
      <c r="O170" s="87">
        <f>VLOOKUP($A170,'Data shares'!$C:$FA,81)</f>
        <v>-1.4500000000000001E-2</v>
      </c>
    </row>
    <row r="171" spans="1:15" x14ac:dyDescent="0.25">
      <c r="A171" s="100" t="str">
        <f>'Data Vlaue (Cr)'!C166</f>
        <v>PREMIERENE</v>
      </c>
      <c r="B171" s="82">
        <f>VLOOKUP(A171,'Data shares'!$C$2:$CV$213,98,0)</f>
        <v>15381250</v>
      </c>
      <c r="C171" s="82">
        <f>VLOOKUP(A171,'Data shares'!$C$2:$CX$213,100,0)</f>
        <v>295550</v>
      </c>
      <c r="D171" s="141">
        <f>VLOOKUP(A171,'Data shares'!$C$2:$CY$536,101,0)</f>
        <v>1.9599999999999999E-2</v>
      </c>
      <c r="E171" s="86">
        <f>VLOOKUP($A171,'Data shares'!$C:$FA,74)</f>
        <v>7826900</v>
      </c>
      <c r="F171" s="86">
        <f>VLOOKUP($A171,'Data shares'!$C:$FA,76)</f>
        <v>-81075</v>
      </c>
      <c r="G171" s="87">
        <f>VLOOKUP(A171,'Data shares'!$C$2:$CA$213,77,0)</f>
        <v>-1.03E-2</v>
      </c>
      <c r="H171" s="86">
        <f>VLOOKUP($A171,'Data shares'!$C:$FA,90)</f>
        <v>3817425</v>
      </c>
      <c r="I171" s="86">
        <f>VLOOKUP($A171,'Data shares'!$C:$FA,92)</f>
        <v>183425</v>
      </c>
      <c r="J171" s="87">
        <f>VLOOKUP($A171,'Data shares'!$C:$FA,93)</f>
        <v>5.0500000000000003E-2</v>
      </c>
      <c r="K171" s="86">
        <f>VLOOKUP($A171,'Data shares'!$C:$FA,94)</f>
        <v>3736925</v>
      </c>
      <c r="L171" s="86">
        <f>VLOOKUP($A171,'Data shares'!$C:$FA,96)</f>
        <v>193200</v>
      </c>
      <c r="M171" s="87">
        <f>VLOOKUP($A171,'Data shares'!$C:$FA,97)</f>
        <v>5.45E-2</v>
      </c>
      <c r="N171" s="86">
        <f>VLOOKUP($A171,'Data shares'!$C:$FA,78)</f>
        <v>7687175</v>
      </c>
      <c r="O171" s="87">
        <f>VLOOKUP($A171,'Data shares'!$C:$FA,81)</f>
        <v>-1.1299999999999999E-2</v>
      </c>
    </row>
    <row r="172" spans="1:15" x14ac:dyDescent="0.25">
      <c r="A172" s="100" t="str">
        <f>'Data Vlaue (Cr)'!C167</f>
        <v>PRESTIGE</v>
      </c>
      <c r="B172" s="82">
        <f>VLOOKUP(A172,'Data shares'!$C$2:$CV$213,98,0)</f>
        <v>6705000</v>
      </c>
      <c r="C172" s="82">
        <f>VLOOKUP(A172,'Data shares'!$C$2:$CX$213,100,0)</f>
        <v>-40500</v>
      </c>
      <c r="D172" s="141">
        <f>VLOOKUP(A172,'Data shares'!$C$2:$CY$536,101,0)</f>
        <v>-6.0000000000000001E-3</v>
      </c>
      <c r="E172" s="86">
        <f>VLOOKUP($A172,'Data shares'!$C:$FA,74)</f>
        <v>4722750</v>
      </c>
      <c r="F172" s="86">
        <f>VLOOKUP($A172,'Data shares'!$C:$FA,76)</f>
        <v>8550</v>
      </c>
      <c r="G172" s="87">
        <f>VLOOKUP(A172,'Data shares'!$C$2:$CA$213,77,0)</f>
        <v>1.8E-3</v>
      </c>
      <c r="H172" s="86">
        <f>VLOOKUP($A172,'Data shares'!$C:$FA,90)</f>
        <v>949050</v>
      </c>
      <c r="I172" s="86">
        <f>VLOOKUP($A172,'Data shares'!$C:$FA,92)</f>
        <v>-48150</v>
      </c>
      <c r="J172" s="87">
        <f>VLOOKUP($A172,'Data shares'!$C:$FA,93)</f>
        <v>-4.8300000000000003E-2</v>
      </c>
      <c r="K172" s="86">
        <f>VLOOKUP($A172,'Data shares'!$C:$FA,94)</f>
        <v>1033200</v>
      </c>
      <c r="L172" s="86">
        <f>VLOOKUP($A172,'Data shares'!$C:$FA,96)</f>
        <v>-900</v>
      </c>
      <c r="M172" s="87">
        <f>VLOOKUP($A172,'Data shares'!$C:$FA,97)</f>
        <v>-8.9999999999999998E-4</v>
      </c>
      <c r="N172" s="86">
        <f>VLOOKUP($A172,'Data shares'!$C:$FA,78)</f>
        <v>4664700</v>
      </c>
      <c r="O172" s="87">
        <f>VLOOKUP($A172,'Data shares'!$C:$FA,81)</f>
        <v>1.8E-3</v>
      </c>
    </row>
    <row r="173" spans="1:15" x14ac:dyDescent="0.25">
      <c r="A173" s="100" t="str">
        <f>'Data Vlaue (Cr)'!C168</f>
        <v>RBLBANK</v>
      </c>
      <c r="B173" s="82">
        <f>VLOOKUP(A173,'Data shares'!$C$2:$CV$213,98,0)</f>
        <v>100126800</v>
      </c>
      <c r="C173" s="82">
        <f>VLOOKUP(A173,'Data shares'!$C$2:$CX$213,100,0)</f>
        <v>1781175</v>
      </c>
      <c r="D173" s="141">
        <f>VLOOKUP(A173,'Data shares'!$C$2:$CY$536,101,0)</f>
        <v>1.8100000000000002E-2</v>
      </c>
      <c r="E173" s="86">
        <f>VLOOKUP($A173,'Data shares'!$C:$FA,74)</f>
        <v>63500000</v>
      </c>
      <c r="F173" s="86">
        <f>VLOOKUP($A173,'Data shares'!$C:$FA,76)</f>
        <v>901700</v>
      </c>
      <c r="G173" s="87">
        <f>VLOOKUP(A173,'Data shares'!$C$2:$CA$213,77,0)</f>
        <v>1.44E-2</v>
      </c>
      <c r="H173" s="86">
        <f>VLOOKUP($A173,'Data shares'!$C:$FA,90)</f>
        <v>19932650</v>
      </c>
      <c r="I173" s="86">
        <f>VLOOKUP($A173,'Data shares'!$C:$FA,92)</f>
        <v>546100</v>
      </c>
      <c r="J173" s="87">
        <f>VLOOKUP($A173,'Data shares'!$C:$FA,93)</f>
        <v>2.8199999999999999E-2</v>
      </c>
      <c r="K173" s="86">
        <f>VLOOKUP($A173,'Data shares'!$C:$FA,94)</f>
        <v>16694150</v>
      </c>
      <c r="L173" s="86">
        <f>VLOOKUP($A173,'Data shares'!$C:$FA,96)</f>
        <v>333375</v>
      </c>
      <c r="M173" s="87">
        <f>VLOOKUP($A173,'Data shares'!$C:$FA,97)</f>
        <v>2.0400000000000001E-2</v>
      </c>
      <c r="N173" s="86">
        <f>VLOOKUP($A173,'Data shares'!$C:$FA,78)</f>
        <v>62401450</v>
      </c>
      <c r="O173" s="87">
        <f>VLOOKUP($A173,'Data shares'!$C:$FA,81)</f>
        <v>1.2999999999999999E-2</v>
      </c>
    </row>
    <row r="174" spans="1:15" x14ac:dyDescent="0.25">
      <c r="A174" s="100" t="str">
        <f>'Data Vlaue (Cr)'!C169</f>
        <v>RECLTD</v>
      </c>
      <c r="B174" s="82">
        <f>VLOOKUP(A174,'Data shares'!$C$2:$CV$213,98,0)</f>
        <v>133852600</v>
      </c>
      <c r="C174" s="82">
        <f>VLOOKUP(A174,'Data shares'!$C$2:$CX$213,100,0)</f>
        <v>3557400</v>
      </c>
      <c r="D174" s="141">
        <f>VLOOKUP(A174,'Data shares'!$C$2:$CY$536,101,0)</f>
        <v>2.7300000000000001E-2</v>
      </c>
      <c r="E174" s="86">
        <f>VLOOKUP($A174,'Data shares'!$C:$FA,74)</f>
        <v>78972600</v>
      </c>
      <c r="F174" s="86">
        <f>VLOOKUP($A174,'Data shares'!$C:$FA,76)</f>
        <v>64400</v>
      </c>
      <c r="G174" s="87">
        <f>VLOOKUP(A174,'Data shares'!$C$2:$CA$213,77,0)</f>
        <v>8.0000000000000004E-4</v>
      </c>
      <c r="H174" s="86">
        <f>VLOOKUP($A174,'Data shares'!$C:$FA,90)</f>
        <v>25757200</v>
      </c>
      <c r="I174" s="86">
        <f>VLOOKUP($A174,'Data shares'!$C:$FA,92)</f>
        <v>614600</v>
      </c>
      <c r="J174" s="87">
        <f>VLOOKUP($A174,'Data shares'!$C:$FA,93)</f>
        <v>2.4400000000000002E-2</v>
      </c>
      <c r="K174" s="86">
        <f>VLOOKUP($A174,'Data shares'!$C:$FA,94)</f>
        <v>29122800</v>
      </c>
      <c r="L174" s="86">
        <f>VLOOKUP($A174,'Data shares'!$C:$FA,96)</f>
        <v>2878400</v>
      </c>
      <c r="M174" s="87">
        <f>VLOOKUP($A174,'Data shares'!$C:$FA,97)</f>
        <v>0.10970000000000001</v>
      </c>
      <c r="N174" s="86">
        <f>VLOOKUP($A174,'Data shares'!$C:$FA,78)</f>
        <v>72947000</v>
      </c>
      <c r="O174" s="87">
        <f>VLOOKUP($A174,'Data shares'!$C:$FA,81)</f>
        <v>1.8E-3</v>
      </c>
    </row>
    <row r="175" spans="1:15" x14ac:dyDescent="0.25">
      <c r="A175" s="100" t="str">
        <f>'Data Vlaue (Cr)'!C170</f>
        <v>RELIANCE</v>
      </c>
      <c r="B175" s="82">
        <f>VLOOKUP(A175,'Data shares'!$C$2:$CV$213,98,0)</f>
        <v>186411000</v>
      </c>
      <c r="C175" s="82">
        <f>VLOOKUP(A175,'Data shares'!$C$2:$CX$213,100,0)</f>
        <v>-935000</v>
      </c>
      <c r="D175" s="141">
        <f>VLOOKUP(A175,'Data shares'!$C$2:$CY$536,101,0)</f>
        <v>-5.0000000000000001E-3</v>
      </c>
      <c r="E175" s="86">
        <f>VLOOKUP($A175,'Data shares'!$C:$FA,74)</f>
        <v>111390500</v>
      </c>
      <c r="F175" s="86">
        <f>VLOOKUP($A175,'Data shares'!$C:$FA,76)</f>
        <v>-1024500</v>
      </c>
      <c r="G175" s="87">
        <f>VLOOKUP(A175,'Data shares'!$C$2:$CA$213,77,0)</f>
        <v>-9.1000000000000004E-3</v>
      </c>
      <c r="H175" s="86">
        <f>VLOOKUP($A175,'Data shares'!$C:$FA,90)</f>
        <v>43368000</v>
      </c>
      <c r="I175" s="86">
        <f>VLOOKUP($A175,'Data shares'!$C:$FA,92)</f>
        <v>-991000</v>
      </c>
      <c r="J175" s="87">
        <f>VLOOKUP($A175,'Data shares'!$C:$FA,93)</f>
        <v>-2.23E-2</v>
      </c>
      <c r="K175" s="86">
        <f>VLOOKUP($A175,'Data shares'!$C:$FA,94)</f>
        <v>31652500</v>
      </c>
      <c r="L175" s="86">
        <f>VLOOKUP($A175,'Data shares'!$C:$FA,96)</f>
        <v>1080500</v>
      </c>
      <c r="M175" s="87">
        <f>VLOOKUP($A175,'Data shares'!$C:$FA,97)</f>
        <v>3.5299999999999998E-2</v>
      </c>
      <c r="N175" s="86">
        <f>VLOOKUP($A175,'Data shares'!$C:$FA,78)</f>
        <v>106606000</v>
      </c>
      <c r="O175" s="87">
        <f>VLOOKUP($A175,'Data shares'!$C:$FA,81)</f>
        <v>-1.06E-2</v>
      </c>
    </row>
    <row r="176" spans="1:15" x14ac:dyDescent="0.25">
      <c r="A176" s="100" t="str">
        <f>'Data Vlaue (Cr)'!C171</f>
        <v>RVNL</v>
      </c>
      <c r="B176" s="82">
        <f>VLOOKUP(A176,'Data shares'!$C$2:$CV$213,98,0)</f>
        <v>108285675</v>
      </c>
      <c r="C176" s="82">
        <f>VLOOKUP(A176,'Data shares'!$C$2:$CX$213,100,0)</f>
        <v>1290150</v>
      </c>
      <c r="D176" s="141">
        <f>VLOOKUP(A176,'Data shares'!$C$2:$CY$536,101,0)</f>
        <v>1.21E-2</v>
      </c>
      <c r="E176" s="86">
        <f>VLOOKUP($A176,'Data shares'!$C:$FA,74)</f>
        <v>63372900</v>
      </c>
      <c r="F176" s="86">
        <f>VLOOKUP($A176,'Data shares'!$C:$FA,76)</f>
        <v>-689300</v>
      </c>
      <c r="G176" s="87">
        <f>VLOOKUP(A176,'Data shares'!$C$2:$CA$213,77,0)</f>
        <v>-1.0800000000000001E-2</v>
      </c>
      <c r="H176" s="86">
        <f>VLOOKUP($A176,'Data shares'!$C:$FA,90)</f>
        <v>30051650</v>
      </c>
      <c r="I176" s="86">
        <f>VLOOKUP($A176,'Data shares'!$C:$FA,92)</f>
        <v>1898625</v>
      </c>
      <c r="J176" s="87">
        <f>VLOOKUP($A176,'Data shares'!$C:$FA,93)</f>
        <v>6.7400000000000002E-2</v>
      </c>
      <c r="K176" s="86">
        <f>VLOOKUP($A176,'Data shares'!$C:$FA,94)</f>
        <v>14861125</v>
      </c>
      <c r="L176" s="86">
        <f>VLOOKUP($A176,'Data shares'!$C:$FA,96)</f>
        <v>80825</v>
      </c>
      <c r="M176" s="87">
        <f>VLOOKUP($A176,'Data shares'!$C:$FA,97)</f>
        <v>5.4999999999999997E-3</v>
      </c>
      <c r="N176" s="86">
        <f>VLOOKUP($A176,'Data shares'!$C:$FA,78)</f>
        <v>56466175</v>
      </c>
      <c r="O176" s="87">
        <f>VLOOKUP($A176,'Data shares'!$C:$FA,81)</f>
        <v>-1.8100000000000002E-2</v>
      </c>
    </row>
    <row r="177" spans="1:15" x14ac:dyDescent="0.25">
      <c r="A177" s="100" t="str">
        <f>'Data Vlaue (Cr)'!C172</f>
        <v>SAIL</v>
      </c>
      <c r="B177" s="82">
        <f>VLOOKUP(A177,'Data shares'!$C$2:$CV$213,98,0)</f>
        <v>251337200</v>
      </c>
      <c r="C177" s="82">
        <f>VLOOKUP(A177,'Data shares'!$C$2:$CX$213,100,0)</f>
        <v>-3431000</v>
      </c>
      <c r="D177" s="141">
        <f>VLOOKUP(A177,'Data shares'!$C$2:$CY$536,101,0)</f>
        <v>-1.35E-2</v>
      </c>
      <c r="E177" s="86">
        <f>VLOOKUP($A177,'Data shares'!$C:$FA,74)</f>
        <v>213041600</v>
      </c>
      <c r="F177" s="86">
        <f>VLOOKUP($A177,'Data shares'!$C:$FA,76)</f>
        <v>-2697800</v>
      </c>
      <c r="G177" s="87">
        <f>VLOOKUP(A177,'Data shares'!$C$2:$CA$213,77,0)</f>
        <v>-1.2500000000000001E-2</v>
      </c>
      <c r="H177" s="86">
        <f>VLOOKUP($A177,'Data shares'!$C:$FA,90)</f>
        <v>22945400</v>
      </c>
      <c r="I177" s="86">
        <f>VLOOKUP($A177,'Data shares'!$C:$FA,92)</f>
        <v>-526400</v>
      </c>
      <c r="J177" s="87">
        <f>VLOOKUP($A177,'Data shares'!$C:$FA,93)</f>
        <v>-2.24E-2</v>
      </c>
      <c r="K177" s="86">
        <f>VLOOKUP($A177,'Data shares'!$C:$FA,94)</f>
        <v>15350200</v>
      </c>
      <c r="L177" s="86">
        <f>VLOOKUP($A177,'Data shares'!$C:$FA,96)</f>
        <v>-206800</v>
      </c>
      <c r="M177" s="87">
        <f>VLOOKUP($A177,'Data shares'!$C:$FA,97)</f>
        <v>-1.3299999999999999E-2</v>
      </c>
      <c r="N177" s="86">
        <f>VLOOKUP($A177,'Data shares'!$C:$FA,78)</f>
        <v>180000600</v>
      </c>
      <c r="O177" s="87">
        <f>VLOOKUP($A177,'Data shares'!$C:$FA,81)</f>
        <v>-1.38E-2</v>
      </c>
    </row>
    <row r="178" spans="1:15" x14ac:dyDescent="0.25">
      <c r="A178" s="100" t="str">
        <f>'Data Vlaue (Cr)'!C173</f>
        <v>SAMMAANCAP</v>
      </c>
      <c r="B178" s="82">
        <f>VLOOKUP(A178,'Data shares'!$C$2:$CV$213,98,0)</f>
        <v>146935300</v>
      </c>
      <c r="C178" s="82">
        <f>VLOOKUP(A178,'Data shares'!$C$2:$CX$213,100,0)</f>
        <v>-258000</v>
      </c>
      <c r="D178" s="141">
        <f>VLOOKUP(A178,'Data shares'!$C$2:$CY$536,101,0)</f>
        <v>-1.8E-3</v>
      </c>
      <c r="E178" s="86">
        <f>VLOOKUP($A178,'Data shares'!$C:$FA,74)</f>
        <v>113382400</v>
      </c>
      <c r="F178" s="86">
        <f>VLOOKUP($A178,'Data shares'!$C:$FA,76)</f>
        <v>-219300</v>
      </c>
      <c r="G178" s="87">
        <f>VLOOKUP(A178,'Data shares'!$C$2:$CA$213,77,0)</f>
        <v>-1.9E-3</v>
      </c>
      <c r="H178" s="86">
        <f>VLOOKUP($A178,'Data shares'!$C:$FA,90)</f>
        <v>23340400</v>
      </c>
      <c r="I178" s="86">
        <f>VLOOKUP($A178,'Data shares'!$C:$FA,92)</f>
        <v>-43000</v>
      </c>
      <c r="J178" s="87">
        <f>VLOOKUP($A178,'Data shares'!$C:$FA,93)</f>
        <v>-1.8E-3</v>
      </c>
      <c r="K178" s="86">
        <f>VLOOKUP($A178,'Data shares'!$C:$FA,94)</f>
        <v>10212500</v>
      </c>
      <c r="L178" s="86">
        <f>VLOOKUP($A178,'Data shares'!$C:$FA,96)</f>
        <v>4300</v>
      </c>
      <c r="M178" s="87">
        <f>VLOOKUP($A178,'Data shares'!$C:$FA,97)</f>
        <v>4.0000000000000002E-4</v>
      </c>
      <c r="N178" s="86">
        <f>VLOOKUP($A178,'Data shares'!$C:$FA,78)</f>
        <v>108699700</v>
      </c>
      <c r="O178" s="87">
        <f>VLOOKUP($A178,'Data shares'!$C:$FA,81)</f>
        <v>-2E-3</v>
      </c>
    </row>
    <row r="179" spans="1:15" x14ac:dyDescent="0.25">
      <c r="A179" s="100" t="str">
        <f>'Data Vlaue (Cr)'!C174</f>
        <v>SBICARD</v>
      </c>
      <c r="B179" s="82">
        <f>VLOOKUP(A179,'Data shares'!$C$2:$CV$213,98,0)</f>
        <v>34901600</v>
      </c>
      <c r="C179" s="82">
        <f>VLOOKUP(A179,'Data shares'!$C$2:$CX$213,100,0)</f>
        <v>-100000</v>
      </c>
      <c r="D179" s="141">
        <f>VLOOKUP(A179,'Data shares'!$C$2:$CY$536,101,0)</f>
        <v>-2.8999999999999998E-3</v>
      </c>
      <c r="E179" s="86">
        <f>VLOOKUP($A179,'Data shares'!$C:$FA,74)</f>
        <v>23583200</v>
      </c>
      <c r="F179" s="86">
        <f>VLOOKUP($A179,'Data shares'!$C:$FA,76)</f>
        <v>-458400</v>
      </c>
      <c r="G179" s="87">
        <f>VLOOKUP(A179,'Data shares'!$C$2:$CA$213,77,0)</f>
        <v>-1.9099999999999999E-2</v>
      </c>
      <c r="H179" s="86">
        <f>VLOOKUP($A179,'Data shares'!$C:$FA,90)</f>
        <v>6852000</v>
      </c>
      <c r="I179" s="86">
        <f>VLOOKUP($A179,'Data shares'!$C:$FA,92)</f>
        <v>298400</v>
      </c>
      <c r="J179" s="87">
        <f>VLOOKUP($A179,'Data shares'!$C:$FA,93)</f>
        <v>4.5499999999999999E-2</v>
      </c>
      <c r="K179" s="86">
        <f>VLOOKUP($A179,'Data shares'!$C:$FA,94)</f>
        <v>4466400</v>
      </c>
      <c r="L179" s="86">
        <f>VLOOKUP($A179,'Data shares'!$C:$FA,96)</f>
        <v>60000</v>
      </c>
      <c r="M179" s="87">
        <f>VLOOKUP($A179,'Data shares'!$C:$FA,97)</f>
        <v>1.3599999999999999E-2</v>
      </c>
      <c r="N179" s="86">
        <f>VLOOKUP($A179,'Data shares'!$C:$FA,78)</f>
        <v>21705600</v>
      </c>
      <c r="O179" s="87">
        <f>VLOOKUP($A179,'Data shares'!$C:$FA,81)</f>
        <v>-2.1999999999999999E-2</v>
      </c>
    </row>
    <row r="180" spans="1:15" x14ac:dyDescent="0.25">
      <c r="A180" s="100" t="str">
        <f>'Data Vlaue (Cr)'!C175</f>
        <v>SBILIFE</v>
      </c>
      <c r="B180" s="82">
        <f>VLOOKUP(A180,'Data shares'!$C$2:$CV$213,98,0)</f>
        <v>13224750</v>
      </c>
      <c r="C180" s="82">
        <f>VLOOKUP(A180,'Data shares'!$C$2:$CX$213,100,0)</f>
        <v>694125</v>
      </c>
      <c r="D180" s="141">
        <f>VLOOKUP(A180,'Data shares'!$C$2:$CY$536,101,0)</f>
        <v>5.5399999999999998E-2</v>
      </c>
      <c r="E180" s="86">
        <f>VLOOKUP($A180,'Data shares'!$C:$FA,74)</f>
        <v>8929875</v>
      </c>
      <c r="F180" s="86">
        <f>VLOOKUP($A180,'Data shares'!$C:$FA,76)</f>
        <v>158250</v>
      </c>
      <c r="G180" s="87">
        <f>VLOOKUP(A180,'Data shares'!$C$2:$CA$213,77,0)</f>
        <v>1.7999999999999999E-2</v>
      </c>
      <c r="H180" s="86">
        <f>VLOOKUP($A180,'Data shares'!$C:$FA,90)</f>
        <v>3034875</v>
      </c>
      <c r="I180" s="86">
        <f>VLOOKUP($A180,'Data shares'!$C:$FA,92)</f>
        <v>437250</v>
      </c>
      <c r="J180" s="87">
        <f>VLOOKUP($A180,'Data shares'!$C:$FA,93)</f>
        <v>0.16830000000000001</v>
      </c>
      <c r="K180" s="86">
        <f>VLOOKUP($A180,'Data shares'!$C:$FA,94)</f>
        <v>1260000</v>
      </c>
      <c r="L180" s="86">
        <f>VLOOKUP($A180,'Data shares'!$C:$FA,96)</f>
        <v>98625</v>
      </c>
      <c r="M180" s="87">
        <f>VLOOKUP($A180,'Data shares'!$C:$FA,97)</f>
        <v>8.4900000000000003E-2</v>
      </c>
      <c r="N180" s="86">
        <f>VLOOKUP($A180,'Data shares'!$C:$FA,78)</f>
        <v>8846625</v>
      </c>
      <c r="O180" s="87">
        <f>VLOOKUP($A180,'Data shares'!$C:$FA,81)</f>
        <v>1.7600000000000001E-2</v>
      </c>
    </row>
    <row r="181" spans="1:15" x14ac:dyDescent="0.25">
      <c r="A181" s="100" t="str">
        <f>'Data Vlaue (Cr)'!C176</f>
        <v>SBIN</v>
      </c>
      <c r="B181" s="82">
        <f>VLOOKUP(A181,'Data shares'!$C$2:$CV$213,98,0)</f>
        <v>128481000</v>
      </c>
      <c r="C181" s="82">
        <f>VLOOKUP(A181,'Data shares'!$C$2:$CX$213,100,0)</f>
        <v>5037750</v>
      </c>
      <c r="D181" s="141">
        <f>VLOOKUP(A181,'Data shares'!$C$2:$CY$536,101,0)</f>
        <v>4.0800000000000003E-2</v>
      </c>
      <c r="E181" s="86">
        <f>VLOOKUP($A181,'Data shares'!$C:$FA,74)</f>
        <v>60741750</v>
      </c>
      <c r="F181" s="86">
        <f>VLOOKUP($A181,'Data shares'!$C:$FA,76)</f>
        <v>3138750</v>
      </c>
      <c r="G181" s="87">
        <f>VLOOKUP(A181,'Data shares'!$C$2:$CA$213,77,0)</f>
        <v>5.45E-2</v>
      </c>
      <c r="H181" s="86">
        <f>VLOOKUP($A181,'Data shares'!$C:$FA,90)</f>
        <v>37584000</v>
      </c>
      <c r="I181" s="86">
        <f>VLOOKUP($A181,'Data shares'!$C:$FA,92)</f>
        <v>3626250</v>
      </c>
      <c r="J181" s="87">
        <f>VLOOKUP($A181,'Data shares'!$C:$FA,93)</f>
        <v>0.10680000000000001</v>
      </c>
      <c r="K181" s="86">
        <f>VLOOKUP($A181,'Data shares'!$C:$FA,94)</f>
        <v>30155250</v>
      </c>
      <c r="L181" s="86">
        <f>VLOOKUP($A181,'Data shares'!$C:$FA,96)</f>
        <v>-1727250</v>
      </c>
      <c r="M181" s="87">
        <f>VLOOKUP($A181,'Data shares'!$C:$FA,97)</f>
        <v>-5.4199999999999998E-2</v>
      </c>
      <c r="N181" s="86">
        <f>VLOOKUP($A181,'Data shares'!$C:$FA,78)</f>
        <v>58007250</v>
      </c>
      <c r="O181" s="87">
        <f>VLOOKUP($A181,'Data shares'!$C:$FA,81)</f>
        <v>4.8099999999999997E-2</v>
      </c>
    </row>
    <row r="182" spans="1:15" x14ac:dyDescent="0.25">
      <c r="A182" s="100" t="str">
        <f>'Data Vlaue (Cr)'!C177</f>
        <v>SHREECEM</v>
      </c>
      <c r="B182" s="82">
        <f>VLOOKUP(A182,'Data shares'!$C$2:$CV$213,98,0)</f>
        <v>444625</v>
      </c>
      <c r="C182" s="82">
        <f>VLOOKUP(A182,'Data shares'!$C$2:$CX$213,100,0)</f>
        <v>6375</v>
      </c>
      <c r="D182" s="141">
        <f>VLOOKUP(A182,'Data shares'!$C$2:$CY$536,101,0)</f>
        <v>1.4500000000000001E-2</v>
      </c>
      <c r="E182" s="86">
        <f>VLOOKUP($A182,'Data shares'!$C:$FA,74)</f>
        <v>347600</v>
      </c>
      <c r="F182" s="86">
        <f>VLOOKUP($A182,'Data shares'!$C:$FA,76)</f>
        <v>1075</v>
      </c>
      <c r="G182" s="87">
        <f>VLOOKUP(A182,'Data shares'!$C$2:$CA$213,77,0)</f>
        <v>3.0999999999999999E-3</v>
      </c>
      <c r="H182" s="86">
        <f>VLOOKUP($A182,'Data shares'!$C:$FA,90)</f>
        <v>60150</v>
      </c>
      <c r="I182" s="86">
        <f>VLOOKUP($A182,'Data shares'!$C:$FA,92)</f>
        <v>5500</v>
      </c>
      <c r="J182" s="87">
        <f>VLOOKUP($A182,'Data shares'!$C:$FA,93)</f>
        <v>0.10059999999999999</v>
      </c>
      <c r="K182" s="86">
        <f>VLOOKUP($A182,'Data shares'!$C:$FA,94)</f>
        <v>36875</v>
      </c>
      <c r="L182" s="86">
        <f>VLOOKUP($A182,'Data shares'!$C:$FA,96)</f>
        <v>-200</v>
      </c>
      <c r="M182" s="87">
        <f>VLOOKUP($A182,'Data shares'!$C:$FA,97)</f>
        <v>-5.4000000000000003E-3</v>
      </c>
      <c r="N182" s="86">
        <f>VLOOKUP($A182,'Data shares'!$C:$FA,78)</f>
        <v>332700</v>
      </c>
      <c r="O182" s="87">
        <f>VLOOKUP($A182,'Data shares'!$C:$FA,81)</f>
        <v>-5.9999999999999995E-4</v>
      </c>
    </row>
    <row r="183" spans="1:15" x14ac:dyDescent="0.25">
      <c r="A183" s="100" t="str">
        <f>'Data Vlaue (Cr)'!C178</f>
        <v>SHRIRAMFIN</v>
      </c>
      <c r="B183" s="82">
        <f>VLOOKUP(A183,'Data shares'!$C$2:$CV$213,98,0)</f>
        <v>50437200</v>
      </c>
      <c r="C183" s="82">
        <f>VLOOKUP(A183,'Data shares'!$C$2:$CX$213,100,0)</f>
        <v>229350</v>
      </c>
      <c r="D183" s="141">
        <f>VLOOKUP(A183,'Data shares'!$C$2:$CY$536,101,0)</f>
        <v>4.5999999999999999E-3</v>
      </c>
      <c r="E183" s="86">
        <f>VLOOKUP($A183,'Data shares'!$C:$FA,74)</f>
        <v>34792725</v>
      </c>
      <c r="F183" s="86">
        <f>VLOOKUP($A183,'Data shares'!$C:$FA,76)</f>
        <v>-284625</v>
      </c>
      <c r="G183" s="87">
        <f>VLOOKUP(A183,'Data shares'!$C$2:$CA$213,77,0)</f>
        <v>-8.0999999999999996E-3</v>
      </c>
      <c r="H183" s="86">
        <f>VLOOKUP($A183,'Data shares'!$C:$FA,90)</f>
        <v>8481000</v>
      </c>
      <c r="I183" s="86">
        <f>VLOOKUP($A183,'Data shares'!$C:$FA,92)</f>
        <v>109725</v>
      </c>
      <c r="J183" s="87">
        <f>VLOOKUP($A183,'Data shares'!$C:$FA,93)</f>
        <v>1.3100000000000001E-2</v>
      </c>
      <c r="K183" s="86">
        <f>VLOOKUP($A183,'Data shares'!$C:$FA,94)</f>
        <v>7163475</v>
      </c>
      <c r="L183" s="86">
        <f>VLOOKUP($A183,'Data shares'!$C:$FA,96)</f>
        <v>404250</v>
      </c>
      <c r="M183" s="87">
        <f>VLOOKUP($A183,'Data shares'!$C:$FA,97)</f>
        <v>5.9799999999999999E-2</v>
      </c>
      <c r="N183" s="86">
        <f>VLOOKUP($A183,'Data shares'!$C:$FA,78)</f>
        <v>34140150</v>
      </c>
      <c r="O183" s="87">
        <f>VLOOKUP($A183,'Data shares'!$C:$FA,81)</f>
        <v>-8.9999999999999993E-3</v>
      </c>
    </row>
    <row r="184" spans="1:15" x14ac:dyDescent="0.25">
      <c r="A184" s="100" t="str">
        <f>'Data Vlaue (Cr)'!C179</f>
        <v>SIEMENS</v>
      </c>
      <c r="B184" s="82">
        <f>VLOOKUP(A184,'Data shares'!$C$2:$CV$213,98,0)</f>
        <v>4660600</v>
      </c>
      <c r="C184" s="82">
        <f>VLOOKUP(A184,'Data shares'!$C$2:$CX$213,100,0)</f>
        <v>-19425</v>
      </c>
      <c r="D184" s="141">
        <f>VLOOKUP(A184,'Data shares'!$C$2:$CY$536,101,0)</f>
        <v>-4.1999999999999997E-3</v>
      </c>
      <c r="E184" s="86">
        <f>VLOOKUP($A184,'Data shares'!$C:$FA,74)</f>
        <v>2423050</v>
      </c>
      <c r="F184" s="86">
        <f>VLOOKUP($A184,'Data shares'!$C:$FA,76)</f>
        <v>4025</v>
      </c>
      <c r="G184" s="87">
        <f>VLOOKUP(A184,'Data shares'!$C$2:$CA$213,77,0)</f>
        <v>1.6999999999999999E-3</v>
      </c>
      <c r="H184" s="86">
        <f>VLOOKUP($A184,'Data shares'!$C:$FA,90)</f>
        <v>1491000</v>
      </c>
      <c r="I184" s="86">
        <f>VLOOKUP($A184,'Data shares'!$C:$FA,92)</f>
        <v>6825</v>
      </c>
      <c r="J184" s="87">
        <f>VLOOKUP($A184,'Data shares'!$C:$FA,93)</f>
        <v>4.5999999999999999E-3</v>
      </c>
      <c r="K184" s="86">
        <f>VLOOKUP($A184,'Data shares'!$C:$FA,94)</f>
        <v>746550</v>
      </c>
      <c r="L184" s="86">
        <f>VLOOKUP($A184,'Data shares'!$C:$FA,96)</f>
        <v>-30275</v>
      </c>
      <c r="M184" s="87">
        <f>VLOOKUP($A184,'Data shares'!$C:$FA,97)</f>
        <v>-3.9E-2</v>
      </c>
      <c r="N184" s="86">
        <f>VLOOKUP($A184,'Data shares'!$C:$FA,78)</f>
        <v>2376150</v>
      </c>
      <c r="O184" s="87">
        <f>VLOOKUP($A184,'Data shares'!$C:$FA,81)</f>
        <v>1E-3</v>
      </c>
    </row>
    <row r="185" spans="1:15" x14ac:dyDescent="0.25">
      <c r="A185" s="100" t="str">
        <f>'Data Vlaue (Cr)'!C180</f>
        <v>SOLARINDS</v>
      </c>
      <c r="B185" s="82">
        <f>VLOOKUP(A185,'Data shares'!$C$2:$CV$213,98,0)</f>
        <v>1227850</v>
      </c>
      <c r="C185" s="82">
        <f>VLOOKUP(A185,'Data shares'!$C$2:$CX$213,100,0)</f>
        <v>35400</v>
      </c>
      <c r="D185" s="141">
        <f>VLOOKUP(A185,'Data shares'!$C$2:$CY$536,101,0)</f>
        <v>2.9700000000000001E-2</v>
      </c>
      <c r="E185" s="86">
        <f>VLOOKUP($A185,'Data shares'!$C:$FA,74)</f>
        <v>711550</v>
      </c>
      <c r="F185" s="86">
        <f>VLOOKUP($A185,'Data shares'!$C:$FA,76)</f>
        <v>-13250</v>
      </c>
      <c r="G185" s="87">
        <f>VLOOKUP(A185,'Data shares'!$C$2:$CA$213,77,0)</f>
        <v>-1.83E-2</v>
      </c>
      <c r="H185" s="86">
        <f>VLOOKUP($A185,'Data shares'!$C:$FA,90)</f>
        <v>285150</v>
      </c>
      <c r="I185" s="86">
        <f>VLOOKUP($A185,'Data shares'!$C:$FA,92)</f>
        <v>27950</v>
      </c>
      <c r="J185" s="87">
        <f>VLOOKUP($A185,'Data shares'!$C:$FA,93)</f>
        <v>0.1087</v>
      </c>
      <c r="K185" s="86">
        <f>VLOOKUP($A185,'Data shares'!$C:$FA,94)</f>
        <v>231150</v>
      </c>
      <c r="L185" s="86">
        <f>VLOOKUP($A185,'Data shares'!$C:$FA,96)</f>
        <v>20700</v>
      </c>
      <c r="M185" s="87">
        <f>VLOOKUP($A185,'Data shares'!$C:$FA,97)</f>
        <v>9.8400000000000001E-2</v>
      </c>
      <c r="N185" s="86">
        <f>VLOOKUP($A185,'Data shares'!$C:$FA,78)</f>
        <v>650950</v>
      </c>
      <c r="O185" s="87">
        <f>VLOOKUP($A185,'Data shares'!$C:$FA,81)</f>
        <v>-2.3199999999999998E-2</v>
      </c>
    </row>
    <row r="186" spans="1:15" x14ac:dyDescent="0.25">
      <c r="A186" s="100" t="str">
        <f>'Data Vlaue (Cr)'!C181</f>
        <v>SONACOMS</v>
      </c>
      <c r="B186" s="82">
        <f>VLOOKUP(A186,'Data shares'!$C$2:$CV$213,98,0)</f>
        <v>18338250</v>
      </c>
      <c r="C186" s="82">
        <f>VLOOKUP(A186,'Data shares'!$C$2:$CX$213,100,0)</f>
        <v>654150</v>
      </c>
      <c r="D186" s="141">
        <f>VLOOKUP(A186,'Data shares'!$C$2:$CY$536,101,0)</f>
        <v>3.6999999999999998E-2</v>
      </c>
      <c r="E186" s="86">
        <f>VLOOKUP($A186,'Data shares'!$C:$FA,74)</f>
        <v>12328400</v>
      </c>
      <c r="F186" s="86">
        <f>VLOOKUP($A186,'Data shares'!$C:$FA,76)</f>
        <v>-140875</v>
      </c>
      <c r="G186" s="87">
        <f>VLOOKUP(A186,'Data shares'!$C$2:$CA$213,77,0)</f>
        <v>-1.1299999999999999E-2</v>
      </c>
      <c r="H186" s="86">
        <f>VLOOKUP($A186,'Data shares'!$C:$FA,90)</f>
        <v>3322200</v>
      </c>
      <c r="I186" s="86">
        <f>VLOOKUP($A186,'Data shares'!$C:$FA,92)</f>
        <v>133525</v>
      </c>
      <c r="J186" s="87">
        <f>VLOOKUP($A186,'Data shares'!$C:$FA,93)</f>
        <v>4.19E-2</v>
      </c>
      <c r="K186" s="86">
        <f>VLOOKUP($A186,'Data shares'!$C:$FA,94)</f>
        <v>2687650</v>
      </c>
      <c r="L186" s="86">
        <f>VLOOKUP($A186,'Data shares'!$C:$FA,96)</f>
        <v>661500</v>
      </c>
      <c r="M186" s="87">
        <f>VLOOKUP($A186,'Data shares'!$C:$FA,97)</f>
        <v>0.32650000000000001</v>
      </c>
      <c r="N186" s="86">
        <f>VLOOKUP($A186,'Data shares'!$C:$FA,78)</f>
        <v>12139750</v>
      </c>
      <c r="O186" s="87">
        <f>VLOOKUP($A186,'Data shares'!$C:$FA,81)</f>
        <v>-1.1599999999999999E-2</v>
      </c>
    </row>
    <row r="187" spans="1:15" x14ac:dyDescent="0.25">
      <c r="A187" s="100" t="str">
        <f>'Data Vlaue (Cr)'!C182</f>
        <v>SRF</v>
      </c>
      <c r="B187" s="82">
        <f>VLOOKUP(A187,'Data shares'!$C$2:$CV$213,98,0)</f>
        <v>6050800</v>
      </c>
      <c r="C187" s="82">
        <f>VLOOKUP(A187,'Data shares'!$C$2:$CX$213,100,0)</f>
        <v>-64600</v>
      </c>
      <c r="D187" s="141">
        <f>VLOOKUP(A187,'Data shares'!$C$2:$CY$536,101,0)</f>
        <v>-1.06E-2</v>
      </c>
      <c r="E187" s="86">
        <f>VLOOKUP($A187,'Data shares'!$C:$FA,74)</f>
        <v>3578400</v>
      </c>
      <c r="F187" s="86">
        <f>VLOOKUP($A187,'Data shares'!$C:$FA,76)</f>
        <v>-71600</v>
      </c>
      <c r="G187" s="87">
        <f>VLOOKUP(A187,'Data shares'!$C$2:$CA$213,77,0)</f>
        <v>-1.9599999999999999E-2</v>
      </c>
      <c r="H187" s="86">
        <f>VLOOKUP($A187,'Data shares'!$C:$FA,90)</f>
        <v>1375000</v>
      </c>
      <c r="I187" s="86">
        <f>VLOOKUP($A187,'Data shares'!$C:$FA,92)</f>
        <v>22000</v>
      </c>
      <c r="J187" s="87">
        <f>VLOOKUP($A187,'Data shares'!$C:$FA,93)</f>
        <v>1.6299999999999999E-2</v>
      </c>
      <c r="K187" s="86">
        <f>VLOOKUP($A187,'Data shares'!$C:$FA,94)</f>
        <v>1097400</v>
      </c>
      <c r="L187" s="86">
        <f>VLOOKUP($A187,'Data shares'!$C:$FA,96)</f>
        <v>-15000</v>
      </c>
      <c r="M187" s="87">
        <f>VLOOKUP($A187,'Data shares'!$C:$FA,97)</f>
        <v>-1.35E-2</v>
      </c>
      <c r="N187" s="86">
        <f>VLOOKUP($A187,'Data shares'!$C:$FA,78)</f>
        <v>3514400</v>
      </c>
      <c r="O187" s="87">
        <f>VLOOKUP($A187,'Data shares'!$C:$FA,81)</f>
        <v>-0.02</v>
      </c>
    </row>
    <row r="188" spans="1:15" x14ac:dyDescent="0.25">
      <c r="A188" s="100" t="str">
        <f>'Data Vlaue (Cr)'!C183</f>
        <v>SUNPHARMA</v>
      </c>
      <c r="B188" s="82">
        <f>VLOOKUP(A188,'Data shares'!$C$2:$CV$213,98,0)</f>
        <v>33051550</v>
      </c>
      <c r="C188" s="82">
        <f>VLOOKUP(A188,'Data shares'!$C$2:$CX$213,100,0)</f>
        <v>1557500</v>
      </c>
      <c r="D188" s="141">
        <f>VLOOKUP(A188,'Data shares'!$C$2:$CY$536,101,0)</f>
        <v>4.9500000000000002E-2</v>
      </c>
      <c r="E188" s="86">
        <f>VLOOKUP($A188,'Data shares'!$C:$FA,74)</f>
        <v>21896700</v>
      </c>
      <c r="F188" s="86">
        <f>VLOOKUP($A188,'Data shares'!$C:$FA,76)</f>
        <v>233800</v>
      </c>
      <c r="G188" s="87">
        <f>VLOOKUP(A188,'Data shares'!$C$2:$CA$213,77,0)</f>
        <v>1.0800000000000001E-2</v>
      </c>
      <c r="H188" s="86">
        <f>VLOOKUP($A188,'Data shares'!$C:$FA,90)</f>
        <v>7191800</v>
      </c>
      <c r="I188" s="86">
        <f>VLOOKUP($A188,'Data shares'!$C:$FA,92)</f>
        <v>564550</v>
      </c>
      <c r="J188" s="87">
        <f>VLOOKUP($A188,'Data shares'!$C:$FA,93)</f>
        <v>8.5199999999999998E-2</v>
      </c>
      <c r="K188" s="86">
        <f>VLOOKUP($A188,'Data shares'!$C:$FA,94)</f>
        <v>3963050</v>
      </c>
      <c r="L188" s="86">
        <f>VLOOKUP($A188,'Data shares'!$C:$FA,96)</f>
        <v>759150</v>
      </c>
      <c r="M188" s="87">
        <f>VLOOKUP($A188,'Data shares'!$C:$FA,97)</f>
        <v>0.2369</v>
      </c>
      <c r="N188" s="86">
        <f>VLOOKUP($A188,'Data shares'!$C:$FA,78)</f>
        <v>21740950</v>
      </c>
      <c r="O188" s="87">
        <f>VLOOKUP($A188,'Data shares'!$C:$FA,81)</f>
        <v>1.06E-2</v>
      </c>
    </row>
    <row r="189" spans="1:15" x14ac:dyDescent="0.25">
      <c r="A189" s="100" t="str">
        <f>'Data Vlaue (Cr)'!C184</f>
        <v>SUPREMEIND</v>
      </c>
      <c r="B189" s="82">
        <f>VLOOKUP(A189,'Data shares'!$C$2:$CV$213,98,0)</f>
        <v>2105775</v>
      </c>
      <c r="C189" s="82">
        <f>VLOOKUP(A189,'Data shares'!$C$2:$CX$213,100,0)</f>
        <v>64225</v>
      </c>
      <c r="D189" s="141">
        <f>VLOOKUP(A189,'Data shares'!$C$2:$CY$536,101,0)</f>
        <v>3.15E-2</v>
      </c>
      <c r="E189" s="86">
        <f>VLOOKUP($A189,'Data shares'!$C:$FA,74)</f>
        <v>1564500</v>
      </c>
      <c r="F189" s="86">
        <f>VLOOKUP($A189,'Data shares'!$C:$FA,76)</f>
        <v>10325</v>
      </c>
      <c r="G189" s="87">
        <f>VLOOKUP(A189,'Data shares'!$C$2:$CA$213,77,0)</f>
        <v>6.6E-3</v>
      </c>
      <c r="H189" s="86">
        <f>VLOOKUP($A189,'Data shares'!$C:$FA,90)</f>
        <v>387625</v>
      </c>
      <c r="I189" s="86">
        <f>VLOOKUP($A189,'Data shares'!$C:$FA,92)</f>
        <v>44625</v>
      </c>
      <c r="J189" s="87">
        <f>VLOOKUP($A189,'Data shares'!$C:$FA,93)</f>
        <v>0.13009999999999999</v>
      </c>
      <c r="K189" s="86">
        <f>VLOOKUP($A189,'Data shares'!$C:$FA,94)</f>
        <v>153650</v>
      </c>
      <c r="L189" s="86">
        <f>VLOOKUP($A189,'Data shares'!$C:$FA,96)</f>
        <v>9275</v>
      </c>
      <c r="M189" s="87">
        <f>VLOOKUP($A189,'Data shares'!$C:$FA,97)</f>
        <v>6.4199999999999993E-2</v>
      </c>
      <c r="N189" s="86">
        <f>VLOOKUP($A189,'Data shares'!$C:$FA,78)</f>
        <v>1542800</v>
      </c>
      <c r="O189" s="87">
        <f>VLOOKUP($A189,'Data shares'!$C:$FA,81)</f>
        <v>6.4000000000000003E-3</v>
      </c>
    </row>
    <row r="190" spans="1:15" x14ac:dyDescent="0.25">
      <c r="A190" s="100" t="str">
        <f>'Data Vlaue (Cr)'!C185</f>
        <v>SUZLON</v>
      </c>
      <c r="B190" s="82">
        <f>VLOOKUP(A190,'Data shares'!$C$2:$CV$213,98,0)</f>
        <v>576390650</v>
      </c>
      <c r="C190" s="82">
        <f>VLOOKUP(A190,'Data shares'!$C$2:$CX$213,100,0)</f>
        <v>36903225</v>
      </c>
      <c r="D190" s="141">
        <f>VLOOKUP(A190,'Data shares'!$C$2:$CY$536,101,0)</f>
        <v>6.8400000000000002E-2</v>
      </c>
      <c r="E190" s="86">
        <f>VLOOKUP($A190,'Data shares'!$C:$FA,74)</f>
        <v>327733850</v>
      </c>
      <c r="F190" s="86">
        <f>VLOOKUP($A190,'Data shares'!$C:$FA,76)</f>
        <v>-4106375</v>
      </c>
      <c r="G190" s="87">
        <f>VLOOKUP(A190,'Data shares'!$C$2:$CA$213,77,0)</f>
        <v>-1.24E-2</v>
      </c>
      <c r="H190" s="86">
        <f>VLOOKUP($A190,'Data shares'!$C:$FA,90)</f>
        <v>177476625</v>
      </c>
      <c r="I190" s="86">
        <f>VLOOKUP($A190,'Data shares'!$C:$FA,92)</f>
        <v>38744325</v>
      </c>
      <c r="J190" s="87">
        <f>VLOOKUP($A190,'Data shares'!$C:$FA,93)</f>
        <v>0.27929999999999999</v>
      </c>
      <c r="K190" s="86">
        <f>VLOOKUP($A190,'Data shares'!$C:$FA,94)</f>
        <v>71180175</v>
      </c>
      <c r="L190" s="86">
        <f>VLOOKUP($A190,'Data shares'!$C:$FA,96)</f>
        <v>2265275</v>
      </c>
      <c r="M190" s="87">
        <f>VLOOKUP($A190,'Data shares'!$C:$FA,97)</f>
        <v>3.2899999999999999E-2</v>
      </c>
      <c r="N190" s="86">
        <f>VLOOKUP($A190,'Data shares'!$C:$FA,78)</f>
        <v>309250650</v>
      </c>
      <c r="O190" s="87">
        <f>VLOOKUP($A190,'Data shares'!$C:$FA,81)</f>
        <v>-1.6799999999999999E-2</v>
      </c>
    </row>
    <row r="191" spans="1:15" x14ac:dyDescent="0.25">
      <c r="A191" s="100" t="str">
        <f>'Data Vlaue (Cr)'!C186</f>
        <v>SWIGGY</v>
      </c>
      <c r="B191" s="82">
        <f>VLOOKUP(A191,'Data shares'!$C$2:$CV$213,98,0)</f>
        <v>62179000</v>
      </c>
      <c r="C191" s="82">
        <f>VLOOKUP(A191,'Data shares'!$C$2:$CX$213,100,0)</f>
        <v>399100</v>
      </c>
      <c r="D191" s="141">
        <f>VLOOKUP(A191,'Data shares'!$C$2:$CY$536,101,0)</f>
        <v>6.4999999999999997E-3</v>
      </c>
      <c r="E191" s="86">
        <f>VLOOKUP($A191,'Data shares'!$C:$FA,74)</f>
        <v>50454300</v>
      </c>
      <c r="F191" s="86">
        <f>VLOOKUP($A191,'Data shares'!$C:$FA,76)</f>
        <v>338000</v>
      </c>
      <c r="G191" s="87">
        <f>VLOOKUP(A191,'Data shares'!$C$2:$CA$213,77,0)</f>
        <v>6.7000000000000002E-3</v>
      </c>
      <c r="H191" s="86">
        <f>VLOOKUP($A191,'Data shares'!$C:$FA,90)</f>
        <v>6494800</v>
      </c>
      <c r="I191" s="86">
        <f>VLOOKUP($A191,'Data shares'!$C:$FA,92)</f>
        <v>-29900</v>
      </c>
      <c r="J191" s="87">
        <f>VLOOKUP($A191,'Data shares'!$C:$FA,93)</f>
        <v>-4.5999999999999999E-3</v>
      </c>
      <c r="K191" s="86">
        <f>VLOOKUP($A191,'Data shares'!$C:$FA,94)</f>
        <v>5229900</v>
      </c>
      <c r="L191" s="86">
        <f>VLOOKUP($A191,'Data shares'!$C:$FA,96)</f>
        <v>91000</v>
      </c>
      <c r="M191" s="87">
        <f>VLOOKUP($A191,'Data shares'!$C:$FA,97)</f>
        <v>1.77E-2</v>
      </c>
      <c r="N191" s="86">
        <f>VLOOKUP($A191,'Data shares'!$C:$FA,78)</f>
        <v>49608000</v>
      </c>
      <c r="O191" s="87">
        <f>VLOOKUP($A191,'Data shares'!$C:$FA,81)</f>
        <v>6.4999999999999997E-3</v>
      </c>
    </row>
    <row r="192" spans="1:15" x14ac:dyDescent="0.25">
      <c r="A192" s="100" t="str">
        <f>'Data Vlaue (Cr)'!C187</f>
        <v>SYNGENE</v>
      </c>
      <c r="B192" s="82">
        <f>VLOOKUP(A192,'Data shares'!$C$2:$CV$213,98,0)</f>
        <v>16495000</v>
      </c>
      <c r="C192" s="82">
        <f>VLOOKUP(A192,'Data shares'!$C$2:$CX$213,100,0)</f>
        <v>412000</v>
      </c>
      <c r="D192" s="141">
        <f>VLOOKUP(A192,'Data shares'!$C$2:$CY$536,101,0)</f>
        <v>2.5600000000000001E-2</v>
      </c>
      <c r="E192" s="86">
        <f>VLOOKUP($A192,'Data shares'!$C:$FA,74)</f>
        <v>8838000</v>
      </c>
      <c r="F192" s="86">
        <f>VLOOKUP($A192,'Data shares'!$C:$FA,76)</f>
        <v>40000</v>
      </c>
      <c r="G192" s="87">
        <f>VLOOKUP(A192,'Data shares'!$C$2:$CA$213,77,0)</f>
        <v>4.4999999999999997E-3</v>
      </c>
      <c r="H192" s="86">
        <f>VLOOKUP($A192,'Data shares'!$C:$FA,90)</f>
        <v>4848000</v>
      </c>
      <c r="I192" s="86">
        <f>VLOOKUP($A192,'Data shares'!$C:$FA,92)</f>
        <v>381000</v>
      </c>
      <c r="J192" s="87">
        <f>VLOOKUP($A192,'Data shares'!$C:$FA,93)</f>
        <v>8.5300000000000001E-2</v>
      </c>
      <c r="K192" s="86">
        <f>VLOOKUP($A192,'Data shares'!$C:$FA,94)</f>
        <v>2809000</v>
      </c>
      <c r="L192" s="86">
        <f>VLOOKUP($A192,'Data shares'!$C:$FA,96)</f>
        <v>-9000</v>
      </c>
      <c r="M192" s="87">
        <f>VLOOKUP($A192,'Data shares'!$C:$FA,97)</f>
        <v>-3.2000000000000002E-3</v>
      </c>
      <c r="N192" s="86">
        <f>VLOOKUP($A192,'Data shares'!$C:$FA,78)</f>
        <v>8838000</v>
      </c>
      <c r="O192" s="87">
        <f>VLOOKUP($A192,'Data shares'!$C:$FA,81)</f>
        <v>4.4999999999999997E-3</v>
      </c>
    </row>
    <row r="193" spans="1:15" x14ac:dyDescent="0.25">
      <c r="A193" s="100" t="str">
        <f>'Data Vlaue (Cr)'!C188</f>
        <v>TATACONSUM</v>
      </c>
      <c r="B193" s="82">
        <f>VLOOKUP(A193,'Data shares'!$C$2:$CV$213,98,0)</f>
        <v>16965300</v>
      </c>
      <c r="C193" s="82">
        <f>VLOOKUP(A193,'Data shares'!$C$2:$CX$213,100,0)</f>
        <v>163350</v>
      </c>
      <c r="D193" s="141">
        <f>VLOOKUP(A193,'Data shares'!$C$2:$CY$536,101,0)</f>
        <v>9.7000000000000003E-3</v>
      </c>
      <c r="E193" s="86">
        <f>VLOOKUP($A193,'Data shares'!$C:$FA,74)</f>
        <v>13217600</v>
      </c>
      <c r="F193" s="86">
        <f>VLOOKUP($A193,'Data shares'!$C:$FA,76)</f>
        <v>47300</v>
      </c>
      <c r="G193" s="87">
        <f>VLOOKUP(A193,'Data shares'!$C$2:$CA$213,77,0)</f>
        <v>3.5999999999999999E-3</v>
      </c>
      <c r="H193" s="86">
        <f>VLOOKUP($A193,'Data shares'!$C:$FA,90)</f>
        <v>2324300</v>
      </c>
      <c r="I193" s="86">
        <f>VLOOKUP($A193,'Data shares'!$C:$FA,92)</f>
        <v>91850</v>
      </c>
      <c r="J193" s="87">
        <f>VLOOKUP($A193,'Data shares'!$C:$FA,93)</f>
        <v>4.1099999999999998E-2</v>
      </c>
      <c r="K193" s="86">
        <f>VLOOKUP($A193,'Data shares'!$C:$FA,94)</f>
        <v>1423400</v>
      </c>
      <c r="L193" s="86">
        <f>VLOOKUP($A193,'Data shares'!$C:$FA,96)</f>
        <v>24200</v>
      </c>
      <c r="M193" s="87">
        <f>VLOOKUP($A193,'Data shares'!$C:$FA,97)</f>
        <v>1.7299999999999999E-2</v>
      </c>
      <c r="N193" s="86">
        <f>VLOOKUP($A193,'Data shares'!$C:$FA,78)</f>
        <v>13095500</v>
      </c>
      <c r="O193" s="87">
        <f>VLOOKUP($A193,'Data shares'!$C:$FA,81)</f>
        <v>2.8999999999999998E-3</v>
      </c>
    </row>
    <row r="194" spans="1:15" x14ac:dyDescent="0.25">
      <c r="A194" s="100" t="str">
        <f>'Data Vlaue (Cr)'!C189</f>
        <v>TATAELXSI</v>
      </c>
      <c r="B194" s="82">
        <f>VLOOKUP(A194,'Data shares'!$C$2:$CV$213,98,0)</f>
        <v>3723100</v>
      </c>
      <c r="C194" s="82">
        <f>VLOOKUP(A194,'Data shares'!$C$2:$CX$213,100,0)</f>
        <v>91300</v>
      </c>
      <c r="D194" s="141">
        <f>VLOOKUP(A194,'Data shares'!$C$2:$CY$536,101,0)</f>
        <v>2.5100000000000001E-2</v>
      </c>
      <c r="E194" s="86">
        <f>VLOOKUP($A194,'Data shares'!$C:$FA,74)</f>
        <v>1678800</v>
      </c>
      <c r="F194" s="86">
        <f>VLOOKUP($A194,'Data shares'!$C:$FA,76)</f>
        <v>39500</v>
      </c>
      <c r="G194" s="87">
        <f>VLOOKUP(A194,'Data shares'!$C$2:$CA$213,77,0)</f>
        <v>2.41E-2</v>
      </c>
      <c r="H194" s="86">
        <f>VLOOKUP($A194,'Data shares'!$C:$FA,90)</f>
        <v>1384800</v>
      </c>
      <c r="I194" s="86">
        <f>VLOOKUP($A194,'Data shares'!$C:$FA,92)</f>
        <v>36800</v>
      </c>
      <c r="J194" s="87">
        <f>VLOOKUP($A194,'Data shares'!$C:$FA,93)</f>
        <v>2.7300000000000001E-2</v>
      </c>
      <c r="K194" s="86">
        <f>VLOOKUP($A194,'Data shares'!$C:$FA,94)</f>
        <v>659500</v>
      </c>
      <c r="L194" s="86">
        <f>VLOOKUP($A194,'Data shares'!$C:$FA,96)</f>
        <v>15000</v>
      </c>
      <c r="M194" s="87">
        <f>VLOOKUP($A194,'Data shares'!$C:$FA,97)</f>
        <v>2.3300000000000001E-2</v>
      </c>
      <c r="N194" s="86">
        <f>VLOOKUP($A194,'Data shares'!$C:$FA,78)</f>
        <v>1585200</v>
      </c>
      <c r="O194" s="87">
        <f>VLOOKUP($A194,'Data shares'!$C:$FA,81)</f>
        <v>1.49E-2</v>
      </c>
    </row>
    <row r="195" spans="1:15" x14ac:dyDescent="0.25">
      <c r="A195" s="100" t="str">
        <f>'Data Vlaue (Cr)'!C190</f>
        <v>TATAPOWER</v>
      </c>
      <c r="B195" s="82">
        <f>VLOOKUP(A195,'Data shares'!$C$2:$CV$213,98,0)</f>
        <v>100663350</v>
      </c>
      <c r="C195" s="82">
        <f>VLOOKUP(A195,'Data shares'!$C$2:$CX$213,100,0)</f>
        <v>-697450</v>
      </c>
      <c r="D195" s="141">
        <f>VLOOKUP(A195,'Data shares'!$C$2:$CY$536,101,0)</f>
        <v>-6.8999999999999999E-3</v>
      </c>
      <c r="E195" s="86">
        <f>VLOOKUP($A195,'Data shares'!$C:$FA,74)</f>
        <v>49407300</v>
      </c>
      <c r="F195" s="86">
        <f>VLOOKUP($A195,'Data shares'!$C:$FA,76)</f>
        <v>-651050</v>
      </c>
      <c r="G195" s="87">
        <f>VLOOKUP(A195,'Data shares'!$C$2:$CA$213,77,0)</f>
        <v>-1.2999999999999999E-2</v>
      </c>
      <c r="H195" s="86">
        <f>VLOOKUP($A195,'Data shares'!$C:$FA,90)</f>
        <v>29871450</v>
      </c>
      <c r="I195" s="86">
        <f>VLOOKUP($A195,'Data shares'!$C:$FA,92)</f>
        <v>-858400</v>
      </c>
      <c r="J195" s="87">
        <f>VLOOKUP($A195,'Data shares'!$C:$FA,93)</f>
        <v>-2.7900000000000001E-2</v>
      </c>
      <c r="K195" s="86">
        <f>VLOOKUP($A195,'Data shares'!$C:$FA,94)</f>
        <v>21384600</v>
      </c>
      <c r="L195" s="86">
        <f>VLOOKUP($A195,'Data shares'!$C:$FA,96)</f>
        <v>812000</v>
      </c>
      <c r="M195" s="87">
        <f>VLOOKUP($A195,'Data shares'!$C:$FA,97)</f>
        <v>3.95E-2</v>
      </c>
      <c r="N195" s="86">
        <f>VLOOKUP($A195,'Data shares'!$C:$FA,78)</f>
        <v>47658600</v>
      </c>
      <c r="O195" s="87">
        <f>VLOOKUP($A195,'Data shares'!$C:$FA,81)</f>
        <v>-1.38E-2</v>
      </c>
    </row>
    <row r="196" spans="1:15" x14ac:dyDescent="0.25">
      <c r="A196" s="100" t="str">
        <f>'Data Vlaue (Cr)'!C191</f>
        <v>TATASTEEL</v>
      </c>
      <c r="B196" s="82">
        <f>VLOOKUP(A196,'Data shares'!$C$2:$CV$213,98,0)</f>
        <v>422405500</v>
      </c>
      <c r="C196" s="82">
        <f>VLOOKUP(A196,'Data shares'!$C$2:$CX$213,100,0)</f>
        <v>-1259500</v>
      </c>
      <c r="D196" s="141">
        <f>VLOOKUP(A196,'Data shares'!$C$2:$CY$536,101,0)</f>
        <v>-3.0000000000000001E-3</v>
      </c>
      <c r="E196" s="86">
        <f>VLOOKUP($A196,'Data shares'!$C:$FA,74)</f>
        <v>224840000</v>
      </c>
      <c r="F196" s="86">
        <f>VLOOKUP($A196,'Data shares'!$C:$FA,76)</f>
        <v>-682000</v>
      </c>
      <c r="G196" s="87">
        <f>VLOOKUP(A196,'Data shares'!$C$2:$CA$213,77,0)</f>
        <v>-3.0000000000000001E-3</v>
      </c>
      <c r="H196" s="86">
        <f>VLOOKUP($A196,'Data shares'!$C:$FA,90)</f>
        <v>118156500</v>
      </c>
      <c r="I196" s="86">
        <f>VLOOKUP($A196,'Data shares'!$C:$FA,92)</f>
        <v>1633500</v>
      </c>
      <c r="J196" s="87">
        <f>VLOOKUP($A196,'Data shares'!$C:$FA,93)</f>
        <v>1.4E-2</v>
      </c>
      <c r="K196" s="86">
        <f>VLOOKUP($A196,'Data shares'!$C:$FA,94)</f>
        <v>79409000</v>
      </c>
      <c r="L196" s="86">
        <f>VLOOKUP($A196,'Data shares'!$C:$FA,96)</f>
        <v>-2211000</v>
      </c>
      <c r="M196" s="87">
        <f>VLOOKUP($A196,'Data shares'!$C:$FA,97)</f>
        <v>-2.7099999999999999E-2</v>
      </c>
      <c r="N196" s="86">
        <f>VLOOKUP($A196,'Data shares'!$C:$FA,78)</f>
        <v>199133000</v>
      </c>
      <c r="O196" s="87">
        <f>VLOOKUP($A196,'Data shares'!$C:$FA,81)</f>
        <v>-2.8E-3</v>
      </c>
    </row>
    <row r="197" spans="1:15" x14ac:dyDescent="0.25">
      <c r="A197" s="100" t="str">
        <f>'Data Vlaue (Cr)'!C192</f>
        <v>TATATECH</v>
      </c>
      <c r="B197" s="82">
        <f>VLOOKUP(A197,'Data shares'!$C$2:$CV$213,98,0)</f>
        <v>17804000</v>
      </c>
      <c r="C197" s="82">
        <f>VLOOKUP(A197,'Data shares'!$C$2:$CX$213,100,0)</f>
        <v>-108000</v>
      </c>
      <c r="D197" s="141">
        <f>VLOOKUP(A197,'Data shares'!$C$2:$CY$536,101,0)</f>
        <v>-6.0000000000000001E-3</v>
      </c>
      <c r="E197" s="86">
        <f>VLOOKUP($A197,'Data shares'!$C:$FA,74)</f>
        <v>11292800</v>
      </c>
      <c r="F197" s="86">
        <f>VLOOKUP($A197,'Data shares'!$C:$FA,76)</f>
        <v>-99200</v>
      </c>
      <c r="G197" s="87">
        <f>VLOOKUP(A197,'Data shares'!$C$2:$CA$213,77,0)</f>
        <v>-8.6999999999999994E-3</v>
      </c>
      <c r="H197" s="86">
        <f>VLOOKUP($A197,'Data shares'!$C:$FA,90)</f>
        <v>4015200</v>
      </c>
      <c r="I197" s="86">
        <f>VLOOKUP($A197,'Data shares'!$C:$FA,92)</f>
        <v>40800</v>
      </c>
      <c r="J197" s="87">
        <f>VLOOKUP($A197,'Data shares'!$C:$FA,93)</f>
        <v>1.03E-2</v>
      </c>
      <c r="K197" s="86">
        <f>VLOOKUP($A197,'Data shares'!$C:$FA,94)</f>
        <v>2496000</v>
      </c>
      <c r="L197" s="86">
        <f>VLOOKUP($A197,'Data shares'!$C:$FA,96)</f>
        <v>-49600</v>
      </c>
      <c r="M197" s="87">
        <f>VLOOKUP($A197,'Data shares'!$C:$FA,97)</f>
        <v>-1.95E-2</v>
      </c>
      <c r="N197" s="86">
        <f>VLOOKUP($A197,'Data shares'!$C:$FA,78)</f>
        <v>10468800</v>
      </c>
      <c r="O197" s="87">
        <f>VLOOKUP($A197,'Data shares'!$C:$FA,81)</f>
        <v>-8.8999999999999999E-3</v>
      </c>
    </row>
    <row r="198" spans="1:15" x14ac:dyDescent="0.25">
      <c r="A198" s="100" t="str">
        <f>'Data Vlaue (Cr)'!C193</f>
        <v>TCS</v>
      </c>
      <c r="B198" s="82">
        <f>VLOOKUP(A198,'Data shares'!$C$2:$CV$213,98,0)</f>
        <v>50801625</v>
      </c>
      <c r="C198" s="82">
        <f>VLOOKUP(A198,'Data shares'!$C$2:$CX$213,100,0)</f>
        <v>238875</v>
      </c>
      <c r="D198" s="141">
        <f>VLOOKUP(A198,'Data shares'!$C$2:$CY$536,101,0)</f>
        <v>4.7000000000000002E-3</v>
      </c>
      <c r="E198" s="86">
        <f>VLOOKUP($A198,'Data shares'!$C:$FA,74)</f>
        <v>28132825</v>
      </c>
      <c r="F198" s="86">
        <f>VLOOKUP($A198,'Data shares'!$C:$FA,76)</f>
        <v>120225</v>
      </c>
      <c r="G198" s="87">
        <f>VLOOKUP(A198,'Data shares'!$C$2:$CA$213,77,0)</f>
        <v>4.3E-3</v>
      </c>
      <c r="H198" s="86">
        <f>VLOOKUP($A198,'Data shares'!$C:$FA,90)</f>
        <v>13867525</v>
      </c>
      <c r="I198" s="86">
        <f>VLOOKUP($A198,'Data shares'!$C:$FA,92)</f>
        <v>314125</v>
      </c>
      <c r="J198" s="87">
        <f>VLOOKUP($A198,'Data shares'!$C:$FA,93)</f>
        <v>2.3199999999999998E-2</v>
      </c>
      <c r="K198" s="86">
        <f>VLOOKUP($A198,'Data shares'!$C:$FA,94)</f>
        <v>8801275</v>
      </c>
      <c r="L198" s="86">
        <f>VLOOKUP($A198,'Data shares'!$C:$FA,96)</f>
        <v>-195475</v>
      </c>
      <c r="M198" s="87">
        <f>VLOOKUP($A198,'Data shares'!$C:$FA,97)</f>
        <v>-2.1700000000000001E-2</v>
      </c>
      <c r="N198" s="86">
        <f>VLOOKUP($A198,'Data shares'!$C:$FA,78)</f>
        <v>24315725</v>
      </c>
      <c r="O198" s="87">
        <f>VLOOKUP($A198,'Data shares'!$C:$FA,81)</f>
        <v>2.0999999999999999E-3</v>
      </c>
    </row>
    <row r="199" spans="1:15" x14ac:dyDescent="0.25">
      <c r="A199" s="100" t="str">
        <f>'Data Vlaue (Cr)'!C194</f>
        <v>TECHM</v>
      </c>
      <c r="B199" s="82">
        <f>VLOOKUP(A199,'Data shares'!$C$2:$CV$213,98,0)</f>
        <v>34249200</v>
      </c>
      <c r="C199" s="82">
        <f>VLOOKUP(A199,'Data shares'!$C$2:$CX$213,100,0)</f>
        <v>399600</v>
      </c>
      <c r="D199" s="141">
        <f>VLOOKUP(A199,'Data shares'!$C$2:$CY$536,101,0)</f>
        <v>1.18E-2</v>
      </c>
      <c r="E199" s="86">
        <f>VLOOKUP($A199,'Data shares'!$C:$FA,74)</f>
        <v>19651800</v>
      </c>
      <c r="F199" s="86">
        <f>VLOOKUP($A199,'Data shares'!$C:$FA,76)</f>
        <v>39600</v>
      </c>
      <c r="G199" s="87">
        <f>VLOOKUP(A199,'Data shares'!$C$2:$CA$213,77,0)</f>
        <v>2E-3</v>
      </c>
      <c r="H199" s="86">
        <f>VLOOKUP($A199,'Data shares'!$C:$FA,90)</f>
        <v>9166800</v>
      </c>
      <c r="I199" s="86">
        <f>VLOOKUP($A199,'Data shares'!$C:$FA,92)</f>
        <v>450000</v>
      </c>
      <c r="J199" s="87">
        <f>VLOOKUP($A199,'Data shares'!$C:$FA,93)</f>
        <v>5.16E-2</v>
      </c>
      <c r="K199" s="86">
        <f>VLOOKUP($A199,'Data shares'!$C:$FA,94)</f>
        <v>5430600</v>
      </c>
      <c r="L199" s="86">
        <f>VLOOKUP($A199,'Data shares'!$C:$FA,96)</f>
        <v>-90000</v>
      </c>
      <c r="M199" s="87">
        <f>VLOOKUP($A199,'Data shares'!$C:$FA,97)</f>
        <v>-1.6299999999999999E-2</v>
      </c>
      <c r="N199" s="86">
        <f>VLOOKUP($A199,'Data shares'!$C:$FA,78)</f>
        <v>19312200</v>
      </c>
      <c r="O199" s="87">
        <f>VLOOKUP($A199,'Data shares'!$C:$FA,81)</f>
        <v>-8.9999999999999998E-4</v>
      </c>
    </row>
    <row r="200" spans="1:15" x14ac:dyDescent="0.25">
      <c r="A200" s="100" t="str">
        <f>'Data Vlaue (Cr)'!C195</f>
        <v>TIINDIA</v>
      </c>
      <c r="B200" s="82">
        <f>VLOOKUP(A200,'Data shares'!$C$2:$CV$213,98,0)</f>
        <v>4233000</v>
      </c>
      <c r="C200" s="82">
        <f>VLOOKUP(A200,'Data shares'!$C$2:$CX$213,100,0)</f>
        <v>71200</v>
      </c>
      <c r="D200" s="141">
        <f>VLOOKUP(A200,'Data shares'!$C$2:$CY$536,101,0)</f>
        <v>1.7100000000000001E-2</v>
      </c>
      <c r="E200" s="86">
        <f>VLOOKUP($A200,'Data shares'!$C:$FA,74)</f>
        <v>3177200</v>
      </c>
      <c r="F200" s="86">
        <f>VLOOKUP($A200,'Data shares'!$C:$FA,76)</f>
        <v>82200</v>
      </c>
      <c r="G200" s="87">
        <f>VLOOKUP(A200,'Data shares'!$C$2:$CA$213,77,0)</f>
        <v>2.6599999999999999E-2</v>
      </c>
      <c r="H200" s="86">
        <f>VLOOKUP($A200,'Data shares'!$C:$FA,90)</f>
        <v>595000</v>
      </c>
      <c r="I200" s="86">
        <f>VLOOKUP($A200,'Data shares'!$C:$FA,92)</f>
        <v>-7800</v>
      </c>
      <c r="J200" s="87">
        <f>VLOOKUP($A200,'Data shares'!$C:$FA,93)</f>
        <v>-1.29E-2</v>
      </c>
      <c r="K200" s="86">
        <f>VLOOKUP($A200,'Data shares'!$C:$FA,94)</f>
        <v>460800</v>
      </c>
      <c r="L200" s="86">
        <f>VLOOKUP($A200,'Data shares'!$C:$FA,96)</f>
        <v>-3200</v>
      </c>
      <c r="M200" s="87">
        <f>VLOOKUP($A200,'Data shares'!$C:$FA,97)</f>
        <v>-6.8999999999999999E-3</v>
      </c>
      <c r="N200" s="86">
        <f>VLOOKUP($A200,'Data shares'!$C:$FA,78)</f>
        <v>3105200</v>
      </c>
      <c r="O200" s="87">
        <f>VLOOKUP($A200,'Data shares'!$C:$FA,81)</f>
        <v>2.3400000000000001E-2</v>
      </c>
    </row>
    <row r="201" spans="1:15" x14ac:dyDescent="0.25">
      <c r="A201" s="100" t="str">
        <f>'Data Vlaue (Cr)'!C196</f>
        <v>TITAN</v>
      </c>
      <c r="B201" s="82">
        <f>VLOOKUP(A201,'Data shares'!$C$2:$CV$213,98,0)</f>
        <v>13158600</v>
      </c>
      <c r="C201" s="82">
        <f>VLOOKUP(A201,'Data shares'!$C$2:$CX$213,100,0)</f>
        <v>88375</v>
      </c>
      <c r="D201" s="141">
        <f>VLOOKUP(A201,'Data shares'!$C$2:$CY$536,101,0)</f>
        <v>6.7999999999999996E-3</v>
      </c>
      <c r="E201" s="86">
        <f>VLOOKUP($A201,'Data shares'!$C:$FA,74)</f>
        <v>9790025</v>
      </c>
      <c r="F201" s="86">
        <f>VLOOKUP($A201,'Data shares'!$C:$FA,76)</f>
        <v>-76475</v>
      </c>
      <c r="G201" s="87">
        <f>VLOOKUP(A201,'Data shares'!$C$2:$CA$213,77,0)</f>
        <v>-7.7999999999999996E-3</v>
      </c>
      <c r="H201" s="86">
        <f>VLOOKUP($A201,'Data shares'!$C:$FA,90)</f>
        <v>2024225</v>
      </c>
      <c r="I201" s="86">
        <f>VLOOKUP($A201,'Data shares'!$C:$FA,92)</f>
        <v>148225</v>
      </c>
      <c r="J201" s="87">
        <f>VLOOKUP($A201,'Data shares'!$C:$FA,93)</f>
        <v>7.9000000000000001E-2</v>
      </c>
      <c r="K201" s="86">
        <f>VLOOKUP($A201,'Data shares'!$C:$FA,94)</f>
        <v>1344350</v>
      </c>
      <c r="L201" s="86">
        <f>VLOOKUP($A201,'Data shares'!$C:$FA,96)</f>
        <v>16625</v>
      </c>
      <c r="M201" s="87">
        <f>VLOOKUP($A201,'Data shares'!$C:$FA,97)</f>
        <v>1.2500000000000001E-2</v>
      </c>
      <c r="N201" s="86">
        <f>VLOOKUP($A201,'Data shares'!$C:$FA,78)</f>
        <v>9672250</v>
      </c>
      <c r="O201" s="87">
        <f>VLOOKUP($A201,'Data shares'!$C:$FA,81)</f>
        <v>-8.6999999999999994E-3</v>
      </c>
    </row>
    <row r="202" spans="1:15" x14ac:dyDescent="0.25">
      <c r="A202" s="100" t="str">
        <f>'Data Vlaue (Cr)'!C197</f>
        <v>TMPV</v>
      </c>
      <c r="B202" s="82">
        <f>VLOOKUP(A202,'Data shares'!$C$2:$CV$213,98,0)</f>
        <v>144563200</v>
      </c>
      <c r="C202" s="82">
        <f>VLOOKUP(A202,'Data shares'!$C$2:$CX$213,100,0)</f>
        <v>3847200</v>
      </c>
      <c r="D202" s="141">
        <f>VLOOKUP(A202,'Data shares'!$C$2:$CY$536,101,0)</f>
        <v>2.7300000000000001E-2</v>
      </c>
      <c r="E202" s="86">
        <f>VLOOKUP($A202,'Data shares'!$C:$FA,74)</f>
        <v>75232800</v>
      </c>
      <c r="F202" s="86">
        <f>VLOOKUP($A202,'Data shares'!$C:$FA,76)</f>
        <v>425600</v>
      </c>
      <c r="G202" s="87">
        <f>VLOOKUP(A202,'Data shares'!$C$2:$CA$213,77,0)</f>
        <v>5.7000000000000002E-3</v>
      </c>
      <c r="H202" s="86">
        <f>VLOOKUP($A202,'Data shares'!$C:$FA,90)</f>
        <v>43154400</v>
      </c>
      <c r="I202" s="86">
        <f>VLOOKUP($A202,'Data shares'!$C:$FA,92)</f>
        <v>2568000</v>
      </c>
      <c r="J202" s="87">
        <f>VLOOKUP($A202,'Data shares'!$C:$FA,93)</f>
        <v>6.3299999999999995E-2</v>
      </c>
      <c r="K202" s="86">
        <f>VLOOKUP($A202,'Data shares'!$C:$FA,94)</f>
        <v>26176000</v>
      </c>
      <c r="L202" s="86">
        <f>VLOOKUP($A202,'Data shares'!$C:$FA,96)</f>
        <v>853600</v>
      </c>
      <c r="M202" s="87">
        <f>VLOOKUP($A202,'Data shares'!$C:$FA,97)</f>
        <v>3.3700000000000001E-2</v>
      </c>
      <c r="N202" s="86">
        <f>VLOOKUP($A202,'Data shares'!$C:$FA,78)</f>
        <v>71010400</v>
      </c>
      <c r="O202" s="87">
        <f>VLOOKUP($A202,'Data shares'!$C:$FA,81)</f>
        <v>-1.5E-3</v>
      </c>
    </row>
    <row r="203" spans="1:15" x14ac:dyDescent="0.25">
      <c r="A203" s="100" t="str">
        <f>'Data Vlaue (Cr)'!C198</f>
        <v>TORNTPHARM</v>
      </c>
      <c r="B203" s="82">
        <f>VLOOKUP(A203,'Data shares'!$C$2:$CV$213,98,0)</f>
        <v>3980500</v>
      </c>
      <c r="C203" s="82">
        <f>VLOOKUP(A203,'Data shares'!$C$2:$CX$213,100,0)</f>
        <v>53250</v>
      </c>
      <c r="D203" s="141">
        <f>VLOOKUP(A203,'Data shares'!$C$2:$CY$536,101,0)</f>
        <v>1.3599999999999999E-2</v>
      </c>
      <c r="E203" s="86">
        <f>VLOOKUP($A203,'Data shares'!$C:$FA,74)</f>
        <v>2835250</v>
      </c>
      <c r="F203" s="86">
        <f>VLOOKUP($A203,'Data shares'!$C:$FA,76)</f>
        <v>-6500</v>
      </c>
      <c r="G203" s="87">
        <f>VLOOKUP(A203,'Data shares'!$C$2:$CA$213,77,0)</f>
        <v>-2.3E-3</v>
      </c>
      <c r="H203" s="86">
        <f>VLOOKUP($A203,'Data shares'!$C:$FA,90)</f>
        <v>668500</v>
      </c>
      <c r="I203" s="86">
        <f>VLOOKUP($A203,'Data shares'!$C:$FA,92)</f>
        <v>21250</v>
      </c>
      <c r="J203" s="87">
        <f>VLOOKUP($A203,'Data shares'!$C:$FA,93)</f>
        <v>3.2800000000000003E-2</v>
      </c>
      <c r="K203" s="86">
        <f>VLOOKUP($A203,'Data shares'!$C:$FA,94)</f>
        <v>476750</v>
      </c>
      <c r="L203" s="86">
        <f>VLOOKUP($A203,'Data shares'!$C:$FA,96)</f>
        <v>38500</v>
      </c>
      <c r="M203" s="87">
        <f>VLOOKUP($A203,'Data shares'!$C:$FA,97)</f>
        <v>8.7800000000000003E-2</v>
      </c>
      <c r="N203" s="86">
        <f>VLOOKUP($A203,'Data shares'!$C:$FA,78)</f>
        <v>2810000</v>
      </c>
      <c r="O203" s="87">
        <f>VLOOKUP($A203,'Data shares'!$C:$FA,81)</f>
        <v>-4.3E-3</v>
      </c>
    </row>
    <row r="204" spans="1:15" x14ac:dyDescent="0.25">
      <c r="A204" s="100" t="str">
        <f>'Data Vlaue (Cr)'!C199</f>
        <v>TORNTPOWER</v>
      </c>
      <c r="B204" s="82">
        <f>VLOOKUP(A204,'Data shares'!$C$2:$CV$213,98,0)</f>
        <v>6032025</v>
      </c>
      <c r="C204" s="82">
        <f>VLOOKUP(A204,'Data shares'!$C$2:$CX$213,100,0)</f>
        <v>288150</v>
      </c>
      <c r="D204" s="141">
        <f>VLOOKUP(A204,'Data shares'!$C$2:$CY$536,101,0)</f>
        <v>5.0200000000000002E-2</v>
      </c>
      <c r="E204" s="86">
        <f>VLOOKUP($A204,'Data shares'!$C:$FA,74)</f>
        <v>3741700</v>
      </c>
      <c r="F204" s="86">
        <f>VLOOKUP($A204,'Data shares'!$C:$FA,76)</f>
        <v>64175</v>
      </c>
      <c r="G204" s="87">
        <f>VLOOKUP(A204,'Data shares'!$C$2:$CA$213,77,0)</f>
        <v>1.7500000000000002E-2</v>
      </c>
      <c r="H204" s="86">
        <f>VLOOKUP($A204,'Data shares'!$C:$FA,90)</f>
        <v>1468800</v>
      </c>
      <c r="I204" s="86">
        <f>VLOOKUP($A204,'Data shares'!$C:$FA,92)</f>
        <v>141525</v>
      </c>
      <c r="J204" s="87">
        <f>VLOOKUP($A204,'Data shares'!$C:$FA,93)</f>
        <v>0.1066</v>
      </c>
      <c r="K204" s="86">
        <f>VLOOKUP($A204,'Data shares'!$C:$FA,94)</f>
        <v>821525</v>
      </c>
      <c r="L204" s="86">
        <f>VLOOKUP($A204,'Data shares'!$C:$FA,96)</f>
        <v>82450</v>
      </c>
      <c r="M204" s="87">
        <f>VLOOKUP($A204,'Data shares'!$C:$FA,97)</f>
        <v>0.1116</v>
      </c>
      <c r="N204" s="86">
        <f>VLOOKUP($A204,'Data shares'!$C:$FA,78)</f>
        <v>3688575</v>
      </c>
      <c r="O204" s="87">
        <f>VLOOKUP($A204,'Data shares'!$C:$FA,81)</f>
        <v>1.6799999999999999E-2</v>
      </c>
    </row>
    <row r="205" spans="1:15" x14ac:dyDescent="0.25">
      <c r="A205" s="100" t="str">
        <f>'Data Vlaue (Cr)'!C200</f>
        <v>TRENT</v>
      </c>
      <c r="B205" s="82">
        <f>VLOOKUP(A205,'Data shares'!$C$2:$CV$213,98,0)</f>
        <v>9987400</v>
      </c>
      <c r="C205" s="82">
        <f>VLOOKUP(A205,'Data shares'!$C$2:$CX$213,100,0)</f>
        <v>-44900</v>
      </c>
      <c r="D205" s="141">
        <f>VLOOKUP(A205,'Data shares'!$C$2:$CY$536,101,0)</f>
        <v>-4.4999999999999997E-3</v>
      </c>
      <c r="E205" s="86">
        <f>VLOOKUP($A205,'Data shares'!$C:$FA,74)</f>
        <v>6457800</v>
      </c>
      <c r="F205" s="86">
        <f>VLOOKUP($A205,'Data shares'!$C:$FA,76)</f>
        <v>-158800</v>
      </c>
      <c r="G205" s="87">
        <f>VLOOKUP(A205,'Data shares'!$C$2:$CA$213,77,0)</f>
        <v>-2.4E-2</v>
      </c>
      <c r="H205" s="86">
        <f>VLOOKUP($A205,'Data shares'!$C:$FA,90)</f>
        <v>2046400</v>
      </c>
      <c r="I205" s="86">
        <f>VLOOKUP($A205,'Data shares'!$C:$FA,92)</f>
        <v>109500</v>
      </c>
      <c r="J205" s="87">
        <f>VLOOKUP($A205,'Data shares'!$C:$FA,93)</f>
        <v>5.6500000000000002E-2</v>
      </c>
      <c r="K205" s="86">
        <f>VLOOKUP($A205,'Data shares'!$C:$FA,94)</f>
        <v>1483200</v>
      </c>
      <c r="L205" s="86">
        <f>VLOOKUP($A205,'Data shares'!$C:$FA,96)</f>
        <v>4400</v>
      </c>
      <c r="M205" s="87">
        <f>VLOOKUP($A205,'Data shares'!$C:$FA,97)</f>
        <v>3.0000000000000001E-3</v>
      </c>
      <c r="N205" s="86">
        <f>VLOOKUP($A205,'Data shares'!$C:$FA,78)</f>
        <v>6246100</v>
      </c>
      <c r="O205" s="87">
        <f>VLOOKUP($A205,'Data shares'!$C:$FA,81)</f>
        <v>-2.5000000000000001E-2</v>
      </c>
    </row>
    <row r="206" spans="1:15" x14ac:dyDescent="0.25">
      <c r="A206" s="100" t="str">
        <f>'Data Vlaue (Cr)'!C201</f>
        <v>TVSMOTOR</v>
      </c>
      <c r="B206" s="82">
        <f>VLOOKUP(A206,'Data shares'!$C$2:$CV$213,98,0)</f>
        <v>11509925</v>
      </c>
      <c r="C206" s="82">
        <f>VLOOKUP(A206,'Data shares'!$C$2:$CX$213,100,0)</f>
        <v>-75250</v>
      </c>
      <c r="D206" s="141">
        <f>VLOOKUP(A206,'Data shares'!$C$2:$CY$536,101,0)</f>
        <v>-6.4999999999999997E-3</v>
      </c>
      <c r="E206" s="86">
        <f>VLOOKUP($A206,'Data shares'!$C:$FA,74)</f>
        <v>8332800</v>
      </c>
      <c r="F206" s="86">
        <f>VLOOKUP($A206,'Data shares'!$C:$FA,76)</f>
        <v>-47075</v>
      </c>
      <c r="G206" s="87">
        <f>VLOOKUP(A206,'Data shares'!$C$2:$CA$213,77,0)</f>
        <v>-5.5999999999999999E-3</v>
      </c>
      <c r="H206" s="86">
        <f>VLOOKUP($A206,'Data shares'!$C:$FA,90)</f>
        <v>1792350</v>
      </c>
      <c r="I206" s="86">
        <f>VLOOKUP($A206,'Data shares'!$C:$FA,92)</f>
        <v>-63350</v>
      </c>
      <c r="J206" s="87">
        <f>VLOOKUP($A206,'Data shares'!$C:$FA,93)</f>
        <v>-3.4099999999999998E-2</v>
      </c>
      <c r="K206" s="86">
        <f>VLOOKUP($A206,'Data shares'!$C:$FA,94)</f>
        <v>1384775</v>
      </c>
      <c r="L206" s="86">
        <f>VLOOKUP($A206,'Data shares'!$C:$FA,96)</f>
        <v>35175</v>
      </c>
      <c r="M206" s="87">
        <f>VLOOKUP($A206,'Data shares'!$C:$FA,97)</f>
        <v>2.6100000000000002E-2</v>
      </c>
      <c r="N206" s="86">
        <f>VLOOKUP($A206,'Data shares'!$C:$FA,78)</f>
        <v>8273650</v>
      </c>
      <c r="O206" s="87">
        <f>VLOOKUP($A206,'Data shares'!$C:$FA,81)</f>
        <v>-6.7999999999999996E-3</v>
      </c>
    </row>
    <row r="207" spans="1:15" x14ac:dyDescent="0.25">
      <c r="A207" s="100" t="str">
        <f>'Data Vlaue (Cr)'!C202</f>
        <v>ULTRACEMCO</v>
      </c>
      <c r="B207" s="82">
        <f>VLOOKUP(A207,'Data shares'!$C$2:$CV$213,98,0)</f>
        <v>2973250</v>
      </c>
      <c r="C207" s="82">
        <f>VLOOKUP(A207,'Data shares'!$C$2:$CX$213,100,0)</f>
        <v>92000</v>
      </c>
      <c r="D207" s="141">
        <f>VLOOKUP(A207,'Data shares'!$C$2:$CY$536,101,0)</f>
        <v>3.1899999999999998E-2</v>
      </c>
      <c r="E207" s="86">
        <f>VLOOKUP($A207,'Data shares'!$C:$FA,74)</f>
        <v>2036150</v>
      </c>
      <c r="F207" s="86">
        <f>VLOOKUP($A207,'Data shares'!$C:$FA,76)</f>
        <v>8250</v>
      </c>
      <c r="G207" s="87">
        <f>VLOOKUP(A207,'Data shares'!$C$2:$CA$213,77,0)</f>
        <v>4.1000000000000003E-3</v>
      </c>
      <c r="H207" s="86">
        <f>VLOOKUP($A207,'Data shares'!$C:$FA,90)</f>
        <v>594650</v>
      </c>
      <c r="I207" s="86">
        <f>VLOOKUP($A207,'Data shares'!$C:$FA,92)</f>
        <v>38650</v>
      </c>
      <c r="J207" s="87">
        <f>VLOOKUP($A207,'Data shares'!$C:$FA,93)</f>
        <v>6.9500000000000006E-2</v>
      </c>
      <c r="K207" s="86">
        <f>VLOOKUP($A207,'Data shares'!$C:$FA,94)</f>
        <v>342450</v>
      </c>
      <c r="L207" s="86">
        <f>VLOOKUP($A207,'Data shares'!$C:$FA,96)</f>
        <v>45100</v>
      </c>
      <c r="M207" s="87">
        <f>VLOOKUP($A207,'Data shares'!$C:$FA,97)</f>
        <v>0.1517</v>
      </c>
      <c r="N207" s="86">
        <f>VLOOKUP($A207,'Data shares'!$C:$FA,78)</f>
        <v>2015950</v>
      </c>
      <c r="O207" s="87">
        <f>VLOOKUP($A207,'Data shares'!$C:$FA,81)</f>
        <v>3.3999999999999998E-3</v>
      </c>
    </row>
    <row r="208" spans="1:15" x14ac:dyDescent="0.25">
      <c r="A208" s="100" t="str">
        <f>'Data Vlaue (Cr)'!C203</f>
        <v>UNIONBANK</v>
      </c>
      <c r="B208" s="82">
        <f>VLOOKUP(A208,'Data shares'!$C$2:$CV$213,98,0)</f>
        <v>126577125</v>
      </c>
      <c r="C208" s="82">
        <f>VLOOKUP(A208,'Data shares'!$C$2:$CX$213,100,0)</f>
        <v>5004675</v>
      </c>
      <c r="D208" s="141">
        <f>VLOOKUP(A208,'Data shares'!$C$2:$CY$536,101,0)</f>
        <v>4.1200000000000001E-2</v>
      </c>
      <c r="E208" s="86">
        <f>VLOOKUP($A208,'Data shares'!$C:$FA,74)</f>
        <v>76725075</v>
      </c>
      <c r="F208" s="86">
        <f>VLOOKUP($A208,'Data shares'!$C:$FA,76)</f>
        <v>2951475</v>
      </c>
      <c r="G208" s="87">
        <f>VLOOKUP(A208,'Data shares'!$C$2:$CA$213,77,0)</f>
        <v>0.04</v>
      </c>
      <c r="H208" s="86">
        <f>VLOOKUP($A208,'Data shares'!$C:$FA,90)</f>
        <v>28797900</v>
      </c>
      <c r="I208" s="86">
        <f>VLOOKUP($A208,'Data shares'!$C:$FA,92)</f>
        <v>2893950</v>
      </c>
      <c r="J208" s="87">
        <f>VLOOKUP($A208,'Data shares'!$C:$FA,93)</f>
        <v>0.11169999999999999</v>
      </c>
      <c r="K208" s="86">
        <f>VLOOKUP($A208,'Data shares'!$C:$FA,94)</f>
        <v>21054150</v>
      </c>
      <c r="L208" s="86">
        <f>VLOOKUP($A208,'Data shares'!$C:$FA,96)</f>
        <v>-840750</v>
      </c>
      <c r="M208" s="87">
        <f>VLOOKUP($A208,'Data shares'!$C:$FA,97)</f>
        <v>-3.8399999999999997E-2</v>
      </c>
      <c r="N208" s="86">
        <f>VLOOKUP($A208,'Data shares'!$C:$FA,78)</f>
        <v>69799950</v>
      </c>
      <c r="O208" s="87">
        <f>VLOOKUP($A208,'Data shares'!$C:$FA,81)</f>
        <v>3.5000000000000003E-2</v>
      </c>
    </row>
    <row r="209" spans="1:15" x14ac:dyDescent="0.25">
      <c r="A209" s="100" t="str">
        <f>'Data Vlaue (Cr)'!C204</f>
        <v>UNITDSPR</v>
      </c>
      <c r="B209" s="82">
        <f>VLOOKUP(A209,'Data shares'!$C$2:$CV$213,98,0)</f>
        <v>13107200</v>
      </c>
      <c r="C209" s="82">
        <f>VLOOKUP(A209,'Data shares'!$C$2:$CX$213,100,0)</f>
        <v>213200</v>
      </c>
      <c r="D209" s="141">
        <f>VLOOKUP(A209,'Data shares'!$C$2:$CY$536,101,0)</f>
        <v>1.6500000000000001E-2</v>
      </c>
      <c r="E209" s="86">
        <f>VLOOKUP($A209,'Data shares'!$C:$FA,74)</f>
        <v>9766800</v>
      </c>
      <c r="F209" s="86">
        <f>VLOOKUP($A209,'Data shares'!$C:$FA,76)</f>
        <v>42000</v>
      </c>
      <c r="G209" s="87">
        <f>VLOOKUP(A209,'Data shares'!$C$2:$CA$213,77,0)</f>
        <v>4.3E-3</v>
      </c>
      <c r="H209" s="86">
        <f>VLOOKUP($A209,'Data shares'!$C:$FA,90)</f>
        <v>1890400</v>
      </c>
      <c r="I209" s="86">
        <f>VLOOKUP($A209,'Data shares'!$C:$FA,92)</f>
        <v>160800</v>
      </c>
      <c r="J209" s="87">
        <f>VLOOKUP($A209,'Data shares'!$C:$FA,93)</f>
        <v>9.2999999999999999E-2</v>
      </c>
      <c r="K209" s="86">
        <f>VLOOKUP($A209,'Data shares'!$C:$FA,94)</f>
        <v>1450000</v>
      </c>
      <c r="L209" s="86">
        <f>VLOOKUP($A209,'Data shares'!$C:$FA,96)</f>
        <v>10400</v>
      </c>
      <c r="M209" s="87">
        <f>VLOOKUP($A209,'Data shares'!$C:$FA,97)</f>
        <v>7.1999999999999998E-3</v>
      </c>
      <c r="N209" s="86">
        <f>VLOOKUP($A209,'Data shares'!$C:$FA,78)</f>
        <v>9653600</v>
      </c>
      <c r="O209" s="87">
        <f>VLOOKUP($A209,'Data shares'!$C:$FA,81)</f>
        <v>2.8999999999999998E-3</v>
      </c>
    </row>
    <row r="210" spans="1:15" x14ac:dyDescent="0.25">
      <c r="A210" s="100" t="str">
        <f>'Data Vlaue (Cr)'!C205</f>
        <v>UNOMINDA</v>
      </c>
      <c r="B210" s="82">
        <f>VLOOKUP(A210,'Data shares'!$C$2:$CV$213,98,0)</f>
        <v>8490350</v>
      </c>
      <c r="C210" s="82">
        <f>VLOOKUP(A210,'Data shares'!$C$2:$CX$213,100,0)</f>
        <v>108350</v>
      </c>
      <c r="D210" s="141">
        <f>VLOOKUP(A210,'Data shares'!$C$2:$CY$536,101,0)</f>
        <v>1.29E-2</v>
      </c>
      <c r="E210" s="86">
        <f>VLOOKUP($A210,'Data shares'!$C:$FA,74)</f>
        <v>6460850</v>
      </c>
      <c r="F210" s="86">
        <f>VLOOKUP($A210,'Data shares'!$C:$FA,76)</f>
        <v>-93500</v>
      </c>
      <c r="G210" s="87">
        <f>VLOOKUP(A210,'Data shares'!$C$2:$CA$213,77,0)</f>
        <v>-1.43E-2</v>
      </c>
      <c r="H210" s="86">
        <f>VLOOKUP($A210,'Data shares'!$C:$FA,90)</f>
        <v>1218800</v>
      </c>
      <c r="I210" s="86">
        <f>VLOOKUP($A210,'Data shares'!$C:$FA,92)</f>
        <v>123750</v>
      </c>
      <c r="J210" s="87">
        <f>VLOOKUP($A210,'Data shares'!$C:$FA,93)</f>
        <v>0.113</v>
      </c>
      <c r="K210" s="86">
        <f>VLOOKUP($A210,'Data shares'!$C:$FA,94)</f>
        <v>810700</v>
      </c>
      <c r="L210" s="86">
        <f>VLOOKUP($A210,'Data shares'!$C:$FA,96)</f>
        <v>78100</v>
      </c>
      <c r="M210" s="87">
        <f>VLOOKUP($A210,'Data shares'!$C:$FA,97)</f>
        <v>0.1066</v>
      </c>
      <c r="N210" s="86">
        <f>VLOOKUP($A210,'Data shares'!$C:$FA,78)</f>
        <v>6394850</v>
      </c>
      <c r="O210" s="87">
        <f>VLOOKUP($A210,'Data shares'!$C:$FA,81)</f>
        <v>-1.5100000000000001E-2</v>
      </c>
    </row>
    <row r="211" spans="1:15" x14ac:dyDescent="0.25">
      <c r="A211" s="100" t="str">
        <f>'Data Vlaue (Cr)'!C206</f>
        <v>UPL</v>
      </c>
      <c r="B211" s="82">
        <f>VLOOKUP(A211,'Data shares'!$C$2:$CV$213,98,0)</f>
        <v>65537285</v>
      </c>
      <c r="C211" s="82">
        <f>VLOOKUP(A211,'Data shares'!$C$2:$CX$213,100,0)</f>
        <v>-1261505</v>
      </c>
      <c r="D211" s="141">
        <f>VLOOKUP(A211,'Data shares'!$C$2:$CY$536,101,0)</f>
        <v>-1.89E-2</v>
      </c>
      <c r="E211" s="86">
        <f>VLOOKUP($A211,'Data shares'!$C:$FA,74)</f>
        <v>33969850</v>
      </c>
      <c r="F211" s="86">
        <f>VLOOKUP($A211,'Data shares'!$C:$FA,76)</f>
        <v>-737120</v>
      </c>
      <c r="G211" s="87">
        <f>VLOOKUP(A211,'Data shares'!$C$2:$CA$213,77,0)</f>
        <v>-2.12E-2</v>
      </c>
      <c r="H211" s="86">
        <f>VLOOKUP($A211,'Data shares'!$C:$FA,90)</f>
        <v>21623090</v>
      </c>
      <c r="I211" s="86">
        <f>VLOOKUP($A211,'Data shares'!$C:$FA,92)</f>
        <v>-632785</v>
      </c>
      <c r="J211" s="87">
        <f>VLOOKUP($A211,'Data shares'!$C:$FA,93)</f>
        <v>-2.8400000000000002E-2</v>
      </c>
      <c r="K211" s="86">
        <f>VLOOKUP($A211,'Data shares'!$C:$FA,94)</f>
        <v>9944345</v>
      </c>
      <c r="L211" s="86">
        <f>VLOOKUP($A211,'Data shares'!$C:$FA,96)</f>
        <v>108400</v>
      </c>
      <c r="M211" s="87">
        <f>VLOOKUP($A211,'Data shares'!$C:$FA,97)</f>
        <v>1.0999999999999999E-2</v>
      </c>
      <c r="N211" s="86">
        <f>VLOOKUP($A211,'Data shares'!$C:$FA,78)</f>
        <v>32971215</v>
      </c>
      <c r="O211" s="87">
        <f>VLOOKUP($A211,'Data shares'!$C:$FA,81)</f>
        <v>-2.1399999999999999E-2</v>
      </c>
    </row>
    <row r="212" spans="1:15" x14ac:dyDescent="0.25">
      <c r="A212" s="100" t="str">
        <f>'Data Vlaue (Cr)'!C207</f>
        <v>VBL</v>
      </c>
      <c r="B212" s="82">
        <f>VLOOKUP(A212,'Data shares'!$C$2:$CV$213,98,0)</f>
        <v>56137500</v>
      </c>
      <c r="C212" s="82">
        <f>VLOOKUP(A212,'Data shares'!$C$2:$CX$213,100,0)</f>
        <v>90000</v>
      </c>
      <c r="D212" s="141">
        <f>VLOOKUP(A212,'Data shares'!$C$2:$CY$536,101,0)</f>
        <v>1.6000000000000001E-3</v>
      </c>
      <c r="E212" s="86">
        <f>VLOOKUP($A212,'Data shares'!$C:$FA,74)</f>
        <v>40626000</v>
      </c>
      <c r="F212" s="86">
        <f>VLOOKUP($A212,'Data shares'!$C:$FA,76)</f>
        <v>-1158750</v>
      </c>
      <c r="G212" s="87">
        <f>VLOOKUP(A212,'Data shares'!$C$2:$CA$213,77,0)</f>
        <v>-2.7699999999999999E-2</v>
      </c>
      <c r="H212" s="86">
        <f>VLOOKUP($A212,'Data shares'!$C:$FA,90)</f>
        <v>9698625</v>
      </c>
      <c r="I212" s="86">
        <f>VLOOKUP($A212,'Data shares'!$C:$FA,92)</f>
        <v>821250</v>
      </c>
      <c r="J212" s="87">
        <f>VLOOKUP($A212,'Data shares'!$C:$FA,93)</f>
        <v>9.2499999999999999E-2</v>
      </c>
      <c r="K212" s="86">
        <f>VLOOKUP($A212,'Data shares'!$C:$FA,94)</f>
        <v>5812875</v>
      </c>
      <c r="L212" s="86">
        <f>VLOOKUP($A212,'Data shares'!$C:$FA,96)</f>
        <v>427500</v>
      </c>
      <c r="M212" s="87">
        <f>VLOOKUP($A212,'Data shares'!$C:$FA,97)</f>
        <v>7.9399999999999998E-2</v>
      </c>
      <c r="N212" s="86">
        <f>VLOOKUP($A212,'Data shares'!$C:$FA,78)</f>
        <v>39263625</v>
      </c>
      <c r="O212" s="87">
        <f>VLOOKUP($A212,'Data shares'!$C:$FA,81)</f>
        <v>-3.1199999999999999E-2</v>
      </c>
    </row>
    <row r="213" spans="1:15" x14ac:dyDescent="0.25">
      <c r="A213" s="100" t="str">
        <f>'Data Vlaue (Cr)'!C208</f>
        <v>VEDL</v>
      </c>
      <c r="B213" s="82">
        <f>VLOOKUP(A213,'Data shares'!$C$2:$CV$213,98,0)</f>
        <v>123094850</v>
      </c>
      <c r="C213" s="82">
        <f>VLOOKUP(A213,'Data shares'!$C$2:$CX$213,100,0)</f>
        <v>3225750</v>
      </c>
      <c r="D213" s="141">
        <f>VLOOKUP(A213,'Data shares'!$C$2:$CY$536,101,0)</f>
        <v>2.69E-2</v>
      </c>
      <c r="E213" s="86">
        <f>VLOOKUP($A213,'Data shares'!$C:$FA,74)</f>
        <v>71293100</v>
      </c>
      <c r="F213" s="86">
        <f>VLOOKUP($A213,'Data shares'!$C:$FA,76)</f>
        <v>379500</v>
      </c>
      <c r="G213" s="87">
        <f>VLOOKUP(A213,'Data shares'!$C$2:$CA$213,77,0)</f>
        <v>5.4000000000000003E-3</v>
      </c>
      <c r="H213" s="86">
        <f>VLOOKUP($A213,'Data shares'!$C:$FA,90)</f>
        <v>30863700</v>
      </c>
      <c r="I213" s="86">
        <f>VLOOKUP($A213,'Data shares'!$C:$FA,92)</f>
        <v>1765250</v>
      </c>
      <c r="J213" s="87">
        <f>VLOOKUP($A213,'Data shares'!$C:$FA,93)</f>
        <v>6.0699999999999997E-2</v>
      </c>
      <c r="K213" s="86">
        <f>VLOOKUP($A213,'Data shares'!$C:$FA,94)</f>
        <v>20938050</v>
      </c>
      <c r="L213" s="86">
        <f>VLOOKUP($A213,'Data shares'!$C:$FA,96)</f>
        <v>1081000</v>
      </c>
      <c r="M213" s="87">
        <f>VLOOKUP($A213,'Data shares'!$C:$FA,97)</f>
        <v>5.4399999999999997E-2</v>
      </c>
      <c r="N213" s="86">
        <f>VLOOKUP($A213,'Data shares'!$C:$FA,78)</f>
        <v>64771450</v>
      </c>
      <c r="O213" s="87">
        <f>VLOOKUP($A213,'Data shares'!$C:$FA,81)</f>
        <v>3.8999999999999998E-3</v>
      </c>
    </row>
    <row r="214" spans="1:15" x14ac:dyDescent="0.25">
      <c r="A214" s="100" t="str">
        <f>'Data Vlaue (Cr)'!C209</f>
        <v>VOLTAS</v>
      </c>
      <c r="B214" s="82">
        <f>VLOOKUP(A214,'Data shares'!$C$2:$CV$213,98,0)</f>
        <v>17298375</v>
      </c>
      <c r="C214" s="82">
        <f>VLOOKUP(A214,'Data shares'!$C$2:$CX$213,100,0)</f>
        <v>430875</v>
      </c>
      <c r="D214" s="141">
        <f>VLOOKUP(A214,'Data shares'!$C$2:$CY$536,101,0)</f>
        <v>2.5499999999999998E-2</v>
      </c>
      <c r="E214" s="86">
        <f>VLOOKUP($A214,'Data shares'!$C:$FA,74)</f>
        <v>10053750</v>
      </c>
      <c r="F214" s="86">
        <f>VLOOKUP($A214,'Data shares'!$C:$FA,76)</f>
        <v>-120375</v>
      </c>
      <c r="G214" s="87">
        <f>VLOOKUP(A214,'Data shares'!$C$2:$CA$213,77,0)</f>
        <v>-1.18E-2</v>
      </c>
      <c r="H214" s="86">
        <f>VLOOKUP($A214,'Data shares'!$C:$FA,90)</f>
        <v>4352250</v>
      </c>
      <c r="I214" s="86">
        <f>VLOOKUP($A214,'Data shares'!$C:$FA,92)</f>
        <v>299250</v>
      </c>
      <c r="J214" s="87">
        <f>VLOOKUP($A214,'Data shares'!$C:$FA,93)</f>
        <v>7.3800000000000004E-2</v>
      </c>
      <c r="K214" s="86">
        <f>VLOOKUP($A214,'Data shares'!$C:$FA,94)</f>
        <v>2892375</v>
      </c>
      <c r="L214" s="86">
        <f>VLOOKUP($A214,'Data shares'!$C:$FA,96)</f>
        <v>252000</v>
      </c>
      <c r="M214" s="87">
        <f>VLOOKUP($A214,'Data shares'!$C:$FA,97)</f>
        <v>9.5399999999999999E-2</v>
      </c>
      <c r="N214" s="86">
        <f>VLOOKUP($A214,'Data shares'!$C:$FA,78)</f>
        <v>9725625</v>
      </c>
      <c r="O214" s="87">
        <f>VLOOKUP($A214,'Data shares'!$C:$FA,81)</f>
        <v>-1.5100000000000001E-2</v>
      </c>
    </row>
    <row r="215" spans="1:15" x14ac:dyDescent="0.25">
      <c r="A215" s="100" t="str">
        <f>'Data Vlaue (Cr)'!C210</f>
        <v>WAAREEENER</v>
      </c>
      <c r="B215" s="82">
        <f>VLOOKUP(A215,'Data shares'!$C$2:$CV$213,98,0)</f>
        <v>9139725</v>
      </c>
      <c r="C215" s="82">
        <f>VLOOKUP(A215,'Data shares'!$C$2:$CX$213,100,0)</f>
        <v>17150</v>
      </c>
      <c r="D215" s="141">
        <f>VLOOKUP(A215,'Data shares'!$C$2:$CY$536,101,0)</f>
        <v>1.9E-3</v>
      </c>
      <c r="E215" s="86">
        <f>VLOOKUP($A215,'Data shares'!$C:$FA,74)</f>
        <v>4103050</v>
      </c>
      <c r="F215" s="86">
        <f>VLOOKUP($A215,'Data shares'!$C:$FA,76)</f>
        <v>-47950</v>
      </c>
      <c r="G215" s="87">
        <f>VLOOKUP(A215,'Data shares'!$C$2:$CA$213,77,0)</f>
        <v>-1.1599999999999999E-2</v>
      </c>
      <c r="H215" s="86">
        <f>VLOOKUP($A215,'Data shares'!$C:$FA,90)</f>
        <v>3182375</v>
      </c>
      <c r="I215" s="86">
        <f>VLOOKUP($A215,'Data shares'!$C:$FA,92)</f>
        <v>67900</v>
      </c>
      <c r="J215" s="87">
        <f>VLOOKUP($A215,'Data shares'!$C:$FA,93)</f>
        <v>2.18E-2</v>
      </c>
      <c r="K215" s="86">
        <f>VLOOKUP($A215,'Data shares'!$C:$FA,94)</f>
        <v>1854300</v>
      </c>
      <c r="L215" s="86">
        <f>VLOOKUP($A215,'Data shares'!$C:$FA,96)</f>
        <v>-2800</v>
      </c>
      <c r="M215" s="87">
        <f>VLOOKUP($A215,'Data shares'!$C:$FA,97)</f>
        <v>-1.5E-3</v>
      </c>
      <c r="N215" s="86">
        <f>VLOOKUP($A215,'Data shares'!$C:$FA,78)</f>
        <v>3658550</v>
      </c>
      <c r="O215" s="87">
        <f>VLOOKUP($A215,'Data shares'!$C:$FA,81)</f>
        <v>-9.5999999999999992E-3</v>
      </c>
    </row>
    <row r="216" spans="1:15" s="89" customFormat="1" ht="16.5" customHeight="1" x14ac:dyDescent="0.2">
      <c r="A216" s="100" t="str">
        <f>'Data Vlaue (Cr)'!C211</f>
        <v>WIPRO</v>
      </c>
      <c r="B216" s="82">
        <f>VLOOKUP(A216,'Data shares'!$C$2:$CV$213,98,0)</f>
        <v>278799000</v>
      </c>
      <c r="C216" s="82">
        <f>VLOOKUP(A216,'Data shares'!$C$2:$CX$213,100,0)</f>
        <v>396000</v>
      </c>
      <c r="D216" s="141">
        <f>VLOOKUP(A216,'Data shares'!$C$2:$CY$536,101,0)</f>
        <v>1.4E-3</v>
      </c>
      <c r="E216" s="86">
        <f>VLOOKUP($A216,'Data shares'!$C:$FA,74)</f>
        <v>159624000</v>
      </c>
      <c r="F216" s="86">
        <f>VLOOKUP($A216,'Data shares'!$C:$FA,76)</f>
        <v>-3684000</v>
      </c>
      <c r="G216" s="87">
        <f>VLOOKUP(A216,'Data shares'!$C$2:$CA$213,77,0)</f>
        <v>-2.2599999999999999E-2</v>
      </c>
      <c r="H216" s="86">
        <f>VLOOKUP($A216,'Data shares'!$C:$FA,90)</f>
        <v>78747000</v>
      </c>
      <c r="I216" s="86">
        <f>VLOOKUP($A216,'Data shares'!$C:$FA,92)</f>
        <v>2721000</v>
      </c>
      <c r="J216" s="87">
        <f>VLOOKUP($A216,'Data shares'!$C:$FA,93)</f>
        <v>3.5799999999999998E-2</v>
      </c>
      <c r="K216" s="86">
        <f>VLOOKUP($A216,'Data shares'!$C:$FA,94)</f>
        <v>40428000</v>
      </c>
      <c r="L216" s="86">
        <f>VLOOKUP($A216,'Data shares'!$C:$FA,96)</f>
        <v>1359000</v>
      </c>
      <c r="M216" s="87">
        <f>VLOOKUP($A216,'Data shares'!$C:$FA,97)</f>
        <v>3.4799999999999998E-2</v>
      </c>
      <c r="N216" s="86">
        <f>VLOOKUP($A216,'Data shares'!$C:$FA,78)</f>
        <v>147333000</v>
      </c>
      <c r="O216" s="87">
        <f>VLOOKUP($A216,'Data shares'!$C:$FA,81)</f>
        <v>-2.87E-2</v>
      </c>
    </row>
    <row r="217" spans="1:15" s="89" customFormat="1" ht="16.5" customHeight="1" x14ac:dyDescent="0.2">
      <c r="A217" s="100" t="str">
        <f>'Data Vlaue (Cr)'!C213</f>
        <v>ZYDUSLIFE</v>
      </c>
      <c r="B217" s="82">
        <f>VLOOKUP(A217,'Data shares'!$C$2:$CV$213,98,0)</f>
        <v>16960500</v>
      </c>
      <c r="C217" s="82">
        <f>VLOOKUP(A217,'Data shares'!$C$2:$CX$213,100,0)</f>
        <v>-166500</v>
      </c>
      <c r="D217" s="141">
        <f>VLOOKUP(A217,'Data shares'!$C$2:$CY$536,101,0)</f>
        <v>-9.7000000000000003E-3</v>
      </c>
      <c r="E217" s="86">
        <f>VLOOKUP($A217,'Data shares'!$C:$FA,74)</f>
        <v>9607500</v>
      </c>
      <c r="F217" s="86">
        <f>VLOOKUP($A217,'Data shares'!$C:$FA,76)</f>
        <v>-99000</v>
      </c>
      <c r="G217" s="87">
        <f>VLOOKUP(A217,'Data shares'!$C$2:$CA$213,77,0)</f>
        <v>-1.0200000000000001E-2</v>
      </c>
      <c r="H217" s="86">
        <f>VLOOKUP($A217,'Data shares'!$C:$FA,90)</f>
        <v>4688100</v>
      </c>
      <c r="I217" s="86">
        <f>VLOOKUP($A217,'Data shares'!$C:$FA,92)</f>
        <v>-118800</v>
      </c>
      <c r="J217" s="87">
        <f>VLOOKUP($A217,'Data shares'!$C:$FA,93)</f>
        <v>-2.47E-2</v>
      </c>
      <c r="K217" s="86">
        <f>VLOOKUP($A217,'Data shares'!$C:$FA,94)</f>
        <v>2664900</v>
      </c>
      <c r="L217" s="86">
        <f>VLOOKUP($A217,'Data shares'!$C:$FA,96)</f>
        <v>51300</v>
      </c>
      <c r="M217" s="87">
        <f>VLOOKUP($A217,'Data shares'!$C:$FA,97)</f>
        <v>1.9599999999999999E-2</v>
      </c>
      <c r="N217" s="86">
        <f>VLOOKUP($A217,'Data shares'!$C:$FA,78)</f>
        <v>9366300</v>
      </c>
      <c r="O217" s="87">
        <f>VLOOKUP($A217,'Data shares'!$C:$FA,81)</f>
        <v>-1.15E-2</v>
      </c>
    </row>
    <row r="218" spans="1:15" x14ac:dyDescent="0.25">
      <c r="A218" s="100"/>
      <c r="B218" s="82"/>
      <c r="C218" s="82"/>
      <c r="D218" s="141"/>
      <c r="E218" s="86"/>
      <c r="F218" s="86"/>
      <c r="G218" s="87"/>
      <c r="H218" s="86"/>
      <c r="I218" s="86"/>
      <c r="J218" s="87"/>
      <c r="K218" s="86"/>
      <c r="L218" s="86"/>
      <c r="M218" s="87"/>
      <c r="N218" s="86"/>
      <c r="O218" s="87"/>
    </row>
    <row r="219" spans="1:15" x14ac:dyDescent="0.25">
      <c r="A219" s="100"/>
      <c r="B219" s="82"/>
      <c r="C219" s="82"/>
      <c r="D219" s="141"/>
      <c r="E219" s="86"/>
      <c r="F219" s="86"/>
      <c r="G219" s="87"/>
      <c r="H219" s="86"/>
      <c r="I219" s="86"/>
      <c r="J219" s="87"/>
      <c r="K219" s="86"/>
      <c r="L219" s="86"/>
      <c r="M219" s="87"/>
      <c r="N219" s="86"/>
      <c r="O219" s="87"/>
    </row>
    <row r="220" spans="1:15" x14ac:dyDescent="0.25">
      <c r="A220" s="100"/>
      <c r="B220" s="82"/>
      <c r="C220" s="82"/>
      <c r="D220" s="141"/>
      <c r="E220" s="86"/>
      <c r="F220" s="86"/>
      <c r="G220" s="87"/>
      <c r="H220" s="86"/>
      <c r="I220" s="86"/>
      <c r="J220" s="87"/>
      <c r="K220" s="86"/>
      <c r="L220" s="86"/>
      <c r="M220" s="87"/>
      <c r="N220" s="86"/>
      <c r="O220" s="87"/>
    </row>
    <row r="221" spans="1:15" x14ac:dyDescent="0.25">
      <c r="A221" s="100"/>
      <c r="B221" s="82"/>
      <c r="C221" s="82"/>
      <c r="D221" s="141"/>
      <c r="E221" s="86"/>
      <c r="F221" s="86"/>
      <c r="G221" s="87"/>
      <c r="H221" s="86"/>
      <c r="I221" s="86"/>
      <c r="J221" s="87"/>
      <c r="K221" s="86"/>
      <c r="L221" s="86"/>
      <c r="M221" s="87"/>
      <c r="N221" s="86"/>
      <c r="O221" s="87"/>
    </row>
    <row r="222" spans="1:15" x14ac:dyDescent="0.25">
      <c r="A222" s="100"/>
      <c r="B222" s="82"/>
      <c r="C222" s="82"/>
      <c r="D222" s="141"/>
      <c r="E222" s="86"/>
      <c r="F222" s="86"/>
      <c r="G222" s="87"/>
      <c r="H222" s="86"/>
      <c r="I222" s="86"/>
      <c r="J222" s="87"/>
      <c r="K222" s="86"/>
      <c r="L222" s="86"/>
      <c r="M222" s="87"/>
      <c r="N222" s="86"/>
      <c r="O222" s="87"/>
    </row>
    <row r="223" spans="1:15" x14ac:dyDescent="0.25">
      <c r="A223" s="100"/>
      <c r="B223" s="82"/>
      <c r="C223" s="82"/>
      <c r="D223" s="141"/>
      <c r="E223" s="86"/>
      <c r="F223" s="86"/>
      <c r="G223" s="87"/>
      <c r="H223" s="86"/>
      <c r="I223" s="86"/>
      <c r="J223" s="87"/>
      <c r="K223" s="86"/>
      <c r="L223" s="86"/>
      <c r="M223" s="87"/>
      <c r="N223" s="86"/>
      <c r="O223" s="87"/>
    </row>
    <row r="224" spans="1:15" x14ac:dyDescent="0.25">
      <c r="A224" s="100"/>
      <c r="B224" s="82"/>
      <c r="C224" s="82"/>
      <c r="D224" s="141"/>
      <c r="E224" s="86"/>
      <c r="F224" s="86"/>
      <c r="G224" s="87"/>
      <c r="H224" s="86"/>
      <c r="I224" s="86"/>
      <c r="J224" s="87"/>
      <c r="K224" s="86"/>
      <c r="L224" s="86"/>
      <c r="M224" s="87"/>
      <c r="N224" s="86"/>
      <c r="O224" s="87"/>
    </row>
    <row r="225" spans="1:15" x14ac:dyDescent="0.25">
      <c r="A225" s="100"/>
      <c r="B225" s="82"/>
      <c r="C225" s="82"/>
      <c r="D225" s="141"/>
      <c r="E225" s="86"/>
      <c r="F225" s="86"/>
      <c r="G225" s="87"/>
      <c r="H225" s="86"/>
      <c r="I225" s="86"/>
      <c r="J225" s="87"/>
      <c r="K225" s="86"/>
      <c r="L225" s="86"/>
      <c r="M225" s="87"/>
      <c r="N225" s="86"/>
      <c r="O225" s="87"/>
    </row>
    <row r="226" spans="1:15" x14ac:dyDescent="0.25">
      <c r="A226" s="100"/>
      <c r="B226" s="82"/>
      <c r="C226" s="82"/>
      <c r="D226" s="141"/>
      <c r="E226" s="86"/>
      <c r="F226" s="86"/>
      <c r="G226" s="87"/>
      <c r="H226" s="86"/>
      <c r="I226" s="86"/>
      <c r="J226" s="87"/>
      <c r="K226" s="86"/>
      <c r="L226" s="86"/>
      <c r="M226" s="87"/>
      <c r="N226" s="86"/>
      <c r="O226" s="87"/>
    </row>
    <row r="227" spans="1:15" x14ac:dyDescent="0.25">
      <c r="A227" s="100"/>
      <c r="B227" s="17"/>
      <c r="C227" s="17"/>
      <c r="D227" s="17"/>
      <c r="E227" s="17"/>
      <c r="F227" s="17"/>
      <c r="G227" s="17"/>
      <c r="H227" s="17"/>
      <c r="I227" s="17"/>
      <c r="J227" s="17"/>
      <c r="K227" s="17"/>
      <c r="L227" s="17"/>
      <c r="M227" s="17"/>
      <c r="N227" s="17"/>
      <c r="O227" s="17"/>
    </row>
    <row r="228" spans="1:15" x14ac:dyDescent="0.25">
      <c r="A228" s="98"/>
      <c r="B228" s="17"/>
      <c r="C228" s="17"/>
      <c r="D228" s="17"/>
      <c r="E228" s="17"/>
      <c r="F228" s="17"/>
      <c r="G228" s="17"/>
      <c r="H228" s="17"/>
      <c r="I228" s="17"/>
      <c r="J228" s="17"/>
      <c r="K228" s="17"/>
      <c r="L228" s="17"/>
      <c r="M228" s="17"/>
      <c r="N228" s="17"/>
      <c r="O228" s="17"/>
    </row>
    <row r="229" spans="1:15" x14ac:dyDescent="0.25">
      <c r="A229" s="118" t="s">
        <v>391</v>
      </c>
      <c r="B229" s="119">
        <f>SUM(B7:B222)</f>
        <v>24932382618</v>
      </c>
      <c r="C229" s="119">
        <f>SUM(C7:C222)</f>
        <v>688970968</v>
      </c>
      <c r="D229" s="120">
        <f>C229*100/(B229-C229)</f>
        <v>2.8418894912424588</v>
      </c>
      <c r="E229" s="119">
        <f>SUM(E7:E222)</f>
        <v>16192462601</v>
      </c>
      <c r="F229" s="119">
        <f>SUM(F7:F222)</f>
        <v>122577573</v>
      </c>
      <c r="G229" s="120">
        <f>F229*100/(E229-F229)</f>
        <v>0.76277815794215154</v>
      </c>
      <c r="H229" s="119">
        <f>SUM(H7:H222)</f>
        <v>5404155044</v>
      </c>
      <c r="I229" s="119">
        <f>SUM(I7:I222)</f>
        <v>420719695</v>
      </c>
      <c r="J229" s="120">
        <f>I229*100/(H229-I229)</f>
        <v>8.4423628588745245</v>
      </c>
      <c r="K229" s="119">
        <f>SUM(K7:K222)</f>
        <v>3335764973</v>
      </c>
      <c r="L229" s="119">
        <f>SUM(L7:L222)</f>
        <v>145673700</v>
      </c>
      <c r="M229" s="120">
        <f>L229*100/(K229-L229)</f>
        <v>4.5664430116134795</v>
      </c>
      <c r="N229" s="119">
        <f>SUM(N7:N222)</f>
        <v>15404706657</v>
      </c>
      <c r="O229" s="120">
        <f>(N229-FII!V3)/N229*100</f>
        <v>-6.1566239404437884</v>
      </c>
    </row>
    <row r="230" spans="1:15" x14ac:dyDescent="0.25">
      <c r="A230" s="118" t="s">
        <v>409</v>
      </c>
      <c r="B230" s="121">
        <f>B229/10000000</f>
        <v>2493.2382618000001</v>
      </c>
      <c r="C230" s="121">
        <f>C229/10000000</f>
        <v>68.8970968</v>
      </c>
      <c r="D230" s="120">
        <f>D229</f>
        <v>2.8418894912424588</v>
      </c>
      <c r="E230" s="121">
        <f>E229/10000000</f>
        <v>1619.2462601</v>
      </c>
      <c r="F230" s="121">
        <f>F229/10000000</f>
        <v>12.2577573</v>
      </c>
      <c r="G230" s="120">
        <f>G229</f>
        <v>0.76277815794215154</v>
      </c>
      <c r="H230" s="121">
        <f>H229/10000000</f>
        <v>540.41550440000003</v>
      </c>
      <c r="I230" s="121">
        <f>I229/10000000</f>
        <v>42.071969500000002</v>
      </c>
      <c r="J230" s="120">
        <f>J229</f>
        <v>8.4423628588745245</v>
      </c>
      <c r="K230" s="121">
        <f>K229/10000000</f>
        <v>333.57649730000003</v>
      </c>
      <c r="L230" s="121">
        <f>L229/10000000</f>
        <v>14.56737</v>
      </c>
      <c r="M230" s="120">
        <f>M229</f>
        <v>4.5664430116134795</v>
      </c>
      <c r="N230" s="121">
        <f>N229/10000000</f>
        <v>1540.4706656999999</v>
      </c>
      <c r="O230" s="120">
        <f>O229</f>
        <v>-6.1566239404437884</v>
      </c>
    </row>
    <row r="238" spans="1:15" x14ac:dyDescent="0.25">
      <c r="A238" s="275" t="s">
        <v>410</v>
      </c>
      <c r="B238" s="275"/>
      <c r="C238" s="275"/>
      <c r="D238" s="275"/>
    </row>
    <row r="239" spans="1:15" x14ac:dyDescent="0.25">
      <c r="A239" s="35" t="s">
        <v>401</v>
      </c>
      <c r="B239" s="35" t="s">
        <v>402</v>
      </c>
      <c r="C239" s="35" t="s">
        <v>369</v>
      </c>
      <c r="D239" s="35" t="s">
        <v>407</v>
      </c>
    </row>
    <row r="240" spans="1:15" x14ac:dyDescent="0.25">
      <c r="A240" s="36" t="s">
        <v>403</v>
      </c>
      <c r="B240" s="37">
        <f>E230</f>
        <v>1619.2462601</v>
      </c>
      <c r="C240" s="37">
        <f>F230</f>
        <v>12.2577573</v>
      </c>
      <c r="D240" s="39">
        <f>C240/B240</f>
        <v>7.5700389755681734E-3</v>
      </c>
    </row>
    <row r="241" spans="1:4" x14ac:dyDescent="0.25">
      <c r="A241" s="36" t="s">
        <v>404</v>
      </c>
      <c r="B241" s="37">
        <f>H230</f>
        <v>540.41550440000003</v>
      </c>
      <c r="C241" s="37">
        <f>I230</f>
        <v>42.071969500000002</v>
      </c>
      <c r="D241" s="39">
        <f>C241/B241</f>
        <v>7.785115185899541E-2</v>
      </c>
    </row>
    <row r="242" spans="1:4" x14ac:dyDescent="0.25">
      <c r="A242" s="36" t="s">
        <v>405</v>
      </c>
      <c r="B242" s="37">
        <f>K230</f>
        <v>333.57649730000003</v>
      </c>
      <c r="C242" s="37">
        <f>L230</f>
        <v>14.56737</v>
      </c>
      <c r="D242" s="39">
        <f>C242/B242</f>
        <v>4.3670252904235408E-2</v>
      </c>
    </row>
    <row r="243" spans="1:4" x14ac:dyDescent="0.25">
      <c r="A243" s="36" t="s">
        <v>406</v>
      </c>
      <c r="B243" s="40">
        <f>SUM(B240:B242)</f>
        <v>2493.2382618000001</v>
      </c>
      <c r="C243" s="40">
        <f>SUM(C240:C242)</f>
        <v>68.8970968</v>
      </c>
      <c r="D243" s="41">
        <f>C243/B243</f>
        <v>2.7633579131045242E-2</v>
      </c>
    </row>
  </sheetData>
  <mergeCells count="9">
    <mergeCell ref="A238:D238"/>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7"/>
  <sheetViews>
    <sheetView workbookViewId="0">
      <pane ySplit="6" topLeftCell="A202" activePane="bottomLeft" state="frozen"/>
      <selection pane="bottomLeft" activeCell="O219" sqref="O219"/>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81" t="s">
        <v>334</v>
      </c>
      <c r="B3" s="282"/>
      <c r="C3" s="282"/>
      <c r="D3" s="283"/>
      <c r="E3" s="284"/>
      <c r="F3" s="284"/>
      <c r="G3" s="284"/>
      <c r="H3" s="284"/>
      <c r="I3" s="284"/>
      <c r="J3" s="284"/>
      <c r="K3" s="284"/>
      <c r="L3" s="284"/>
      <c r="M3" s="284"/>
      <c r="N3" s="284"/>
      <c r="O3" s="285"/>
    </row>
    <row r="4" spans="1:15" x14ac:dyDescent="0.25">
      <c r="A4" s="286" t="s">
        <v>330</v>
      </c>
      <c r="B4" s="288" t="s">
        <v>309</v>
      </c>
      <c r="C4" s="289"/>
      <c r="D4" s="289"/>
      <c r="E4" s="289"/>
      <c r="F4" s="289"/>
      <c r="G4" s="289"/>
      <c r="H4" s="289"/>
      <c r="I4" s="289"/>
      <c r="J4" s="289"/>
      <c r="K4" s="289"/>
      <c r="L4" s="289"/>
      <c r="M4" s="289"/>
      <c r="N4" s="289"/>
      <c r="O4" s="290"/>
    </row>
    <row r="5" spans="1:15" x14ac:dyDescent="0.25">
      <c r="A5" s="287"/>
      <c r="B5" s="291" t="s">
        <v>314</v>
      </c>
      <c r="C5" s="291"/>
      <c r="D5" s="292"/>
      <c r="E5" s="291" t="s">
        <v>335</v>
      </c>
      <c r="F5" s="291"/>
      <c r="G5" s="292"/>
      <c r="H5" s="291" t="s">
        <v>336</v>
      </c>
      <c r="I5" s="291"/>
      <c r="J5" s="292"/>
      <c r="K5" s="291" t="s">
        <v>337</v>
      </c>
      <c r="L5" s="291"/>
      <c r="M5" s="292"/>
      <c r="N5" s="291" t="s">
        <v>338</v>
      </c>
      <c r="O5" s="292"/>
    </row>
    <row r="6" spans="1:15" x14ac:dyDescent="0.25">
      <c r="A6" s="3" t="s">
        <v>318</v>
      </c>
      <c r="B6" s="3">
        <f>'Sectorwise OI'!D6</f>
        <v>46086</v>
      </c>
      <c r="C6" s="76" t="s">
        <v>333</v>
      </c>
      <c r="D6" s="76" t="s">
        <v>328</v>
      </c>
      <c r="E6" s="3">
        <f>B6</f>
        <v>46086</v>
      </c>
      <c r="F6" s="76" t="s">
        <v>333</v>
      </c>
      <c r="G6" s="76" t="s">
        <v>328</v>
      </c>
      <c r="H6" s="3">
        <f>E6</f>
        <v>46086</v>
      </c>
      <c r="I6" s="76" t="s">
        <v>333</v>
      </c>
      <c r="J6" s="76" t="s">
        <v>328</v>
      </c>
      <c r="K6" s="3">
        <f>E6</f>
        <v>46086</v>
      </c>
      <c r="L6" s="76" t="s">
        <v>333</v>
      </c>
      <c r="M6" s="76" t="s">
        <v>328</v>
      </c>
      <c r="N6" s="76" t="s">
        <v>339</v>
      </c>
      <c r="O6" s="76" t="s">
        <v>328</v>
      </c>
    </row>
    <row r="7" spans="1:15" x14ac:dyDescent="0.25">
      <c r="A7" s="97" t="str">
        <f>'Data Vlaue (Cr)'!C2</f>
        <v>360ONE</v>
      </c>
      <c r="B7" s="142">
        <f>VLOOKUP(A7,'Data Vlaue (Cr)'!C2:CW213,99,0)</f>
        <v>463</v>
      </c>
      <c r="C7" s="90">
        <f>VLOOKUP(A7,'Data Vlaue (Cr)'!C2:CY213,101,0)</f>
        <v>1</v>
      </c>
      <c r="D7" s="139">
        <f>VLOOKUP(A7,'Data Vlaue (Cr)'!C2:CZ213,102,0)</f>
        <v>1.2999999999999999E-3</v>
      </c>
      <c r="E7" s="91">
        <f>VLOOKUP($A7,'Data Vlaue (Cr)'!$C:$FB,75)</f>
        <v>334</v>
      </c>
      <c r="F7" s="91">
        <f>VLOOKUP($A7,'Data Vlaue (Cr)'!$C:$FB,77)</f>
        <v>-8</v>
      </c>
      <c r="G7" s="92">
        <f>VLOOKUP(A7,'Data Vlaue (Cr)'!C2:CB213,78,0)</f>
        <v>-2.24E-2</v>
      </c>
      <c r="H7" s="91">
        <f>VLOOKUP($A7,'Data Vlaue (Cr)'!$C:$FB,91)</f>
        <v>85</v>
      </c>
      <c r="I7" s="91">
        <f>VLOOKUP($A7,'Data Vlaue (Cr)'!$C:$FB,93)</f>
        <v>9</v>
      </c>
      <c r="J7" s="92">
        <f>VLOOKUP($A7,'Data Vlaue (Cr)'!$C:$FB,94)</f>
        <v>0.1158</v>
      </c>
      <c r="K7" s="91">
        <f>VLOOKUP($A7,'Data Vlaue (Cr)'!$C:$FB,95)</f>
        <v>44</v>
      </c>
      <c r="L7" s="91">
        <f>VLOOKUP($A7,'Data Vlaue (Cr)'!$C:$FB,97)</f>
        <v>-1</v>
      </c>
      <c r="M7" s="92">
        <f>VLOOKUP($A7,'Data Vlaue (Cr)'!$C:$FB,98)</f>
        <v>-1.3299999999999999E-2</v>
      </c>
      <c r="N7" s="91">
        <f>VLOOKUP($A7,'Data Vlaue (Cr)'!$C:$FB,79)</f>
        <v>329</v>
      </c>
      <c r="O7" s="92">
        <f>VLOOKUP($A7,'Data Vlaue (Cr)'!$C:$FB,82)</f>
        <v>-2.2700000000000001E-2</v>
      </c>
    </row>
    <row r="8" spans="1:15" x14ac:dyDescent="0.25">
      <c r="A8" s="97" t="str">
        <f>'Data Vlaue (Cr)'!C3</f>
        <v>ABB</v>
      </c>
      <c r="B8" s="142">
        <f>VLOOKUP(A8,'Data Vlaue (Cr)'!C3:CW214,99,0)</f>
        <v>2295</v>
      </c>
      <c r="C8" s="90">
        <f>VLOOKUP(A8,'Data Vlaue (Cr)'!C3:CY214,101,0)</f>
        <v>-34</v>
      </c>
      <c r="D8" s="139">
        <f>VLOOKUP(A8,'Data Vlaue (Cr)'!C3:CZ214,102,0)</f>
        <v>-1.4500000000000001E-2</v>
      </c>
      <c r="E8" s="91">
        <f>VLOOKUP($A8,'Data Vlaue (Cr)'!$C:$FB,75)</f>
        <v>1227</v>
      </c>
      <c r="F8" s="91">
        <f>VLOOKUP($A8,'Data Vlaue (Cr)'!$C:$FB,77)</f>
        <v>-34</v>
      </c>
      <c r="G8" s="92">
        <f>VLOOKUP(A8,'Data Vlaue (Cr)'!C3:CB214,78,0)</f>
        <v>-2.6599999999999999E-2</v>
      </c>
      <c r="H8" s="91">
        <f>VLOOKUP($A8,'Data Vlaue (Cr)'!$C:$FB,91)</f>
        <v>636</v>
      </c>
      <c r="I8" s="91">
        <f>VLOOKUP($A8,'Data Vlaue (Cr)'!$C:$FB,93)</f>
        <v>8</v>
      </c>
      <c r="J8" s="92">
        <f>VLOOKUP($A8,'Data Vlaue (Cr)'!$C:$FB,94)</f>
        <v>1.23E-2</v>
      </c>
      <c r="K8" s="91">
        <f>VLOOKUP($A8,'Data Vlaue (Cr)'!$C:$FB,95)</f>
        <v>432</v>
      </c>
      <c r="L8" s="91">
        <f>VLOOKUP($A8,'Data Vlaue (Cr)'!$C:$FB,97)</f>
        <v>-8</v>
      </c>
      <c r="M8" s="92">
        <f>VLOOKUP($A8,'Data Vlaue (Cr)'!$C:$FB,98)</f>
        <v>-1.8200000000000001E-2</v>
      </c>
      <c r="N8" s="91">
        <f>VLOOKUP($A8,'Data Vlaue (Cr)'!$C:$FB,79)</f>
        <v>1203</v>
      </c>
      <c r="O8" s="92">
        <f>VLOOKUP($A8,'Data Vlaue (Cr)'!$C:$FB,82)</f>
        <v>-2.7900000000000001E-2</v>
      </c>
    </row>
    <row r="9" spans="1:15" x14ac:dyDescent="0.25">
      <c r="A9" s="97" t="str">
        <f>'Data Vlaue (Cr)'!C4</f>
        <v>ABCAPITAL</v>
      </c>
      <c r="B9" s="142">
        <f>VLOOKUP(A9,'Data Vlaue (Cr)'!C4:CW215,99,0)</f>
        <v>2500</v>
      </c>
      <c r="C9" s="90">
        <f>VLOOKUP(A9,'Data Vlaue (Cr)'!C4:CY215,101,0)</f>
        <v>-25</v>
      </c>
      <c r="D9" s="139">
        <f>VLOOKUP(A9,'Data Vlaue (Cr)'!C4:CZ215,102,0)</f>
        <v>-1.01E-2</v>
      </c>
      <c r="E9" s="91">
        <f>VLOOKUP($A9,'Data Vlaue (Cr)'!$C:$FB,75)</f>
        <v>1628</v>
      </c>
      <c r="F9" s="91">
        <f>VLOOKUP($A9,'Data Vlaue (Cr)'!$C:$FB,77)</f>
        <v>-15</v>
      </c>
      <c r="G9" s="92">
        <f>VLOOKUP(A9,'Data Vlaue (Cr)'!C4:CB215,78,0)</f>
        <v>-9.2999999999999992E-3</v>
      </c>
      <c r="H9" s="91">
        <f>VLOOKUP($A9,'Data Vlaue (Cr)'!$C:$FB,91)</f>
        <v>539</v>
      </c>
      <c r="I9" s="91">
        <f>VLOOKUP($A9,'Data Vlaue (Cr)'!$C:$FB,93)</f>
        <v>-10</v>
      </c>
      <c r="J9" s="92">
        <f>VLOOKUP($A9,'Data Vlaue (Cr)'!$C:$FB,94)</f>
        <v>-1.84E-2</v>
      </c>
      <c r="K9" s="91">
        <f>VLOOKUP($A9,'Data Vlaue (Cr)'!$C:$FB,95)</f>
        <v>333</v>
      </c>
      <c r="L9" s="91">
        <f>VLOOKUP($A9,'Data Vlaue (Cr)'!$C:$FB,97)</f>
        <v>0</v>
      </c>
      <c r="M9" s="92">
        <f>VLOOKUP($A9,'Data Vlaue (Cr)'!$C:$FB,98)</f>
        <v>-2.9999999999999997E-4</v>
      </c>
      <c r="N9" s="91">
        <f>VLOOKUP($A9,'Data Vlaue (Cr)'!$C:$FB,79)</f>
        <v>1602</v>
      </c>
      <c r="O9" s="92">
        <f>VLOOKUP($A9,'Data Vlaue (Cr)'!$C:$FB,82)</f>
        <v>-9.9000000000000008E-3</v>
      </c>
    </row>
    <row r="10" spans="1:15" x14ac:dyDescent="0.25">
      <c r="A10" s="97" t="str">
        <f>'Data Vlaue (Cr)'!C5</f>
        <v>ADANIENSOL</v>
      </c>
      <c r="B10" s="142">
        <f>VLOOKUP(A10,'Data Vlaue (Cr)'!C5:CW216,99,0)</f>
        <v>2519</v>
      </c>
      <c r="C10" s="90">
        <f>VLOOKUP(A10,'Data Vlaue (Cr)'!C5:CY216,101,0)</f>
        <v>32</v>
      </c>
      <c r="D10" s="139">
        <f>VLOOKUP(A10,'Data Vlaue (Cr)'!C5:CZ216,102,0)</f>
        <v>1.2999999999999999E-2</v>
      </c>
      <c r="E10" s="91">
        <f>VLOOKUP($A10,'Data Vlaue (Cr)'!$C:$FB,75)</f>
        <v>2120</v>
      </c>
      <c r="F10" s="91">
        <f>VLOOKUP($A10,'Data Vlaue (Cr)'!$C:$FB,77)</f>
        <v>-10</v>
      </c>
      <c r="G10" s="92">
        <f>VLOOKUP(A10,'Data Vlaue (Cr)'!C5:CB216,78,0)</f>
        <v>-4.7999999999999996E-3</v>
      </c>
      <c r="H10" s="91">
        <f>VLOOKUP($A10,'Data Vlaue (Cr)'!$C:$FB,91)</f>
        <v>224</v>
      </c>
      <c r="I10" s="91">
        <f>VLOOKUP($A10,'Data Vlaue (Cr)'!$C:$FB,93)</f>
        <v>19</v>
      </c>
      <c r="J10" s="92">
        <f>VLOOKUP($A10,'Data Vlaue (Cr)'!$C:$FB,94)</f>
        <v>9.06E-2</v>
      </c>
      <c r="K10" s="91">
        <f>VLOOKUP($A10,'Data Vlaue (Cr)'!$C:$FB,95)</f>
        <v>175</v>
      </c>
      <c r="L10" s="91">
        <f>VLOOKUP($A10,'Data Vlaue (Cr)'!$C:$FB,97)</f>
        <v>24</v>
      </c>
      <c r="M10" s="92">
        <f>VLOOKUP($A10,'Data Vlaue (Cr)'!$C:$FB,98)</f>
        <v>0.1593</v>
      </c>
      <c r="N10" s="91">
        <f>VLOOKUP($A10,'Data Vlaue (Cr)'!$C:$FB,79)</f>
        <v>2059</v>
      </c>
      <c r="O10" s="92">
        <f>VLOOKUP($A10,'Data Vlaue (Cr)'!$C:$FB,82)</f>
        <v>-5.1999999999999998E-3</v>
      </c>
    </row>
    <row r="11" spans="1:15" x14ac:dyDescent="0.25">
      <c r="A11" s="97" t="str">
        <f>'Data Vlaue (Cr)'!C6</f>
        <v>ADANIENT</v>
      </c>
      <c r="B11" s="142">
        <f>VLOOKUP(A11,'Data Vlaue (Cr)'!C6:CW217,99,0)</f>
        <v>5974</v>
      </c>
      <c r="C11" s="90">
        <f>VLOOKUP(A11,'Data Vlaue (Cr)'!C6:CY217,101,0)</f>
        <v>120</v>
      </c>
      <c r="D11" s="139">
        <f>VLOOKUP(A11,'Data Vlaue (Cr)'!C6:CZ217,102,0)</f>
        <v>2.0500000000000001E-2</v>
      </c>
      <c r="E11" s="91">
        <f>VLOOKUP($A11,'Data Vlaue (Cr)'!$C:$FB,75)</f>
        <v>3913</v>
      </c>
      <c r="F11" s="91">
        <f>VLOOKUP($A11,'Data Vlaue (Cr)'!$C:$FB,77)</f>
        <v>-18</v>
      </c>
      <c r="G11" s="92">
        <f>VLOOKUP(A11,'Data Vlaue (Cr)'!C6:CB217,78,0)</f>
        <v>-4.4999999999999997E-3</v>
      </c>
      <c r="H11" s="91">
        <f>VLOOKUP($A11,'Data Vlaue (Cr)'!$C:$FB,91)</f>
        <v>1059</v>
      </c>
      <c r="I11" s="91">
        <f>VLOOKUP($A11,'Data Vlaue (Cr)'!$C:$FB,93)</f>
        <v>89</v>
      </c>
      <c r="J11" s="92">
        <f>VLOOKUP($A11,'Data Vlaue (Cr)'!$C:$FB,94)</f>
        <v>9.2100000000000001E-2</v>
      </c>
      <c r="K11" s="91">
        <f>VLOOKUP($A11,'Data Vlaue (Cr)'!$C:$FB,95)</f>
        <v>1002</v>
      </c>
      <c r="L11" s="91">
        <f>VLOOKUP($A11,'Data Vlaue (Cr)'!$C:$FB,97)</f>
        <v>48</v>
      </c>
      <c r="M11" s="92">
        <f>VLOOKUP($A11,'Data Vlaue (Cr)'!$C:$FB,98)</f>
        <v>5.0599999999999999E-2</v>
      </c>
      <c r="N11" s="91">
        <f>VLOOKUP($A11,'Data Vlaue (Cr)'!$C:$FB,79)</f>
        <v>3396</v>
      </c>
      <c r="O11" s="92">
        <f>VLOOKUP($A11,'Data Vlaue (Cr)'!$C:$FB,82)</f>
        <v>-7.4999999999999997E-3</v>
      </c>
    </row>
    <row r="12" spans="1:15" x14ac:dyDescent="0.25">
      <c r="A12" s="97" t="str">
        <f>'Data Vlaue (Cr)'!C7</f>
        <v>ADANIGREEN</v>
      </c>
      <c r="B12" s="142">
        <f>VLOOKUP(A12,'Data Vlaue (Cr)'!C7:CW218,99,0)</f>
        <v>3075</v>
      </c>
      <c r="C12" s="90">
        <f>VLOOKUP(A12,'Data Vlaue (Cr)'!C7:CY218,101,0)</f>
        <v>174</v>
      </c>
      <c r="D12" s="139">
        <f>VLOOKUP(A12,'Data Vlaue (Cr)'!C7:CZ218,102,0)</f>
        <v>0.06</v>
      </c>
      <c r="E12" s="91">
        <f>VLOOKUP($A12,'Data Vlaue (Cr)'!$C:$FB,75)</f>
        <v>1966</v>
      </c>
      <c r="F12" s="91">
        <f>VLOOKUP($A12,'Data Vlaue (Cr)'!$C:$FB,77)</f>
        <v>9</v>
      </c>
      <c r="G12" s="92">
        <f>VLOOKUP(A12,'Data Vlaue (Cr)'!C7:CB218,78,0)</f>
        <v>4.5999999999999999E-3</v>
      </c>
      <c r="H12" s="91">
        <f>VLOOKUP($A12,'Data Vlaue (Cr)'!$C:$FB,91)</f>
        <v>684</v>
      </c>
      <c r="I12" s="91">
        <f>VLOOKUP($A12,'Data Vlaue (Cr)'!$C:$FB,93)</f>
        <v>140</v>
      </c>
      <c r="J12" s="92">
        <f>VLOOKUP($A12,'Data Vlaue (Cr)'!$C:$FB,94)</f>
        <v>0.25790000000000002</v>
      </c>
      <c r="K12" s="91">
        <f>VLOOKUP($A12,'Data Vlaue (Cr)'!$C:$FB,95)</f>
        <v>425</v>
      </c>
      <c r="L12" s="91">
        <f>VLOOKUP($A12,'Data Vlaue (Cr)'!$C:$FB,97)</f>
        <v>25</v>
      </c>
      <c r="M12" s="92">
        <f>VLOOKUP($A12,'Data Vlaue (Cr)'!$C:$FB,98)</f>
        <v>6.1600000000000002E-2</v>
      </c>
      <c r="N12" s="91">
        <f>VLOOKUP($A12,'Data Vlaue (Cr)'!$C:$FB,79)</f>
        <v>1917</v>
      </c>
      <c r="O12" s="92">
        <f>VLOOKUP($A12,'Data Vlaue (Cr)'!$C:$FB,82)</f>
        <v>0</v>
      </c>
    </row>
    <row r="13" spans="1:15" x14ac:dyDescent="0.25">
      <c r="A13" s="97" t="str">
        <f>'Data Vlaue (Cr)'!C8</f>
        <v>ADANIPORTS</v>
      </c>
      <c r="B13" s="142">
        <f>VLOOKUP(A13,'Data Vlaue (Cr)'!C8:CW219,99,0)</f>
        <v>5169</v>
      </c>
      <c r="C13" s="90">
        <f>VLOOKUP(A13,'Data Vlaue (Cr)'!C8:CY219,101,0)</f>
        <v>-20</v>
      </c>
      <c r="D13" s="139">
        <f>VLOOKUP(A13,'Data Vlaue (Cr)'!C8:CZ219,102,0)</f>
        <v>-3.8E-3</v>
      </c>
      <c r="E13" s="91">
        <f>VLOOKUP($A13,'Data Vlaue (Cr)'!$C:$FB,75)</f>
        <v>3159</v>
      </c>
      <c r="F13" s="91">
        <f>VLOOKUP($A13,'Data Vlaue (Cr)'!$C:$FB,77)</f>
        <v>-53</v>
      </c>
      <c r="G13" s="92">
        <f>VLOOKUP(A13,'Data Vlaue (Cr)'!C8:CB219,78,0)</f>
        <v>-1.66E-2</v>
      </c>
      <c r="H13" s="91">
        <f>VLOOKUP($A13,'Data Vlaue (Cr)'!$C:$FB,91)</f>
        <v>1048</v>
      </c>
      <c r="I13" s="91">
        <f>VLOOKUP($A13,'Data Vlaue (Cr)'!$C:$FB,93)</f>
        <v>28</v>
      </c>
      <c r="J13" s="92">
        <f>VLOOKUP($A13,'Data Vlaue (Cr)'!$C:$FB,94)</f>
        <v>2.76E-2</v>
      </c>
      <c r="K13" s="91">
        <f>VLOOKUP($A13,'Data Vlaue (Cr)'!$C:$FB,95)</f>
        <v>961</v>
      </c>
      <c r="L13" s="91">
        <f>VLOOKUP($A13,'Data Vlaue (Cr)'!$C:$FB,97)</f>
        <v>6</v>
      </c>
      <c r="M13" s="92">
        <f>VLOOKUP($A13,'Data Vlaue (Cr)'!$C:$FB,98)</f>
        <v>5.8999999999999999E-3</v>
      </c>
      <c r="N13" s="91">
        <f>VLOOKUP($A13,'Data Vlaue (Cr)'!$C:$FB,79)</f>
        <v>3059</v>
      </c>
      <c r="O13" s="92">
        <f>VLOOKUP($A13,'Data Vlaue (Cr)'!$C:$FB,82)</f>
        <v>-1.67E-2</v>
      </c>
    </row>
    <row r="14" spans="1:15" x14ac:dyDescent="0.25">
      <c r="A14" s="97" t="str">
        <f>'Data Vlaue (Cr)'!C9</f>
        <v>ALKEM</v>
      </c>
      <c r="B14" s="142">
        <f>VLOOKUP(A14,'Data Vlaue (Cr)'!C9:CW220,99,0)</f>
        <v>896</v>
      </c>
      <c r="C14" s="90">
        <f>VLOOKUP(A14,'Data Vlaue (Cr)'!C9:CY220,101,0)</f>
        <v>23</v>
      </c>
      <c r="D14" s="139">
        <f>VLOOKUP(A14,'Data Vlaue (Cr)'!C9:CZ220,102,0)</f>
        <v>2.5899999999999999E-2</v>
      </c>
      <c r="E14" s="91">
        <f>VLOOKUP($A14,'Data Vlaue (Cr)'!$C:$FB,75)</f>
        <v>692</v>
      </c>
      <c r="F14" s="91">
        <f>VLOOKUP($A14,'Data Vlaue (Cr)'!$C:$FB,77)</f>
        <v>4</v>
      </c>
      <c r="G14" s="92">
        <f>VLOOKUP(A14,'Data Vlaue (Cr)'!C9:CB220,78,0)</f>
        <v>5.4000000000000003E-3</v>
      </c>
      <c r="H14" s="91">
        <f>VLOOKUP($A14,'Data Vlaue (Cr)'!$C:$FB,91)</f>
        <v>125</v>
      </c>
      <c r="I14" s="91">
        <f>VLOOKUP($A14,'Data Vlaue (Cr)'!$C:$FB,93)</f>
        <v>18</v>
      </c>
      <c r="J14" s="92">
        <f>VLOOKUP($A14,'Data Vlaue (Cr)'!$C:$FB,94)</f>
        <v>0.16420000000000001</v>
      </c>
      <c r="K14" s="91">
        <f>VLOOKUP($A14,'Data Vlaue (Cr)'!$C:$FB,95)</f>
        <v>80</v>
      </c>
      <c r="L14" s="91">
        <f>VLOOKUP($A14,'Data Vlaue (Cr)'!$C:$FB,97)</f>
        <v>1</v>
      </c>
      <c r="M14" s="92">
        <f>VLOOKUP($A14,'Data Vlaue (Cr)'!$C:$FB,98)</f>
        <v>1.77E-2</v>
      </c>
      <c r="N14" s="91">
        <f>VLOOKUP($A14,'Data Vlaue (Cr)'!$C:$FB,79)</f>
        <v>689</v>
      </c>
      <c r="O14" s="92">
        <f>VLOOKUP($A14,'Data Vlaue (Cr)'!$C:$FB,82)</f>
        <v>5.3E-3</v>
      </c>
    </row>
    <row r="15" spans="1:15" x14ac:dyDescent="0.25">
      <c r="A15" s="97" t="str">
        <f>'Data Vlaue (Cr)'!C10</f>
        <v>AMBER</v>
      </c>
      <c r="B15" s="142">
        <f>VLOOKUP(A15,'Data Vlaue (Cr)'!C10:CW221,99,0)</f>
        <v>1528</v>
      </c>
      <c r="C15" s="90">
        <f>VLOOKUP(A15,'Data Vlaue (Cr)'!C10:CY221,101,0)</f>
        <v>93</v>
      </c>
      <c r="D15" s="139">
        <f>VLOOKUP(A15,'Data Vlaue (Cr)'!C10:CZ221,102,0)</f>
        <v>6.4699999999999994E-2</v>
      </c>
      <c r="E15" s="91">
        <f>VLOOKUP($A15,'Data Vlaue (Cr)'!$C:$FB,75)</f>
        <v>759</v>
      </c>
      <c r="F15" s="91">
        <f>VLOOKUP($A15,'Data Vlaue (Cr)'!$C:$FB,77)</f>
        <v>15</v>
      </c>
      <c r="G15" s="92">
        <f>VLOOKUP(A15,'Data Vlaue (Cr)'!C10:CB221,78,0)</f>
        <v>2.0500000000000001E-2</v>
      </c>
      <c r="H15" s="91">
        <f>VLOOKUP($A15,'Data Vlaue (Cr)'!$C:$FB,91)</f>
        <v>463</v>
      </c>
      <c r="I15" s="91">
        <f>VLOOKUP($A15,'Data Vlaue (Cr)'!$C:$FB,93)</f>
        <v>23</v>
      </c>
      <c r="J15" s="92">
        <f>VLOOKUP($A15,'Data Vlaue (Cr)'!$C:$FB,94)</f>
        <v>5.1999999999999998E-2</v>
      </c>
      <c r="K15" s="91">
        <f>VLOOKUP($A15,'Data Vlaue (Cr)'!$C:$FB,95)</f>
        <v>307</v>
      </c>
      <c r="L15" s="91">
        <f>VLOOKUP($A15,'Data Vlaue (Cr)'!$C:$FB,97)</f>
        <v>55</v>
      </c>
      <c r="M15" s="92">
        <f>VLOOKUP($A15,'Data Vlaue (Cr)'!$C:$FB,98)</f>
        <v>0.21679999999999999</v>
      </c>
      <c r="N15" s="91">
        <f>VLOOKUP($A15,'Data Vlaue (Cr)'!$C:$FB,79)</f>
        <v>735</v>
      </c>
      <c r="O15" s="92">
        <f>VLOOKUP($A15,'Data Vlaue (Cr)'!$C:$FB,82)</f>
        <v>0.02</v>
      </c>
    </row>
    <row r="16" spans="1:15" x14ac:dyDescent="0.25">
      <c r="A16" s="97" t="str">
        <f>'Data Vlaue (Cr)'!C11</f>
        <v>AMBUJACEM</v>
      </c>
      <c r="B16" s="142">
        <f>VLOOKUP(A16,'Data Vlaue (Cr)'!C11:CW222,99,0)</f>
        <v>3667</v>
      </c>
      <c r="C16" s="90">
        <f>VLOOKUP(A16,'Data Vlaue (Cr)'!C11:CY222,101,0)</f>
        <v>39</v>
      </c>
      <c r="D16" s="139">
        <f>VLOOKUP(A16,'Data Vlaue (Cr)'!C11:CZ222,102,0)</f>
        <v>1.0699999999999999E-2</v>
      </c>
      <c r="E16" s="91">
        <f>VLOOKUP($A16,'Data Vlaue (Cr)'!$C:$FB,75)</f>
        <v>2487</v>
      </c>
      <c r="F16" s="91">
        <f>VLOOKUP($A16,'Data Vlaue (Cr)'!$C:$FB,77)</f>
        <v>25</v>
      </c>
      <c r="G16" s="92">
        <f>VLOOKUP(A16,'Data Vlaue (Cr)'!C11:CB222,78,0)</f>
        <v>1.03E-2</v>
      </c>
      <c r="H16" s="91">
        <f>VLOOKUP($A16,'Data Vlaue (Cr)'!$C:$FB,91)</f>
        <v>707</v>
      </c>
      <c r="I16" s="91">
        <f>VLOOKUP($A16,'Data Vlaue (Cr)'!$C:$FB,93)</f>
        <v>-5</v>
      </c>
      <c r="J16" s="92">
        <f>VLOOKUP($A16,'Data Vlaue (Cr)'!$C:$FB,94)</f>
        <v>-7.4999999999999997E-3</v>
      </c>
      <c r="K16" s="91">
        <f>VLOOKUP($A16,'Data Vlaue (Cr)'!$C:$FB,95)</f>
        <v>473</v>
      </c>
      <c r="L16" s="91">
        <f>VLOOKUP($A16,'Data Vlaue (Cr)'!$C:$FB,97)</f>
        <v>19</v>
      </c>
      <c r="M16" s="92">
        <f>VLOOKUP($A16,'Data Vlaue (Cr)'!$C:$FB,98)</f>
        <v>4.1700000000000001E-2</v>
      </c>
      <c r="N16" s="91">
        <f>VLOOKUP($A16,'Data Vlaue (Cr)'!$C:$FB,79)</f>
        <v>2412</v>
      </c>
      <c r="O16" s="92">
        <f>VLOOKUP($A16,'Data Vlaue (Cr)'!$C:$FB,82)</f>
        <v>8.3000000000000001E-3</v>
      </c>
    </row>
    <row r="17" spans="1:15" x14ac:dyDescent="0.25">
      <c r="A17" s="97" t="str">
        <f>'Data Vlaue (Cr)'!C12</f>
        <v>ANGELONE</v>
      </c>
      <c r="B17" s="142">
        <f>VLOOKUP(A17,'Data Vlaue (Cr)'!C12:CW223,99,0)</f>
        <v>1619</v>
      </c>
      <c r="C17" s="90">
        <f>VLOOKUP(A17,'Data Vlaue (Cr)'!C12:CY223,101,0)</f>
        <v>67</v>
      </c>
      <c r="D17" s="139">
        <f>VLOOKUP(A17,'Data Vlaue (Cr)'!C12:CZ223,102,0)</f>
        <v>4.3200000000000002E-2</v>
      </c>
      <c r="E17" s="91">
        <f>VLOOKUP($A17,'Data Vlaue (Cr)'!$C:$FB,75)</f>
        <v>825</v>
      </c>
      <c r="F17" s="91">
        <f>VLOOKUP($A17,'Data Vlaue (Cr)'!$C:$FB,77)</f>
        <v>66</v>
      </c>
      <c r="G17" s="92">
        <f>VLOOKUP(A17,'Data Vlaue (Cr)'!C12:CB223,78,0)</f>
        <v>8.7599999999999997E-2</v>
      </c>
      <c r="H17" s="91">
        <f>VLOOKUP($A17,'Data Vlaue (Cr)'!$C:$FB,91)</f>
        <v>500</v>
      </c>
      <c r="I17" s="91">
        <f>VLOOKUP($A17,'Data Vlaue (Cr)'!$C:$FB,93)</f>
        <v>3</v>
      </c>
      <c r="J17" s="92">
        <f>VLOOKUP($A17,'Data Vlaue (Cr)'!$C:$FB,94)</f>
        <v>6.1000000000000004E-3</v>
      </c>
      <c r="K17" s="91">
        <f>VLOOKUP($A17,'Data Vlaue (Cr)'!$C:$FB,95)</f>
        <v>293</v>
      </c>
      <c r="L17" s="91">
        <f>VLOOKUP($A17,'Data Vlaue (Cr)'!$C:$FB,97)</f>
        <v>-3</v>
      </c>
      <c r="M17" s="92">
        <f>VLOOKUP($A17,'Data Vlaue (Cr)'!$C:$FB,98)</f>
        <v>-8.5000000000000006E-3</v>
      </c>
      <c r="N17" s="91">
        <f>VLOOKUP($A17,'Data Vlaue (Cr)'!$C:$FB,79)</f>
        <v>672</v>
      </c>
      <c r="O17" s="92">
        <f>VLOOKUP($A17,'Data Vlaue (Cr)'!$C:$FB,82)</f>
        <v>0.1007</v>
      </c>
    </row>
    <row r="18" spans="1:15" x14ac:dyDescent="0.25">
      <c r="A18" s="97" t="str">
        <f>'Data Vlaue (Cr)'!C13</f>
        <v>APLAPOLLO</v>
      </c>
      <c r="B18" s="142">
        <f>VLOOKUP(A18,'Data Vlaue (Cr)'!C13:CW224,99,0)</f>
        <v>1489</v>
      </c>
      <c r="C18" s="90">
        <f>VLOOKUP(A18,'Data Vlaue (Cr)'!C13:CY224,101,0)</f>
        <v>3</v>
      </c>
      <c r="D18" s="139">
        <f>VLOOKUP(A18,'Data Vlaue (Cr)'!C13:CZ224,102,0)</f>
        <v>1.6999999999999999E-3</v>
      </c>
      <c r="E18" s="91">
        <f>VLOOKUP($A18,'Data Vlaue (Cr)'!$C:$FB,75)</f>
        <v>1052</v>
      </c>
      <c r="F18" s="91">
        <f>VLOOKUP($A18,'Data Vlaue (Cr)'!$C:$FB,77)</f>
        <v>-4</v>
      </c>
      <c r="G18" s="92">
        <f>VLOOKUP(A18,'Data Vlaue (Cr)'!C13:CB224,78,0)</f>
        <v>-4.0000000000000001E-3</v>
      </c>
      <c r="H18" s="91">
        <f>VLOOKUP($A18,'Data Vlaue (Cr)'!$C:$FB,91)</f>
        <v>227</v>
      </c>
      <c r="I18" s="91">
        <f>VLOOKUP($A18,'Data Vlaue (Cr)'!$C:$FB,93)</f>
        <v>-2</v>
      </c>
      <c r="J18" s="92">
        <f>VLOOKUP($A18,'Data Vlaue (Cr)'!$C:$FB,94)</f>
        <v>-7.3000000000000001E-3</v>
      </c>
      <c r="K18" s="91">
        <f>VLOOKUP($A18,'Data Vlaue (Cr)'!$C:$FB,95)</f>
        <v>210</v>
      </c>
      <c r="L18" s="91">
        <f>VLOOKUP($A18,'Data Vlaue (Cr)'!$C:$FB,97)</f>
        <v>8</v>
      </c>
      <c r="M18" s="92">
        <f>VLOOKUP($A18,'Data Vlaue (Cr)'!$C:$FB,98)</f>
        <v>4.1700000000000001E-2</v>
      </c>
      <c r="N18" s="91">
        <f>VLOOKUP($A18,'Data Vlaue (Cr)'!$C:$FB,79)</f>
        <v>1043</v>
      </c>
      <c r="O18" s="92">
        <f>VLOOKUP($A18,'Data Vlaue (Cr)'!$C:$FB,82)</f>
        <v>-4.1999999999999997E-3</v>
      </c>
    </row>
    <row r="19" spans="1:15" x14ac:dyDescent="0.25">
      <c r="A19" s="97" t="str">
        <f>'Data Vlaue (Cr)'!C14</f>
        <v>APOLLOHOSP</v>
      </c>
      <c r="B19" s="142">
        <f>VLOOKUP(A19,'Data Vlaue (Cr)'!C14:CW225,99,0)</f>
        <v>3241</v>
      </c>
      <c r="C19" s="90">
        <f>VLOOKUP(A19,'Data Vlaue (Cr)'!C14:CY225,101,0)</f>
        <v>69</v>
      </c>
      <c r="D19" s="139">
        <f>VLOOKUP(A19,'Data Vlaue (Cr)'!C14:CZ225,102,0)</f>
        <v>2.1700000000000001E-2</v>
      </c>
      <c r="E19" s="91">
        <f>VLOOKUP($A19,'Data Vlaue (Cr)'!$C:$FB,75)</f>
        <v>1984</v>
      </c>
      <c r="F19" s="91">
        <f>VLOOKUP($A19,'Data Vlaue (Cr)'!$C:$FB,77)</f>
        <v>-69</v>
      </c>
      <c r="G19" s="92">
        <f>VLOOKUP(A19,'Data Vlaue (Cr)'!C14:CB225,78,0)</f>
        <v>-3.3399999999999999E-2</v>
      </c>
      <c r="H19" s="91">
        <f>VLOOKUP($A19,'Data Vlaue (Cr)'!$C:$FB,91)</f>
        <v>719</v>
      </c>
      <c r="I19" s="91">
        <f>VLOOKUP($A19,'Data Vlaue (Cr)'!$C:$FB,93)</f>
        <v>51</v>
      </c>
      <c r="J19" s="92">
        <f>VLOOKUP($A19,'Data Vlaue (Cr)'!$C:$FB,94)</f>
        <v>7.6399999999999996E-2</v>
      </c>
      <c r="K19" s="91">
        <f>VLOOKUP($A19,'Data Vlaue (Cr)'!$C:$FB,95)</f>
        <v>538</v>
      </c>
      <c r="L19" s="91">
        <f>VLOOKUP($A19,'Data Vlaue (Cr)'!$C:$FB,97)</f>
        <v>86</v>
      </c>
      <c r="M19" s="92">
        <f>VLOOKUP($A19,'Data Vlaue (Cr)'!$C:$FB,98)</f>
        <v>0.1913</v>
      </c>
      <c r="N19" s="91">
        <f>VLOOKUP($A19,'Data Vlaue (Cr)'!$C:$FB,79)</f>
        <v>1962</v>
      </c>
      <c r="O19" s="92">
        <f>VLOOKUP($A19,'Data Vlaue (Cr)'!$C:$FB,82)</f>
        <v>-3.39E-2</v>
      </c>
    </row>
    <row r="20" spans="1:15" x14ac:dyDescent="0.25">
      <c r="A20" s="97" t="str">
        <f>'Data Vlaue (Cr)'!C15</f>
        <v>ASHOKLEY</v>
      </c>
      <c r="B20" s="142">
        <f>VLOOKUP(A20,'Data Vlaue (Cr)'!C15:CW226,99,0)</f>
        <v>4523</v>
      </c>
      <c r="C20" s="90">
        <f>VLOOKUP(A20,'Data Vlaue (Cr)'!C15:CY226,101,0)</f>
        <v>9</v>
      </c>
      <c r="D20" s="139">
        <f>VLOOKUP(A20,'Data Vlaue (Cr)'!C15:CZ226,102,0)</f>
        <v>2E-3</v>
      </c>
      <c r="E20" s="91">
        <f>VLOOKUP($A20,'Data Vlaue (Cr)'!$C:$FB,75)</f>
        <v>3075</v>
      </c>
      <c r="F20" s="91">
        <f>VLOOKUP($A20,'Data Vlaue (Cr)'!$C:$FB,77)</f>
        <v>-11</v>
      </c>
      <c r="G20" s="92">
        <f>VLOOKUP(A20,'Data Vlaue (Cr)'!C15:CB226,78,0)</f>
        <v>-3.7000000000000002E-3</v>
      </c>
      <c r="H20" s="91">
        <f>VLOOKUP($A20,'Data Vlaue (Cr)'!$C:$FB,91)</f>
        <v>844</v>
      </c>
      <c r="I20" s="91">
        <f>VLOOKUP($A20,'Data Vlaue (Cr)'!$C:$FB,93)</f>
        <v>-9</v>
      </c>
      <c r="J20" s="92">
        <f>VLOOKUP($A20,'Data Vlaue (Cr)'!$C:$FB,94)</f>
        <v>-1.0200000000000001E-2</v>
      </c>
      <c r="K20" s="91">
        <f>VLOOKUP($A20,'Data Vlaue (Cr)'!$C:$FB,95)</f>
        <v>603</v>
      </c>
      <c r="L20" s="91">
        <f>VLOOKUP($A20,'Data Vlaue (Cr)'!$C:$FB,97)</f>
        <v>29</v>
      </c>
      <c r="M20" s="92">
        <f>VLOOKUP($A20,'Data Vlaue (Cr)'!$C:$FB,98)</f>
        <v>5.0599999999999999E-2</v>
      </c>
      <c r="N20" s="91">
        <f>VLOOKUP($A20,'Data Vlaue (Cr)'!$C:$FB,79)</f>
        <v>2986</v>
      </c>
      <c r="O20" s="92">
        <f>VLOOKUP($A20,'Data Vlaue (Cr)'!$C:$FB,82)</f>
        <v>-7.6E-3</v>
      </c>
    </row>
    <row r="21" spans="1:15" x14ac:dyDescent="0.25">
      <c r="A21" s="97" t="str">
        <f>'Data Vlaue (Cr)'!C16</f>
        <v>ASIANPAINT</v>
      </c>
      <c r="B21" s="142">
        <f>VLOOKUP(A21,'Data Vlaue (Cr)'!C16:CW227,99,0)</f>
        <v>4822</v>
      </c>
      <c r="C21" s="90">
        <f>VLOOKUP(A21,'Data Vlaue (Cr)'!C16:CY227,101,0)</f>
        <v>-5</v>
      </c>
      <c r="D21" s="139">
        <f>VLOOKUP(A21,'Data Vlaue (Cr)'!C16:CZ227,102,0)</f>
        <v>-1E-3</v>
      </c>
      <c r="E21" s="91">
        <f>VLOOKUP($A21,'Data Vlaue (Cr)'!$C:$FB,75)</f>
        <v>2941</v>
      </c>
      <c r="F21" s="91">
        <f>VLOOKUP($A21,'Data Vlaue (Cr)'!$C:$FB,77)</f>
        <v>1</v>
      </c>
      <c r="G21" s="92">
        <f>VLOOKUP(A21,'Data Vlaue (Cr)'!C16:CB227,78,0)</f>
        <v>2.9999999999999997E-4</v>
      </c>
      <c r="H21" s="91">
        <f>VLOOKUP($A21,'Data Vlaue (Cr)'!$C:$FB,91)</f>
        <v>992</v>
      </c>
      <c r="I21" s="91">
        <f>VLOOKUP($A21,'Data Vlaue (Cr)'!$C:$FB,93)</f>
        <v>37</v>
      </c>
      <c r="J21" s="92">
        <f>VLOOKUP($A21,'Data Vlaue (Cr)'!$C:$FB,94)</f>
        <v>3.8399999999999997E-2</v>
      </c>
      <c r="K21" s="91">
        <f>VLOOKUP($A21,'Data Vlaue (Cr)'!$C:$FB,95)</f>
        <v>888</v>
      </c>
      <c r="L21" s="91">
        <f>VLOOKUP($A21,'Data Vlaue (Cr)'!$C:$FB,97)</f>
        <v>-42</v>
      </c>
      <c r="M21" s="92">
        <f>VLOOKUP($A21,'Data Vlaue (Cr)'!$C:$FB,98)</f>
        <v>-4.5400000000000003E-2</v>
      </c>
      <c r="N21" s="91">
        <f>VLOOKUP($A21,'Data Vlaue (Cr)'!$C:$FB,79)</f>
        <v>2884</v>
      </c>
      <c r="O21" s="92">
        <f>VLOOKUP($A21,'Data Vlaue (Cr)'!$C:$FB,82)</f>
        <v>-1E-4</v>
      </c>
    </row>
    <row r="22" spans="1:15" x14ac:dyDescent="0.25">
      <c r="A22" s="97" t="str">
        <f>'Data Vlaue (Cr)'!C17</f>
        <v>ASTRAL</v>
      </c>
      <c r="B22" s="142">
        <f>VLOOKUP(A22,'Data Vlaue (Cr)'!C17:CW228,99,0)</f>
        <v>1958</v>
      </c>
      <c r="C22" s="90">
        <f>VLOOKUP(A22,'Data Vlaue (Cr)'!C17:CY228,101,0)</f>
        <v>65</v>
      </c>
      <c r="D22" s="139">
        <f>VLOOKUP(A22,'Data Vlaue (Cr)'!C17:CZ228,102,0)</f>
        <v>3.4099999999999998E-2</v>
      </c>
      <c r="E22" s="91">
        <f>VLOOKUP($A22,'Data Vlaue (Cr)'!$C:$FB,75)</f>
        <v>1501</v>
      </c>
      <c r="F22" s="91">
        <f>VLOOKUP($A22,'Data Vlaue (Cr)'!$C:$FB,77)</f>
        <v>44</v>
      </c>
      <c r="G22" s="92">
        <f>VLOOKUP(A22,'Data Vlaue (Cr)'!C17:CB228,78,0)</f>
        <v>2.9899999999999999E-2</v>
      </c>
      <c r="H22" s="91">
        <f>VLOOKUP($A22,'Data Vlaue (Cr)'!$C:$FB,91)</f>
        <v>299</v>
      </c>
      <c r="I22" s="91">
        <f>VLOOKUP($A22,'Data Vlaue (Cr)'!$C:$FB,93)</f>
        <v>19</v>
      </c>
      <c r="J22" s="92">
        <f>VLOOKUP($A22,'Data Vlaue (Cr)'!$C:$FB,94)</f>
        <v>6.7199999999999996E-2</v>
      </c>
      <c r="K22" s="91">
        <f>VLOOKUP($A22,'Data Vlaue (Cr)'!$C:$FB,95)</f>
        <v>157</v>
      </c>
      <c r="L22" s="91">
        <f>VLOOKUP($A22,'Data Vlaue (Cr)'!$C:$FB,97)</f>
        <v>2</v>
      </c>
      <c r="M22" s="92">
        <f>VLOOKUP($A22,'Data Vlaue (Cr)'!$C:$FB,98)</f>
        <v>1.41E-2</v>
      </c>
      <c r="N22" s="91">
        <f>VLOOKUP($A22,'Data Vlaue (Cr)'!$C:$FB,79)</f>
        <v>1434</v>
      </c>
      <c r="O22" s="92">
        <f>VLOOKUP($A22,'Data Vlaue (Cr)'!$C:$FB,82)</f>
        <v>1.2699999999999999E-2</v>
      </c>
    </row>
    <row r="23" spans="1:15" x14ac:dyDescent="0.25">
      <c r="A23" s="97" t="str">
        <f>'Data Vlaue (Cr)'!C18</f>
        <v>AUBANK</v>
      </c>
      <c r="B23" s="142">
        <f>VLOOKUP(A23,'Data Vlaue (Cr)'!C18:CW229,99,0)</f>
        <v>3315</v>
      </c>
      <c r="C23" s="90">
        <f>VLOOKUP(A23,'Data Vlaue (Cr)'!C18:CY229,101,0)</f>
        <v>19</v>
      </c>
      <c r="D23" s="139">
        <f>VLOOKUP(A23,'Data Vlaue (Cr)'!C18:CZ229,102,0)</f>
        <v>5.5999999999999999E-3</v>
      </c>
      <c r="E23" s="91">
        <f>VLOOKUP($A23,'Data Vlaue (Cr)'!$C:$FB,75)</f>
        <v>2191</v>
      </c>
      <c r="F23" s="91">
        <f>VLOOKUP($A23,'Data Vlaue (Cr)'!$C:$FB,77)</f>
        <v>54</v>
      </c>
      <c r="G23" s="92">
        <f>VLOOKUP(A23,'Data Vlaue (Cr)'!C18:CB229,78,0)</f>
        <v>2.5000000000000001E-2</v>
      </c>
      <c r="H23" s="91">
        <f>VLOOKUP($A23,'Data Vlaue (Cr)'!$C:$FB,91)</f>
        <v>652</v>
      </c>
      <c r="I23" s="91">
        <f>VLOOKUP($A23,'Data Vlaue (Cr)'!$C:$FB,93)</f>
        <v>-53</v>
      </c>
      <c r="J23" s="92">
        <f>VLOOKUP($A23,'Data Vlaue (Cr)'!$C:$FB,94)</f>
        <v>-7.5700000000000003E-2</v>
      </c>
      <c r="K23" s="91">
        <f>VLOOKUP($A23,'Data Vlaue (Cr)'!$C:$FB,95)</f>
        <v>471</v>
      </c>
      <c r="L23" s="91">
        <f>VLOOKUP($A23,'Data Vlaue (Cr)'!$C:$FB,97)</f>
        <v>19</v>
      </c>
      <c r="M23" s="92">
        <f>VLOOKUP($A23,'Data Vlaue (Cr)'!$C:$FB,98)</f>
        <v>4.0899999999999999E-2</v>
      </c>
      <c r="N23" s="91">
        <f>VLOOKUP($A23,'Data Vlaue (Cr)'!$C:$FB,79)</f>
        <v>2156</v>
      </c>
      <c r="O23" s="92">
        <f>VLOOKUP($A23,'Data Vlaue (Cr)'!$C:$FB,82)</f>
        <v>2.7400000000000001E-2</v>
      </c>
    </row>
    <row r="24" spans="1:15" x14ac:dyDescent="0.25">
      <c r="A24" s="97" t="str">
        <f>'Data Vlaue (Cr)'!C19</f>
        <v>AUROPHARMA</v>
      </c>
      <c r="B24" s="142">
        <f>VLOOKUP(A24,'Data Vlaue (Cr)'!C19:CW230,99,0)</f>
        <v>3509</v>
      </c>
      <c r="C24" s="90">
        <f>VLOOKUP(A24,'Data Vlaue (Cr)'!C19:CY230,101,0)</f>
        <v>11</v>
      </c>
      <c r="D24" s="139">
        <f>VLOOKUP(A24,'Data Vlaue (Cr)'!C19:CZ230,102,0)</f>
        <v>3.2000000000000002E-3</v>
      </c>
      <c r="E24" s="91">
        <f>VLOOKUP($A24,'Data Vlaue (Cr)'!$C:$FB,75)</f>
        <v>2723</v>
      </c>
      <c r="F24" s="91">
        <f>VLOOKUP($A24,'Data Vlaue (Cr)'!$C:$FB,77)</f>
        <v>2</v>
      </c>
      <c r="G24" s="92">
        <f>VLOOKUP(A24,'Data Vlaue (Cr)'!C19:CB230,78,0)</f>
        <v>8.0000000000000004E-4</v>
      </c>
      <c r="H24" s="91">
        <f>VLOOKUP($A24,'Data Vlaue (Cr)'!$C:$FB,91)</f>
        <v>473</v>
      </c>
      <c r="I24" s="91">
        <f>VLOOKUP($A24,'Data Vlaue (Cr)'!$C:$FB,93)</f>
        <v>-4</v>
      </c>
      <c r="J24" s="92">
        <f>VLOOKUP($A24,'Data Vlaue (Cr)'!$C:$FB,94)</f>
        <v>-7.4999999999999997E-3</v>
      </c>
      <c r="K24" s="91">
        <f>VLOOKUP($A24,'Data Vlaue (Cr)'!$C:$FB,95)</f>
        <v>312</v>
      </c>
      <c r="L24" s="91">
        <f>VLOOKUP($A24,'Data Vlaue (Cr)'!$C:$FB,97)</f>
        <v>13</v>
      </c>
      <c r="M24" s="92">
        <f>VLOOKUP($A24,'Data Vlaue (Cr)'!$C:$FB,98)</f>
        <v>4.2200000000000001E-2</v>
      </c>
      <c r="N24" s="91">
        <f>VLOOKUP($A24,'Data Vlaue (Cr)'!$C:$FB,79)</f>
        <v>2708</v>
      </c>
      <c r="O24" s="92">
        <f>VLOOKUP($A24,'Data Vlaue (Cr)'!$C:$FB,82)</f>
        <v>4.0000000000000002E-4</v>
      </c>
    </row>
    <row r="25" spans="1:15" x14ac:dyDescent="0.25">
      <c r="A25" s="97" t="str">
        <f>'Data Vlaue (Cr)'!C20</f>
        <v>AXISBANK</v>
      </c>
      <c r="B25" s="142">
        <f>VLOOKUP(A25,'Data Vlaue (Cr)'!C20:CW231,99,0)</f>
        <v>11998</v>
      </c>
      <c r="C25" s="90">
        <f>VLOOKUP(A25,'Data Vlaue (Cr)'!C20:CY231,101,0)</f>
        <v>297</v>
      </c>
      <c r="D25" s="139">
        <f>VLOOKUP(A25,'Data Vlaue (Cr)'!C20:CZ231,102,0)</f>
        <v>2.5399999999999999E-2</v>
      </c>
      <c r="E25" s="91">
        <f>VLOOKUP($A25,'Data Vlaue (Cr)'!$C:$FB,75)</f>
        <v>8605</v>
      </c>
      <c r="F25" s="91">
        <f>VLOOKUP($A25,'Data Vlaue (Cr)'!$C:$FB,77)</f>
        <v>123</v>
      </c>
      <c r="G25" s="92">
        <f>VLOOKUP(A25,'Data Vlaue (Cr)'!C20:CB231,78,0)</f>
        <v>1.4500000000000001E-2</v>
      </c>
      <c r="H25" s="91">
        <f>VLOOKUP($A25,'Data Vlaue (Cr)'!$C:$FB,91)</f>
        <v>2148</v>
      </c>
      <c r="I25" s="91">
        <f>VLOOKUP($A25,'Data Vlaue (Cr)'!$C:$FB,93)</f>
        <v>155</v>
      </c>
      <c r="J25" s="92">
        <f>VLOOKUP($A25,'Data Vlaue (Cr)'!$C:$FB,94)</f>
        <v>7.7600000000000002E-2</v>
      </c>
      <c r="K25" s="91">
        <f>VLOOKUP($A25,'Data Vlaue (Cr)'!$C:$FB,95)</f>
        <v>1245</v>
      </c>
      <c r="L25" s="91">
        <f>VLOOKUP($A25,'Data Vlaue (Cr)'!$C:$FB,97)</f>
        <v>19</v>
      </c>
      <c r="M25" s="92">
        <f>VLOOKUP($A25,'Data Vlaue (Cr)'!$C:$FB,98)</f>
        <v>1.5800000000000002E-2</v>
      </c>
      <c r="N25" s="91">
        <f>VLOOKUP($A25,'Data Vlaue (Cr)'!$C:$FB,79)</f>
        <v>8505</v>
      </c>
      <c r="O25" s="92">
        <f>VLOOKUP($A25,'Data Vlaue (Cr)'!$C:$FB,82)</f>
        <v>1.2500000000000001E-2</v>
      </c>
    </row>
    <row r="26" spans="1:15" x14ac:dyDescent="0.25">
      <c r="A26" s="97" t="str">
        <f>'Data Vlaue (Cr)'!C21</f>
        <v>BAJAJ-AUTO</v>
      </c>
      <c r="B26" s="142">
        <f>VLOOKUP(A26,'Data Vlaue (Cr)'!C21:CW232,99,0)</f>
        <v>4959</v>
      </c>
      <c r="C26" s="90">
        <f>VLOOKUP(A26,'Data Vlaue (Cr)'!C21:CY232,101,0)</f>
        <v>-13</v>
      </c>
      <c r="D26" s="139">
        <f>VLOOKUP(A26,'Data Vlaue (Cr)'!C21:CZ232,102,0)</f>
        <v>-2.5999999999999999E-3</v>
      </c>
      <c r="E26" s="91">
        <f>VLOOKUP($A26,'Data Vlaue (Cr)'!$C:$FB,75)</f>
        <v>2994</v>
      </c>
      <c r="F26" s="91">
        <f>VLOOKUP($A26,'Data Vlaue (Cr)'!$C:$FB,77)</f>
        <v>34</v>
      </c>
      <c r="G26" s="92">
        <f>VLOOKUP(A26,'Data Vlaue (Cr)'!C21:CB232,78,0)</f>
        <v>1.15E-2</v>
      </c>
      <c r="H26" s="91">
        <f>VLOOKUP($A26,'Data Vlaue (Cr)'!$C:$FB,91)</f>
        <v>1289</v>
      </c>
      <c r="I26" s="91">
        <f>VLOOKUP($A26,'Data Vlaue (Cr)'!$C:$FB,93)</f>
        <v>-69</v>
      </c>
      <c r="J26" s="92">
        <f>VLOOKUP($A26,'Data Vlaue (Cr)'!$C:$FB,94)</f>
        <v>-5.0799999999999998E-2</v>
      </c>
      <c r="K26" s="91">
        <f>VLOOKUP($A26,'Data Vlaue (Cr)'!$C:$FB,95)</f>
        <v>676</v>
      </c>
      <c r="L26" s="91">
        <f>VLOOKUP($A26,'Data Vlaue (Cr)'!$C:$FB,97)</f>
        <v>22</v>
      </c>
      <c r="M26" s="92">
        <f>VLOOKUP($A26,'Data Vlaue (Cr)'!$C:$FB,98)</f>
        <v>3.3700000000000001E-2</v>
      </c>
      <c r="N26" s="91">
        <f>VLOOKUP($A26,'Data Vlaue (Cr)'!$C:$FB,79)</f>
        <v>2971</v>
      </c>
      <c r="O26" s="92">
        <f>VLOOKUP($A26,'Data Vlaue (Cr)'!$C:$FB,82)</f>
        <v>1.21E-2</v>
      </c>
    </row>
    <row r="27" spans="1:15" x14ac:dyDescent="0.25">
      <c r="A27" s="97" t="str">
        <f>'Data Vlaue (Cr)'!C22</f>
        <v>BAJAJFINSV</v>
      </c>
      <c r="B27" s="142">
        <f>VLOOKUP(A27,'Data Vlaue (Cr)'!C22:CW233,99,0)</f>
        <v>4079</v>
      </c>
      <c r="C27" s="90">
        <f>VLOOKUP(A27,'Data Vlaue (Cr)'!C22:CY233,101,0)</f>
        <v>40</v>
      </c>
      <c r="D27" s="139">
        <f>VLOOKUP(A27,'Data Vlaue (Cr)'!C22:CZ233,102,0)</f>
        <v>0.01</v>
      </c>
      <c r="E27" s="91">
        <f>VLOOKUP($A27,'Data Vlaue (Cr)'!$C:$FB,75)</f>
        <v>2395</v>
      </c>
      <c r="F27" s="91">
        <f>VLOOKUP($A27,'Data Vlaue (Cr)'!$C:$FB,77)</f>
        <v>-39</v>
      </c>
      <c r="G27" s="92">
        <f>VLOOKUP(A27,'Data Vlaue (Cr)'!C22:CB233,78,0)</f>
        <v>-1.61E-2</v>
      </c>
      <c r="H27" s="91">
        <f>VLOOKUP($A27,'Data Vlaue (Cr)'!$C:$FB,91)</f>
        <v>1071</v>
      </c>
      <c r="I27" s="91">
        <f>VLOOKUP($A27,'Data Vlaue (Cr)'!$C:$FB,93)</f>
        <v>79</v>
      </c>
      <c r="J27" s="92">
        <f>VLOOKUP($A27,'Data Vlaue (Cr)'!$C:$FB,94)</f>
        <v>0.08</v>
      </c>
      <c r="K27" s="91">
        <f>VLOOKUP($A27,'Data Vlaue (Cr)'!$C:$FB,95)</f>
        <v>613</v>
      </c>
      <c r="L27" s="91">
        <f>VLOOKUP($A27,'Data Vlaue (Cr)'!$C:$FB,97)</f>
        <v>0</v>
      </c>
      <c r="M27" s="92">
        <f>VLOOKUP($A27,'Data Vlaue (Cr)'!$C:$FB,98)</f>
        <v>5.0000000000000001E-4</v>
      </c>
      <c r="N27" s="91">
        <f>VLOOKUP($A27,'Data Vlaue (Cr)'!$C:$FB,79)</f>
        <v>2363</v>
      </c>
      <c r="O27" s="92">
        <f>VLOOKUP($A27,'Data Vlaue (Cr)'!$C:$FB,82)</f>
        <v>-1.6299999999999999E-2</v>
      </c>
    </row>
    <row r="28" spans="1:15" x14ac:dyDescent="0.25">
      <c r="A28" s="97" t="str">
        <f>'Data Vlaue (Cr)'!C23</f>
        <v>BAJAJHLDNG</v>
      </c>
      <c r="B28" s="142">
        <f>VLOOKUP(A28,'Data Vlaue (Cr)'!C23:CW234,99,0)</f>
        <v>389</v>
      </c>
      <c r="C28" s="90">
        <f>VLOOKUP(A28,'Data Vlaue (Cr)'!C23:CY234,101,0)</f>
        <v>4</v>
      </c>
      <c r="D28" s="139">
        <f>VLOOKUP(A28,'Data Vlaue (Cr)'!C23:CZ234,102,0)</f>
        <v>9.9000000000000008E-3</v>
      </c>
      <c r="E28" s="91">
        <f>VLOOKUP($A28,'Data Vlaue (Cr)'!$C:$FB,75)</f>
        <v>237</v>
      </c>
      <c r="F28" s="91">
        <f>VLOOKUP($A28,'Data Vlaue (Cr)'!$C:$FB,77)</f>
        <v>3</v>
      </c>
      <c r="G28" s="92">
        <f>VLOOKUP(A28,'Data Vlaue (Cr)'!C23:CB234,78,0)</f>
        <v>1.14E-2</v>
      </c>
      <c r="H28" s="91">
        <f>VLOOKUP($A28,'Data Vlaue (Cr)'!$C:$FB,91)</f>
        <v>103</v>
      </c>
      <c r="I28" s="91">
        <f>VLOOKUP($A28,'Data Vlaue (Cr)'!$C:$FB,93)</f>
        <v>1</v>
      </c>
      <c r="J28" s="92">
        <f>VLOOKUP($A28,'Data Vlaue (Cr)'!$C:$FB,94)</f>
        <v>8.9999999999999993E-3</v>
      </c>
      <c r="K28" s="91">
        <f>VLOOKUP($A28,'Data Vlaue (Cr)'!$C:$FB,95)</f>
        <v>50</v>
      </c>
      <c r="L28" s="91">
        <f>VLOOKUP($A28,'Data Vlaue (Cr)'!$C:$FB,97)</f>
        <v>0</v>
      </c>
      <c r="M28" s="92">
        <f>VLOOKUP($A28,'Data Vlaue (Cr)'!$C:$FB,98)</f>
        <v>4.3E-3</v>
      </c>
      <c r="N28" s="91">
        <f>VLOOKUP($A28,'Data Vlaue (Cr)'!$C:$FB,79)</f>
        <v>234</v>
      </c>
      <c r="O28" s="92">
        <f>VLOOKUP($A28,'Data Vlaue (Cr)'!$C:$FB,82)</f>
        <v>9.9000000000000008E-3</v>
      </c>
    </row>
    <row r="29" spans="1:15" x14ac:dyDescent="0.25">
      <c r="A29" s="97" t="str">
        <f>'Data Vlaue (Cr)'!C24</f>
        <v>BAJFINANCE</v>
      </c>
      <c r="B29" s="142">
        <f>VLOOKUP(A29,'Data Vlaue (Cr)'!C24:CW235,99,0)</f>
        <v>10100</v>
      </c>
      <c r="C29" s="90">
        <f>VLOOKUP(A29,'Data Vlaue (Cr)'!C24:CY235,101,0)</f>
        <v>-51</v>
      </c>
      <c r="D29" s="139">
        <f>VLOOKUP(A29,'Data Vlaue (Cr)'!C24:CZ235,102,0)</f>
        <v>-5.0000000000000001E-3</v>
      </c>
      <c r="E29" s="91">
        <f>VLOOKUP($A29,'Data Vlaue (Cr)'!$C:$FB,75)</f>
        <v>7476</v>
      </c>
      <c r="F29" s="91">
        <f>VLOOKUP($A29,'Data Vlaue (Cr)'!$C:$FB,77)</f>
        <v>-133</v>
      </c>
      <c r="G29" s="92">
        <f>VLOOKUP(A29,'Data Vlaue (Cr)'!C24:CB235,78,0)</f>
        <v>-1.7500000000000002E-2</v>
      </c>
      <c r="H29" s="91">
        <f>VLOOKUP($A29,'Data Vlaue (Cr)'!$C:$FB,91)</f>
        <v>1404</v>
      </c>
      <c r="I29" s="91">
        <f>VLOOKUP($A29,'Data Vlaue (Cr)'!$C:$FB,93)</f>
        <v>57</v>
      </c>
      <c r="J29" s="92">
        <f>VLOOKUP($A29,'Data Vlaue (Cr)'!$C:$FB,94)</f>
        <v>4.2099999999999999E-2</v>
      </c>
      <c r="K29" s="91">
        <f>VLOOKUP($A29,'Data Vlaue (Cr)'!$C:$FB,95)</f>
        <v>1219</v>
      </c>
      <c r="L29" s="91">
        <f>VLOOKUP($A29,'Data Vlaue (Cr)'!$C:$FB,97)</f>
        <v>26</v>
      </c>
      <c r="M29" s="92">
        <f>VLOOKUP($A29,'Data Vlaue (Cr)'!$C:$FB,98)</f>
        <v>2.1399999999999999E-2</v>
      </c>
      <c r="N29" s="91">
        <f>VLOOKUP($A29,'Data Vlaue (Cr)'!$C:$FB,79)</f>
        <v>7319</v>
      </c>
      <c r="O29" s="92">
        <f>VLOOKUP($A29,'Data Vlaue (Cr)'!$C:$FB,82)</f>
        <v>-1.8499999999999999E-2</v>
      </c>
    </row>
    <row r="30" spans="1:15" x14ac:dyDescent="0.25">
      <c r="A30" s="97" t="str">
        <f>'Data Vlaue (Cr)'!C25</f>
        <v>BANDHANBNK</v>
      </c>
      <c r="B30" s="142">
        <f>VLOOKUP(A30,'Data Vlaue (Cr)'!C25:CW236,99,0)</f>
        <v>2552</v>
      </c>
      <c r="C30" s="90">
        <f>VLOOKUP(A30,'Data Vlaue (Cr)'!C25:CY236,101,0)</f>
        <v>21</v>
      </c>
      <c r="D30" s="139">
        <f>VLOOKUP(A30,'Data Vlaue (Cr)'!C25:CZ236,102,0)</f>
        <v>8.0999999999999996E-3</v>
      </c>
      <c r="E30" s="91">
        <f>VLOOKUP($A30,'Data Vlaue (Cr)'!$C:$FB,75)</f>
        <v>1677</v>
      </c>
      <c r="F30" s="91">
        <f>VLOOKUP($A30,'Data Vlaue (Cr)'!$C:$FB,77)</f>
        <v>6</v>
      </c>
      <c r="G30" s="92">
        <f>VLOOKUP(A30,'Data Vlaue (Cr)'!C25:CB236,78,0)</f>
        <v>3.8E-3</v>
      </c>
      <c r="H30" s="91">
        <f>VLOOKUP($A30,'Data Vlaue (Cr)'!$C:$FB,91)</f>
        <v>527</v>
      </c>
      <c r="I30" s="91">
        <f>VLOOKUP($A30,'Data Vlaue (Cr)'!$C:$FB,93)</f>
        <v>-13</v>
      </c>
      <c r="J30" s="92">
        <f>VLOOKUP($A30,'Data Vlaue (Cr)'!$C:$FB,94)</f>
        <v>-2.47E-2</v>
      </c>
      <c r="K30" s="91">
        <f>VLOOKUP($A30,'Data Vlaue (Cr)'!$C:$FB,95)</f>
        <v>348</v>
      </c>
      <c r="L30" s="91">
        <f>VLOOKUP($A30,'Data Vlaue (Cr)'!$C:$FB,97)</f>
        <v>28</v>
      </c>
      <c r="M30" s="92">
        <f>VLOOKUP($A30,'Data Vlaue (Cr)'!$C:$FB,98)</f>
        <v>8.5999999999999993E-2</v>
      </c>
      <c r="N30" s="91">
        <f>VLOOKUP($A30,'Data Vlaue (Cr)'!$C:$FB,79)</f>
        <v>1625</v>
      </c>
      <c r="O30" s="92">
        <f>VLOOKUP($A30,'Data Vlaue (Cr)'!$C:$FB,82)</f>
        <v>4.4000000000000003E-3</v>
      </c>
    </row>
    <row r="31" spans="1:15" x14ac:dyDescent="0.25">
      <c r="A31" s="97" t="str">
        <f>'Data Vlaue (Cr)'!C26</f>
        <v>BANKBARODA</v>
      </c>
      <c r="B31" s="142">
        <f>VLOOKUP(A31,'Data Vlaue (Cr)'!C26:CW237,99,0)</f>
        <v>4930</v>
      </c>
      <c r="C31" s="90">
        <f>VLOOKUP(A31,'Data Vlaue (Cr)'!C26:CY237,101,0)</f>
        <v>307</v>
      </c>
      <c r="D31" s="139">
        <f>VLOOKUP(A31,'Data Vlaue (Cr)'!C26:CZ237,102,0)</f>
        <v>6.6500000000000004E-2</v>
      </c>
      <c r="E31" s="91">
        <f>VLOOKUP($A31,'Data Vlaue (Cr)'!$C:$FB,75)</f>
        <v>2975</v>
      </c>
      <c r="F31" s="91">
        <f>VLOOKUP($A31,'Data Vlaue (Cr)'!$C:$FB,77)</f>
        <v>223</v>
      </c>
      <c r="G31" s="92">
        <f>VLOOKUP(A31,'Data Vlaue (Cr)'!C26:CB237,78,0)</f>
        <v>8.1100000000000005E-2</v>
      </c>
      <c r="H31" s="91">
        <f>VLOOKUP($A31,'Data Vlaue (Cr)'!$C:$FB,91)</f>
        <v>1069</v>
      </c>
      <c r="I31" s="91">
        <f>VLOOKUP($A31,'Data Vlaue (Cr)'!$C:$FB,93)</f>
        <v>71</v>
      </c>
      <c r="J31" s="92">
        <f>VLOOKUP($A31,'Data Vlaue (Cr)'!$C:$FB,94)</f>
        <v>7.0800000000000002E-2</v>
      </c>
      <c r="K31" s="91">
        <f>VLOOKUP($A31,'Data Vlaue (Cr)'!$C:$FB,95)</f>
        <v>886</v>
      </c>
      <c r="L31" s="91">
        <f>VLOOKUP($A31,'Data Vlaue (Cr)'!$C:$FB,97)</f>
        <v>13</v>
      </c>
      <c r="M31" s="92">
        <f>VLOOKUP($A31,'Data Vlaue (Cr)'!$C:$FB,98)</f>
        <v>1.55E-2</v>
      </c>
      <c r="N31" s="91">
        <f>VLOOKUP($A31,'Data Vlaue (Cr)'!$C:$FB,79)</f>
        <v>2531</v>
      </c>
      <c r="O31" s="92">
        <f>VLOOKUP($A31,'Data Vlaue (Cr)'!$C:$FB,82)</f>
        <v>3.6799999999999999E-2</v>
      </c>
    </row>
    <row r="32" spans="1:15" x14ac:dyDescent="0.25">
      <c r="A32" s="97" t="str">
        <f>'Data Vlaue (Cr)'!C27</f>
        <v>BANKINDIA</v>
      </c>
      <c r="B32" s="142">
        <f>VLOOKUP(A32,'Data Vlaue (Cr)'!C27:CW238,99,0)</f>
        <v>1462</v>
      </c>
      <c r="C32" s="90">
        <f>VLOOKUP(A32,'Data Vlaue (Cr)'!C27:CY238,101,0)</f>
        <v>58</v>
      </c>
      <c r="D32" s="139">
        <f>VLOOKUP(A32,'Data Vlaue (Cr)'!C27:CZ238,102,0)</f>
        <v>4.1000000000000002E-2</v>
      </c>
      <c r="E32" s="91">
        <f>VLOOKUP($A32,'Data Vlaue (Cr)'!$C:$FB,75)</f>
        <v>891</v>
      </c>
      <c r="F32" s="91">
        <f>VLOOKUP($A32,'Data Vlaue (Cr)'!$C:$FB,77)</f>
        <v>26</v>
      </c>
      <c r="G32" s="92">
        <f>VLOOKUP(A32,'Data Vlaue (Cr)'!C27:CB238,78,0)</f>
        <v>3.04E-2</v>
      </c>
      <c r="H32" s="91">
        <f>VLOOKUP($A32,'Data Vlaue (Cr)'!$C:$FB,91)</f>
        <v>311</v>
      </c>
      <c r="I32" s="91">
        <f>VLOOKUP($A32,'Data Vlaue (Cr)'!$C:$FB,93)</f>
        <v>23</v>
      </c>
      <c r="J32" s="92">
        <f>VLOOKUP($A32,'Data Vlaue (Cr)'!$C:$FB,94)</f>
        <v>8.1100000000000005E-2</v>
      </c>
      <c r="K32" s="91">
        <f>VLOOKUP($A32,'Data Vlaue (Cr)'!$C:$FB,95)</f>
        <v>261</v>
      </c>
      <c r="L32" s="91">
        <f>VLOOKUP($A32,'Data Vlaue (Cr)'!$C:$FB,97)</f>
        <v>8</v>
      </c>
      <c r="M32" s="92">
        <f>VLOOKUP($A32,'Data Vlaue (Cr)'!$C:$FB,98)</f>
        <v>3.1600000000000003E-2</v>
      </c>
      <c r="N32" s="91">
        <f>VLOOKUP($A32,'Data Vlaue (Cr)'!$C:$FB,79)</f>
        <v>864</v>
      </c>
      <c r="O32" s="92">
        <f>VLOOKUP($A32,'Data Vlaue (Cr)'!$C:$FB,82)</f>
        <v>2.98E-2</v>
      </c>
    </row>
    <row r="33" spans="1:15" x14ac:dyDescent="0.25">
      <c r="A33" s="97" t="str">
        <f>'Data Vlaue (Cr)'!C28</f>
        <v>BANKNIFTY</v>
      </c>
      <c r="B33" s="142">
        <f>VLOOKUP(A33,'Data Vlaue (Cr)'!C28:CW239,99,0)</f>
        <v>175392</v>
      </c>
      <c r="C33" s="90">
        <f>VLOOKUP(A33,'Data Vlaue (Cr)'!C28:CY239,101,0)</f>
        <v>10736</v>
      </c>
      <c r="D33" s="139">
        <f>VLOOKUP(A33,'Data Vlaue (Cr)'!C28:CZ239,102,0)</f>
        <v>6.5199999999999994E-2</v>
      </c>
      <c r="E33" s="91">
        <f>VLOOKUP($A33,'Data Vlaue (Cr)'!$C:$FB,75)</f>
        <v>15131</v>
      </c>
      <c r="F33" s="91">
        <f>VLOOKUP($A33,'Data Vlaue (Cr)'!$C:$FB,77)</f>
        <v>394</v>
      </c>
      <c r="G33" s="92">
        <f>VLOOKUP(A33,'Data Vlaue (Cr)'!C28:CB239,78,0)</f>
        <v>2.6700000000000002E-2</v>
      </c>
      <c r="H33" s="91">
        <f>VLOOKUP($A33,'Data Vlaue (Cr)'!$C:$FB,91)</f>
        <v>83504</v>
      </c>
      <c r="I33" s="91">
        <f>VLOOKUP($A33,'Data Vlaue (Cr)'!$C:$FB,93)</f>
        <v>5889</v>
      </c>
      <c r="J33" s="92">
        <f>VLOOKUP($A33,'Data Vlaue (Cr)'!$C:$FB,94)</f>
        <v>7.5899999999999995E-2</v>
      </c>
      <c r="K33" s="91">
        <f>VLOOKUP($A33,'Data Vlaue (Cr)'!$C:$FB,95)</f>
        <v>76757</v>
      </c>
      <c r="L33" s="91">
        <f>VLOOKUP($A33,'Data Vlaue (Cr)'!$C:$FB,97)</f>
        <v>4453</v>
      </c>
      <c r="M33" s="92">
        <f>VLOOKUP($A33,'Data Vlaue (Cr)'!$C:$FB,98)</f>
        <v>6.1600000000000002E-2</v>
      </c>
      <c r="N33" s="91">
        <f>VLOOKUP($A33,'Data Vlaue (Cr)'!$C:$FB,79)</f>
        <v>11581</v>
      </c>
      <c r="O33" s="92">
        <f>VLOOKUP($A33,'Data Vlaue (Cr)'!$C:$FB,82)</f>
        <v>2.81E-2</v>
      </c>
    </row>
    <row r="34" spans="1:15" x14ac:dyDescent="0.25">
      <c r="A34" s="97" t="str">
        <f>'Data Vlaue (Cr)'!C29</f>
        <v>BDL</v>
      </c>
      <c r="B34" s="142">
        <f>VLOOKUP(A34,'Data Vlaue (Cr)'!C29:CW240,99,0)</f>
        <v>1465</v>
      </c>
      <c r="C34" s="90">
        <f>VLOOKUP(A34,'Data Vlaue (Cr)'!C29:CY240,101,0)</f>
        <v>-84</v>
      </c>
      <c r="D34" s="139">
        <f>VLOOKUP(A34,'Data Vlaue (Cr)'!C29:CZ240,102,0)</f>
        <v>-5.3900000000000003E-2</v>
      </c>
      <c r="E34" s="91">
        <f>VLOOKUP($A34,'Data Vlaue (Cr)'!$C:$FB,75)</f>
        <v>676</v>
      </c>
      <c r="F34" s="91">
        <f>VLOOKUP($A34,'Data Vlaue (Cr)'!$C:$FB,77)</f>
        <v>-52</v>
      </c>
      <c r="G34" s="92">
        <f>VLOOKUP(A34,'Data Vlaue (Cr)'!C29:CB240,78,0)</f>
        <v>-7.0900000000000005E-2</v>
      </c>
      <c r="H34" s="91">
        <f>VLOOKUP($A34,'Data Vlaue (Cr)'!$C:$FB,91)</f>
        <v>488</v>
      </c>
      <c r="I34" s="91">
        <f>VLOOKUP($A34,'Data Vlaue (Cr)'!$C:$FB,93)</f>
        <v>-31</v>
      </c>
      <c r="J34" s="92">
        <f>VLOOKUP($A34,'Data Vlaue (Cr)'!$C:$FB,94)</f>
        <v>-6.0499999999999998E-2</v>
      </c>
      <c r="K34" s="91">
        <f>VLOOKUP($A34,'Data Vlaue (Cr)'!$C:$FB,95)</f>
        <v>301</v>
      </c>
      <c r="L34" s="91">
        <f>VLOOKUP($A34,'Data Vlaue (Cr)'!$C:$FB,97)</f>
        <v>0</v>
      </c>
      <c r="M34" s="92">
        <f>VLOOKUP($A34,'Data Vlaue (Cr)'!$C:$FB,98)</f>
        <v>-1.6000000000000001E-3</v>
      </c>
      <c r="N34" s="91">
        <f>VLOOKUP($A34,'Data Vlaue (Cr)'!$C:$FB,79)</f>
        <v>604</v>
      </c>
      <c r="O34" s="92">
        <f>VLOOKUP($A34,'Data Vlaue (Cr)'!$C:$FB,82)</f>
        <v>-9.1600000000000001E-2</v>
      </c>
    </row>
    <row r="35" spans="1:15" x14ac:dyDescent="0.25">
      <c r="A35" s="97" t="str">
        <f>'Data Vlaue (Cr)'!C30</f>
        <v>BEL</v>
      </c>
      <c r="B35" s="142">
        <f>VLOOKUP(A35,'Data Vlaue (Cr)'!C30:CW241,99,0)</f>
        <v>8242</v>
      </c>
      <c r="C35" s="90">
        <f>VLOOKUP(A35,'Data Vlaue (Cr)'!C30:CY241,101,0)</f>
        <v>-321</v>
      </c>
      <c r="D35" s="139">
        <f>VLOOKUP(A35,'Data Vlaue (Cr)'!C30:CZ241,102,0)</f>
        <v>-3.7499999999999999E-2</v>
      </c>
      <c r="E35" s="91">
        <f>VLOOKUP($A35,'Data Vlaue (Cr)'!$C:$FB,75)</f>
        <v>5033</v>
      </c>
      <c r="F35" s="91">
        <f>VLOOKUP($A35,'Data Vlaue (Cr)'!$C:$FB,77)</f>
        <v>-157</v>
      </c>
      <c r="G35" s="92">
        <f>VLOOKUP(A35,'Data Vlaue (Cr)'!C30:CB241,78,0)</f>
        <v>-3.0300000000000001E-2</v>
      </c>
      <c r="H35" s="91">
        <f>VLOOKUP($A35,'Data Vlaue (Cr)'!$C:$FB,91)</f>
        <v>1924</v>
      </c>
      <c r="I35" s="91">
        <f>VLOOKUP($A35,'Data Vlaue (Cr)'!$C:$FB,93)</f>
        <v>-287</v>
      </c>
      <c r="J35" s="92">
        <f>VLOOKUP($A35,'Data Vlaue (Cr)'!$C:$FB,94)</f>
        <v>-0.1298</v>
      </c>
      <c r="K35" s="91">
        <f>VLOOKUP($A35,'Data Vlaue (Cr)'!$C:$FB,95)</f>
        <v>1284</v>
      </c>
      <c r="L35" s="91">
        <f>VLOOKUP($A35,'Data Vlaue (Cr)'!$C:$FB,97)</f>
        <v>123</v>
      </c>
      <c r="M35" s="92">
        <f>VLOOKUP($A35,'Data Vlaue (Cr)'!$C:$FB,98)</f>
        <v>0.1056</v>
      </c>
      <c r="N35" s="91">
        <f>VLOOKUP($A35,'Data Vlaue (Cr)'!$C:$FB,79)</f>
        <v>4794</v>
      </c>
      <c r="O35" s="92">
        <f>VLOOKUP($A35,'Data Vlaue (Cr)'!$C:$FB,82)</f>
        <v>-3.1399999999999997E-2</v>
      </c>
    </row>
    <row r="36" spans="1:15" x14ac:dyDescent="0.25">
      <c r="A36" s="97" t="str">
        <f>'Data Vlaue (Cr)'!C31</f>
        <v>BHARATFORG</v>
      </c>
      <c r="B36" s="142">
        <f>VLOOKUP(A36,'Data Vlaue (Cr)'!C31:CW242,99,0)</f>
        <v>2483</v>
      </c>
      <c r="C36" s="90">
        <f>VLOOKUP(A36,'Data Vlaue (Cr)'!C31:CY242,101,0)</f>
        <v>201</v>
      </c>
      <c r="D36" s="139">
        <f>VLOOKUP(A36,'Data Vlaue (Cr)'!C31:CZ242,102,0)</f>
        <v>8.7999999999999995E-2</v>
      </c>
      <c r="E36" s="91">
        <f>VLOOKUP($A36,'Data Vlaue (Cr)'!$C:$FB,75)</f>
        <v>1333</v>
      </c>
      <c r="F36" s="91">
        <f>VLOOKUP($A36,'Data Vlaue (Cr)'!$C:$FB,77)</f>
        <v>38</v>
      </c>
      <c r="G36" s="92">
        <f>VLOOKUP(A36,'Data Vlaue (Cr)'!C31:CB242,78,0)</f>
        <v>2.9000000000000001E-2</v>
      </c>
      <c r="H36" s="91">
        <f>VLOOKUP($A36,'Data Vlaue (Cr)'!$C:$FB,91)</f>
        <v>662</v>
      </c>
      <c r="I36" s="91">
        <f>VLOOKUP($A36,'Data Vlaue (Cr)'!$C:$FB,93)</f>
        <v>143</v>
      </c>
      <c r="J36" s="92">
        <f>VLOOKUP($A36,'Data Vlaue (Cr)'!$C:$FB,94)</f>
        <v>0.27439999999999998</v>
      </c>
      <c r="K36" s="91">
        <f>VLOOKUP($A36,'Data Vlaue (Cr)'!$C:$FB,95)</f>
        <v>487</v>
      </c>
      <c r="L36" s="91">
        <f>VLOOKUP($A36,'Data Vlaue (Cr)'!$C:$FB,97)</f>
        <v>21</v>
      </c>
      <c r="M36" s="92">
        <f>VLOOKUP($A36,'Data Vlaue (Cr)'!$C:$FB,98)</f>
        <v>4.3999999999999997E-2</v>
      </c>
      <c r="N36" s="91">
        <f>VLOOKUP($A36,'Data Vlaue (Cr)'!$C:$FB,79)</f>
        <v>1312</v>
      </c>
      <c r="O36" s="92">
        <f>VLOOKUP($A36,'Data Vlaue (Cr)'!$C:$FB,82)</f>
        <v>2.86E-2</v>
      </c>
    </row>
    <row r="37" spans="1:15" x14ac:dyDescent="0.25">
      <c r="A37" s="97" t="str">
        <f>'Data Vlaue (Cr)'!C32</f>
        <v>BHARTIARTL</v>
      </c>
      <c r="B37" s="142">
        <f>VLOOKUP(A37,'Data Vlaue (Cr)'!C32:CW243,99,0)</f>
        <v>15727</v>
      </c>
      <c r="C37" s="90">
        <f>VLOOKUP(A37,'Data Vlaue (Cr)'!C32:CY243,101,0)</f>
        <v>-384</v>
      </c>
      <c r="D37" s="139">
        <f>VLOOKUP(A37,'Data Vlaue (Cr)'!C32:CZ243,102,0)</f>
        <v>-2.3800000000000002E-2</v>
      </c>
      <c r="E37" s="91">
        <f>VLOOKUP($A37,'Data Vlaue (Cr)'!$C:$FB,75)</f>
        <v>11412</v>
      </c>
      <c r="F37" s="91">
        <f>VLOOKUP($A37,'Data Vlaue (Cr)'!$C:$FB,77)</f>
        <v>-271</v>
      </c>
      <c r="G37" s="92">
        <f>VLOOKUP(A37,'Data Vlaue (Cr)'!C32:CB243,78,0)</f>
        <v>-2.3199999999999998E-2</v>
      </c>
      <c r="H37" s="91">
        <f>VLOOKUP($A37,'Data Vlaue (Cr)'!$C:$FB,91)</f>
        <v>2769</v>
      </c>
      <c r="I37" s="91">
        <f>VLOOKUP($A37,'Data Vlaue (Cr)'!$C:$FB,93)</f>
        <v>10</v>
      </c>
      <c r="J37" s="92">
        <f>VLOOKUP($A37,'Data Vlaue (Cr)'!$C:$FB,94)</f>
        <v>3.7000000000000002E-3</v>
      </c>
      <c r="K37" s="91">
        <f>VLOOKUP($A37,'Data Vlaue (Cr)'!$C:$FB,95)</f>
        <v>1546</v>
      </c>
      <c r="L37" s="91">
        <f>VLOOKUP($A37,'Data Vlaue (Cr)'!$C:$FB,97)</f>
        <v>-124</v>
      </c>
      <c r="M37" s="92">
        <f>VLOOKUP($A37,'Data Vlaue (Cr)'!$C:$FB,98)</f>
        <v>-7.4200000000000002E-2</v>
      </c>
      <c r="N37" s="91">
        <f>VLOOKUP($A37,'Data Vlaue (Cr)'!$C:$FB,79)</f>
        <v>10913</v>
      </c>
      <c r="O37" s="92">
        <f>VLOOKUP($A37,'Data Vlaue (Cr)'!$C:$FB,82)</f>
        <v>-2.52E-2</v>
      </c>
    </row>
    <row r="38" spans="1:15" x14ac:dyDescent="0.25">
      <c r="A38" s="97" t="str">
        <f>'Data Vlaue (Cr)'!C33</f>
        <v>BHEL</v>
      </c>
      <c r="B38" s="142">
        <f>VLOOKUP(A38,'Data Vlaue (Cr)'!C33:CW244,99,0)</f>
        <v>4841</v>
      </c>
      <c r="C38" s="90">
        <f>VLOOKUP(A38,'Data Vlaue (Cr)'!C33:CY244,101,0)</f>
        <v>140</v>
      </c>
      <c r="D38" s="139">
        <f>VLOOKUP(A38,'Data Vlaue (Cr)'!C33:CZ244,102,0)</f>
        <v>2.98E-2</v>
      </c>
      <c r="E38" s="91">
        <f>VLOOKUP($A38,'Data Vlaue (Cr)'!$C:$FB,75)</f>
        <v>3481</v>
      </c>
      <c r="F38" s="91">
        <f>VLOOKUP($A38,'Data Vlaue (Cr)'!$C:$FB,77)</f>
        <v>125</v>
      </c>
      <c r="G38" s="92">
        <f>VLOOKUP(A38,'Data Vlaue (Cr)'!C33:CB244,78,0)</f>
        <v>3.7199999999999997E-2</v>
      </c>
      <c r="H38" s="91">
        <f>VLOOKUP($A38,'Data Vlaue (Cr)'!$C:$FB,91)</f>
        <v>778</v>
      </c>
      <c r="I38" s="91">
        <f>VLOOKUP($A38,'Data Vlaue (Cr)'!$C:$FB,93)</f>
        <v>4</v>
      </c>
      <c r="J38" s="92">
        <f>VLOOKUP($A38,'Data Vlaue (Cr)'!$C:$FB,94)</f>
        <v>4.4999999999999997E-3</v>
      </c>
      <c r="K38" s="91">
        <f>VLOOKUP($A38,'Data Vlaue (Cr)'!$C:$FB,95)</f>
        <v>581</v>
      </c>
      <c r="L38" s="91">
        <f>VLOOKUP($A38,'Data Vlaue (Cr)'!$C:$FB,97)</f>
        <v>11</v>
      </c>
      <c r="M38" s="92">
        <f>VLOOKUP($A38,'Data Vlaue (Cr)'!$C:$FB,98)</f>
        <v>2.01E-2</v>
      </c>
      <c r="N38" s="91">
        <f>VLOOKUP($A38,'Data Vlaue (Cr)'!$C:$FB,79)</f>
        <v>3059</v>
      </c>
      <c r="O38" s="92">
        <f>VLOOKUP($A38,'Data Vlaue (Cr)'!$C:$FB,82)</f>
        <v>-4.0000000000000001E-3</v>
      </c>
    </row>
    <row r="39" spans="1:15" x14ac:dyDescent="0.25">
      <c r="A39" s="97" t="str">
        <f>'Data Vlaue (Cr)'!C34</f>
        <v>BIOCON</v>
      </c>
      <c r="B39" s="142">
        <f>VLOOKUP(A39,'Data Vlaue (Cr)'!C34:CW245,99,0)</f>
        <v>2443</v>
      </c>
      <c r="C39" s="90">
        <f>VLOOKUP(A39,'Data Vlaue (Cr)'!C34:CY245,101,0)</f>
        <v>-45</v>
      </c>
      <c r="D39" s="139">
        <f>VLOOKUP(A39,'Data Vlaue (Cr)'!C34:CZ245,102,0)</f>
        <v>-1.7999999999999999E-2</v>
      </c>
      <c r="E39" s="91">
        <f>VLOOKUP($A39,'Data Vlaue (Cr)'!$C:$FB,75)</f>
        <v>1443</v>
      </c>
      <c r="F39" s="91">
        <f>VLOOKUP($A39,'Data Vlaue (Cr)'!$C:$FB,77)</f>
        <v>-54</v>
      </c>
      <c r="G39" s="92">
        <f>VLOOKUP(A39,'Data Vlaue (Cr)'!C34:CB245,78,0)</f>
        <v>-3.6299999999999999E-2</v>
      </c>
      <c r="H39" s="91">
        <f>VLOOKUP($A39,'Data Vlaue (Cr)'!$C:$FB,91)</f>
        <v>602</v>
      </c>
      <c r="I39" s="91">
        <f>VLOOKUP($A39,'Data Vlaue (Cr)'!$C:$FB,93)</f>
        <v>9</v>
      </c>
      <c r="J39" s="92">
        <f>VLOOKUP($A39,'Data Vlaue (Cr)'!$C:$FB,94)</f>
        <v>1.5100000000000001E-2</v>
      </c>
      <c r="K39" s="91">
        <f>VLOOKUP($A39,'Data Vlaue (Cr)'!$C:$FB,95)</f>
        <v>398</v>
      </c>
      <c r="L39" s="91">
        <f>VLOOKUP($A39,'Data Vlaue (Cr)'!$C:$FB,97)</f>
        <v>1</v>
      </c>
      <c r="M39" s="92">
        <f>VLOOKUP($A39,'Data Vlaue (Cr)'!$C:$FB,98)</f>
        <v>1.5E-3</v>
      </c>
      <c r="N39" s="91">
        <f>VLOOKUP($A39,'Data Vlaue (Cr)'!$C:$FB,79)</f>
        <v>1377</v>
      </c>
      <c r="O39" s="92">
        <f>VLOOKUP($A39,'Data Vlaue (Cr)'!$C:$FB,82)</f>
        <v>-3.7999999999999999E-2</v>
      </c>
    </row>
    <row r="40" spans="1:15" x14ac:dyDescent="0.25">
      <c r="A40" s="97" t="str">
        <f>'Data Vlaue (Cr)'!C35</f>
        <v>BLUESTARCO</v>
      </c>
      <c r="B40" s="142">
        <f>VLOOKUP(A40,'Data Vlaue (Cr)'!C35:CW246,99,0)</f>
        <v>829</v>
      </c>
      <c r="C40" s="90">
        <f>VLOOKUP(A40,'Data Vlaue (Cr)'!C35:CY246,101,0)</f>
        <v>59</v>
      </c>
      <c r="D40" s="139">
        <f>VLOOKUP(A40,'Data Vlaue (Cr)'!C35:CZ246,102,0)</f>
        <v>7.6999999999999999E-2</v>
      </c>
      <c r="E40" s="91">
        <f>VLOOKUP($A40,'Data Vlaue (Cr)'!$C:$FB,75)</f>
        <v>525</v>
      </c>
      <c r="F40" s="91">
        <f>VLOOKUP($A40,'Data Vlaue (Cr)'!$C:$FB,77)</f>
        <v>14</v>
      </c>
      <c r="G40" s="92">
        <f>VLOOKUP(A40,'Data Vlaue (Cr)'!C35:CB246,78,0)</f>
        <v>2.8299999999999999E-2</v>
      </c>
      <c r="H40" s="91">
        <f>VLOOKUP($A40,'Data Vlaue (Cr)'!$C:$FB,91)</f>
        <v>204</v>
      </c>
      <c r="I40" s="91">
        <f>VLOOKUP($A40,'Data Vlaue (Cr)'!$C:$FB,93)</f>
        <v>26</v>
      </c>
      <c r="J40" s="92">
        <f>VLOOKUP($A40,'Data Vlaue (Cr)'!$C:$FB,94)</f>
        <v>0.1434</v>
      </c>
      <c r="K40" s="91">
        <f>VLOOKUP($A40,'Data Vlaue (Cr)'!$C:$FB,95)</f>
        <v>100</v>
      </c>
      <c r="L40" s="91">
        <f>VLOOKUP($A40,'Data Vlaue (Cr)'!$C:$FB,97)</f>
        <v>19</v>
      </c>
      <c r="M40" s="92">
        <f>VLOOKUP($A40,'Data Vlaue (Cr)'!$C:$FB,98)</f>
        <v>0.2379</v>
      </c>
      <c r="N40" s="91">
        <f>VLOOKUP($A40,'Data Vlaue (Cr)'!$C:$FB,79)</f>
        <v>519</v>
      </c>
      <c r="O40" s="92">
        <f>VLOOKUP($A40,'Data Vlaue (Cr)'!$C:$FB,82)</f>
        <v>2.6599999999999999E-2</v>
      </c>
    </row>
    <row r="41" spans="1:15" x14ac:dyDescent="0.25">
      <c r="A41" s="97" t="str">
        <f>'Data Vlaue (Cr)'!C36</f>
        <v>BOSCHLTD</v>
      </c>
      <c r="B41" s="142">
        <f>VLOOKUP(A41,'Data Vlaue (Cr)'!C36:CW247,99,0)</f>
        <v>1549</v>
      </c>
      <c r="C41" s="90">
        <f>VLOOKUP(A41,'Data Vlaue (Cr)'!C36:CY247,101,0)</f>
        <v>61</v>
      </c>
      <c r="D41" s="139">
        <f>VLOOKUP(A41,'Data Vlaue (Cr)'!C36:CZ247,102,0)</f>
        <v>4.0800000000000003E-2</v>
      </c>
      <c r="E41" s="91">
        <f>VLOOKUP($A41,'Data Vlaue (Cr)'!$C:$FB,75)</f>
        <v>695</v>
      </c>
      <c r="F41" s="91">
        <f>VLOOKUP($A41,'Data Vlaue (Cr)'!$C:$FB,77)</f>
        <v>1</v>
      </c>
      <c r="G41" s="92">
        <f>VLOOKUP(A41,'Data Vlaue (Cr)'!C36:CB247,78,0)</f>
        <v>2E-3</v>
      </c>
      <c r="H41" s="91">
        <f>VLOOKUP($A41,'Data Vlaue (Cr)'!$C:$FB,91)</f>
        <v>576</v>
      </c>
      <c r="I41" s="91">
        <f>VLOOKUP($A41,'Data Vlaue (Cr)'!$C:$FB,93)</f>
        <v>57</v>
      </c>
      <c r="J41" s="92">
        <f>VLOOKUP($A41,'Data Vlaue (Cr)'!$C:$FB,94)</f>
        <v>0.1096</v>
      </c>
      <c r="K41" s="91">
        <f>VLOOKUP($A41,'Data Vlaue (Cr)'!$C:$FB,95)</f>
        <v>277</v>
      </c>
      <c r="L41" s="91">
        <f>VLOOKUP($A41,'Data Vlaue (Cr)'!$C:$FB,97)</f>
        <v>2</v>
      </c>
      <c r="M41" s="92">
        <f>VLOOKUP($A41,'Data Vlaue (Cr)'!$C:$FB,98)</f>
        <v>8.5000000000000006E-3</v>
      </c>
      <c r="N41" s="91">
        <f>VLOOKUP($A41,'Data Vlaue (Cr)'!$C:$FB,79)</f>
        <v>677</v>
      </c>
      <c r="O41" s="92">
        <f>VLOOKUP($A41,'Data Vlaue (Cr)'!$C:$FB,82)</f>
        <v>-4.7999999999999996E-3</v>
      </c>
    </row>
    <row r="42" spans="1:15" x14ac:dyDescent="0.25">
      <c r="A42" s="97" t="str">
        <f>'Data Vlaue (Cr)'!C37</f>
        <v>BPCL</v>
      </c>
      <c r="B42" s="142">
        <f>VLOOKUP(A42,'Data Vlaue (Cr)'!C37:CW248,99,0)</f>
        <v>2546</v>
      </c>
      <c r="C42" s="90">
        <f>VLOOKUP(A42,'Data Vlaue (Cr)'!C37:CY248,101,0)</f>
        <v>242</v>
      </c>
      <c r="D42" s="139">
        <f>VLOOKUP(A42,'Data Vlaue (Cr)'!C37:CZ248,102,0)</f>
        <v>0.10489999999999999</v>
      </c>
      <c r="E42" s="91">
        <f>VLOOKUP($A42,'Data Vlaue (Cr)'!$C:$FB,75)</f>
        <v>1402</v>
      </c>
      <c r="F42" s="91">
        <f>VLOOKUP($A42,'Data Vlaue (Cr)'!$C:$FB,77)</f>
        <v>98</v>
      </c>
      <c r="G42" s="92">
        <f>VLOOKUP(A42,'Data Vlaue (Cr)'!C37:CB248,78,0)</f>
        <v>7.5399999999999995E-2</v>
      </c>
      <c r="H42" s="91">
        <f>VLOOKUP($A42,'Data Vlaue (Cr)'!$C:$FB,91)</f>
        <v>620</v>
      </c>
      <c r="I42" s="91">
        <f>VLOOKUP($A42,'Data Vlaue (Cr)'!$C:$FB,93)</f>
        <v>84</v>
      </c>
      <c r="J42" s="92">
        <f>VLOOKUP($A42,'Data Vlaue (Cr)'!$C:$FB,94)</f>
        <v>0.15559999999999999</v>
      </c>
      <c r="K42" s="91">
        <f>VLOOKUP($A42,'Data Vlaue (Cr)'!$C:$FB,95)</f>
        <v>524</v>
      </c>
      <c r="L42" s="91">
        <f>VLOOKUP($A42,'Data Vlaue (Cr)'!$C:$FB,97)</f>
        <v>60</v>
      </c>
      <c r="M42" s="92">
        <f>VLOOKUP($A42,'Data Vlaue (Cr)'!$C:$FB,98)</f>
        <v>0.12889999999999999</v>
      </c>
      <c r="N42" s="91">
        <f>VLOOKUP($A42,'Data Vlaue (Cr)'!$C:$FB,79)</f>
        <v>1382</v>
      </c>
      <c r="O42" s="92">
        <f>VLOOKUP($A42,'Data Vlaue (Cr)'!$C:$FB,82)</f>
        <v>7.46E-2</v>
      </c>
    </row>
    <row r="43" spans="1:15" x14ac:dyDescent="0.25">
      <c r="A43" s="97" t="str">
        <f>'Data Vlaue (Cr)'!C38</f>
        <v>BRITANNIA</v>
      </c>
      <c r="B43" s="142">
        <f>VLOOKUP(A43,'Data Vlaue (Cr)'!C38:CW249,99,0)</f>
        <v>2582</v>
      </c>
      <c r="C43" s="90">
        <f>VLOOKUP(A43,'Data Vlaue (Cr)'!C38:CY249,101,0)</f>
        <v>19</v>
      </c>
      <c r="D43" s="139">
        <f>VLOOKUP(A43,'Data Vlaue (Cr)'!C38:CZ249,102,0)</f>
        <v>7.4999999999999997E-3</v>
      </c>
      <c r="E43" s="91">
        <f>VLOOKUP($A43,'Data Vlaue (Cr)'!$C:$FB,75)</f>
        <v>2002</v>
      </c>
      <c r="F43" s="91">
        <f>VLOOKUP($A43,'Data Vlaue (Cr)'!$C:$FB,77)</f>
        <v>-20</v>
      </c>
      <c r="G43" s="92">
        <f>VLOOKUP(A43,'Data Vlaue (Cr)'!C38:CB249,78,0)</f>
        <v>-9.9000000000000008E-3</v>
      </c>
      <c r="H43" s="91">
        <f>VLOOKUP($A43,'Data Vlaue (Cr)'!$C:$FB,91)</f>
        <v>384</v>
      </c>
      <c r="I43" s="91">
        <f>VLOOKUP($A43,'Data Vlaue (Cr)'!$C:$FB,93)</f>
        <v>22</v>
      </c>
      <c r="J43" s="92">
        <f>VLOOKUP($A43,'Data Vlaue (Cr)'!$C:$FB,94)</f>
        <v>6.0699999999999997E-2</v>
      </c>
      <c r="K43" s="91">
        <f>VLOOKUP($A43,'Data Vlaue (Cr)'!$C:$FB,95)</f>
        <v>196</v>
      </c>
      <c r="L43" s="91">
        <f>VLOOKUP($A43,'Data Vlaue (Cr)'!$C:$FB,97)</f>
        <v>17</v>
      </c>
      <c r="M43" s="92">
        <f>VLOOKUP($A43,'Data Vlaue (Cr)'!$C:$FB,98)</f>
        <v>9.7000000000000003E-2</v>
      </c>
      <c r="N43" s="91">
        <f>VLOOKUP($A43,'Data Vlaue (Cr)'!$C:$FB,79)</f>
        <v>1993</v>
      </c>
      <c r="O43" s="92">
        <f>VLOOKUP($A43,'Data Vlaue (Cr)'!$C:$FB,82)</f>
        <v>-1.04E-2</v>
      </c>
    </row>
    <row r="44" spans="1:15" x14ac:dyDescent="0.25">
      <c r="A44" s="97" t="str">
        <f>'Data Vlaue (Cr)'!C39</f>
        <v>BSE</v>
      </c>
      <c r="B44" s="142">
        <f>VLOOKUP(A44,'Data Vlaue (Cr)'!C39:CW250,99,0)</f>
        <v>5898</v>
      </c>
      <c r="C44" s="90">
        <f>VLOOKUP(A44,'Data Vlaue (Cr)'!C39:CY250,101,0)</f>
        <v>-80</v>
      </c>
      <c r="D44" s="139">
        <f>VLOOKUP(A44,'Data Vlaue (Cr)'!C39:CZ250,102,0)</f>
        <v>-1.34E-2</v>
      </c>
      <c r="E44" s="91">
        <f>VLOOKUP($A44,'Data Vlaue (Cr)'!$C:$FB,75)</f>
        <v>2397</v>
      </c>
      <c r="F44" s="91">
        <f>VLOOKUP($A44,'Data Vlaue (Cr)'!$C:$FB,77)</f>
        <v>-125</v>
      </c>
      <c r="G44" s="92">
        <f>VLOOKUP(A44,'Data Vlaue (Cr)'!C39:CB250,78,0)</f>
        <v>-4.9599999999999998E-2</v>
      </c>
      <c r="H44" s="91">
        <f>VLOOKUP($A44,'Data Vlaue (Cr)'!$C:$FB,91)</f>
        <v>1993</v>
      </c>
      <c r="I44" s="91">
        <f>VLOOKUP($A44,'Data Vlaue (Cr)'!$C:$FB,93)</f>
        <v>-10</v>
      </c>
      <c r="J44" s="92">
        <f>VLOOKUP($A44,'Data Vlaue (Cr)'!$C:$FB,94)</f>
        <v>-4.8999999999999998E-3</v>
      </c>
      <c r="K44" s="91">
        <f>VLOOKUP($A44,'Data Vlaue (Cr)'!$C:$FB,95)</f>
        <v>1509</v>
      </c>
      <c r="L44" s="91">
        <f>VLOOKUP($A44,'Data Vlaue (Cr)'!$C:$FB,97)</f>
        <v>55</v>
      </c>
      <c r="M44" s="92">
        <f>VLOOKUP($A44,'Data Vlaue (Cr)'!$C:$FB,98)</f>
        <v>3.7600000000000001E-2</v>
      </c>
      <c r="N44" s="91">
        <f>VLOOKUP($A44,'Data Vlaue (Cr)'!$C:$FB,79)</f>
        <v>2237</v>
      </c>
      <c r="O44" s="92">
        <f>VLOOKUP($A44,'Data Vlaue (Cr)'!$C:$FB,82)</f>
        <v>-5.5E-2</v>
      </c>
    </row>
    <row r="45" spans="1:15" x14ac:dyDescent="0.25">
      <c r="A45" s="97" t="str">
        <f>'Data Vlaue (Cr)'!C40</f>
        <v>CAMS</v>
      </c>
      <c r="B45" s="142">
        <f>VLOOKUP(A45,'Data Vlaue (Cr)'!C40:CW251,99,0)</f>
        <v>829</v>
      </c>
      <c r="C45" s="90">
        <f>VLOOKUP(A45,'Data Vlaue (Cr)'!C40:CY251,101,0)</f>
        <v>11</v>
      </c>
      <c r="D45" s="139">
        <f>VLOOKUP(A45,'Data Vlaue (Cr)'!C40:CZ251,102,0)</f>
        <v>1.29E-2</v>
      </c>
      <c r="E45" s="91">
        <f>VLOOKUP($A45,'Data Vlaue (Cr)'!$C:$FB,75)</f>
        <v>490</v>
      </c>
      <c r="F45" s="91">
        <f>VLOOKUP($A45,'Data Vlaue (Cr)'!$C:$FB,77)</f>
        <v>3</v>
      </c>
      <c r="G45" s="92">
        <f>VLOOKUP(A45,'Data Vlaue (Cr)'!C40:CB251,78,0)</f>
        <v>7.1999999999999998E-3</v>
      </c>
      <c r="H45" s="91">
        <f>VLOOKUP($A45,'Data Vlaue (Cr)'!$C:$FB,91)</f>
        <v>188</v>
      </c>
      <c r="I45" s="91">
        <f>VLOOKUP($A45,'Data Vlaue (Cr)'!$C:$FB,93)</f>
        <v>2</v>
      </c>
      <c r="J45" s="92">
        <f>VLOOKUP($A45,'Data Vlaue (Cr)'!$C:$FB,94)</f>
        <v>1.2699999999999999E-2</v>
      </c>
      <c r="K45" s="91">
        <f>VLOOKUP($A45,'Data Vlaue (Cr)'!$C:$FB,95)</f>
        <v>152</v>
      </c>
      <c r="L45" s="91">
        <f>VLOOKUP($A45,'Data Vlaue (Cr)'!$C:$FB,97)</f>
        <v>5</v>
      </c>
      <c r="M45" s="92">
        <f>VLOOKUP($A45,'Data Vlaue (Cr)'!$C:$FB,98)</f>
        <v>3.2099999999999997E-2</v>
      </c>
      <c r="N45" s="91">
        <f>VLOOKUP($A45,'Data Vlaue (Cr)'!$C:$FB,79)</f>
        <v>465</v>
      </c>
      <c r="O45" s="92">
        <f>VLOOKUP($A45,'Data Vlaue (Cr)'!$C:$FB,82)</f>
        <v>5.4999999999999997E-3</v>
      </c>
    </row>
    <row r="46" spans="1:15" x14ac:dyDescent="0.25">
      <c r="A46" s="97" t="str">
        <f>'Data Vlaue (Cr)'!C41</f>
        <v>CANBK</v>
      </c>
      <c r="B46" s="142">
        <f>VLOOKUP(A46,'Data Vlaue (Cr)'!C41:CW252,99,0)</f>
        <v>4886</v>
      </c>
      <c r="C46" s="90">
        <f>VLOOKUP(A46,'Data Vlaue (Cr)'!C41:CY252,101,0)</f>
        <v>317</v>
      </c>
      <c r="D46" s="139">
        <f>VLOOKUP(A46,'Data Vlaue (Cr)'!C41:CZ252,102,0)</f>
        <v>6.93E-2</v>
      </c>
      <c r="E46" s="91">
        <f>VLOOKUP($A46,'Data Vlaue (Cr)'!$C:$FB,75)</f>
        <v>2455</v>
      </c>
      <c r="F46" s="91">
        <f>VLOOKUP($A46,'Data Vlaue (Cr)'!$C:$FB,77)</f>
        <v>44</v>
      </c>
      <c r="G46" s="92">
        <f>VLOOKUP(A46,'Data Vlaue (Cr)'!C41:CB252,78,0)</f>
        <v>1.83E-2</v>
      </c>
      <c r="H46" s="91">
        <f>VLOOKUP($A46,'Data Vlaue (Cr)'!$C:$FB,91)</f>
        <v>1380</v>
      </c>
      <c r="I46" s="91">
        <f>VLOOKUP($A46,'Data Vlaue (Cr)'!$C:$FB,93)</f>
        <v>174</v>
      </c>
      <c r="J46" s="92">
        <f>VLOOKUP($A46,'Data Vlaue (Cr)'!$C:$FB,94)</f>
        <v>0.1444</v>
      </c>
      <c r="K46" s="91">
        <f>VLOOKUP($A46,'Data Vlaue (Cr)'!$C:$FB,95)</f>
        <v>1052</v>
      </c>
      <c r="L46" s="91">
        <f>VLOOKUP($A46,'Data Vlaue (Cr)'!$C:$FB,97)</f>
        <v>99</v>
      </c>
      <c r="M46" s="92">
        <f>VLOOKUP($A46,'Data Vlaue (Cr)'!$C:$FB,98)</f>
        <v>0.10340000000000001</v>
      </c>
      <c r="N46" s="91">
        <f>VLOOKUP($A46,'Data Vlaue (Cr)'!$C:$FB,79)</f>
        <v>2326</v>
      </c>
      <c r="O46" s="92">
        <f>VLOOKUP($A46,'Data Vlaue (Cr)'!$C:$FB,82)</f>
        <v>1.17E-2</v>
      </c>
    </row>
    <row r="47" spans="1:15" x14ac:dyDescent="0.25">
      <c r="A47" s="97" t="str">
        <f>'Data Vlaue (Cr)'!C42</f>
        <v>CDSL</v>
      </c>
      <c r="B47" s="142">
        <f>VLOOKUP(A47,'Data Vlaue (Cr)'!C42:CW253,99,0)</f>
        <v>2813</v>
      </c>
      <c r="C47" s="90">
        <f>VLOOKUP(A47,'Data Vlaue (Cr)'!C42:CY253,101,0)</f>
        <v>11</v>
      </c>
      <c r="D47" s="139">
        <f>VLOOKUP(A47,'Data Vlaue (Cr)'!C42:CZ253,102,0)</f>
        <v>3.8E-3</v>
      </c>
      <c r="E47" s="91">
        <f>VLOOKUP($A47,'Data Vlaue (Cr)'!$C:$FB,75)</f>
        <v>1413</v>
      </c>
      <c r="F47" s="91">
        <f>VLOOKUP($A47,'Data Vlaue (Cr)'!$C:$FB,77)</f>
        <v>3</v>
      </c>
      <c r="G47" s="92">
        <f>VLOOKUP(A47,'Data Vlaue (Cr)'!C42:CB253,78,0)</f>
        <v>2E-3</v>
      </c>
      <c r="H47" s="91">
        <f>VLOOKUP($A47,'Data Vlaue (Cr)'!$C:$FB,91)</f>
        <v>793</v>
      </c>
      <c r="I47" s="91">
        <f>VLOOKUP($A47,'Data Vlaue (Cr)'!$C:$FB,93)</f>
        <v>13</v>
      </c>
      <c r="J47" s="92">
        <f>VLOOKUP($A47,'Data Vlaue (Cr)'!$C:$FB,94)</f>
        <v>1.6799999999999999E-2</v>
      </c>
      <c r="K47" s="91">
        <f>VLOOKUP($A47,'Data Vlaue (Cr)'!$C:$FB,95)</f>
        <v>607</v>
      </c>
      <c r="L47" s="91">
        <f>VLOOKUP($A47,'Data Vlaue (Cr)'!$C:$FB,97)</f>
        <v>-5</v>
      </c>
      <c r="M47" s="92">
        <f>VLOOKUP($A47,'Data Vlaue (Cr)'!$C:$FB,98)</f>
        <v>-8.6999999999999994E-3</v>
      </c>
      <c r="N47" s="91">
        <f>VLOOKUP($A47,'Data Vlaue (Cr)'!$C:$FB,79)</f>
        <v>1275</v>
      </c>
      <c r="O47" s="92">
        <f>VLOOKUP($A47,'Data Vlaue (Cr)'!$C:$FB,82)</f>
        <v>-3.0000000000000001E-3</v>
      </c>
    </row>
    <row r="48" spans="1:15" x14ac:dyDescent="0.25">
      <c r="A48" s="97" t="str">
        <f>'Data Vlaue (Cr)'!C43</f>
        <v>CGPOWER</v>
      </c>
      <c r="B48" s="142">
        <f>VLOOKUP(A48,'Data Vlaue (Cr)'!C43:CW254,99,0)</f>
        <v>1438</v>
      </c>
      <c r="C48" s="90">
        <f>VLOOKUP(A48,'Data Vlaue (Cr)'!C43:CY254,101,0)</f>
        <v>-23</v>
      </c>
      <c r="D48" s="139">
        <f>VLOOKUP(A48,'Data Vlaue (Cr)'!C43:CZ254,102,0)</f>
        <v>-1.5699999999999999E-2</v>
      </c>
      <c r="E48" s="91">
        <f>VLOOKUP($A48,'Data Vlaue (Cr)'!$C:$FB,75)</f>
        <v>1048</v>
      </c>
      <c r="F48" s="91">
        <f>VLOOKUP($A48,'Data Vlaue (Cr)'!$C:$FB,77)</f>
        <v>-14</v>
      </c>
      <c r="G48" s="92">
        <f>VLOOKUP(A48,'Data Vlaue (Cr)'!C43:CB254,78,0)</f>
        <v>-1.3599999999999999E-2</v>
      </c>
      <c r="H48" s="91">
        <f>VLOOKUP($A48,'Data Vlaue (Cr)'!$C:$FB,91)</f>
        <v>241</v>
      </c>
      <c r="I48" s="91">
        <f>VLOOKUP($A48,'Data Vlaue (Cr)'!$C:$FB,93)</f>
        <v>-7</v>
      </c>
      <c r="J48" s="92">
        <f>VLOOKUP($A48,'Data Vlaue (Cr)'!$C:$FB,94)</f>
        <v>-2.7E-2</v>
      </c>
      <c r="K48" s="91">
        <f>VLOOKUP($A48,'Data Vlaue (Cr)'!$C:$FB,95)</f>
        <v>149</v>
      </c>
      <c r="L48" s="91">
        <f>VLOOKUP($A48,'Data Vlaue (Cr)'!$C:$FB,97)</f>
        <v>-2</v>
      </c>
      <c r="M48" s="92">
        <f>VLOOKUP($A48,'Data Vlaue (Cr)'!$C:$FB,98)</f>
        <v>-1.23E-2</v>
      </c>
      <c r="N48" s="91">
        <f>VLOOKUP($A48,'Data Vlaue (Cr)'!$C:$FB,79)</f>
        <v>1035</v>
      </c>
      <c r="O48" s="92">
        <f>VLOOKUP($A48,'Data Vlaue (Cr)'!$C:$FB,82)</f>
        <v>-1.43E-2</v>
      </c>
    </row>
    <row r="49" spans="1:15" x14ac:dyDescent="0.25">
      <c r="A49" s="97" t="str">
        <f>'Data Vlaue (Cr)'!C44</f>
        <v>CHOLAFIN</v>
      </c>
      <c r="B49" s="142">
        <f>VLOOKUP(A49,'Data Vlaue (Cr)'!C44:CW255,99,0)</f>
        <v>3655</v>
      </c>
      <c r="C49" s="90">
        <f>VLOOKUP(A49,'Data Vlaue (Cr)'!C44:CY255,101,0)</f>
        <v>-28</v>
      </c>
      <c r="D49" s="139">
        <f>VLOOKUP(A49,'Data Vlaue (Cr)'!C44:CZ255,102,0)</f>
        <v>-7.6E-3</v>
      </c>
      <c r="E49" s="91">
        <f>VLOOKUP($A49,'Data Vlaue (Cr)'!$C:$FB,75)</f>
        <v>2693</v>
      </c>
      <c r="F49" s="91">
        <f>VLOOKUP($A49,'Data Vlaue (Cr)'!$C:$FB,77)</f>
        <v>20</v>
      </c>
      <c r="G49" s="92">
        <f>VLOOKUP(A49,'Data Vlaue (Cr)'!C44:CB255,78,0)</f>
        <v>7.4000000000000003E-3</v>
      </c>
      <c r="H49" s="91">
        <f>VLOOKUP($A49,'Data Vlaue (Cr)'!$C:$FB,91)</f>
        <v>481</v>
      </c>
      <c r="I49" s="91">
        <f>VLOOKUP($A49,'Data Vlaue (Cr)'!$C:$FB,93)</f>
        <v>0</v>
      </c>
      <c r="J49" s="92">
        <f>VLOOKUP($A49,'Data Vlaue (Cr)'!$C:$FB,94)</f>
        <v>4.0000000000000002E-4</v>
      </c>
      <c r="K49" s="91">
        <f>VLOOKUP($A49,'Data Vlaue (Cr)'!$C:$FB,95)</f>
        <v>481</v>
      </c>
      <c r="L49" s="91">
        <f>VLOOKUP($A49,'Data Vlaue (Cr)'!$C:$FB,97)</f>
        <v>-48</v>
      </c>
      <c r="M49" s="92">
        <f>VLOOKUP($A49,'Data Vlaue (Cr)'!$C:$FB,98)</f>
        <v>-9.0700000000000003E-2</v>
      </c>
      <c r="N49" s="91">
        <f>VLOOKUP($A49,'Data Vlaue (Cr)'!$C:$FB,79)</f>
        <v>2676</v>
      </c>
      <c r="O49" s="92">
        <f>VLOOKUP($A49,'Data Vlaue (Cr)'!$C:$FB,82)</f>
        <v>7.0000000000000001E-3</v>
      </c>
    </row>
    <row r="50" spans="1:15" x14ac:dyDescent="0.25">
      <c r="A50" s="97" t="str">
        <f>'Data Vlaue (Cr)'!C45</f>
        <v>CIPLA</v>
      </c>
      <c r="B50" s="142">
        <f>VLOOKUP(A50,'Data Vlaue (Cr)'!C45:CW256,99,0)</f>
        <v>2819</v>
      </c>
      <c r="C50" s="90">
        <f>VLOOKUP(A50,'Data Vlaue (Cr)'!C45:CY256,101,0)</f>
        <v>-38</v>
      </c>
      <c r="D50" s="139">
        <f>VLOOKUP(A50,'Data Vlaue (Cr)'!C45:CZ256,102,0)</f>
        <v>-1.32E-2</v>
      </c>
      <c r="E50" s="91">
        <f>VLOOKUP($A50,'Data Vlaue (Cr)'!$C:$FB,75)</f>
        <v>1768</v>
      </c>
      <c r="F50" s="91">
        <f>VLOOKUP($A50,'Data Vlaue (Cr)'!$C:$FB,77)</f>
        <v>-7</v>
      </c>
      <c r="G50" s="92">
        <f>VLOOKUP(A50,'Data Vlaue (Cr)'!C45:CB256,78,0)</f>
        <v>-3.8999999999999998E-3</v>
      </c>
      <c r="H50" s="91">
        <f>VLOOKUP($A50,'Data Vlaue (Cr)'!$C:$FB,91)</f>
        <v>647</v>
      </c>
      <c r="I50" s="91">
        <f>VLOOKUP($A50,'Data Vlaue (Cr)'!$C:$FB,93)</f>
        <v>-34</v>
      </c>
      <c r="J50" s="92">
        <f>VLOOKUP($A50,'Data Vlaue (Cr)'!$C:$FB,94)</f>
        <v>-5.04E-2</v>
      </c>
      <c r="K50" s="91">
        <f>VLOOKUP($A50,'Data Vlaue (Cr)'!$C:$FB,95)</f>
        <v>404</v>
      </c>
      <c r="L50" s="91">
        <f>VLOOKUP($A50,'Data Vlaue (Cr)'!$C:$FB,97)</f>
        <v>4</v>
      </c>
      <c r="M50" s="92">
        <f>VLOOKUP($A50,'Data Vlaue (Cr)'!$C:$FB,98)</f>
        <v>9.1000000000000004E-3</v>
      </c>
      <c r="N50" s="91">
        <f>VLOOKUP($A50,'Data Vlaue (Cr)'!$C:$FB,79)</f>
        <v>1740</v>
      </c>
      <c r="O50" s="92">
        <f>VLOOKUP($A50,'Data Vlaue (Cr)'!$C:$FB,82)</f>
        <v>-4.4000000000000003E-3</v>
      </c>
    </row>
    <row r="51" spans="1:15" x14ac:dyDescent="0.25">
      <c r="A51" s="97" t="str">
        <f>'Data Vlaue (Cr)'!C46</f>
        <v>COALINDIA</v>
      </c>
      <c r="B51" s="142">
        <f>VLOOKUP(A51,'Data Vlaue (Cr)'!C46:CW257,99,0)</f>
        <v>4339</v>
      </c>
      <c r="C51" s="90">
        <f>VLOOKUP(A51,'Data Vlaue (Cr)'!C46:CY257,101,0)</f>
        <v>404</v>
      </c>
      <c r="D51" s="139">
        <f>VLOOKUP(A51,'Data Vlaue (Cr)'!C46:CZ257,102,0)</f>
        <v>0.1028</v>
      </c>
      <c r="E51" s="91">
        <f>VLOOKUP($A51,'Data Vlaue (Cr)'!$C:$FB,75)</f>
        <v>2094</v>
      </c>
      <c r="F51" s="91">
        <f>VLOOKUP($A51,'Data Vlaue (Cr)'!$C:$FB,77)</f>
        <v>10</v>
      </c>
      <c r="G51" s="92">
        <f>VLOOKUP(A51,'Data Vlaue (Cr)'!C46:CB257,78,0)</f>
        <v>5.0000000000000001E-3</v>
      </c>
      <c r="H51" s="91">
        <f>VLOOKUP($A51,'Data Vlaue (Cr)'!$C:$FB,91)</f>
        <v>1288</v>
      </c>
      <c r="I51" s="91">
        <f>VLOOKUP($A51,'Data Vlaue (Cr)'!$C:$FB,93)</f>
        <v>143</v>
      </c>
      <c r="J51" s="92">
        <f>VLOOKUP($A51,'Data Vlaue (Cr)'!$C:$FB,94)</f>
        <v>0.12520000000000001</v>
      </c>
      <c r="K51" s="91">
        <f>VLOOKUP($A51,'Data Vlaue (Cr)'!$C:$FB,95)</f>
        <v>956</v>
      </c>
      <c r="L51" s="91">
        <f>VLOOKUP($A51,'Data Vlaue (Cr)'!$C:$FB,97)</f>
        <v>251</v>
      </c>
      <c r="M51" s="92">
        <f>VLOOKUP($A51,'Data Vlaue (Cr)'!$C:$FB,98)</f>
        <v>0.3548</v>
      </c>
      <c r="N51" s="91">
        <f>VLOOKUP($A51,'Data Vlaue (Cr)'!$C:$FB,79)</f>
        <v>1861</v>
      </c>
      <c r="O51" s="92">
        <f>VLOOKUP($A51,'Data Vlaue (Cr)'!$C:$FB,82)</f>
        <v>5.7999999999999996E-3</v>
      </c>
    </row>
    <row r="52" spans="1:15" x14ac:dyDescent="0.25">
      <c r="A52" s="97" t="str">
        <f>'Data Vlaue (Cr)'!C47</f>
        <v>COFORGE</v>
      </c>
      <c r="B52" s="142">
        <f>VLOOKUP(A52,'Data Vlaue (Cr)'!C47:CW258,99,0)</f>
        <v>5000</v>
      </c>
      <c r="C52" s="90">
        <f>VLOOKUP(A52,'Data Vlaue (Cr)'!C47:CY258,101,0)</f>
        <v>218</v>
      </c>
      <c r="D52" s="139">
        <f>VLOOKUP(A52,'Data Vlaue (Cr)'!C47:CZ258,102,0)</f>
        <v>4.5699999999999998E-2</v>
      </c>
      <c r="E52" s="91">
        <f>VLOOKUP($A52,'Data Vlaue (Cr)'!$C:$FB,75)</f>
        <v>3141</v>
      </c>
      <c r="F52" s="91">
        <f>VLOOKUP($A52,'Data Vlaue (Cr)'!$C:$FB,77)</f>
        <v>85</v>
      </c>
      <c r="G52" s="92">
        <f>VLOOKUP(A52,'Data Vlaue (Cr)'!C47:CB258,78,0)</f>
        <v>2.7900000000000001E-2</v>
      </c>
      <c r="H52" s="91">
        <f>VLOOKUP($A52,'Data Vlaue (Cr)'!$C:$FB,91)</f>
        <v>1301</v>
      </c>
      <c r="I52" s="91">
        <f>VLOOKUP($A52,'Data Vlaue (Cr)'!$C:$FB,93)</f>
        <v>104</v>
      </c>
      <c r="J52" s="92">
        <f>VLOOKUP($A52,'Data Vlaue (Cr)'!$C:$FB,94)</f>
        <v>8.6599999999999996E-2</v>
      </c>
      <c r="K52" s="91">
        <f>VLOOKUP($A52,'Data Vlaue (Cr)'!$C:$FB,95)</f>
        <v>558</v>
      </c>
      <c r="L52" s="91">
        <f>VLOOKUP($A52,'Data Vlaue (Cr)'!$C:$FB,97)</f>
        <v>29</v>
      </c>
      <c r="M52" s="92">
        <f>VLOOKUP($A52,'Data Vlaue (Cr)'!$C:$FB,98)</f>
        <v>5.5800000000000002E-2</v>
      </c>
      <c r="N52" s="91">
        <f>VLOOKUP($A52,'Data Vlaue (Cr)'!$C:$FB,79)</f>
        <v>3021</v>
      </c>
      <c r="O52" s="92">
        <f>VLOOKUP($A52,'Data Vlaue (Cr)'!$C:$FB,82)</f>
        <v>2.3E-2</v>
      </c>
    </row>
    <row r="53" spans="1:15" x14ac:dyDescent="0.25">
      <c r="A53" s="97" t="str">
        <f>'Data Vlaue (Cr)'!C48</f>
        <v>COLPAL</v>
      </c>
      <c r="B53" s="142">
        <f>VLOOKUP(A53,'Data Vlaue (Cr)'!C48:CW259,99,0)</f>
        <v>1879</v>
      </c>
      <c r="C53" s="90">
        <f>VLOOKUP(A53,'Data Vlaue (Cr)'!C48:CY259,101,0)</f>
        <v>18</v>
      </c>
      <c r="D53" s="139">
        <f>VLOOKUP(A53,'Data Vlaue (Cr)'!C48:CZ259,102,0)</f>
        <v>9.5999999999999992E-3</v>
      </c>
      <c r="E53" s="91">
        <f>VLOOKUP($A53,'Data Vlaue (Cr)'!$C:$FB,75)</f>
        <v>1217</v>
      </c>
      <c r="F53" s="91">
        <f>VLOOKUP($A53,'Data Vlaue (Cr)'!$C:$FB,77)</f>
        <v>-4</v>
      </c>
      <c r="G53" s="92">
        <f>VLOOKUP(A53,'Data Vlaue (Cr)'!C48:CB259,78,0)</f>
        <v>-3.0000000000000001E-3</v>
      </c>
      <c r="H53" s="91">
        <f>VLOOKUP($A53,'Data Vlaue (Cr)'!$C:$FB,91)</f>
        <v>395</v>
      </c>
      <c r="I53" s="91">
        <f>VLOOKUP($A53,'Data Vlaue (Cr)'!$C:$FB,93)</f>
        <v>-2</v>
      </c>
      <c r="J53" s="92">
        <f>VLOOKUP($A53,'Data Vlaue (Cr)'!$C:$FB,94)</f>
        <v>-5.4000000000000003E-3</v>
      </c>
      <c r="K53" s="91">
        <f>VLOOKUP($A53,'Data Vlaue (Cr)'!$C:$FB,95)</f>
        <v>267</v>
      </c>
      <c r="L53" s="91">
        <f>VLOOKUP($A53,'Data Vlaue (Cr)'!$C:$FB,97)</f>
        <v>24</v>
      </c>
      <c r="M53" s="92">
        <f>VLOOKUP($A53,'Data Vlaue (Cr)'!$C:$FB,98)</f>
        <v>9.69E-2</v>
      </c>
      <c r="N53" s="91">
        <f>VLOOKUP($A53,'Data Vlaue (Cr)'!$C:$FB,79)</f>
        <v>1184</v>
      </c>
      <c r="O53" s="92">
        <f>VLOOKUP($A53,'Data Vlaue (Cr)'!$C:$FB,82)</f>
        <v>-4.7000000000000002E-3</v>
      </c>
    </row>
    <row r="54" spans="1:15" x14ac:dyDescent="0.25">
      <c r="A54" s="97" t="str">
        <f>'Data Vlaue (Cr)'!C49</f>
        <v>CONCOR</v>
      </c>
      <c r="B54" s="142">
        <f>VLOOKUP(A54,'Data Vlaue (Cr)'!C49:CW260,99,0)</f>
        <v>2281</v>
      </c>
      <c r="C54" s="90">
        <f>VLOOKUP(A54,'Data Vlaue (Cr)'!C49:CY260,101,0)</f>
        <v>-17</v>
      </c>
      <c r="D54" s="139">
        <f>VLOOKUP(A54,'Data Vlaue (Cr)'!C49:CZ260,102,0)</f>
        <v>-7.1999999999999998E-3</v>
      </c>
      <c r="E54" s="91">
        <f>VLOOKUP($A54,'Data Vlaue (Cr)'!$C:$FB,75)</f>
        <v>1410</v>
      </c>
      <c r="F54" s="91">
        <f>VLOOKUP($A54,'Data Vlaue (Cr)'!$C:$FB,77)</f>
        <v>-12</v>
      </c>
      <c r="G54" s="92">
        <f>VLOOKUP(A54,'Data Vlaue (Cr)'!C49:CB260,78,0)</f>
        <v>-8.3000000000000001E-3</v>
      </c>
      <c r="H54" s="91">
        <f>VLOOKUP($A54,'Data Vlaue (Cr)'!$C:$FB,91)</f>
        <v>494</v>
      </c>
      <c r="I54" s="91">
        <f>VLOOKUP($A54,'Data Vlaue (Cr)'!$C:$FB,93)</f>
        <v>-29</v>
      </c>
      <c r="J54" s="92">
        <f>VLOOKUP($A54,'Data Vlaue (Cr)'!$C:$FB,94)</f>
        <v>-5.5199999999999999E-2</v>
      </c>
      <c r="K54" s="91">
        <f>VLOOKUP($A54,'Data Vlaue (Cr)'!$C:$FB,95)</f>
        <v>377</v>
      </c>
      <c r="L54" s="91">
        <f>VLOOKUP($A54,'Data Vlaue (Cr)'!$C:$FB,97)</f>
        <v>24</v>
      </c>
      <c r="M54" s="92">
        <f>VLOOKUP($A54,'Data Vlaue (Cr)'!$C:$FB,98)</f>
        <v>6.83E-2</v>
      </c>
      <c r="N54" s="91">
        <f>VLOOKUP($A54,'Data Vlaue (Cr)'!$C:$FB,79)</f>
        <v>1353</v>
      </c>
      <c r="O54" s="92">
        <f>VLOOKUP($A54,'Data Vlaue (Cr)'!$C:$FB,82)</f>
        <v>-7.1000000000000004E-3</v>
      </c>
    </row>
    <row r="55" spans="1:15" x14ac:dyDescent="0.25">
      <c r="A55" s="97" t="str">
        <f>'Data Vlaue (Cr)'!C50</f>
        <v>CROMPTON</v>
      </c>
      <c r="B55" s="142">
        <f>VLOOKUP(A55,'Data Vlaue (Cr)'!C50:CW261,99,0)</f>
        <v>1546</v>
      </c>
      <c r="C55" s="90">
        <f>VLOOKUP(A55,'Data Vlaue (Cr)'!C50:CY261,101,0)</f>
        <v>23</v>
      </c>
      <c r="D55" s="139">
        <f>VLOOKUP(A55,'Data Vlaue (Cr)'!C50:CZ261,102,0)</f>
        <v>1.4800000000000001E-2</v>
      </c>
      <c r="E55" s="91">
        <f>VLOOKUP($A55,'Data Vlaue (Cr)'!$C:$FB,75)</f>
        <v>1213</v>
      </c>
      <c r="F55" s="91">
        <f>VLOOKUP($A55,'Data Vlaue (Cr)'!$C:$FB,77)</f>
        <v>8</v>
      </c>
      <c r="G55" s="92">
        <f>VLOOKUP(A55,'Data Vlaue (Cr)'!C50:CB261,78,0)</f>
        <v>6.4999999999999997E-3</v>
      </c>
      <c r="H55" s="91">
        <f>VLOOKUP($A55,'Data Vlaue (Cr)'!$C:$FB,91)</f>
        <v>221</v>
      </c>
      <c r="I55" s="91">
        <f>VLOOKUP($A55,'Data Vlaue (Cr)'!$C:$FB,93)</f>
        <v>9</v>
      </c>
      <c r="J55" s="92">
        <f>VLOOKUP($A55,'Data Vlaue (Cr)'!$C:$FB,94)</f>
        <v>4.3900000000000002E-2</v>
      </c>
      <c r="K55" s="91">
        <f>VLOOKUP($A55,'Data Vlaue (Cr)'!$C:$FB,95)</f>
        <v>112</v>
      </c>
      <c r="L55" s="91">
        <f>VLOOKUP($A55,'Data Vlaue (Cr)'!$C:$FB,97)</f>
        <v>5</v>
      </c>
      <c r="M55" s="92">
        <f>VLOOKUP($A55,'Data Vlaue (Cr)'!$C:$FB,98)</f>
        <v>5.0700000000000002E-2</v>
      </c>
      <c r="N55" s="91">
        <f>VLOOKUP($A55,'Data Vlaue (Cr)'!$C:$FB,79)</f>
        <v>1190</v>
      </c>
      <c r="O55" s="92">
        <f>VLOOKUP($A55,'Data Vlaue (Cr)'!$C:$FB,82)</f>
        <v>6.0000000000000001E-3</v>
      </c>
    </row>
    <row r="56" spans="1:15" x14ac:dyDescent="0.25">
      <c r="A56" s="97" t="str">
        <f>'Data Vlaue (Cr)'!C51</f>
        <v>CUMMINSIND</v>
      </c>
      <c r="B56" s="142">
        <f>VLOOKUP(A56,'Data Vlaue (Cr)'!C51:CW262,99,0)</f>
        <v>2249</v>
      </c>
      <c r="C56" s="90">
        <f>VLOOKUP(A56,'Data Vlaue (Cr)'!C51:CY262,101,0)</f>
        <v>19</v>
      </c>
      <c r="D56" s="139">
        <f>VLOOKUP(A56,'Data Vlaue (Cr)'!C51:CZ262,102,0)</f>
        <v>8.6999999999999994E-3</v>
      </c>
      <c r="E56" s="91">
        <f>VLOOKUP($A56,'Data Vlaue (Cr)'!$C:$FB,75)</f>
        <v>1566</v>
      </c>
      <c r="F56" s="91">
        <f>VLOOKUP($A56,'Data Vlaue (Cr)'!$C:$FB,77)</f>
        <v>-23</v>
      </c>
      <c r="G56" s="92">
        <f>VLOOKUP(A56,'Data Vlaue (Cr)'!C51:CB262,78,0)</f>
        <v>-1.43E-2</v>
      </c>
      <c r="H56" s="91">
        <f>VLOOKUP($A56,'Data Vlaue (Cr)'!$C:$FB,91)</f>
        <v>400</v>
      </c>
      <c r="I56" s="91">
        <f>VLOOKUP($A56,'Data Vlaue (Cr)'!$C:$FB,93)</f>
        <v>46</v>
      </c>
      <c r="J56" s="92">
        <f>VLOOKUP($A56,'Data Vlaue (Cr)'!$C:$FB,94)</f>
        <v>0.13</v>
      </c>
      <c r="K56" s="91">
        <f>VLOOKUP($A56,'Data Vlaue (Cr)'!$C:$FB,95)</f>
        <v>283</v>
      </c>
      <c r="L56" s="91">
        <f>VLOOKUP($A56,'Data Vlaue (Cr)'!$C:$FB,97)</f>
        <v>-4</v>
      </c>
      <c r="M56" s="92">
        <f>VLOOKUP($A56,'Data Vlaue (Cr)'!$C:$FB,98)</f>
        <v>-1.34E-2</v>
      </c>
      <c r="N56" s="91">
        <f>VLOOKUP($A56,'Data Vlaue (Cr)'!$C:$FB,79)</f>
        <v>1550</v>
      </c>
      <c r="O56" s="92">
        <f>VLOOKUP($A56,'Data Vlaue (Cr)'!$C:$FB,82)</f>
        <v>-1.6E-2</v>
      </c>
    </row>
    <row r="57" spans="1:15" x14ac:dyDescent="0.25">
      <c r="A57" s="97" t="str">
        <f>'Data Vlaue (Cr)'!C52</f>
        <v>DABUR</v>
      </c>
      <c r="B57" s="142">
        <f>VLOOKUP(A57,'Data Vlaue (Cr)'!C52:CW263,99,0)</f>
        <v>1882</v>
      </c>
      <c r="C57" s="90">
        <f>VLOOKUP(A57,'Data Vlaue (Cr)'!C52:CY263,101,0)</f>
        <v>74</v>
      </c>
      <c r="D57" s="139">
        <f>VLOOKUP(A57,'Data Vlaue (Cr)'!C52:CZ263,102,0)</f>
        <v>4.07E-2</v>
      </c>
      <c r="E57" s="91">
        <f>VLOOKUP($A57,'Data Vlaue (Cr)'!$C:$FB,75)</f>
        <v>1235</v>
      </c>
      <c r="F57" s="91">
        <f>VLOOKUP($A57,'Data Vlaue (Cr)'!$C:$FB,77)</f>
        <v>18</v>
      </c>
      <c r="G57" s="92">
        <f>VLOOKUP(A57,'Data Vlaue (Cr)'!C52:CB263,78,0)</f>
        <v>1.4500000000000001E-2</v>
      </c>
      <c r="H57" s="91">
        <f>VLOOKUP($A57,'Data Vlaue (Cr)'!$C:$FB,91)</f>
        <v>434</v>
      </c>
      <c r="I57" s="91">
        <f>VLOOKUP($A57,'Data Vlaue (Cr)'!$C:$FB,93)</f>
        <v>49</v>
      </c>
      <c r="J57" s="92">
        <f>VLOOKUP($A57,'Data Vlaue (Cr)'!$C:$FB,94)</f>
        <v>0.1273</v>
      </c>
      <c r="K57" s="91">
        <f>VLOOKUP($A57,'Data Vlaue (Cr)'!$C:$FB,95)</f>
        <v>214</v>
      </c>
      <c r="L57" s="91">
        <f>VLOOKUP($A57,'Data Vlaue (Cr)'!$C:$FB,97)</f>
        <v>7</v>
      </c>
      <c r="M57" s="92">
        <f>VLOOKUP($A57,'Data Vlaue (Cr)'!$C:$FB,98)</f>
        <v>3.3399999999999999E-2</v>
      </c>
      <c r="N57" s="91">
        <f>VLOOKUP($A57,'Data Vlaue (Cr)'!$C:$FB,79)</f>
        <v>1213</v>
      </c>
      <c r="O57" s="92">
        <f>VLOOKUP($A57,'Data Vlaue (Cr)'!$C:$FB,82)</f>
        <v>1.06E-2</v>
      </c>
    </row>
    <row r="58" spans="1:15" x14ac:dyDescent="0.25">
      <c r="A58" s="97" t="str">
        <f>'Data Vlaue (Cr)'!C53</f>
        <v>DALBHARAT</v>
      </c>
      <c r="B58" s="142">
        <f>VLOOKUP(A58,'Data Vlaue (Cr)'!C53:CW264,99,0)</f>
        <v>770</v>
      </c>
      <c r="C58" s="90">
        <f>VLOOKUP(A58,'Data Vlaue (Cr)'!C53:CY264,101,0)</f>
        <v>10</v>
      </c>
      <c r="D58" s="139">
        <f>VLOOKUP(A58,'Data Vlaue (Cr)'!C53:CZ264,102,0)</f>
        <v>1.29E-2</v>
      </c>
      <c r="E58" s="91">
        <f>VLOOKUP($A58,'Data Vlaue (Cr)'!$C:$FB,75)</f>
        <v>406</v>
      </c>
      <c r="F58" s="91">
        <f>VLOOKUP($A58,'Data Vlaue (Cr)'!$C:$FB,77)</f>
        <v>-1</v>
      </c>
      <c r="G58" s="92">
        <f>VLOOKUP(A58,'Data Vlaue (Cr)'!C53:CB264,78,0)</f>
        <v>-3.2000000000000002E-3</v>
      </c>
      <c r="H58" s="91">
        <f>VLOOKUP($A58,'Data Vlaue (Cr)'!$C:$FB,91)</f>
        <v>182</v>
      </c>
      <c r="I58" s="91">
        <f>VLOOKUP($A58,'Data Vlaue (Cr)'!$C:$FB,93)</f>
        <v>14</v>
      </c>
      <c r="J58" s="92">
        <f>VLOOKUP($A58,'Data Vlaue (Cr)'!$C:$FB,94)</f>
        <v>8.2299999999999998E-2</v>
      </c>
      <c r="K58" s="91">
        <f>VLOOKUP($A58,'Data Vlaue (Cr)'!$C:$FB,95)</f>
        <v>181</v>
      </c>
      <c r="L58" s="91">
        <f>VLOOKUP($A58,'Data Vlaue (Cr)'!$C:$FB,97)</f>
        <v>-3</v>
      </c>
      <c r="M58" s="92">
        <f>VLOOKUP($A58,'Data Vlaue (Cr)'!$C:$FB,98)</f>
        <v>-1.4999999999999999E-2</v>
      </c>
      <c r="N58" s="91">
        <f>VLOOKUP($A58,'Data Vlaue (Cr)'!$C:$FB,79)</f>
        <v>400</v>
      </c>
      <c r="O58" s="92">
        <f>VLOOKUP($A58,'Data Vlaue (Cr)'!$C:$FB,82)</f>
        <v>-5.1000000000000004E-3</v>
      </c>
    </row>
    <row r="59" spans="1:15" x14ac:dyDescent="0.25">
      <c r="A59" s="97" t="str">
        <f>'Data Vlaue (Cr)'!C54</f>
        <v>DELHIVERY</v>
      </c>
      <c r="B59" s="142">
        <f>VLOOKUP(A59,'Data Vlaue (Cr)'!C54:CW265,99,0)</f>
        <v>1396</v>
      </c>
      <c r="C59" s="90">
        <f>VLOOKUP(A59,'Data Vlaue (Cr)'!C54:CY265,101,0)</f>
        <v>67</v>
      </c>
      <c r="D59" s="139">
        <f>VLOOKUP(A59,'Data Vlaue (Cr)'!C54:CZ265,102,0)</f>
        <v>5.0799999999999998E-2</v>
      </c>
      <c r="E59" s="91">
        <f>VLOOKUP($A59,'Data Vlaue (Cr)'!$C:$FB,75)</f>
        <v>1009</v>
      </c>
      <c r="F59" s="91">
        <f>VLOOKUP($A59,'Data Vlaue (Cr)'!$C:$FB,77)</f>
        <v>5</v>
      </c>
      <c r="G59" s="92">
        <f>VLOOKUP(A59,'Data Vlaue (Cr)'!C54:CB265,78,0)</f>
        <v>4.7999999999999996E-3</v>
      </c>
      <c r="H59" s="91">
        <f>VLOOKUP($A59,'Data Vlaue (Cr)'!$C:$FB,91)</f>
        <v>269</v>
      </c>
      <c r="I59" s="91">
        <f>VLOOKUP($A59,'Data Vlaue (Cr)'!$C:$FB,93)</f>
        <v>48</v>
      </c>
      <c r="J59" s="92">
        <f>VLOOKUP($A59,'Data Vlaue (Cr)'!$C:$FB,94)</f>
        <v>0.2155</v>
      </c>
      <c r="K59" s="91">
        <f>VLOOKUP($A59,'Data Vlaue (Cr)'!$C:$FB,95)</f>
        <v>118</v>
      </c>
      <c r="L59" s="91">
        <f>VLOOKUP($A59,'Data Vlaue (Cr)'!$C:$FB,97)</f>
        <v>15</v>
      </c>
      <c r="M59" s="92">
        <f>VLOOKUP($A59,'Data Vlaue (Cr)'!$C:$FB,98)</f>
        <v>0.14560000000000001</v>
      </c>
      <c r="N59" s="91">
        <f>VLOOKUP($A59,'Data Vlaue (Cr)'!$C:$FB,79)</f>
        <v>996</v>
      </c>
      <c r="O59" s="92">
        <f>VLOOKUP($A59,'Data Vlaue (Cr)'!$C:$FB,82)</f>
        <v>4.4000000000000003E-3</v>
      </c>
    </row>
    <row r="60" spans="1:15" x14ac:dyDescent="0.25">
      <c r="A60" s="97" t="str">
        <f>'Data Vlaue (Cr)'!C55</f>
        <v>DIVISLAB</v>
      </c>
      <c r="B60" s="142">
        <f>VLOOKUP(A60,'Data Vlaue (Cr)'!C55:CW266,99,0)</f>
        <v>2449</v>
      </c>
      <c r="C60" s="90">
        <f>VLOOKUP(A60,'Data Vlaue (Cr)'!C55:CY266,101,0)</f>
        <v>25</v>
      </c>
      <c r="D60" s="139">
        <f>VLOOKUP(A60,'Data Vlaue (Cr)'!C55:CZ266,102,0)</f>
        <v>1.04E-2</v>
      </c>
      <c r="E60" s="91">
        <f>VLOOKUP($A60,'Data Vlaue (Cr)'!$C:$FB,75)</f>
        <v>1746</v>
      </c>
      <c r="F60" s="91">
        <f>VLOOKUP($A60,'Data Vlaue (Cr)'!$C:$FB,77)</f>
        <v>-11</v>
      </c>
      <c r="G60" s="92">
        <f>VLOOKUP(A60,'Data Vlaue (Cr)'!C55:CB266,78,0)</f>
        <v>-6.0000000000000001E-3</v>
      </c>
      <c r="H60" s="91">
        <f>VLOOKUP($A60,'Data Vlaue (Cr)'!$C:$FB,91)</f>
        <v>447</v>
      </c>
      <c r="I60" s="91">
        <f>VLOOKUP($A60,'Data Vlaue (Cr)'!$C:$FB,93)</f>
        <v>25</v>
      </c>
      <c r="J60" s="92">
        <f>VLOOKUP($A60,'Data Vlaue (Cr)'!$C:$FB,94)</f>
        <v>6.0299999999999999E-2</v>
      </c>
      <c r="K60" s="91">
        <f>VLOOKUP($A60,'Data Vlaue (Cr)'!$C:$FB,95)</f>
        <v>255</v>
      </c>
      <c r="L60" s="91">
        <f>VLOOKUP($A60,'Data Vlaue (Cr)'!$C:$FB,97)</f>
        <v>10</v>
      </c>
      <c r="M60" s="92">
        <f>VLOOKUP($A60,'Data Vlaue (Cr)'!$C:$FB,98)</f>
        <v>4.2000000000000003E-2</v>
      </c>
      <c r="N60" s="91">
        <f>VLOOKUP($A60,'Data Vlaue (Cr)'!$C:$FB,79)</f>
        <v>1734</v>
      </c>
      <c r="O60" s="92">
        <f>VLOOKUP($A60,'Data Vlaue (Cr)'!$C:$FB,82)</f>
        <v>-6.3E-3</v>
      </c>
    </row>
    <row r="61" spans="1:15" x14ac:dyDescent="0.25">
      <c r="A61" s="97" t="str">
        <f>'Data Vlaue (Cr)'!C56</f>
        <v>DIXON</v>
      </c>
      <c r="B61" s="142">
        <f>VLOOKUP(A61,'Data Vlaue (Cr)'!C56:CW267,99,0)</f>
        <v>5740</v>
      </c>
      <c r="C61" s="90">
        <f>VLOOKUP(A61,'Data Vlaue (Cr)'!C56:CY267,101,0)</f>
        <v>-40</v>
      </c>
      <c r="D61" s="139">
        <f>VLOOKUP(A61,'Data Vlaue (Cr)'!C56:CZ267,102,0)</f>
        <v>-7.0000000000000001E-3</v>
      </c>
      <c r="E61" s="91">
        <f>VLOOKUP($A61,'Data Vlaue (Cr)'!$C:$FB,75)</f>
        <v>2672</v>
      </c>
      <c r="F61" s="91">
        <f>VLOOKUP($A61,'Data Vlaue (Cr)'!$C:$FB,77)</f>
        <v>-41</v>
      </c>
      <c r="G61" s="92">
        <f>VLOOKUP(A61,'Data Vlaue (Cr)'!C56:CB267,78,0)</f>
        <v>-1.4999999999999999E-2</v>
      </c>
      <c r="H61" s="91">
        <f>VLOOKUP($A61,'Data Vlaue (Cr)'!$C:$FB,91)</f>
        <v>1912</v>
      </c>
      <c r="I61" s="91">
        <f>VLOOKUP($A61,'Data Vlaue (Cr)'!$C:$FB,93)</f>
        <v>1</v>
      </c>
      <c r="J61" s="92">
        <f>VLOOKUP($A61,'Data Vlaue (Cr)'!$C:$FB,94)</f>
        <v>5.9999999999999995E-4</v>
      </c>
      <c r="K61" s="91">
        <f>VLOOKUP($A61,'Data Vlaue (Cr)'!$C:$FB,95)</f>
        <v>1157</v>
      </c>
      <c r="L61" s="91">
        <f>VLOOKUP($A61,'Data Vlaue (Cr)'!$C:$FB,97)</f>
        <v>-1</v>
      </c>
      <c r="M61" s="92">
        <f>VLOOKUP($A61,'Data Vlaue (Cr)'!$C:$FB,98)</f>
        <v>-6.9999999999999999E-4</v>
      </c>
      <c r="N61" s="91">
        <f>VLOOKUP($A61,'Data Vlaue (Cr)'!$C:$FB,79)</f>
        <v>2531</v>
      </c>
      <c r="O61" s="92">
        <f>VLOOKUP($A61,'Data Vlaue (Cr)'!$C:$FB,82)</f>
        <v>-1.5800000000000002E-2</v>
      </c>
    </row>
    <row r="62" spans="1:15" x14ac:dyDescent="0.25">
      <c r="A62" s="97" t="str">
        <f>'Data Vlaue (Cr)'!C57</f>
        <v>DLF</v>
      </c>
      <c r="B62" s="142">
        <f>VLOOKUP(A62,'Data Vlaue (Cr)'!C57:CW268,99,0)</f>
        <v>4466</v>
      </c>
      <c r="C62" s="90">
        <f>VLOOKUP(A62,'Data Vlaue (Cr)'!C57:CY268,101,0)</f>
        <v>-40</v>
      </c>
      <c r="D62" s="139">
        <f>VLOOKUP(A62,'Data Vlaue (Cr)'!C57:CZ268,102,0)</f>
        <v>-8.9999999999999993E-3</v>
      </c>
      <c r="E62" s="91">
        <f>VLOOKUP($A62,'Data Vlaue (Cr)'!$C:$FB,75)</f>
        <v>3245</v>
      </c>
      <c r="F62" s="91">
        <f>VLOOKUP($A62,'Data Vlaue (Cr)'!$C:$FB,77)</f>
        <v>-34</v>
      </c>
      <c r="G62" s="92">
        <f>VLOOKUP(A62,'Data Vlaue (Cr)'!C57:CB268,78,0)</f>
        <v>-1.0500000000000001E-2</v>
      </c>
      <c r="H62" s="91">
        <f>VLOOKUP($A62,'Data Vlaue (Cr)'!$C:$FB,91)</f>
        <v>663</v>
      </c>
      <c r="I62" s="91">
        <f>VLOOKUP($A62,'Data Vlaue (Cr)'!$C:$FB,93)</f>
        <v>-10</v>
      </c>
      <c r="J62" s="92">
        <f>VLOOKUP($A62,'Data Vlaue (Cr)'!$C:$FB,94)</f>
        <v>-1.4999999999999999E-2</v>
      </c>
      <c r="K62" s="91">
        <f>VLOOKUP($A62,'Data Vlaue (Cr)'!$C:$FB,95)</f>
        <v>557</v>
      </c>
      <c r="L62" s="91">
        <f>VLOOKUP($A62,'Data Vlaue (Cr)'!$C:$FB,97)</f>
        <v>4</v>
      </c>
      <c r="M62" s="92">
        <f>VLOOKUP($A62,'Data Vlaue (Cr)'!$C:$FB,98)</f>
        <v>7.3000000000000001E-3</v>
      </c>
      <c r="N62" s="91">
        <f>VLOOKUP($A62,'Data Vlaue (Cr)'!$C:$FB,79)</f>
        <v>3079</v>
      </c>
      <c r="O62" s="92">
        <f>VLOOKUP($A62,'Data Vlaue (Cr)'!$C:$FB,82)</f>
        <v>-1.23E-2</v>
      </c>
    </row>
    <row r="63" spans="1:15" x14ac:dyDescent="0.25">
      <c r="A63" s="97" t="str">
        <f>'Data Vlaue (Cr)'!C58</f>
        <v>DMART</v>
      </c>
      <c r="B63" s="142">
        <f>VLOOKUP(A63,'Data Vlaue (Cr)'!C58:CW269,99,0)</f>
        <v>2802</v>
      </c>
      <c r="C63" s="90">
        <f>VLOOKUP(A63,'Data Vlaue (Cr)'!C58:CY269,101,0)</f>
        <v>30</v>
      </c>
      <c r="D63" s="139">
        <f>VLOOKUP(A63,'Data Vlaue (Cr)'!C58:CZ269,102,0)</f>
        <v>1.0800000000000001E-2</v>
      </c>
      <c r="E63" s="91">
        <f>VLOOKUP($A63,'Data Vlaue (Cr)'!$C:$FB,75)</f>
        <v>2134</v>
      </c>
      <c r="F63" s="91">
        <f>VLOOKUP($A63,'Data Vlaue (Cr)'!$C:$FB,77)</f>
        <v>-24</v>
      </c>
      <c r="G63" s="92">
        <f>VLOOKUP(A63,'Data Vlaue (Cr)'!C58:CB269,78,0)</f>
        <v>-1.1299999999999999E-2</v>
      </c>
      <c r="H63" s="91">
        <f>VLOOKUP($A63,'Data Vlaue (Cr)'!$C:$FB,91)</f>
        <v>376</v>
      </c>
      <c r="I63" s="91">
        <f>VLOOKUP($A63,'Data Vlaue (Cr)'!$C:$FB,93)</f>
        <v>41</v>
      </c>
      <c r="J63" s="92">
        <f>VLOOKUP($A63,'Data Vlaue (Cr)'!$C:$FB,94)</f>
        <v>0.1211</v>
      </c>
      <c r="K63" s="91">
        <f>VLOOKUP($A63,'Data Vlaue (Cr)'!$C:$FB,95)</f>
        <v>293</v>
      </c>
      <c r="L63" s="91">
        <f>VLOOKUP($A63,'Data Vlaue (Cr)'!$C:$FB,97)</f>
        <v>14</v>
      </c>
      <c r="M63" s="92">
        <f>VLOOKUP($A63,'Data Vlaue (Cr)'!$C:$FB,98)</f>
        <v>4.9200000000000001E-2</v>
      </c>
      <c r="N63" s="91">
        <f>VLOOKUP($A63,'Data Vlaue (Cr)'!$C:$FB,79)</f>
        <v>2035</v>
      </c>
      <c r="O63" s="92">
        <f>VLOOKUP($A63,'Data Vlaue (Cr)'!$C:$FB,82)</f>
        <v>-2.2100000000000002E-2</v>
      </c>
    </row>
    <row r="64" spans="1:15" x14ac:dyDescent="0.25">
      <c r="A64" s="97" t="str">
        <f>'Data Vlaue (Cr)'!C59</f>
        <v>DRREDDY</v>
      </c>
      <c r="B64" s="142">
        <f>VLOOKUP(A64,'Data Vlaue (Cr)'!C59:CW270,99,0)</f>
        <v>3089</v>
      </c>
      <c r="C64" s="90">
        <f>VLOOKUP(A64,'Data Vlaue (Cr)'!C59:CY270,101,0)</f>
        <v>29</v>
      </c>
      <c r="D64" s="139">
        <f>VLOOKUP(A64,'Data Vlaue (Cr)'!C59:CZ270,102,0)</f>
        <v>9.4000000000000004E-3</v>
      </c>
      <c r="E64" s="91">
        <f>VLOOKUP($A64,'Data Vlaue (Cr)'!$C:$FB,75)</f>
        <v>2074</v>
      </c>
      <c r="F64" s="91">
        <f>VLOOKUP($A64,'Data Vlaue (Cr)'!$C:$FB,77)</f>
        <v>-22</v>
      </c>
      <c r="G64" s="92">
        <f>VLOOKUP(A64,'Data Vlaue (Cr)'!C59:CB270,78,0)</f>
        <v>-1.0500000000000001E-2</v>
      </c>
      <c r="H64" s="91">
        <f>VLOOKUP($A64,'Data Vlaue (Cr)'!$C:$FB,91)</f>
        <v>610</v>
      </c>
      <c r="I64" s="91">
        <f>VLOOKUP($A64,'Data Vlaue (Cr)'!$C:$FB,93)</f>
        <v>31</v>
      </c>
      <c r="J64" s="92">
        <f>VLOOKUP($A64,'Data Vlaue (Cr)'!$C:$FB,94)</f>
        <v>5.3699999999999998E-2</v>
      </c>
      <c r="K64" s="91">
        <f>VLOOKUP($A64,'Data Vlaue (Cr)'!$C:$FB,95)</f>
        <v>405</v>
      </c>
      <c r="L64" s="91">
        <f>VLOOKUP($A64,'Data Vlaue (Cr)'!$C:$FB,97)</f>
        <v>20</v>
      </c>
      <c r="M64" s="92">
        <f>VLOOKUP($A64,'Data Vlaue (Cr)'!$C:$FB,98)</f>
        <v>5.1299999999999998E-2</v>
      </c>
      <c r="N64" s="91">
        <f>VLOOKUP($A64,'Data Vlaue (Cr)'!$C:$FB,79)</f>
        <v>2048</v>
      </c>
      <c r="O64" s="92">
        <f>VLOOKUP($A64,'Data Vlaue (Cr)'!$C:$FB,82)</f>
        <v>-9.5999999999999992E-3</v>
      </c>
    </row>
    <row r="65" spans="1:15" x14ac:dyDescent="0.25">
      <c r="A65" s="97" t="str">
        <f>'Data Vlaue (Cr)'!C60</f>
        <v>EICHERMOT</v>
      </c>
      <c r="B65" s="142">
        <f>VLOOKUP(A65,'Data Vlaue (Cr)'!C60:CW271,99,0)</f>
        <v>4593</v>
      </c>
      <c r="C65" s="90">
        <f>VLOOKUP(A65,'Data Vlaue (Cr)'!C60:CY271,101,0)</f>
        <v>40</v>
      </c>
      <c r="D65" s="139">
        <f>VLOOKUP(A65,'Data Vlaue (Cr)'!C60:CZ271,102,0)</f>
        <v>8.6999999999999994E-3</v>
      </c>
      <c r="E65" s="91">
        <f>VLOOKUP($A65,'Data Vlaue (Cr)'!$C:$FB,75)</f>
        <v>2354</v>
      </c>
      <c r="F65" s="91">
        <f>VLOOKUP($A65,'Data Vlaue (Cr)'!$C:$FB,77)</f>
        <v>-4</v>
      </c>
      <c r="G65" s="92">
        <f>VLOOKUP(A65,'Data Vlaue (Cr)'!C60:CB271,78,0)</f>
        <v>-1.6000000000000001E-3</v>
      </c>
      <c r="H65" s="91">
        <f>VLOOKUP($A65,'Data Vlaue (Cr)'!$C:$FB,91)</f>
        <v>1388</v>
      </c>
      <c r="I65" s="91">
        <f>VLOOKUP($A65,'Data Vlaue (Cr)'!$C:$FB,93)</f>
        <v>40</v>
      </c>
      <c r="J65" s="92">
        <f>VLOOKUP($A65,'Data Vlaue (Cr)'!$C:$FB,94)</f>
        <v>2.93E-2</v>
      </c>
      <c r="K65" s="91">
        <f>VLOOKUP($A65,'Data Vlaue (Cr)'!$C:$FB,95)</f>
        <v>852</v>
      </c>
      <c r="L65" s="91">
        <f>VLOOKUP($A65,'Data Vlaue (Cr)'!$C:$FB,97)</f>
        <v>4</v>
      </c>
      <c r="M65" s="92">
        <f>VLOOKUP($A65,'Data Vlaue (Cr)'!$C:$FB,98)</f>
        <v>4.7999999999999996E-3</v>
      </c>
      <c r="N65" s="91">
        <f>VLOOKUP($A65,'Data Vlaue (Cr)'!$C:$FB,79)</f>
        <v>2303</v>
      </c>
      <c r="O65" s="92">
        <f>VLOOKUP($A65,'Data Vlaue (Cr)'!$C:$FB,82)</f>
        <v>-2.5999999999999999E-3</v>
      </c>
    </row>
    <row r="66" spans="1:15" x14ac:dyDescent="0.25">
      <c r="A66" s="97" t="str">
        <f>'Data Vlaue (Cr)'!C61</f>
        <v>ETERNAL</v>
      </c>
      <c r="B66" s="142">
        <f>VLOOKUP(A66,'Data Vlaue (Cr)'!C61:CW272,99,0)</f>
        <v>11016</v>
      </c>
      <c r="C66" s="90">
        <f>VLOOKUP(A66,'Data Vlaue (Cr)'!C61:CY272,101,0)</f>
        <v>264</v>
      </c>
      <c r="D66" s="139">
        <f>VLOOKUP(A66,'Data Vlaue (Cr)'!C61:CZ272,102,0)</f>
        <v>2.4500000000000001E-2</v>
      </c>
      <c r="E66" s="91">
        <f>VLOOKUP($A66,'Data Vlaue (Cr)'!$C:$FB,75)</f>
        <v>7025</v>
      </c>
      <c r="F66" s="91">
        <f>VLOOKUP($A66,'Data Vlaue (Cr)'!$C:$FB,77)</f>
        <v>-42</v>
      </c>
      <c r="G66" s="92">
        <f>VLOOKUP(A66,'Data Vlaue (Cr)'!C61:CB272,78,0)</f>
        <v>-5.8999999999999999E-3</v>
      </c>
      <c r="H66" s="91">
        <f>VLOOKUP($A66,'Data Vlaue (Cr)'!$C:$FB,91)</f>
        <v>2677</v>
      </c>
      <c r="I66" s="91">
        <f>VLOOKUP($A66,'Data Vlaue (Cr)'!$C:$FB,93)</f>
        <v>204</v>
      </c>
      <c r="J66" s="92">
        <f>VLOOKUP($A66,'Data Vlaue (Cr)'!$C:$FB,94)</f>
        <v>8.2699999999999996E-2</v>
      </c>
      <c r="K66" s="91">
        <f>VLOOKUP($A66,'Data Vlaue (Cr)'!$C:$FB,95)</f>
        <v>1315</v>
      </c>
      <c r="L66" s="91">
        <f>VLOOKUP($A66,'Data Vlaue (Cr)'!$C:$FB,97)</f>
        <v>101</v>
      </c>
      <c r="M66" s="92">
        <f>VLOOKUP($A66,'Data Vlaue (Cr)'!$C:$FB,98)</f>
        <v>8.3299999999999999E-2</v>
      </c>
      <c r="N66" s="91">
        <f>VLOOKUP($A66,'Data Vlaue (Cr)'!$C:$FB,79)</f>
        <v>6317</v>
      </c>
      <c r="O66" s="92">
        <f>VLOOKUP($A66,'Data Vlaue (Cr)'!$C:$FB,82)</f>
        <v>-1.2999999999999999E-2</v>
      </c>
    </row>
    <row r="67" spans="1:15" x14ac:dyDescent="0.25">
      <c r="A67" s="97" t="str">
        <f>'Data Vlaue (Cr)'!C62</f>
        <v>EXIDEIND</v>
      </c>
      <c r="B67" s="142">
        <f>VLOOKUP(A67,'Data Vlaue (Cr)'!C62:CW273,99,0)</f>
        <v>1554</v>
      </c>
      <c r="C67" s="90">
        <f>VLOOKUP(A67,'Data Vlaue (Cr)'!C62:CY273,101,0)</f>
        <v>14</v>
      </c>
      <c r="D67" s="139">
        <f>VLOOKUP(A67,'Data Vlaue (Cr)'!C62:CZ273,102,0)</f>
        <v>9.1999999999999998E-3</v>
      </c>
      <c r="E67" s="91">
        <f>VLOOKUP($A67,'Data Vlaue (Cr)'!$C:$FB,75)</f>
        <v>952</v>
      </c>
      <c r="F67" s="91">
        <f>VLOOKUP($A67,'Data Vlaue (Cr)'!$C:$FB,77)</f>
        <v>-16</v>
      </c>
      <c r="G67" s="92">
        <f>VLOOKUP(A67,'Data Vlaue (Cr)'!C62:CB273,78,0)</f>
        <v>-1.66E-2</v>
      </c>
      <c r="H67" s="91">
        <f>VLOOKUP($A67,'Data Vlaue (Cr)'!$C:$FB,91)</f>
        <v>311</v>
      </c>
      <c r="I67" s="91">
        <f>VLOOKUP($A67,'Data Vlaue (Cr)'!$C:$FB,93)</f>
        <v>11</v>
      </c>
      <c r="J67" s="92">
        <f>VLOOKUP($A67,'Data Vlaue (Cr)'!$C:$FB,94)</f>
        <v>3.6799999999999999E-2</v>
      </c>
      <c r="K67" s="91">
        <f>VLOOKUP($A67,'Data Vlaue (Cr)'!$C:$FB,95)</f>
        <v>291</v>
      </c>
      <c r="L67" s="91">
        <f>VLOOKUP($A67,'Data Vlaue (Cr)'!$C:$FB,97)</f>
        <v>19</v>
      </c>
      <c r="M67" s="92">
        <f>VLOOKUP($A67,'Data Vlaue (Cr)'!$C:$FB,98)</f>
        <v>7.0300000000000001E-2</v>
      </c>
      <c r="N67" s="91">
        <f>VLOOKUP($A67,'Data Vlaue (Cr)'!$C:$FB,79)</f>
        <v>909</v>
      </c>
      <c r="O67" s="92">
        <f>VLOOKUP($A67,'Data Vlaue (Cr)'!$C:$FB,82)</f>
        <v>-1.8499999999999999E-2</v>
      </c>
    </row>
    <row r="68" spans="1:15" x14ac:dyDescent="0.25">
      <c r="A68" s="97" t="str">
        <f>'Data Vlaue (Cr)'!C63</f>
        <v>FEDERALBNK</v>
      </c>
      <c r="B68" s="142">
        <f>VLOOKUP(A68,'Data Vlaue (Cr)'!C63:CW274,99,0)</f>
        <v>3642</v>
      </c>
      <c r="C68" s="90">
        <f>VLOOKUP(A68,'Data Vlaue (Cr)'!C63:CY274,101,0)</f>
        <v>257</v>
      </c>
      <c r="D68" s="139">
        <f>VLOOKUP(A68,'Data Vlaue (Cr)'!C63:CZ274,102,0)</f>
        <v>7.5899999999999995E-2</v>
      </c>
      <c r="E68" s="91">
        <f>VLOOKUP($A68,'Data Vlaue (Cr)'!$C:$FB,75)</f>
        <v>1871</v>
      </c>
      <c r="F68" s="91">
        <f>VLOOKUP($A68,'Data Vlaue (Cr)'!$C:$FB,77)</f>
        <v>28</v>
      </c>
      <c r="G68" s="92">
        <f>VLOOKUP(A68,'Data Vlaue (Cr)'!C63:CB274,78,0)</f>
        <v>1.52E-2</v>
      </c>
      <c r="H68" s="91">
        <f>VLOOKUP($A68,'Data Vlaue (Cr)'!$C:$FB,91)</f>
        <v>1039</v>
      </c>
      <c r="I68" s="91">
        <f>VLOOKUP($A68,'Data Vlaue (Cr)'!$C:$FB,93)</f>
        <v>140</v>
      </c>
      <c r="J68" s="92">
        <f>VLOOKUP($A68,'Data Vlaue (Cr)'!$C:$FB,94)</f>
        <v>0.15629999999999999</v>
      </c>
      <c r="K68" s="91">
        <f>VLOOKUP($A68,'Data Vlaue (Cr)'!$C:$FB,95)</f>
        <v>733</v>
      </c>
      <c r="L68" s="91">
        <f>VLOOKUP($A68,'Data Vlaue (Cr)'!$C:$FB,97)</f>
        <v>89</v>
      </c>
      <c r="M68" s="92">
        <f>VLOOKUP($A68,'Data Vlaue (Cr)'!$C:$FB,98)</f>
        <v>0.13750000000000001</v>
      </c>
      <c r="N68" s="91">
        <f>VLOOKUP($A68,'Data Vlaue (Cr)'!$C:$FB,79)</f>
        <v>1818</v>
      </c>
      <c r="O68" s="92">
        <f>VLOOKUP($A68,'Data Vlaue (Cr)'!$C:$FB,82)</f>
        <v>1.0999999999999999E-2</v>
      </c>
    </row>
    <row r="69" spans="1:15" x14ac:dyDescent="0.25">
      <c r="A69" s="97" t="str">
        <f>'Data Vlaue (Cr)'!C64</f>
        <v>FINNIFTY</v>
      </c>
      <c r="B69" s="142">
        <f>VLOOKUP(A69,'Data Vlaue (Cr)'!C64:CW275,99,0)</f>
        <v>3819</v>
      </c>
      <c r="C69" s="90">
        <f>VLOOKUP(A69,'Data Vlaue (Cr)'!C64:CY275,101,0)</f>
        <v>138</v>
      </c>
      <c r="D69" s="139">
        <f>VLOOKUP(A69,'Data Vlaue (Cr)'!C64:CZ275,102,0)</f>
        <v>3.7600000000000001E-2</v>
      </c>
      <c r="E69" s="91">
        <f>VLOOKUP($A69,'Data Vlaue (Cr)'!$C:$FB,75)</f>
        <v>156</v>
      </c>
      <c r="F69" s="91">
        <f>VLOOKUP($A69,'Data Vlaue (Cr)'!$C:$FB,77)</f>
        <v>16</v>
      </c>
      <c r="G69" s="92">
        <f>VLOOKUP(A69,'Data Vlaue (Cr)'!C64:CB275,78,0)</f>
        <v>0.1179</v>
      </c>
      <c r="H69" s="91">
        <f>VLOOKUP($A69,'Data Vlaue (Cr)'!$C:$FB,91)</f>
        <v>1975</v>
      </c>
      <c r="I69" s="91">
        <f>VLOOKUP($A69,'Data Vlaue (Cr)'!$C:$FB,93)</f>
        <v>53</v>
      </c>
      <c r="J69" s="92">
        <f>VLOOKUP($A69,'Data Vlaue (Cr)'!$C:$FB,94)</f>
        <v>2.75E-2</v>
      </c>
      <c r="K69" s="91">
        <f>VLOOKUP($A69,'Data Vlaue (Cr)'!$C:$FB,95)</f>
        <v>1688</v>
      </c>
      <c r="L69" s="91">
        <f>VLOOKUP($A69,'Data Vlaue (Cr)'!$C:$FB,97)</f>
        <v>69</v>
      </c>
      <c r="M69" s="92">
        <f>VLOOKUP($A69,'Data Vlaue (Cr)'!$C:$FB,98)</f>
        <v>4.2700000000000002E-2</v>
      </c>
      <c r="N69" s="91">
        <f>VLOOKUP($A69,'Data Vlaue (Cr)'!$C:$FB,79)</f>
        <v>153</v>
      </c>
      <c r="O69" s="92">
        <f>VLOOKUP($A69,'Data Vlaue (Cr)'!$C:$FB,82)</f>
        <v>0.1031</v>
      </c>
    </row>
    <row r="70" spans="1:15" x14ac:dyDescent="0.25">
      <c r="A70" s="97" t="str">
        <f>'Data Vlaue (Cr)'!C65</f>
        <v>FORTIS</v>
      </c>
      <c r="B70" s="142">
        <f>VLOOKUP(A70,'Data Vlaue (Cr)'!C65:CW276,99,0)</f>
        <v>1536</v>
      </c>
      <c r="C70" s="90">
        <f>VLOOKUP(A70,'Data Vlaue (Cr)'!C65:CY276,101,0)</f>
        <v>39</v>
      </c>
      <c r="D70" s="139">
        <f>VLOOKUP(A70,'Data Vlaue (Cr)'!C65:CZ276,102,0)</f>
        <v>2.6100000000000002E-2</v>
      </c>
      <c r="E70" s="91">
        <f>VLOOKUP($A70,'Data Vlaue (Cr)'!$C:$FB,75)</f>
        <v>1042</v>
      </c>
      <c r="F70" s="91">
        <f>VLOOKUP($A70,'Data Vlaue (Cr)'!$C:$FB,77)</f>
        <v>-2</v>
      </c>
      <c r="G70" s="92">
        <f>VLOOKUP(A70,'Data Vlaue (Cr)'!C65:CB276,78,0)</f>
        <v>-2E-3</v>
      </c>
      <c r="H70" s="91">
        <f>VLOOKUP($A70,'Data Vlaue (Cr)'!$C:$FB,91)</f>
        <v>338</v>
      </c>
      <c r="I70" s="91">
        <f>VLOOKUP($A70,'Data Vlaue (Cr)'!$C:$FB,93)</f>
        <v>40</v>
      </c>
      <c r="J70" s="92">
        <f>VLOOKUP($A70,'Data Vlaue (Cr)'!$C:$FB,94)</f>
        <v>0.13300000000000001</v>
      </c>
      <c r="K70" s="91">
        <f>VLOOKUP($A70,'Data Vlaue (Cr)'!$C:$FB,95)</f>
        <v>156</v>
      </c>
      <c r="L70" s="91">
        <f>VLOOKUP($A70,'Data Vlaue (Cr)'!$C:$FB,97)</f>
        <v>2</v>
      </c>
      <c r="M70" s="92">
        <f>VLOOKUP($A70,'Data Vlaue (Cr)'!$C:$FB,98)</f>
        <v>1.0200000000000001E-2</v>
      </c>
      <c r="N70" s="91">
        <f>VLOOKUP($A70,'Data Vlaue (Cr)'!$C:$FB,79)</f>
        <v>1027</v>
      </c>
      <c r="O70" s="92">
        <f>VLOOKUP($A70,'Data Vlaue (Cr)'!$C:$FB,82)</f>
        <v>-4.8999999999999998E-3</v>
      </c>
    </row>
    <row r="71" spans="1:15" x14ac:dyDescent="0.25">
      <c r="A71" s="97" t="str">
        <f>'Data Vlaue (Cr)'!C66</f>
        <v>GAIL</v>
      </c>
      <c r="B71" s="142">
        <f>VLOOKUP(A71,'Data Vlaue (Cr)'!C66:CW277,99,0)</f>
        <v>2663</v>
      </c>
      <c r="C71" s="90">
        <f>VLOOKUP(A71,'Data Vlaue (Cr)'!C66:CY277,101,0)</f>
        <v>57</v>
      </c>
      <c r="D71" s="139">
        <f>VLOOKUP(A71,'Data Vlaue (Cr)'!C66:CZ277,102,0)</f>
        <v>2.1899999999999999E-2</v>
      </c>
      <c r="E71" s="91">
        <f>VLOOKUP($A71,'Data Vlaue (Cr)'!$C:$FB,75)</f>
        <v>1506</v>
      </c>
      <c r="F71" s="91">
        <f>VLOOKUP($A71,'Data Vlaue (Cr)'!$C:$FB,77)</f>
        <v>12</v>
      </c>
      <c r="G71" s="92">
        <f>VLOOKUP(A71,'Data Vlaue (Cr)'!C66:CB277,78,0)</f>
        <v>8.3000000000000001E-3</v>
      </c>
      <c r="H71" s="91">
        <f>VLOOKUP($A71,'Data Vlaue (Cr)'!$C:$FB,91)</f>
        <v>521</v>
      </c>
      <c r="I71" s="91">
        <f>VLOOKUP($A71,'Data Vlaue (Cr)'!$C:$FB,93)</f>
        <v>45</v>
      </c>
      <c r="J71" s="92">
        <f>VLOOKUP($A71,'Data Vlaue (Cr)'!$C:$FB,94)</f>
        <v>9.4E-2</v>
      </c>
      <c r="K71" s="91">
        <f>VLOOKUP($A71,'Data Vlaue (Cr)'!$C:$FB,95)</f>
        <v>635</v>
      </c>
      <c r="L71" s="91">
        <f>VLOOKUP($A71,'Data Vlaue (Cr)'!$C:$FB,97)</f>
        <v>0</v>
      </c>
      <c r="M71" s="92">
        <f>VLOOKUP($A71,'Data Vlaue (Cr)'!$C:$FB,98)</f>
        <v>-2.0000000000000001E-4</v>
      </c>
      <c r="N71" s="91">
        <f>VLOOKUP($A71,'Data Vlaue (Cr)'!$C:$FB,79)</f>
        <v>1420</v>
      </c>
      <c r="O71" s="92">
        <f>VLOOKUP($A71,'Data Vlaue (Cr)'!$C:$FB,82)</f>
        <v>4.1999999999999997E-3</v>
      </c>
    </row>
    <row r="72" spans="1:15" x14ac:dyDescent="0.25">
      <c r="A72" s="97" t="str">
        <f>'Data Vlaue (Cr)'!C67</f>
        <v>GLENMARK</v>
      </c>
      <c r="B72" s="142">
        <f>VLOOKUP(A72,'Data Vlaue (Cr)'!C67:CW278,99,0)</f>
        <v>2928</v>
      </c>
      <c r="C72" s="90">
        <f>VLOOKUP(A72,'Data Vlaue (Cr)'!C67:CY278,101,0)</f>
        <v>-18</v>
      </c>
      <c r="D72" s="139">
        <f>VLOOKUP(A72,'Data Vlaue (Cr)'!C67:CZ278,102,0)</f>
        <v>-6.1999999999999998E-3</v>
      </c>
      <c r="E72" s="91">
        <f>VLOOKUP($A72,'Data Vlaue (Cr)'!$C:$FB,75)</f>
        <v>2428</v>
      </c>
      <c r="F72" s="91">
        <f>VLOOKUP($A72,'Data Vlaue (Cr)'!$C:$FB,77)</f>
        <v>-25</v>
      </c>
      <c r="G72" s="92">
        <f>VLOOKUP(A72,'Data Vlaue (Cr)'!C67:CB278,78,0)</f>
        <v>-1.03E-2</v>
      </c>
      <c r="H72" s="91">
        <f>VLOOKUP($A72,'Data Vlaue (Cr)'!$C:$FB,91)</f>
        <v>339</v>
      </c>
      <c r="I72" s="91">
        <f>VLOOKUP($A72,'Data Vlaue (Cr)'!$C:$FB,93)</f>
        <v>4</v>
      </c>
      <c r="J72" s="92">
        <f>VLOOKUP($A72,'Data Vlaue (Cr)'!$C:$FB,94)</f>
        <v>1.18E-2</v>
      </c>
      <c r="K72" s="91">
        <f>VLOOKUP($A72,'Data Vlaue (Cr)'!$C:$FB,95)</f>
        <v>161</v>
      </c>
      <c r="L72" s="91">
        <f>VLOOKUP($A72,'Data Vlaue (Cr)'!$C:$FB,97)</f>
        <v>3</v>
      </c>
      <c r="M72" s="92">
        <f>VLOOKUP($A72,'Data Vlaue (Cr)'!$C:$FB,98)</f>
        <v>1.8599999999999998E-2</v>
      </c>
      <c r="N72" s="91">
        <f>VLOOKUP($A72,'Data Vlaue (Cr)'!$C:$FB,79)</f>
        <v>2417</v>
      </c>
      <c r="O72" s="92">
        <f>VLOOKUP($A72,'Data Vlaue (Cr)'!$C:$FB,82)</f>
        <v>-1.0999999999999999E-2</v>
      </c>
    </row>
    <row r="73" spans="1:15" x14ac:dyDescent="0.25">
      <c r="A73" s="97" t="str">
        <f>'Data Vlaue (Cr)'!C68</f>
        <v>GMRAIRPORT</v>
      </c>
      <c r="B73" s="142">
        <f>VLOOKUP(A73,'Data Vlaue (Cr)'!C68:CW279,99,0)</f>
        <v>2309</v>
      </c>
      <c r="C73" s="90">
        <f>VLOOKUP(A73,'Data Vlaue (Cr)'!C68:CY279,101,0)</f>
        <v>-7</v>
      </c>
      <c r="D73" s="139">
        <f>VLOOKUP(A73,'Data Vlaue (Cr)'!C68:CZ279,102,0)</f>
        <v>-3.0999999999999999E-3</v>
      </c>
      <c r="E73" s="91">
        <f>VLOOKUP($A73,'Data Vlaue (Cr)'!$C:$FB,75)</f>
        <v>1445</v>
      </c>
      <c r="F73" s="91">
        <f>VLOOKUP($A73,'Data Vlaue (Cr)'!$C:$FB,77)</f>
        <v>-16</v>
      </c>
      <c r="G73" s="92">
        <f>VLOOKUP(A73,'Data Vlaue (Cr)'!C68:CB279,78,0)</f>
        <v>-1.0800000000000001E-2</v>
      </c>
      <c r="H73" s="91">
        <f>VLOOKUP($A73,'Data Vlaue (Cr)'!$C:$FB,91)</f>
        <v>505</v>
      </c>
      <c r="I73" s="91">
        <f>VLOOKUP($A73,'Data Vlaue (Cr)'!$C:$FB,93)</f>
        <v>-2</v>
      </c>
      <c r="J73" s="92">
        <f>VLOOKUP($A73,'Data Vlaue (Cr)'!$C:$FB,94)</f>
        <v>-3.0999999999999999E-3</v>
      </c>
      <c r="K73" s="91">
        <f>VLOOKUP($A73,'Data Vlaue (Cr)'!$C:$FB,95)</f>
        <v>359</v>
      </c>
      <c r="L73" s="91">
        <f>VLOOKUP($A73,'Data Vlaue (Cr)'!$C:$FB,97)</f>
        <v>10</v>
      </c>
      <c r="M73" s="92">
        <f>VLOOKUP($A73,'Data Vlaue (Cr)'!$C:$FB,98)</f>
        <v>2.9100000000000001E-2</v>
      </c>
      <c r="N73" s="91">
        <f>VLOOKUP($A73,'Data Vlaue (Cr)'!$C:$FB,79)</f>
        <v>1414</v>
      </c>
      <c r="O73" s="92">
        <f>VLOOKUP($A73,'Data Vlaue (Cr)'!$C:$FB,82)</f>
        <v>-1.18E-2</v>
      </c>
    </row>
    <row r="74" spans="1:15" x14ac:dyDescent="0.25">
      <c r="A74" s="97" t="str">
        <f>'Data Vlaue (Cr)'!C69</f>
        <v>GODREJCP</v>
      </c>
      <c r="B74" s="142">
        <f>VLOOKUP(A74,'Data Vlaue (Cr)'!C69:CW280,99,0)</f>
        <v>1226</v>
      </c>
      <c r="C74" s="90">
        <f>VLOOKUP(A74,'Data Vlaue (Cr)'!C69:CY280,101,0)</f>
        <v>44</v>
      </c>
      <c r="D74" s="139">
        <f>VLOOKUP(A74,'Data Vlaue (Cr)'!C69:CZ280,102,0)</f>
        <v>3.73E-2</v>
      </c>
      <c r="E74" s="91">
        <f>VLOOKUP($A74,'Data Vlaue (Cr)'!$C:$FB,75)</f>
        <v>960</v>
      </c>
      <c r="F74" s="91">
        <f>VLOOKUP($A74,'Data Vlaue (Cr)'!$C:$FB,77)</f>
        <v>14</v>
      </c>
      <c r="G74" s="92">
        <f>VLOOKUP(A74,'Data Vlaue (Cr)'!C69:CB280,78,0)</f>
        <v>1.4999999999999999E-2</v>
      </c>
      <c r="H74" s="91">
        <f>VLOOKUP($A74,'Data Vlaue (Cr)'!$C:$FB,91)</f>
        <v>144</v>
      </c>
      <c r="I74" s="91">
        <f>VLOOKUP($A74,'Data Vlaue (Cr)'!$C:$FB,93)</f>
        <v>11</v>
      </c>
      <c r="J74" s="92">
        <f>VLOOKUP($A74,'Data Vlaue (Cr)'!$C:$FB,94)</f>
        <v>8.3199999999999996E-2</v>
      </c>
      <c r="K74" s="91">
        <f>VLOOKUP($A74,'Data Vlaue (Cr)'!$C:$FB,95)</f>
        <v>122</v>
      </c>
      <c r="L74" s="91">
        <f>VLOOKUP($A74,'Data Vlaue (Cr)'!$C:$FB,97)</f>
        <v>19</v>
      </c>
      <c r="M74" s="92">
        <f>VLOOKUP($A74,'Data Vlaue (Cr)'!$C:$FB,98)</f>
        <v>0.18190000000000001</v>
      </c>
      <c r="N74" s="91">
        <f>VLOOKUP($A74,'Data Vlaue (Cr)'!$C:$FB,79)</f>
        <v>955</v>
      </c>
      <c r="O74" s="92">
        <f>VLOOKUP($A74,'Data Vlaue (Cr)'!$C:$FB,82)</f>
        <v>1.41E-2</v>
      </c>
    </row>
    <row r="75" spans="1:15" x14ac:dyDescent="0.25">
      <c r="A75" s="97" t="str">
        <f>'Data Vlaue (Cr)'!C70</f>
        <v>GODREJPROP</v>
      </c>
      <c r="B75" s="142">
        <f>VLOOKUP(A75,'Data Vlaue (Cr)'!C70:CW281,99,0)</f>
        <v>2108</v>
      </c>
      <c r="C75" s="90">
        <f>VLOOKUP(A75,'Data Vlaue (Cr)'!C70:CY281,101,0)</f>
        <v>28</v>
      </c>
      <c r="D75" s="139">
        <f>VLOOKUP(A75,'Data Vlaue (Cr)'!C70:CZ281,102,0)</f>
        <v>1.3599999999999999E-2</v>
      </c>
      <c r="E75" s="91">
        <f>VLOOKUP($A75,'Data Vlaue (Cr)'!$C:$FB,75)</f>
        <v>1367</v>
      </c>
      <c r="F75" s="91">
        <f>VLOOKUP($A75,'Data Vlaue (Cr)'!$C:$FB,77)</f>
        <v>14</v>
      </c>
      <c r="G75" s="92">
        <f>VLOOKUP(A75,'Data Vlaue (Cr)'!C70:CB281,78,0)</f>
        <v>1.01E-2</v>
      </c>
      <c r="H75" s="91">
        <f>VLOOKUP($A75,'Data Vlaue (Cr)'!$C:$FB,91)</f>
        <v>398</v>
      </c>
      <c r="I75" s="91">
        <f>VLOOKUP($A75,'Data Vlaue (Cr)'!$C:$FB,93)</f>
        <v>-6</v>
      </c>
      <c r="J75" s="92">
        <f>VLOOKUP($A75,'Data Vlaue (Cr)'!$C:$FB,94)</f>
        <v>-1.37E-2</v>
      </c>
      <c r="K75" s="91">
        <f>VLOOKUP($A75,'Data Vlaue (Cr)'!$C:$FB,95)</f>
        <v>343</v>
      </c>
      <c r="L75" s="91">
        <f>VLOOKUP($A75,'Data Vlaue (Cr)'!$C:$FB,97)</f>
        <v>20</v>
      </c>
      <c r="M75" s="92">
        <f>VLOOKUP($A75,'Data Vlaue (Cr)'!$C:$FB,98)</f>
        <v>6.2100000000000002E-2</v>
      </c>
      <c r="N75" s="91">
        <f>VLOOKUP($A75,'Data Vlaue (Cr)'!$C:$FB,79)</f>
        <v>1341</v>
      </c>
      <c r="O75" s="92">
        <f>VLOOKUP($A75,'Data Vlaue (Cr)'!$C:$FB,82)</f>
        <v>1.01E-2</v>
      </c>
    </row>
    <row r="76" spans="1:15" x14ac:dyDescent="0.25">
      <c r="A76" s="97" t="str">
        <f>'Data Vlaue (Cr)'!C71</f>
        <v>GRASIM</v>
      </c>
      <c r="B76" s="142">
        <f>VLOOKUP(A76,'Data Vlaue (Cr)'!C71:CW282,99,0)</f>
        <v>5245</v>
      </c>
      <c r="C76" s="90">
        <f>VLOOKUP(A76,'Data Vlaue (Cr)'!C71:CY282,101,0)</f>
        <v>24</v>
      </c>
      <c r="D76" s="139">
        <f>VLOOKUP(A76,'Data Vlaue (Cr)'!C71:CZ282,102,0)</f>
        <v>4.5999999999999999E-3</v>
      </c>
      <c r="E76" s="91">
        <f>VLOOKUP($A76,'Data Vlaue (Cr)'!$C:$FB,75)</f>
        <v>4452</v>
      </c>
      <c r="F76" s="91">
        <f>VLOOKUP($A76,'Data Vlaue (Cr)'!$C:$FB,77)</f>
        <v>-26</v>
      </c>
      <c r="G76" s="92">
        <f>VLOOKUP(A76,'Data Vlaue (Cr)'!C71:CB282,78,0)</f>
        <v>-5.7000000000000002E-3</v>
      </c>
      <c r="H76" s="91">
        <f>VLOOKUP($A76,'Data Vlaue (Cr)'!$C:$FB,91)</f>
        <v>515</v>
      </c>
      <c r="I76" s="91">
        <f>VLOOKUP($A76,'Data Vlaue (Cr)'!$C:$FB,93)</f>
        <v>26</v>
      </c>
      <c r="J76" s="92">
        <f>VLOOKUP($A76,'Data Vlaue (Cr)'!$C:$FB,94)</f>
        <v>5.28E-2</v>
      </c>
      <c r="K76" s="91">
        <f>VLOOKUP($A76,'Data Vlaue (Cr)'!$C:$FB,95)</f>
        <v>277</v>
      </c>
      <c r="L76" s="91">
        <f>VLOOKUP($A76,'Data Vlaue (Cr)'!$C:$FB,97)</f>
        <v>24</v>
      </c>
      <c r="M76" s="92">
        <f>VLOOKUP($A76,'Data Vlaue (Cr)'!$C:$FB,98)</f>
        <v>9.3100000000000002E-2</v>
      </c>
      <c r="N76" s="91">
        <f>VLOOKUP($A76,'Data Vlaue (Cr)'!$C:$FB,79)</f>
        <v>4438</v>
      </c>
      <c r="O76" s="92">
        <f>VLOOKUP($A76,'Data Vlaue (Cr)'!$C:$FB,82)</f>
        <v>-6.1000000000000004E-3</v>
      </c>
    </row>
    <row r="77" spans="1:15" x14ac:dyDescent="0.25">
      <c r="A77" s="97" t="str">
        <f>'Data Vlaue (Cr)'!C72</f>
        <v>HAL</v>
      </c>
      <c r="B77" s="142">
        <f>VLOOKUP(A77,'Data Vlaue (Cr)'!C72:CW283,99,0)</f>
        <v>7838</v>
      </c>
      <c r="C77" s="90">
        <f>VLOOKUP(A77,'Data Vlaue (Cr)'!C72:CY283,101,0)</f>
        <v>204</v>
      </c>
      <c r="D77" s="139">
        <f>VLOOKUP(A77,'Data Vlaue (Cr)'!C72:CZ283,102,0)</f>
        <v>2.6700000000000002E-2</v>
      </c>
      <c r="E77" s="91">
        <f>VLOOKUP($A77,'Data Vlaue (Cr)'!$C:$FB,75)</f>
        <v>4121</v>
      </c>
      <c r="F77" s="91">
        <f>VLOOKUP($A77,'Data Vlaue (Cr)'!$C:$FB,77)</f>
        <v>150</v>
      </c>
      <c r="G77" s="92">
        <f>VLOOKUP(A77,'Data Vlaue (Cr)'!C72:CB283,78,0)</f>
        <v>3.7699999999999997E-2</v>
      </c>
      <c r="H77" s="91">
        <f>VLOOKUP($A77,'Data Vlaue (Cr)'!$C:$FB,91)</f>
        <v>2267</v>
      </c>
      <c r="I77" s="91">
        <f>VLOOKUP($A77,'Data Vlaue (Cr)'!$C:$FB,93)</f>
        <v>57</v>
      </c>
      <c r="J77" s="92">
        <f>VLOOKUP($A77,'Data Vlaue (Cr)'!$C:$FB,94)</f>
        <v>2.5700000000000001E-2</v>
      </c>
      <c r="K77" s="91">
        <f>VLOOKUP($A77,'Data Vlaue (Cr)'!$C:$FB,95)</f>
        <v>1450</v>
      </c>
      <c r="L77" s="91">
        <f>VLOOKUP($A77,'Data Vlaue (Cr)'!$C:$FB,97)</f>
        <v>-3</v>
      </c>
      <c r="M77" s="92">
        <f>VLOOKUP($A77,'Data Vlaue (Cr)'!$C:$FB,98)</f>
        <v>-2E-3</v>
      </c>
      <c r="N77" s="91">
        <f>VLOOKUP($A77,'Data Vlaue (Cr)'!$C:$FB,79)</f>
        <v>3876</v>
      </c>
      <c r="O77" s="92">
        <f>VLOOKUP($A77,'Data Vlaue (Cr)'!$C:$FB,82)</f>
        <v>3.8600000000000002E-2</v>
      </c>
    </row>
    <row r="78" spans="1:15" x14ac:dyDescent="0.25">
      <c r="A78" s="97" t="str">
        <f>'Data Vlaue (Cr)'!C73</f>
        <v>HAVELLS</v>
      </c>
      <c r="B78" s="142">
        <f>VLOOKUP(A78,'Data Vlaue (Cr)'!C73:CW284,99,0)</f>
        <v>1991</v>
      </c>
      <c r="C78" s="90">
        <f>VLOOKUP(A78,'Data Vlaue (Cr)'!C73:CY284,101,0)</f>
        <v>11</v>
      </c>
      <c r="D78" s="139">
        <f>VLOOKUP(A78,'Data Vlaue (Cr)'!C73:CZ284,102,0)</f>
        <v>5.5999999999999999E-3</v>
      </c>
      <c r="E78" s="91">
        <f>VLOOKUP($A78,'Data Vlaue (Cr)'!$C:$FB,75)</f>
        <v>1388</v>
      </c>
      <c r="F78" s="91">
        <f>VLOOKUP($A78,'Data Vlaue (Cr)'!$C:$FB,77)</f>
        <v>-13</v>
      </c>
      <c r="G78" s="92">
        <f>VLOOKUP(A78,'Data Vlaue (Cr)'!C73:CB284,78,0)</f>
        <v>-9.2999999999999992E-3</v>
      </c>
      <c r="H78" s="91">
        <f>VLOOKUP($A78,'Data Vlaue (Cr)'!$C:$FB,91)</f>
        <v>336</v>
      </c>
      <c r="I78" s="91">
        <f>VLOOKUP($A78,'Data Vlaue (Cr)'!$C:$FB,93)</f>
        <v>24</v>
      </c>
      <c r="J78" s="92">
        <f>VLOOKUP($A78,'Data Vlaue (Cr)'!$C:$FB,94)</f>
        <v>7.6399999999999996E-2</v>
      </c>
      <c r="K78" s="91">
        <f>VLOOKUP($A78,'Data Vlaue (Cr)'!$C:$FB,95)</f>
        <v>266</v>
      </c>
      <c r="L78" s="91">
        <f>VLOOKUP($A78,'Data Vlaue (Cr)'!$C:$FB,97)</f>
        <v>0</v>
      </c>
      <c r="M78" s="92">
        <f>VLOOKUP($A78,'Data Vlaue (Cr)'!$C:$FB,98)</f>
        <v>1E-3</v>
      </c>
      <c r="N78" s="91">
        <f>VLOOKUP($A78,'Data Vlaue (Cr)'!$C:$FB,79)</f>
        <v>1368</v>
      </c>
      <c r="O78" s="92">
        <f>VLOOKUP($A78,'Data Vlaue (Cr)'!$C:$FB,82)</f>
        <v>-9.7999999999999997E-3</v>
      </c>
    </row>
    <row r="79" spans="1:15" x14ac:dyDescent="0.25">
      <c r="A79" s="97" t="str">
        <f>'Data Vlaue (Cr)'!C74</f>
        <v>HCLTECH</v>
      </c>
      <c r="B79" s="142">
        <f>VLOOKUP(A79,'Data Vlaue (Cr)'!C74:CW285,99,0)</f>
        <v>4933</v>
      </c>
      <c r="C79" s="90">
        <f>VLOOKUP(A79,'Data Vlaue (Cr)'!C74:CY285,101,0)</f>
        <v>97</v>
      </c>
      <c r="D79" s="139">
        <f>VLOOKUP(A79,'Data Vlaue (Cr)'!C74:CZ285,102,0)</f>
        <v>0.02</v>
      </c>
      <c r="E79" s="91">
        <f>VLOOKUP($A79,'Data Vlaue (Cr)'!$C:$FB,75)</f>
        <v>3701</v>
      </c>
      <c r="F79" s="91">
        <f>VLOOKUP($A79,'Data Vlaue (Cr)'!$C:$FB,77)</f>
        <v>-2</v>
      </c>
      <c r="G79" s="92">
        <f>VLOOKUP(A79,'Data Vlaue (Cr)'!C74:CB285,78,0)</f>
        <v>-5.9999999999999995E-4</v>
      </c>
      <c r="H79" s="91">
        <f>VLOOKUP($A79,'Data Vlaue (Cr)'!$C:$FB,91)</f>
        <v>770</v>
      </c>
      <c r="I79" s="91">
        <f>VLOOKUP($A79,'Data Vlaue (Cr)'!$C:$FB,93)</f>
        <v>62</v>
      </c>
      <c r="J79" s="92">
        <f>VLOOKUP($A79,'Data Vlaue (Cr)'!$C:$FB,94)</f>
        <v>8.8200000000000001E-2</v>
      </c>
      <c r="K79" s="91">
        <f>VLOOKUP($A79,'Data Vlaue (Cr)'!$C:$FB,95)</f>
        <v>463</v>
      </c>
      <c r="L79" s="91">
        <f>VLOOKUP($A79,'Data Vlaue (Cr)'!$C:$FB,97)</f>
        <v>37</v>
      </c>
      <c r="M79" s="92">
        <f>VLOOKUP($A79,'Data Vlaue (Cr)'!$C:$FB,98)</f>
        <v>8.5900000000000004E-2</v>
      </c>
      <c r="N79" s="91">
        <f>VLOOKUP($A79,'Data Vlaue (Cr)'!$C:$FB,79)</f>
        <v>3634</v>
      </c>
      <c r="O79" s="92">
        <f>VLOOKUP($A79,'Data Vlaue (Cr)'!$C:$FB,82)</f>
        <v>-1.6000000000000001E-3</v>
      </c>
    </row>
    <row r="80" spans="1:15" x14ac:dyDescent="0.25">
      <c r="A80" s="97" t="str">
        <f>'Data Vlaue (Cr)'!C75</f>
        <v>HDFCAMC</v>
      </c>
      <c r="B80" s="142">
        <f>VLOOKUP(A80,'Data Vlaue (Cr)'!C75:CW286,99,0)</f>
        <v>1797</v>
      </c>
      <c r="C80" s="90">
        <f>VLOOKUP(A80,'Data Vlaue (Cr)'!C75:CY286,101,0)</f>
        <v>69</v>
      </c>
      <c r="D80" s="139">
        <f>VLOOKUP(A80,'Data Vlaue (Cr)'!C75:CZ286,102,0)</f>
        <v>3.9699999999999999E-2</v>
      </c>
      <c r="E80" s="91">
        <f>VLOOKUP($A80,'Data Vlaue (Cr)'!$C:$FB,75)</f>
        <v>1315</v>
      </c>
      <c r="F80" s="91">
        <f>VLOOKUP($A80,'Data Vlaue (Cr)'!$C:$FB,77)</f>
        <v>29</v>
      </c>
      <c r="G80" s="92">
        <f>VLOOKUP(A80,'Data Vlaue (Cr)'!C75:CB286,78,0)</f>
        <v>2.2200000000000001E-2</v>
      </c>
      <c r="H80" s="91">
        <f>VLOOKUP($A80,'Data Vlaue (Cr)'!$C:$FB,91)</f>
        <v>281</v>
      </c>
      <c r="I80" s="91">
        <f>VLOOKUP($A80,'Data Vlaue (Cr)'!$C:$FB,93)</f>
        <v>9</v>
      </c>
      <c r="J80" s="92">
        <f>VLOOKUP($A80,'Data Vlaue (Cr)'!$C:$FB,94)</f>
        <v>3.2300000000000002E-2</v>
      </c>
      <c r="K80" s="91">
        <f>VLOOKUP($A80,'Data Vlaue (Cr)'!$C:$FB,95)</f>
        <v>201</v>
      </c>
      <c r="L80" s="91">
        <f>VLOOKUP($A80,'Data Vlaue (Cr)'!$C:$FB,97)</f>
        <v>31</v>
      </c>
      <c r="M80" s="92">
        <f>VLOOKUP($A80,'Data Vlaue (Cr)'!$C:$FB,98)</f>
        <v>0.1847</v>
      </c>
      <c r="N80" s="91">
        <f>VLOOKUP($A80,'Data Vlaue (Cr)'!$C:$FB,79)</f>
        <v>1303</v>
      </c>
      <c r="O80" s="92">
        <f>VLOOKUP($A80,'Data Vlaue (Cr)'!$C:$FB,82)</f>
        <v>2.07E-2</v>
      </c>
    </row>
    <row r="81" spans="1:15" x14ac:dyDescent="0.25">
      <c r="A81" s="97" t="str">
        <f>'Data Vlaue (Cr)'!C76</f>
        <v>HDFCBANK</v>
      </c>
      <c r="B81" s="142">
        <f>VLOOKUP(A81,'Data Vlaue (Cr)'!C76:CW287,99,0)</f>
        <v>36598</v>
      </c>
      <c r="C81" s="90">
        <f>VLOOKUP(A81,'Data Vlaue (Cr)'!C76:CY287,101,0)</f>
        <v>466</v>
      </c>
      <c r="D81" s="139">
        <f>VLOOKUP(A81,'Data Vlaue (Cr)'!C76:CZ287,102,0)</f>
        <v>1.29E-2</v>
      </c>
      <c r="E81" s="91">
        <f>VLOOKUP($A81,'Data Vlaue (Cr)'!$C:$FB,75)</f>
        <v>27986</v>
      </c>
      <c r="F81" s="91">
        <f>VLOOKUP($A81,'Data Vlaue (Cr)'!$C:$FB,77)</f>
        <v>146</v>
      </c>
      <c r="G81" s="92">
        <f>VLOOKUP(A81,'Data Vlaue (Cr)'!C76:CB287,78,0)</f>
        <v>5.1999999999999998E-3</v>
      </c>
      <c r="H81" s="91">
        <f>VLOOKUP($A81,'Data Vlaue (Cr)'!$C:$FB,91)</f>
        <v>5405</v>
      </c>
      <c r="I81" s="91">
        <f>VLOOKUP($A81,'Data Vlaue (Cr)'!$C:$FB,93)</f>
        <v>212</v>
      </c>
      <c r="J81" s="92">
        <f>VLOOKUP($A81,'Data Vlaue (Cr)'!$C:$FB,94)</f>
        <v>4.0899999999999999E-2</v>
      </c>
      <c r="K81" s="91">
        <f>VLOOKUP($A81,'Data Vlaue (Cr)'!$C:$FB,95)</f>
        <v>3208</v>
      </c>
      <c r="L81" s="91">
        <f>VLOOKUP($A81,'Data Vlaue (Cr)'!$C:$FB,97)</f>
        <v>108</v>
      </c>
      <c r="M81" s="92">
        <f>VLOOKUP($A81,'Data Vlaue (Cr)'!$C:$FB,98)</f>
        <v>3.4799999999999998E-2</v>
      </c>
      <c r="N81" s="91">
        <f>VLOOKUP($A81,'Data Vlaue (Cr)'!$C:$FB,79)</f>
        <v>26054</v>
      </c>
      <c r="O81" s="92">
        <f>VLOOKUP($A81,'Data Vlaue (Cr)'!$C:$FB,82)</f>
        <v>-3.0300000000000001E-2</v>
      </c>
    </row>
    <row r="82" spans="1:15" x14ac:dyDescent="0.25">
      <c r="A82" s="97" t="str">
        <f>'Data Vlaue (Cr)'!C77</f>
        <v>HDFCLIFE</v>
      </c>
      <c r="B82" s="142">
        <f>VLOOKUP(A82,'Data Vlaue (Cr)'!C77:CW288,99,0)</f>
        <v>3684</v>
      </c>
      <c r="C82" s="90">
        <f>VLOOKUP(A82,'Data Vlaue (Cr)'!C77:CY288,101,0)</f>
        <v>207</v>
      </c>
      <c r="D82" s="139">
        <f>VLOOKUP(A82,'Data Vlaue (Cr)'!C77:CZ288,102,0)</f>
        <v>5.96E-2</v>
      </c>
      <c r="E82" s="91">
        <f>VLOOKUP($A82,'Data Vlaue (Cr)'!$C:$FB,75)</f>
        <v>2485</v>
      </c>
      <c r="F82" s="91">
        <f>VLOOKUP($A82,'Data Vlaue (Cr)'!$C:$FB,77)</f>
        <v>38</v>
      </c>
      <c r="G82" s="92">
        <f>VLOOKUP(A82,'Data Vlaue (Cr)'!C77:CB288,78,0)</f>
        <v>1.55E-2</v>
      </c>
      <c r="H82" s="91">
        <f>VLOOKUP($A82,'Data Vlaue (Cr)'!$C:$FB,91)</f>
        <v>843</v>
      </c>
      <c r="I82" s="91">
        <f>VLOOKUP($A82,'Data Vlaue (Cr)'!$C:$FB,93)</f>
        <v>118</v>
      </c>
      <c r="J82" s="92">
        <f>VLOOKUP($A82,'Data Vlaue (Cr)'!$C:$FB,94)</f>
        <v>0.16320000000000001</v>
      </c>
      <c r="K82" s="91">
        <f>VLOOKUP($A82,'Data Vlaue (Cr)'!$C:$FB,95)</f>
        <v>356</v>
      </c>
      <c r="L82" s="91">
        <f>VLOOKUP($A82,'Data Vlaue (Cr)'!$C:$FB,97)</f>
        <v>51</v>
      </c>
      <c r="M82" s="92">
        <f>VLOOKUP($A82,'Data Vlaue (Cr)'!$C:$FB,98)</f>
        <v>0.16719999999999999</v>
      </c>
      <c r="N82" s="91">
        <f>VLOOKUP($A82,'Data Vlaue (Cr)'!$C:$FB,79)</f>
        <v>2445</v>
      </c>
      <c r="O82" s="92">
        <f>VLOOKUP($A82,'Data Vlaue (Cr)'!$C:$FB,82)</f>
        <v>1.2800000000000001E-2</v>
      </c>
    </row>
    <row r="83" spans="1:15" x14ac:dyDescent="0.25">
      <c r="A83" s="97" t="str">
        <f>'Data Vlaue (Cr)'!C78</f>
        <v>HEROMOTOCO</v>
      </c>
      <c r="B83" s="142">
        <f>VLOOKUP(A83,'Data Vlaue (Cr)'!C78:CW289,99,0)</f>
        <v>3393</v>
      </c>
      <c r="C83" s="90">
        <f>VLOOKUP(A83,'Data Vlaue (Cr)'!C78:CY289,101,0)</f>
        <v>-6</v>
      </c>
      <c r="D83" s="139">
        <f>VLOOKUP(A83,'Data Vlaue (Cr)'!C78:CZ289,102,0)</f>
        <v>-1.8E-3</v>
      </c>
      <c r="E83" s="91">
        <f>VLOOKUP($A83,'Data Vlaue (Cr)'!$C:$FB,75)</f>
        <v>1925</v>
      </c>
      <c r="F83" s="91">
        <f>VLOOKUP($A83,'Data Vlaue (Cr)'!$C:$FB,77)</f>
        <v>-3</v>
      </c>
      <c r="G83" s="92">
        <f>VLOOKUP(A83,'Data Vlaue (Cr)'!C78:CB289,78,0)</f>
        <v>-1.5E-3</v>
      </c>
      <c r="H83" s="91">
        <f>VLOOKUP($A83,'Data Vlaue (Cr)'!$C:$FB,91)</f>
        <v>887</v>
      </c>
      <c r="I83" s="91">
        <f>VLOOKUP($A83,'Data Vlaue (Cr)'!$C:$FB,93)</f>
        <v>15</v>
      </c>
      <c r="J83" s="92">
        <f>VLOOKUP($A83,'Data Vlaue (Cr)'!$C:$FB,94)</f>
        <v>1.6899999999999998E-2</v>
      </c>
      <c r="K83" s="91">
        <f>VLOOKUP($A83,'Data Vlaue (Cr)'!$C:$FB,95)</f>
        <v>581</v>
      </c>
      <c r="L83" s="91">
        <f>VLOOKUP($A83,'Data Vlaue (Cr)'!$C:$FB,97)</f>
        <v>-18</v>
      </c>
      <c r="M83" s="92">
        <f>VLOOKUP($A83,'Data Vlaue (Cr)'!$C:$FB,98)</f>
        <v>-0.03</v>
      </c>
      <c r="N83" s="91">
        <f>VLOOKUP($A83,'Data Vlaue (Cr)'!$C:$FB,79)</f>
        <v>1893</v>
      </c>
      <c r="O83" s="92">
        <f>VLOOKUP($A83,'Data Vlaue (Cr)'!$C:$FB,82)</f>
        <v>-2.0999999999999999E-3</v>
      </c>
    </row>
    <row r="84" spans="1:15" x14ac:dyDescent="0.25">
      <c r="A84" s="97" t="str">
        <f>'Data Vlaue (Cr)'!C79</f>
        <v>HINDALCO</v>
      </c>
      <c r="B84" s="142">
        <f>VLOOKUP(A84,'Data Vlaue (Cr)'!C79:CW290,99,0)</f>
        <v>6028</v>
      </c>
      <c r="C84" s="90">
        <f>VLOOKUP(A84,'Data Vlaue (Cr)'!C79:CY290,101,0)</f>
        <v>298</v>
      </c>
      <c r="D84" s="139">
        <f>VLOOKUP(A84,'Data Vlaue (Cr)'!C79:CZ290,102,0)</f>
        <v>5.21E-2</v>
      </c>
      <c r="E84" s="91">
        <f>VLOOKUP($A84,'Data Vlaue (Cr)'!$C:$FB,75)</f>
        <v>4116</v>
      </c>
      <c r="F84" s="91">
        <f>VLOOKUP($A84,'Data Vlaue (Cr)'!$C:$FB,77)</f>
        <v>-94</v>
      </c>
      <c r="G84" s="92">
        <f>VLOOKUP(A84,'Data Vlaue (Cr)'!C79:CB290,78,0)</f>
        <v>-2.2200000000000001E-2</v>
      </c>
      <c r="H84" s="91">
        <f>VLOOKUP($A84,'Data Vlaue (Cr)'!$C:$FB,91)</f>
        <v>1035</v>
      </c>
      <c r="I84" s="91">
        <f>VLOOKUP($A84,'Data Vlaue (Cr)'!$C:$FB,93)</f>
        <v>209</v>
      </c>
      <c r="J84" s="92">
        <f>VLOOKUP($A84,'Data Vlaue (Cr)'!$C:$FB,94)</f>
        <v>0.2535</v>
      </c>
      <c r="K84" s="91">
        <f>VLOOKUP($A84,'Data Vlaue (Cr)'!$C:$FB,95)</f>
        <v>877</v>
      </c>
      <c r="L84" s="91">
        <f>VLOOKUP($A84,'Data Vlaue (Cr)'!$C:$FB,97)</f>
        <v>183</v>
      </c>
      <c r="M84" s="92">
        <f>VLOOKUP($A84,'Data Vlaue (Cr)'!$C:$FB,98)</f>
        <v>0.26319999999999999</v>
      </c>
      <c r="N84" s="91">
        <f>VLOOKUP($A84,'Data Vlaue (Cr)'!$C:$FB,79)</f>
        <v>3657</v>
      </c>
      <c r="O84" s="92">
        <f>VLOOKUP($A84,'Data Vlaue (Cr)'!$C:$FB,82)</f>
        <v>-6.1800000000000001E-2</v>
      </c>
    </row>
    <row r="85" spans="1:15" x14ac:dyDescent="0.25">
      <c r="A85" s="97" t="str">
        <f>'Data Vlaue (Cr)'!C80</f>
        <v>HINDPETRO</v>
      </c>
      <c r="B85" s="142">
        <f>VLOOKUP(A85,'Data Vlaue (Cr)'!C80:CW291,99,0)</f>
        <v>2963</v>
      </c>
      <c r="C85" s="90">
        <f>VLOOKUP(A85,'Data Vlaue (Cr)'!C80:CY291,101,0)</f>
        <v>44</v>
      </c>
      <c r="D85" s="139">
        <f>VLOOKUP(A85,'Data Vlaue (Cr)'!C80:CZ291,102,0)</f>
        <v>1.49E-2</v>
      </c>
      <c r="E85" s="91">
        <f>VLOOKUP($A85,'Data Vlaue (Cr)'!$C:$FB,75)</f>
        <v>1817</v>
      </c>
      <c r="F85" s="91">
        <f>VLOOKUP($A85,'Data Vlaue (Cr)'!$C:$FB,77)</f>
        <v>-92</v>
      </c>
      <c r="G85" s="92">
        <f>VLOOKUP(A85,'Data Vlaue (Cr)'!C80:CB291,78,0)</f>
        <v>-4.8300000000000003E-2</v>
      </c>
      <c r="H85" s="91">
        <f>VLOOKUP($A85,'Data Vlaue (Cr)'!$C:$FB,91)</f>
        <v>579</v>
      </c>
      <c r="I85" s="91">
        <f>VLOOKUP($A85,'Data Vlaue (Cr)'!$C:$FB,93)</f>
        <v>101</v>
      </c>
      <c r="J85" s="92">
        <f>VLOOKUP($A85,'Data Vlaue (Cr)'!$C:$FB,94)</f>
        <v>0.21240000000000001</v>
      </c>
      <c r="K85" s="91">
        <f>VLOOKUP($A85,'Data Vlaue (Cr)'!$C:$FB,95)</f>
        <v>567</v>
      </c>
      <c r="L85" s="91">
        <f>VLOOKUP($A85,'Data Vlaue (Cr)'!$C:$FB,97)</f>
        <v>34</v>
      </c>
      <c r="M85" s="92">
        <f>VLOOKUP($A85,'Data Vlaue (Cr)'!$C:$FB,98)</f>
        <v>6.4399999999999999E-2</v>
      </c>
      <c r="N85" s="91">
        <f>VLOOKUP($A85,'Data Vlaue (Cr)'!$C:$FB,79)</f>
        <v>1773</v>
      </c>
      <c r="O85" s="92">
        <f>VLOOKUP($A85,'Data Vlaue (Cr)'!$C:$FB,82)</f>
        <v>-5.1999999999999998E-2</v>
      </c>
    </row>
    <row r="86" spans="1:15" x14ac:dyDescent="0.25">
      <c r="A86" s="97" t="str">
        <f>'Data Vlaue (Cr)'!C81</f>
        <v>HINDUNILVR</v>
      </c>
      <c r="B86" s="142">
        <f>VLOOKUP(A86,'Data Vlaue (Cr)'!C81:CW292,99,0)</f>
        <v>5343</v>
      </c>
      <c r="C86" s="90">
        <f>VLOOKUP(A86,'Data Vlaue (Cr)'!C81:CY292,101,0)</f>
        <v>105</v>
      </c>
      <c r="D86" s="139">
        <f>VLOOKUP(A86,'Data Vlaue (Cr)'!C81:CZ292,102,0)</f>
        <v>2.01E-2</v>
      </c>
      <c r="E86" s="91">
        <f>VLOOKUP($A86,'Data Vlaue (Cr)'!$C:$FB,75)</f>
        <v>3645</v>
      </c>
      <c r="F86" s="91">
        <f>VLOOKUP($A86,'Data Vlaue (Cr)'!$C:$FB,77)</f>
        <v>36</v>
      </c>
      <c r="G86" s="92">
        <f>VLOOKUP(A86,'Data Vlaue (Cr)'!C81:CB292,78,0)</f>
        <v>9.9000000000000008E-3</v>
      </c>
      <c r="H86" s="91">
        <f>VLOOKUP($A86,'Data Vlaue (Cr)'!$C:$FB,91)</f>
        <v>1099</v>
      </c>
      <c r="I86" s="91">
        <f>VLOOKUP($A86,'Data Vlaue (Cr)'!$C:$FB,93)</f>
        <v>25</v>
      </c>
      <c r="J86" s="92">
        <f>VLOOKUP($A86,'Data Vlaue (Cr)'!$C:$FB,94)</f>
        <v>2.29E-2</v>
      </c>
      <c r="K86" s="91">
        <f>VLOOKUP($A86,'Data Vlaue (Cr)'!$C:$FB,95)</f>
        <v>599</v>
      </c>
      <c r="L86" s="91">
        <f>VLOOKUP($A86,'Data Vlaue (Cr)'!$C:$FB,97)</f>
        <v>45</v>
      </c>
      <c r="M86" s="92">
        <f>VLOOKUP($A86,'Data Vlaue (Cr)'!$C:$FB,98)</f>
        <v>8.1199999999999994E-2</v>
      </c>
      <c r="N86" s="91">
        <f>VLOOKUP($A86,'Data Vlaue (Cr)'!$C:$FB,79)</f>
        <v>3580</v>
      </c>
      <c r="O86" s="92">
        <f>VLOOKUP($A86,'Data Vlaue (Cr)'!$C:$FB,82)</f>
        <v>7.9000000000000008E-3</v>
      </c>
    </row>
    <row r="87" spans="1:15" x14ac:dyDescent="0.25">
      <c r="A87" s="97" t="str">
        <f>'Data Vlaue (Cr)'!C82</f>
        <v>HINDZINC</v>
      </c>
      <c r="B87" s="142">
        <f>VLOOKUP(A87,'Data Vlaue (Cr)'!C82:CW293,99,0)</f>
        <v>4668</v>
      </c>
      <c r="C87" s="90">
        <f>VLOOKUP(A87,'Data Vlaue (Cr)'!C82:CY293,101,0)</f>
        <v>112</v>
      </c>
      <c r="D87" s="139">
        <f>VLOOKUP(A87,'Data Vlaue (Cr)'!C82:CZ293,102,0)</f>
        <v>2.47E-2</v>
      </c>
      <c r="E87" s="91">
        <f>VLOOKUP($A87,'Data Vlaue (Cr)'!$C:$FB,75)</f>
        <v>2140</v>
      </c>
      <c r="F87" s="91">
        <f>VLOOKUP($A87,'Data Vlaue (Cr)'!$C:$FB,77)</f>
        <v>27</v>
      </c>
      <c r="G87" s="92">
        <f>VLOOKUP(A87,'Data Vlaue (Cr)'!C82:CB293,78,0)</f>
        <v>1.26E-2</v>
      </c>
      <c r="H87" s="91">
        <f>VLOOKUP($A87,'Data Vlaue (Cr)'!$C:$FB,91)</f>
        <v>1616</v>
      </c>
      <c r="I87" s="91">
        <f>VLOOKUP($A87,'Data Vlaue (Cr)'!$C:$FB,93)</f>
        <v>105</v>
      </c>
      <c r="J87" s="92">
        <f>VLOOKUP($A87,'Data Vlaue (Cr)'!$C:$FB,94)</f>
        <v>6.9099999999999995E-2</v>
      </c>
      <c r="K87" s="91">
        <f>VLOOKUP($A87,'Data Vlaue (Cr)'!$C:$FB,95)</f>
        <v>912</v>
      </c>
      <c r="L87" s="91">
        <f>VLOOKUP($A87,'Data Vlaue (Cr)'!$C:$FB,97)</f>
        <v>-19</v>
      </c>
      <c r="M87" s="92">
        <f>VLOOKUP($A87,'Data Vlaue (Cr)'!$C:$FB,98)</f>
        <v>-2.01E-2</v>
      </c>
      <c r="N87" s="91">
        <f>VLOOKUP($A87,'Data Vlaue (Cr)'!$C:$FB,79)</f>
        <v>1974</v>
      </c>
      <c r="O87" s="92">
        <f>VLOOKUP($A87,'Data Vlaue (Cr)'!$C:$FB,82)</f>
        <v>1.2E-2</v>
      </c>
    </row>
    <row r="88" spans="1:15" x14ac:dyDescent="0.25">
      <c r="A88" s="97" t="str">
        <f>'Data Vlaue (Cr)'!C83</f>
        <v>HUDCO</v>
      </c>
      <c r="B88" s="142">
        <f>VLOOKUP(A88,'Data Vlaue (Cr)'!C83:CW294,99,0)</f>
        <v>1304</v>
      </c>
      <c r="C88" s="90">
        <f>VLOOKUP(A88,'Data Vlaue (Cr)'!C83:CY294,101,0)</f>
        <v>14</v>
      </c>
      <c r="D88" s="139">
        <f>VLOOKUP(A88,'Data Vlaue (Cr)'!C83:CZ294,102,0)</f>
        <v>1.0500000000000001E-2</v>
      </c>
      <c r="E88" s="91">
        <f>VLOOKUP($A88,'Data Vlaue (Cr)'!$C:$FB,75)</f>
        <v>760</v>
      </c>
      <c r="F88" s="91">
        <f>VLOOKUP($A88,'Data Vlaue (Cr)'!$C:$FB,77)</f>
        <v>-7</v>
      </c>
      <c r="G88" s="92">
        <f>VLOOKUP(A88,'Data Vlaue (Cr)'!C83:CB294,78,0)</f>
        <v>-9.1000000000000004E-3</v>
      </c>
      <c r="H88" s="91">
        <f>VLOOKUP($A88,'Data Vlaue (Cr)'!$C:$FB,91)</f>
        <v>316</v>
      </c>
      <c r="I88" s="91">
        <f>VLOOKUP($A88,'Data Vlaue (Cr)'!$C:$FB,93)</f>
        <v>14</v>
      </c>
      <c r="J88" s="92">
        <f>VLOOKUP($A88,'Data Vlaue (Cr)'!$C:$FB,94)</f>
        <v>4.7100000000000003E-2</v>
      </c>
      <c r="K88" s="91">
        <f>VLOOKUP($A88,'Data Vlaue (Cr)'!$C:$FB,95)</f>
        <v>228</v>
      </c>
      <c r="L88" s="91">
        <f>VLOOKUP($A88,'Data Vlaue (Cr)'!$C:$FB,97)</f>
        <v>6</v>
      </c>
      <c r="M88" s="92">
        <f>VLOOKUP($A88,'Data Vlaue (Cr)'!$C:$FB,98)</f>
        <v>2.8400000000000002E-2</v>
      </c>
      <c r="N88" s="91">
        <f>VLOOKUP($A88,'Data Vlaue (Cr)'!$C:$FB,79)</f>
        <v>735</v>
      </c>
      <c r="O88" s="92">
        <f>VLOOKUP($A88,'Data Vlaue (Cr)'!$C:$FB,82)</f>
        <v>-1.0500000000000001E-2</v>
      </c>
    </row>
    <row r="89" spans="1:15" x14ac:dyDescent="0.25">
      <c r="A89" s="97" t="str">
        <f>'Data Vlaue (Cr)'!C84</f>
        <v>ICICIBANK</v>
      </c>
      <c r="B89" s="142">
        <f>VLOOKUP(A89,'Data Vlaue (Cr)'!C84:CW295,99,0)</f>
        <v>21127</v>
      </c>
      <c r="C89" s="90">
        <f>VLOOKUP(A89,'Data Vlaue (Cr)'!C84:CY295,101,0)</f>
        <v>590</v>
      </c>
      <c r="D89" s="139">
        <f>VLOOKUP(A89,'Data Vlaue (Cr)'!C84:CZ295,102,0)</f>
        <v>2.87E-2</v>
      </c>
      <c r="E89" s="91">
        <f>VLOOKUP($A89,'Data Vlaue (Cr)'!$C:$FB,75)</f>
        <v>15876</v>
      </c>
      <c r="F89" s="91">
        <f>VLOOKUP($A89,'Data Vlaue (Cr)'!$C:$FB,77)</f>
        <v>301</v>
      </c>
      <c r="G89" s="92">
        <f>VLOOKUP(A89,'Data Vlaue (Cr)'!C84:CB295,78,0)</f>
        <v>1.9300000000000001E-2</v>
      </c>
      <c r="H89" s="91">
        <f>VLOOKUP($A89,'Data Vlaue (Cr)'!$C:$FB,91)</f>
        <v>3227</v>
      </c>
      <c r="I89" s="91">
        <f>VLOOKUP($A89,'Data Vlaue (Cr)'!$C:$FB,93)</f>
        <v>322</v>
      </c>
      <c r="J89" s="92">
        <f>VLOOKUP($A89,'Data Vlaue (Cr)'!$C:$FB,94)</f>
        <v>0.1108</v>
      </c>
      <c r="K89" s="91">
        <f>VLOOKUP($A89,'Data Vlaue (Cr)'!$C:$FB,95)</f>
        <v>2025</v>
      </c>
      <c r="L89" s="91">
        <f>VLOOKUP($A89,'Data Vlaue (Cr)'!$C:$FB,97)</f>
        <v>-33</v>
      </c>
      <c r="M89" s="92">
        <f>VLOOKUP($A89,'Data Vlaue (Cr)'!$C:$FB,98)</f>
        <v>-1.6199999999999999E-2</v>
      </c>
      <c r="N89" s="91">
        <f>VLOOKUP($A89,'Data Vlaue (Cr)'!$C:$FB,79)</f>
        <v>15650</v>
      </c>
      <c r="O89" s="92">
        <f>VLOOKUP($A89,'Data Vlaue (Cr)'!$C:$FB,82)</f>
        <v>1.7600000000000001E-2</v>
      </c>
    </row>
    <row r="90" spans="1:15" x14ac:dyDescent="0.25">
      <c r="A90" s="97" t="str">
        <f>'Data Vlaue (Cr)'!C85</f>
        <v>ICICIGI</v>
      </c>
      <c r="B90" s="142">
        <f>VLOOKUP(A90,'Data Vlaue (Cr)'!C85:CW296,99,0)</f>
        <v>1151</v>
      </c>
      <c r="C90" s="90">
        <f>VLOOKUP(A90,'Data Vlaue (Cr)'!C85:CY296,101,0)</f>
        <v>1</v>
      </c>
      <c r="D90" s="139">
        <f>VLOOKUP(A90,'Data Vlaue (Cr)'!C85:CZ296,102,0)</f>
        <v>5.9999999999999995E-4</v>
      </c>
      <c r="E90" s="91">
        <f>VLOOKUP($A90,'Data Vlaue (Cr)'!$C:$FB,75)</f>
        <v>883</v>
      </c>
      <c r="F90" s="91">
        <f>VLOOKUP($A90,'Data Vlaue (Cr)'!$C:$FB,77)</f>
        <v>-5</v>
      </c>
      <c r="G90" s="92">
        <f>VLOOKUP(A90,'Data Vlaue (Cr)'!C85:CB296,78,0)</f>
        <v>-5.1999999999999998E-3</v>
      </c>
      <c r="H90" s="91">
        <f>VLOOKUP($A90,'Data Vlaue (Cr)'!$C:$FB,91)</f>
        <v>153</v>
      </c>
      <c r="I90" s="91">
        <f>VLOOKUP($A90,'Data Vlaue (Cr)'!$C:$FB,93)</f>
        <v>12</v>
      </c>
      <c r="J90" s="92">
        <f>VLOOKUP($A90,'Data Vlaue (Cr)'!$C:$FB,94)</f>
        <v>8.43E-2</v>
      </c>
      <c r="K90" s="91">
        <f>VLOOKUP($A90,'Data Vlaue (Cr)'!$C:$FB,95)</f>
        <v>114</v>
      </c>
      <c r="L90" s="91">
        <f>VLOOKUP($A90,'Data Vlaue (Cr)'!$C:$FB,97)</f>
        <v>-7</v>
      </c>
      <c r="M90" s="92">
        <f>VLOOKUP($A90,'Data Vlaue (Cr)'!$C:$FB,98)</f>
        <v>-5.3999999999999999E-2</v>
      </c>
      <c r="N90" s="91">
        <f>VLOOKUP($A90,'Data Vlaue (Cr)'!$C:$FB,79)</f>
        <v>880</v>
      </c>
      <c r="O90" s="92">
        <f>VLOOKUP($A90,'Data Vlaue (Cr)'!$C:$FB,82)</f>
        <v>-5.3E-3</v>
      </c>
    </row>
    <row r="91" spans="1:15" x14ac:dyDescent="0.25">
      <c r="A91" s="97" t="str">
        <f>'Data Vlaue (Cr)'!C86</f>
        <v>ICICIPRULI</v>
      </c>
      <c r="B91" s="142">
        <f>VLOOKUP(A91,'Data Vlaue (Cr)'!C86:CW297,99,0)</f>
        <v>1498</v>
      </c>
      <c r="C91" s="90">
        <f>VLOOKUP(A91,'Data Vlaue (Cr)'!C86:CY297,101,0)</f>
        <v>21</v>
      </c>
      <c r="D91" s="139">
        <f>VLOOKUP(A91,'Data Vlaue (Cr)'!C86:CZ297,102,0)</f>
        <v>1.43E-2</v>
      </c>
      <c r="E91" s="91">
        <f>VLOOKUP($A91,'Data Vlaue (Cr)'!$C:$FB,75)</f>
        <v>1197</v>
      </c>
      <c r="F91" s="91">
        <f>VLOOKUP($A91,'Data Vlaue (Cr)'!$C:$FB,77)</f>
        <v>-6</v>
      </c>
      <c r="G91" s="92">
        <f>VLOOKUP(A91,'Data Vlaue (Cr)'!C86:CB297,78,0)</f>
        <v>-5.0000000000000001E-3</v>
      </c>
      <c r="H91" s="91">
        <f>VLOOKUP($A91,'Data Vlaue (Cr)'!$C:$FB,91)</f>
        <v>179</v>
      </c>
      <c r="I91" s="91">
        <f>VLOOKUP($A91,'Data Vlaue (Cr)'!$C:$FB,93)</f>
        <v>16</v>
      </c>
      <c r="J91" s="92">
        <f>VLOOKUP($A91,'Data Vlaue (Cr)'!$C:$FB,94)</f>
        <v>9.5200000000000007E-2</v>
      </c>
      <c r="K91" s="91">
        <f>VLOOKUP($A91,'Data Vlaue (Cr)'!$C:$FB,95)</f>
        <v>121</v>
      </c>
      <c r="L91" s="91">
        <f>VLOOKUP($A91,'Data Vlaue (Cr)'!$C:$FB,97)</f>
        <v>12</v>
      </c>
      <c r="M91" s="92">
        <f>VLOOKUP($A91,'Data Vlaue (Cr)'!$C:$FB,98)</f>
        <v>0.10489999999999999</v>
      </c>
      <c r="N91" s="91">
        <f>VLOOKUP($A91,'Data Vlaue (Cr)'!$C:$FB,79)</f>
        <v>1192</v>
      </c>
      <c r="O91" s="92">
        <f>VLOOKUP($A91,'Data Vlaue (Cr)'!$C:$FB,82)</f>
        <v>-5.1999999999999998E-3</v>
      </c>
    </row>
    <row r="92" spans="1:15" x14ac:dyDescent="0.25">
      <c r="A92" s="97" t="str">
        <f>'Data Vlaue (Cr)'!C87</f>
        <v>IDEA</v>
      </c>
      <c r="B92" s="142">
        <f>VLOOKUP(A92,'Data Vlaue (Cr)'!C87:CW298,99,0)</f>
        <v>10077</v>
      </c>
      <c r="C92" s="90">
        <f>VLOOKUP(A92,'Data Vlaue (Cr)'!C87:CY298,101,0)</f>
        <v>347</v>
      </c>
      <c r="D92" s="139">
        <f>VLOOKUP(A92,'Data Vlaue (Cr)'!C87:CZ298,102,0)</f>
        <v>3.56E-2</v>
      </c>
      <c r="E92" s="91">
        <f>VLOOKUP($A92,'Data Vlaue (Cr)'!$C:$FB,75)</f>
        <v>7346</v>
      </c>
      <c r="F92" s="91">
        <f>VLOOKUP($A92,'Data Vlaue (Cr)'!$C:$FB,77)</f>
        <v>114</v>
      </c>
      <c r="G92" s="92">
        <f>VLOOKUP(A92,'Data Vlaue (Cr)'!C87:CB298,78,0)</f>
        <v>1.5800000000000002E-2</v>
      </c>
      <c r="H92" s="91">
        <f>VLOOKUP($A92,'Data Vlaue (Cr)'!$C:$FB,91)</f>
        <v>1798</v>
      </c>
      <c r="I92" s="91">
        <f>VLOOKUP($A92,'Data Vlaue (Cr)'!$C:$FB,93)</f>
        <v>213</v>
      </c>
      <c r="J92" s="92">
        <f>VLOOKUP($A92,'Data Vlaue (Cr)'!$C:$FB,94)</f>
        <v>0.1343</v>
      </c>
      <c r="K92" s="91">
        <f>VLOOKUP($A92,'Data Vlaue (Cr)'!$C:$FB,95)</f>
        <v>932</v>
      </c>
      <c r="L92" s="91">
        <f>VLOOKUP($A92,'Data Vlaue (Cr)'!$C:$FB,97)</f>
        <v>19</v>
      </c>
      <c r="M92" s="92">
        <f>VLOOKUP($A92,'Data Vlaue (Cr)'!$C:$FB,98)</f>
        <v>2.12E-2</v>
      </c>
      <c r="N92" s="91">
        <f>VLOOKUP($A92,'Data Vlaue (Cr)'!$C:$FB,79)</f>
        <v>7063</v>
      </c>
      <c r="O92" s="92">
        <f>VLOOKUP($A92,'Data Vlaue (Cr)'!$C:$FB,82)</f>
        <v>1.1900000000000001E-2</v>
      </c>
    </row>
    <row r="93" spans="1:15" x14ac:dyDescent="0.25">
      <c r="A93" s="97" t="str">
        <f>'Data Vlaue (Cr)'!C88</f>
        <v>IDFCFIRSTB</v>
      </c>
      <c r="B93" s="142">
        <f>VLOOKUP(A93,'Data Vlaue (Cr)'!C88:CW299,99,0)</f>
        <v>7079</v>
      </c>
      <c r="C93" s="90">
        <f>VLOOKUP(A93,'Data Vlaue (Cr)'!C88:CY299,101,0)</f>
        <v>143</v>
      </c>
      <c r="D93" s="139">
        <f>VLOOKUP(A93,'Data Vlaue (Cr)'!C88:CZ299,102,0)</f>
        <v>2.06E-2</v>
      </c>
      <c r="E93" s="91">
        <f>VLOOKUP($A93,'Data Vlaue (Cr)'!$C:$FB,75)</f>
        <v>3431</v>
      </c>
      <c r="F93" s="91">
        <f>VLOOKUP($A93,'Data Vlaue (Cr)'!$C:$FB,77)</f>
        <v>26</v>
      </c>
      <c r="G93" s="92">
        <f>VLOOKUP(A93,'Data Vlaue (Cr)'!C88:CB299,78,0)</f>
        <v>7.6E-3</v>
      </c>
      <c r="H93" s="91">
        <f>VLOOKUP($A93,'Data Vlaue (Cr)'!$C:$FB,91)</f>
        <v>2176</v>
      </c>
      <c r="I93" s="91">
        <f>VLOOKUP($A93,'Data Vlaue (Cr)'!$C:$FB,93)</f>
        <v>59</v>
      </c>
      <c r="J93" s="92">
        <f>VLOOKUP($A93,'Data Vlaue (Cr)'!$C:$FB,94)</f>
        <v>2.7900000000000001E-2</v>
      </c>
      <c r="K93" s="91">
        <f>VLOOKUP($A93,'Data Vlaue (Cr)'!$C:$FB,95)</f>
        <v>1471</v>
      </c>
      <c r="L93" s="91">
        <f>VLOOKUP($A93,'Data Vlaue (Cr)'!$C:$FB,97)</f>
        <v>58</v>
      </c>
      <c r="M93" s="92">
        <f>VLOOKUP($A93,'Data Vlaue (Cr)'!$C:$FB,98)</f>
        <v>4.0800000000000003E-2</v>
      </c>
      <c r="N93" s="91">
        <f>VLOOKUP($A93,'Data Vlaue (Cr)'!$C:$FB,79)</f>
        <v>3166</v>
      </c>
      <c r="O93" s="92">
        <f>VLOOKUP($A93,'Data Vlaue (Cr)'!$C:$FB,82)</f>
        <v>4.8999999999999998E-3</v>
      </c>
    </row>
    <row r="94" spans="1:15" x14ac:dyDescent="0.25">
      <c r="A94" s="97" t="str">
        <f>'Data Vlaue (Cr)'!C89</f>
        <v>IEX</v>
      </c>
      <c r="B94" s="142">
        <f>VLOOKUP(A94,'Data Vlaue (Cr)'!C89:CW300,99,0)</f>
        <v>1627</v>
      </c>
      <c r="C94" s="90">
        <f>VLOOKUP(A94,'Data Vlaue (Cr)'!C89:CY300,101,0)</f>
        <v>7</v>
      </c>
      <c r="D94" s="139">
        <f>VLOOKUP(A94,'Data Vlaue (Cr)'!C89:CZ300,102,0)</f>
        <v>4.1000000000000003E-3</v>
      </c>
      <c r="E94" s="91">
        <f>VLOOKUP($A94,'Data Vlaue (Cr)'!$C:$FB,75)</f>
        <v>858</v>
      </c>
      <c r="F94" s="91">
        <f>VLOOKUP($A94,'Data Vlaue (Cr)'!$C:$FB,77)</f>
        <v>-2</v>
      </c>
      <c r="G94" s="92">
        <f>VLOOKUP(A94,'Data Vlaue (Cr)'!C89:CB300,78,0)</f>
        <v>-2.5999999999999999E-3</v>
      </c>
      <c r="H94" s="91">
        <f>VLOOKUP($A94,'Data Vlaue (Cr)'!$C:$FB,91)</f>
        <v>433</v>
      </c>
      <c r="I94" s="91">
        <f>VLOOKUP($A94,'Data Vlaue (Cr)'!$C:$FB,93)</f>
        <v>4</v>
      </c>
      <c r="J94" s="92">
        <f>VLOOKUP($A94,'Data Vlaue (Cr)'!$C:$FB,94)</f>
        <v>9.9000000000000008E-3</v>
      </c>
      <c r="K94" s="91">
        <f>VLOOKUP($A94,'Data Vlaue (Cr)'!$C:$FB,95)</f>
        <v>336</v>
      </c>
      <c r="L94" s="91">
        <f>VLOOKUP($A94,'Data Vlaue (Cr)'!$C:$FB,97)</f>
        <v>5</v>
      </c>
      <c r="M94" s="92">
        <f>VLOOKUP($A94,'Data Vlaue (Cr)'!$C:$FB,98)</f>
        <v>1.38E-2</v>
      </c>
      <c r="N94" s="91">
        <f>VLOOKUP($A94,'Data Vlaue (Cr)'!$C:$FB,79)</f>
        <v>803</v>
      </c>
      <c r="O94" s="92">
        <f>VLOOKUP($A94,'Data Vlaue (Cr)'!$C:$FB,82)</f>
        <v>-1.77E-2</v>
      </c>
    </row>
    <row r="95" spans="1:15" x14ac:dyDescent="0.25">
      <c r="A95" s="97" t="str">
        <f>'Data Vlaue (Cr)'!C90</f>
        <v>INDHOTEL</v>
      </c>
      <c r="B95" s="142">
        <f>VLOOKUP(A95,'Data Vlaue (Cr)'!C90:CW301,99,0)</f>
        <v>2268</v>
      </c>
      <c r="C95" s="90">
        <f>VLOOKUP(A95,'Data Vlaue (Cr)'!C90:CY301,101,0)</f>
        <v>127</v>
      </c>
      <c r="D95" s="139">
        <f>VLOOKUP(A95,'Data Vlaue (Cr)'!C90:CZ301,102,0)</f>
        <v>5.9400000000000001E-2</v>
      </c>
      <c r="E95" s="91">
        <f>VLOOKUP($A95,'Data Vlaue (Cr)'!$C:$FB,75)</f>
        <v>1411</v>
      </c>
      <c r="F95" s="91">
        <f>VLOOKUP($A95,'Data Vlaue (Cr)'!$C:$FB,77)</f>
        <v>10</v>
      </c>
      <c r="G95" s="92">
        <f>VLOOKUP(A95,'Data Vlaue (Cr)'!C90:CB301,78,0)</f>
        <v>7.4000000000000003E-3</v>
      </c>
      <c r="H95" s="91">
        <f>VLOOKUP($A95,'Data Vlaue (Cr)'!$C:$FB,91)</f>
        <v>487</v>
      </c>
      <c r="I95" s="91">
        <f>VLOOKUP($A95,'Data Vlaue (Cr)'!$C:$FB,93)</f>
        <v>86</v>
      </c>
      <c r="J95" s="92">
        <f>VLOOKUP($A95,'Data Vlaue (Cr)'!$C:$FB,94)</f>
        <v>0.21479999999999999</v>
      </c>
      <c r="K95" s="91">
        <f>VLOOKUP($A95,'Data Vlaue (Cr)'!$C:$FB,95)</f>
        <v>370</v>
      </c>
      <c r="L95" s="91">
        <f>VLOOKUP($A95,'Data Vlaue (Cr)'!$C:$FB,97)</f>
        <v>31</v>
      </c>
      <c r="M95" s="92">
        <f>VLOOKUP($A95,'Data Vlaue (Cr)'!$C:$FB,98)</f>
        <v>9.0800000000000006E-2</v>
      </c>
      <c r="N95" s="91">
        <f>VLOOKUP($A95,'Data Vlaue (Cr)'!$C:$FB,79)</f>
        <v>1360</v>
      </c>
      <c r="O95" s="92">
        <f>VLOOKUP($A95,'Data Vlaue (Cr)'!$C:$FB,82)</f>
        <v>3.8999999999999998E-3</v>
      </c>
    </row>
    <row r="96" spans="1:15" x14ac:dyDescent="0.25">
      <c r="A96" s="97" t="str">
        <f>'Data Vlaue (Cr)'!C91</f>
        <v>INDIANB</v>
      </c>
      <c r="B96" s="142">
        <f>VLOOKUP(A96,'Data Vlaue (Cr)'!C91:CW302,99,0)</f>
        <v>1372</v>
      </c>
      <c r="C96" s="90">
        <f>VLOOKUP(A96,'Data Vlaue (Cr)'!C91:CY302,101,0)</f>
        <v>-10</v>
      </c>
      <c r="D96" s="139">
        <f>VLOOKUP(A96,'Data Vlaue (Cr)'!C91:CZ302,102,0)</f>
        <v>-7.3000000000000001E-3</v>
      </c>
      <c r="E96" s="91">
        <f>VLOOKUP($A96,'Data Vlaue (Cr)'!$C:$FB,75)</f>
        <v>687</v>
      </c>
      <c r="F96" s="91">
        <f>VLOOKUP($A96,'Data Vlaue (Cr)'!$C:$FB,77)</f>
        <v>-17</v>
      </c>
      <c r="G96" s="92">
        <f>VLOOKUP(A96,'Data Vlaue (Cr)'!C91:CB302,78,0)</f>
        <v>-2.3900000000000001E-2</v>
      </c>
      <c r="H96" s="91">
        <f>VLOOKUP($A96,'Data Vlaue (Cr)'!$C:$FB,91)</f>
        <v>414</v>
      </c>
      <c r="I96" s="91">
        <f>VLOOKUP($A96,'Data Vlaue (Cr)'!$C:$FB,93)</f>
        <v>8</v>
      </c>
      <c r="J96" s="92">
        <f>VLOOKUP($A96,'Data Vlaue (Cr)'!$C:$FB,94)</f>
        <v>1.9199999999999998E-2</v>
      </c>
      <c r="K96" s="91">
        <f>VLOOKUP($A96,'Data Vlaue (Cr)'!$C:$FB,95)</f>
        <v>272</v>
      </c>
      <c r="L96" s="91">
        <f>VLOOKUP($A96,'Data Vlaue (Cr)'!$C:$FB,97)</f>
        <v>-1</v>
      </c>
      <c r="M96" s="92">
        <f>VLOOKUP($A96,'Data Vlaue (Cr)'!$C:$FB,98)</f>
        <v>-3.8E-3</v>
      </c>
      <c r="N96" s="91">
        <f>VLOOKUP($A96,'Data Vlaue (Cr)'!$C:$FB,79)</f>
        <v>674</v>
      </c>
      <c r="O96" s="92">
        <f>VLOOKUP($A96,'Data Vlaue (Cr)'!$C:$FB,82)</f>
        <v>-2.69E-2</v>
      </c>
    </row>
    <row r="97" spans="1:15" x14ac:dyDescent="0.25">
      <c r="A97" s="97" t="str">
        <f>'Data Vlaue (Cr)'!C92</f>
        <v>INDIAVIX</v>
      </c>
      <c r="B97" s="142">
        <f>VLOOKUP(A97,'Data Vlaue (Cr)'!C92:CW303,99,0)</f>
        <v>0</v>
      </c>
      <c r="C97" s="90">
        <f>VLOOKUP(A97,'Data Vlaue (Cr)'!C92:CY303,101,0)</f>
        <v>0</v>
      </c>
      <c r="D97" s="139">
        <f>VLOOKUP(A97,'Data Vlaue (Cr)'!C92:CZ303,102,0)</f>
        <v>0</v>
      </c>
      <c r="E97" s="91">
        <f>VLOOKUP($A97,'Data Vlaue (Cr)'!$C:$FB,75)</f>
        <v>0</v>
      </c>
      <c r="F97" s="91">
        <f>VLOOKUP($A97,'Data Vlaue (Cr)'!$C:$FB,77)</f>
        <v>0</v>
      </c>
      <c r="G97" s="92">
        <f>VLOOKUP(A97,'Data Vlaue (Cr)'!C92:CB303,78,0)</f>
        <v>0</v>
      </c>
      <c r="H97" s="91">
        <f>VLOOKUP($A97,'Data Vlaue (Cr)'!$C:$FB,91)</f>
        <v>0</v>
      </c>
      <c r="I97" s="91">
        <f>VLOOKUP($A97,'Data Vlaue (Cr)'!$C:$FB,93)</f>
        <v>0</v>
      </c>
      <c r="J97" s="92">
        <f>VLOOKUP($A97,'Data Vlaue (Cr)'!$C:$FB,94)</f>
        <v>0</v>
      </c>
      <c r="K97" s="91">
        <f>VLOOKUP($A97,'Data Vlaue (Cr)'!$C:$FB,95)</f>
        <v>0</v>
      </c>
      <c r="L97" s="91">
        <f>VLOOKUP($A97,'Data Vlaue (Cr)'!$C:$FB,97)</f>
        <v>0</v>
      </c>
      <c r="M97" s="92">
        <f>VLOOKUP($A97,'Data Vlaue (Cr)'!$C:$FB,98)</f>
        <v>0</v>
      </c>
      <c r="N97" s="91">
        <f>VLOOKUP($A97,'Data Vlaue (Cr)'!$C:$FB,79)</f>
        <v>0</v>
      </c>
      <c r="O97" s="92">
        <f>VLOOKUP($A97,'Data Vlaue (Cr)'!$C:$FB,82)</f>
        <v>0</v>
      </c>
    </row>
    <row r="98" spans="1:15" x14ac:dyDescent="0.25">
      <c r="A98" s="97" t="str">
        <f>'Data Vlaue (Cr)'!C93</f>
        <v>INDIGO</v>
      </c>
      <c r="B98" s="142">
        <f>VLOOKUP(A98,'Data Vlaue (Cr)'!C93:CW304,99,0)</f>
        <v>8267</v>
      </c>
      <c r="C98" s="90">
        <f>VLOOKUP(A98,'Data Vlaue (Cr)'!C93:CY304,101,0)</f>
        <v>427</v>
      </c>
      <c r="D98" s="139">
        <f>VLOOKUP(A98,'Data Vlaue (Cr)'!C93:CZ304,102,0)</f>
        <v>5.45E-2</v>
      </c>
      <c r="E98" s="91">
        <f>VLOOKUP($A98,'Data Vlaue (Cr)'!$C:$FB,75)</f>
        <v>4163</v>
      </c>
      <c r="F98" s="91">
        <f>VLOOKUP($A98,'Data Vlaue (Cr)'!$C:$FB,77)</f>
        <v>-64</v>
      </c>
      <c r="G98" s="92">
        <f>VLOOKUP(A98,'Data Vlaue (Cr)'!C93:CB304,78,0)</f>
        <v>-1.52E-2</v>
      </c>
      <c r="H98" s="91">
        <f>VLOOKUP($A98,'Data Vlaue (Cr)'!$C:$FB,91)</f>
        <v>2367</v>
      </c>
      <c r="I98" s="91">
        <f>VLOOKUP($A98,'Data Vlaue (Cr)'!$C:$FB,93)</f>
        <v>317</v>
      </c>
      <c r="J98" s="92">
        <f>VLOOKUP($A98,'Data Vlaue (Cr)'!$C:$FB,94)</f>
        <v>0.1547</v>
      </c>
      <c r="K98" s="91">
        <f>VLOOKUP($A98,'Data Vlaue (Cr)'!$C:$FB,95)</f>
        <v>1737</v>
      </c>
      <c r="L98" s="91">
        <f>VLOOKUP($A98,'Data Vlaue (Cr)'!$C:$FB,97)</f>
        <v>174</v>
      </c>
      <c r="M98" s="92">
        <f>VLOOKUP($A98,'Data Vlaue (Cr)'!$C:$FB,98)</f>
        <v>0.1115</v>
      </c>
      <c r="N98" s="91">
        <f>VLOOKUP($A98,'Data Vlaue (Cr)'!$C:$FB,79)</f>
        <v>3791</v>
      </c>
      <c r="O98" s="92">
        <f>VLOOKUP($A98,'Data Vlaue (Cr)'!$C:$FB,82)</f>
        <v>-1.8700000000000001E-2</v>
      </c>
    </row>
    <row r="99" spans="1:15" x14ac:dyDescent="0.25">
      <c r="A99" s="97" t="str">
        <f>'Data Vlaue (Cr)'!C94</f>
        <v>INDUSINDBK</v>
      </c>
      <c r="B99" s="142">
        <f>VLOOKUP(A99,'Data Vlaue (Cr)'!C94:CW305,99,0)</f>
        <v>4353</v>
      </c>
      <c r="C99" s="90">
        <f>VLOOKUP(A99,'Data Vlaue (Cr)'!C94:CY305,101,0)</f>
        <v>20</v>
      </c>
      <c r="D99" s="139">
        <f>VLOOKUP(A99,'Data Vlaue (Cr)'!C94:CZ305,102,0)</f>
        <v>4.5999999999999999E-3</v>
      </c>
      <c r="E99" s="91">
        <f>VLOOKUP($A99,'Data Vlaue (Cr)'!$C:$FB,75)</f>
        <v>3374</v>
      </c>
      <c r="F99" s="91">
        <f>VLOOKUP($A99,'Data Vlaue (Cr)'!$C:$FB,77)</f>
        <v>38</v>
      </c>
      <c r="G99" s="92">
        <f>VLOOKUP(A99,'Data Vlaue (Cr)'!C94:CB305,78,0)</f>
        <v>1.1299999999999999E-2</v>
      </c>
      <c r="H99" s="91">
        <f>VLOOKUP($A99,'Data Vlaue (Cr)'!$C:$FB,91)</f>
        <v>580</v>
      </c>
      <c r="I99" s="91">
        <f>VLOOKUP($A99,'Data Vlaue (Cr)'!$C:$FB,93)</f>
        <v>-6</v>
      </c>
      <c r="J99" s="92">
        <f>VLOOKUP($A99,'Data Vlaue (Cr)'!$C:$FB,94)</f>
        <v>-1.0800000000000001E-2</v>
      </c>
      <c r="K99" s="91">
        <f>VLOOKUP($A99,'Data Vlaue (Cr)'!$C:$FB,95)</f>
        <v>399</v>
      </c>
      <c r="L99" s="91">
        <f>VLOOKUP($A99,'Data Vlaue (Cr)'!$C:$FB,97)</f>
        <v>-11</v>
      </c>
      <c r="M99" s="92">
        <f>VLOOKUP($A99,'Data Vlaue (Cr)'!$C:$FB,98)</f>
        <v>-2.7400000000000001E-2</v>
      </c>
      <c r="N99" s="91">
        <f>VLOOKUP($A99,'Data Vlaue (Cr)'!$C:$FB,79)</f>
        <v>3234</v>
      </c>
      <c r="O99" s="92">
        <f>VLOOKUP($A99,'Data Vlaue (Cr)'!$C:$FB,82)</f>
        <v>7.3000000000000001E-3</v>
      </c>
    </row>
    <row r="100" spans="1:15" x14ac:dyDescent="0.25">
      <c r="A100" s="97" t="str">
        <f>'Data Vlaue (Cr)'!C95</f>
        <v>INDUSTOWER</v>
      </c>
      <c r="B100" s="142">
        <f>VLOOKUP(A100,'Data Vlaue (Cr)'!C95:CW306,99,0)</f>
        <v>4025</v>
      </c>
      <c r="C100" s="90">
        <f>VLOOKUP(A100,'Data Vlaue (Cr)'!C95:CY306,101,0)</f>
        <v>23</v>
      </c>
      <c r="D100" s="139">
        <f>VLOOKUP(A100,'Data Vlaue (Cr)'!C95:CZ306,102,0)</f>
        <v>5.7000000000000002E-3</v>
      </c>
      <c r="E100" s="91">
        <f>VLOOKUP($A100,'Data Vlaue (Cr)'!$C:$FB,75)</f>
        <v>3239</v>
      </c>
      <c r="F100" s="91">
        <f>VLOOKUP($A100,'Data Vlaue (Cr)'!$C:$FB,77)</f>
        <v>4</v>
      </c>
      <c r="G100" s="92">
        <f>VLOOKUP(A100,'Data Vlaue (Cr)'!C95:CB306,78,0)</f>
        <v>1.4E-3</v>
      </c>
      <c r="H100" s="91">
        <f>VLOOKUP($A100,'Data Vlaue (Cr)'!$C:$FB,91)</f>
        <v>511</v>
      </c>
      <c r="I100" s="91">
        <f>VLOOKUP($A100,'Data Vlaue (Cr)'!$C:$FB,93)</f>
        <v>-4</v>
      </c>
      <c r="J100" s="92">
        <f>VLOOKUP($A100,'Data Vlaue (Cr)'!$C:$FB,94)</f>
        <v>-8.0999999999999996E-3</v>
      </c>
      <c r="K100" s="91">
        <f>VLOOKUP($A100,'Data Vlaue (Cr)'!$C:$FB,95)</f>
        <v>276</v>
      </c>
      <c r="L100" s="91">
        <f>VLOOKUP($A100,'Data Vlaue (Cr)'!$C:$FB,97)</f>
        <v>23</v>
      </c>
      <c r="M100" s="92">
        <f>VLOOKUP($A100,'Data Vlaue (Cr)'!$C:$FB,98)</f>
        <v>8.9099999999999999E-2</v>
      </c>
      <c r="N100" s="91">
        <f>VLOOKUP($A100,'Data Vlaue (Cr)'!$C:$FB,79)</f>
        <v>3196</v>
      </c>
      <c r="O100" s="92">
        <f>VLOOKUP($A100,'Data Vlaue (Cr)'!$C:$FB,82)</f>
        <v>1.1000000000000001E-3</v>
      </c>
    </row>
    <row r="101" spans="1:15" x14ac:dyDescent="0.25">
      <c r="A101" s="97" t="str">
        <f>'Data Vlaue (Cr)'!C96</f>
        <v>INFY</v>
      </c>
      <c r="B101" s="142">
        <f>VLOOKUP(A101,'Data Vlaue (Cr)'!C96:CW307,99,0)</f>
        <v>18161</v>
      </c>
      <c r="C101" s="90">
        <f>VLOOKUP(A101,'Data Vlaue (Cr)'!C96:CY307,101,0)</f>
        <v>-68</v>
      </c>
      <c r="D101" s="139">
        <f>VLOOKUP(A101,'Data Vlaue (Cr)'!C96:CZ307,102,0)</f>
        <v>-3.8E-3</v>
      </c>
      <c r="E101" s="91">
        <f>VLOOKUP($A101,'Data Vlaue (Cr)'!$C:$FB,75)</f>
        <v>10654</v>
      </c>
      <c r="F101" s="91">
        <f>VLOOKUP($A101,'Data Vlaue (Cr)'!$C:$FB,77)</f>
        <v>-96</v>
      </c>
      <c r="G101" s="92">
        <f>VLOOKUP(A101,'Data Vlaue (Cr)'!C96:CB307,78,0)</f>
        <v>-8.8999999999999999E-3</v>
      </c>
      <c r="H101" s="91">
        <f>VLOOKUP($A101,'Data Vlaue (Cr)'!$C:$FB,91)</f>
        <v>4857</v>
      </c>
      <c r="I101" s="91">
        <f>VLOOKUP($A101,'Data Vlaue (Cr)'!$C:$FB,93)</f>
        <v>82</v>
      </c>
      <c r="J101" s="92">
        <f>VLOOKUP($A101,'Data Vlaue (Cr)'!$C:$FB,94)</f>
        <v>1.72E-2</v>
      </c>
      <c r="K101" s="91">
        <f>VLOOKUP($A101,'Data Vlaue (Cr)'!$C:$FB,95)</f>
        <v>2650</v>
      </c>
      <c r="L101" s="91">
        <f>VLOOKUP($A101,'Data Vlaue (Cr)'!$C:$FB,97)</f>
        <v>-55</v>
      </c>
      <c r="M101" s="92">
        <f>VLOOKUP($A101,'Data Vlaue (Cr)'!$C:$FB,98)</f>
        <v>-2.0199999999999999E-2</v>
      </c>
      <c r="N101" s="91">
        <f>VLOOKUP($A101,'Data Vlaue (Cr)'!$C:$FB,79)</f>
        <v>9921</v>
      </c>
      <c r="O101" s="92">
        <f>VLOOKUP($A101,'Data Vlaue (Cr)'!$C:$FB,82)</f>
        <v>-1.04E-2</v>
      </c>
    </row>
    <row r="102" spans="1:15" x14ac:dyDescent="0.25">
      <c r="A102" s="97" t="str">
        <f>'Data Vlaue (Cr)'!C97</f>
        <v>INOXWIND</v>
      </c>
      <c r="B102" s="142">
        <f>VLOOKUP(A102,'Data Vlaue (Cr)'!C97:CW308,99,0)</f>
        <v>1378</v>
      </c>
      <c r="C102" s="90">
        <f>VLOOKUP(A102,'Data Vlaue (Cr)'!C97:CY308,101,0)</f>
        <v>27</v>
      </c>
      <c r="D102" s="139">
        <f>VLOOKUP(A102,'Data Vlaue (Cr)'!C97:CZ308,102,0)</f>
        <v>1.9800000000000002E-2</v>
      </c>
      <c r="E102" s="91">
        <f>VLOOKUP($A102,'Data Vlaue (Cr)'!$C:$FB,75)</f>
        <v>892</v>
      </c>
      <c r="F102" s="91">
        <f>VLOOKUP($A102,'Data Vlaue (Cr)'!$C:$FB,77)</f>
        <v>-16</v>
      </c>
      <c r="G102" s="92">
        <f>VLOOKUP(A102,'Data Vlaue (Cr)'!C97:CB308,78,0)</f>
        <v>-1.7299999999999999E-2</v>
      </c>
      <c r="H102" s="91">
        <f>VLOOKUP($A102,'Data Vlaue (Cr)'!$C:$FB,91)</f>
        <v>279</v>
      </c>
      <c r="I102" s="91">
        <f>VLOOKUP($A102,'Data Vlaue (Cr)'!$C:$FB,93)</f>
        <v>20</v>
      </c>
      <c r="J102" s="92">
        <f>VLOOKUP($A102,'Data Vlaue (Cr)'!$C:$FB,94)</f>
        <v>7.7499999999999999E-2</v>
      </c>
      <c r="K102" s="91">
        <f>VLOOKUP($A102,'Data Vlaue (Cr)'!$C:$FB,95)</f>
        <v>207</v>
      </c>
      <c r="L102" s="91">
        <f>VLOOKUP($A102,'Data Vlaue (Cr)'!$C:$FB,97)</f>
        <v>22</v>
      </c>
      <c r="M102" s="92">
        <f>VLOOKUP($A102,'Data Vlaue (Cr)'!$C:$FB,98)</f>
        <v>0.1215</v>
      </c>
      <c r="N102" s="91">
        <f>VLOOKUP($A102,'Data Vlaue (Cr)'!$C:$FB,79)</f>
        <v>854</v>
      </c>
      <c r="O102" s="92">
        <f>VLOOKUP($A102,'Data Vlaue (Cr)'!$C:$FB,82)</f>
        <v>-1.9699999999999999E-2</v>
      </c>
    </row>
    <row r="103" spans="1:15" x14ac:dyDescent="0.25">
      <c r="A103" s="97" t="str">
        <f>'Data Vlaue (Cr)'!C98</f>
        <v>IOC</v>
      </c>
      <c r="B103" s="142">
        <f>VLOOKUP(A103,'Data Vlaue (Cr)'!C98:CW309,99,0)</f>
        <v>3241</v>
      </c>
      <c r="C103" s="90">
        <f>VLOOKUP(A103,'Data Vlaue (Cr)'!C98:CY309,101,0)</f>
        <v>280</v>
      </c>
      <c r="D103" s="139">
        <f>VLOOKUP(A103,'Data Vlaue (Cr)'!C98:CZ309,102,0)</f>
        <v>9.4500000000000001E-2</v>
      </c>
      <c r="E103" s="91">
        <f>VLOOKUP($A103,'Data Vlaue (Cr)'!$C:$FB,75)</f>
        <v>1627</v>
      </c>
      <c r="F103" s="91">
        <f>VLOOKUP($A103,'Data Vlaue (Cr)'!$C:$FB,77)</f>
        <v>114</v>
      </c>
      <c r="G103" s="92">
        <f>VLOOKUP(A103,'Data Vlaue (Cr)'!C98:CB309,78,0)</f>
        <v>7.51E-2</v>
      </c>
      <c r="H103" s="91">
        <f>VLOOKUP($A103,'Data Vlaue (Cr)'!$C:$FB,91)</f>
        <v>879</v>
      </c>
      <c r="I103" s="91">
        <f>VLOOKUP($A103,'Data Vlaue (Cr)'!$C:$FB,93)</f>
        <v>144</v>
      </c>
      <c r="J103" s="92">
        <f>VLOOKUP($A103,'Data Vlaue (Cr)'!$C:$FB,94)</f>
        <v>0.19570000000000001</v>
      </c>
      <c r="K103" s="91">
        <f>VLOOKUP($A103,'Data Vlaue (Cr)'!$C:$FB,95)</f>
        <v>735</v>
      </c>
      <c r="L103" s="91">
        <f>VLOOKUP($A103,'Data Vlaue (Cr)'!$C:$FB,97)</f>
        <v>22</v>
      </c>
      <c r="M103" s="92">
        <f>VLOOKUP($A103,'Data Vlaue (Cr)'!$C:$FB,98)</f>
        <v>3.15E-2</v>
      </c>
      <c r="N103" s="91">
        <f>VLOOKUP($A103,'Data Vlaue (Cr)'!$C:$FB,79)</f>
        <v>1574</v>
      </c>
      <c r="O103" s="92">
        <f>VLOOKUP($A103,'Data Vlaue (Cr)'!$C:$FB,82)</f>
        <v>7.22E-2</v>
      </c>
    </row>
    <row r="104" spans="1:15" x14ac:dyDescent="0.25">
      <c r="A104" s="97" t="str">
        <f>'Data Vlaue (Cr)'!C99</f>
        <v>IREDA</v>
      </c>
      <c r="B104" s="142">
        <f>VLOOKUP(A104,'Data Vlaue (Cr)'!C99:CW310,99,0)</f>
        <v>1320</v>
      </c>
      <c r="C104" s="90">
        <f>VLOOKUP(A104,'Data Vlaue (Cr)'!C99:CY310,101,0)</f>
        <v>10</v>
      </c>
      <c r="D104" s="139">
        <f>VLOOKUP(A104,'Data Vlaue (Cr)'!C99:CZ310,102,0)</f>
        <v>7.6E-3</v>
      </c>
      <c r="E104" s="91">
        <f>VLOOKUP($A104,'Data Vlaue (Cr)'!$C:$FB,75)</f>
        <v>752</v>
      </c>
      <c r="F104" s="91">
        <f>VLOOKUP($A104,'Data Vlaue (Cr)'!$C:$FB,77)</f>
        <v>-2</v>
      </c>
      <c r="G104" s="92">
        <f>VLOOKUP(A104,'Data Vlaue (Cr)'!C99:CB310,78,0)</f>
        <v>-3.0000000000000001E-3</v>
      </c>
      <c r="H104" s="91">
        <f>VLOOKUP($A104,'Data Vlaue (Cr)'!$C:$FB,91)</f>
        <v>338</v>
      </c>
      <c r="I104" s="91">
        <f>VLOOKUP($A104,'Data Vlaue (Cr)'!$C:$FB,93)</f>
        <v>11</v>
      </c>
      <c r="J104" s="92">
        <f>VLOOKUP($A104,'Data Vlaue (Cr)'!$C:$FB,94)</f>
        <v>3.5000000000000003E-2</v>
      </c>
      <c r="K104" s="91">
        <f>VLOOKUP($A104,'Data Vlaue (Cr)'!$C:$FB,95)</f>
        <v>229</v>
      </c>
      <c r="L104" s="91">
        <f>VLOOKUP($A104,'Data Vlaue (Cr)'!$C:$FB,97)</f>
        <v>1</v>
      </c>
      <c r="M104" s="92">
        <f>VLOOKUP($A104,'Data Vlaue (Cr)'!$C:$FB,98)</f>
        <v>3.3E-3</v>
      </c>
      <c r="N104" s="91">
        <f>VLOOKUP($A104,'Data Vlaue (Cr)'!$C:$FB,79)</f>
        <v>672</v>
      </c>
      <c r="O104" s="92">
        <f>VLOOKUP($A104,'Data Vlaue (Cr)'!$C:$FB,82)</f>
        <v>-4.5999999999999999E-3</v>
      </c>
    </row>
    <row r="105" spans="1:15" x14ac:dyDescent="0.25">
      <c r="A105" s="97" t="str">
        <f>'Data Vlaue (Cr)'!C100</f>
        <v>IRFC</v>
      </c>
      <c r="B105" s="142">
        <f>VLOOKUP(A105,'Data Vlaue (Cr)'!C100:CW311,99,0)</f>
        <v>1917</v>
      </c>
      <c r="C105" s="90">
        <f>VLOOKUP(A105,'Data Vlaue (Cr)'!C100:CY311,101,0)</f>
        <v>25</v>
      </c>
      <c r="D105" s="139">
        <f>VLOOKUP(A105,'Data Vlaue (Cr)'!C100:CZ311,102,0)</f>
        <v>1.2999999999999999E-2</v>
      </c>
      <c r="E105" s="91">
        <f>VLOOKUP($A105,'Data Vlaue (Cr)'!$C:$FB,75)</f>
        <v>750</v>
      </c>
      <c r="F105" s="91">
        <f>VLOOKUP($A105,'Data Vlaue (Cr)'!$C:$FB,77)</f>
        <v>6</v>
      </c>
      <c r="G105" s="92">
        <f>VLOOKUP(A105,'Data Vlaue (Cr)'!C100:CB311,78,0)</f>
        <v>7.7000000000000002E-3</v>
      </c>
      <c r="H105" s="91">
        <f>VLOOKUP($A105,'Data Vlaue (Cr)'!$C:$FB,91)</f>
        <v>749</v>
      </c>
      <c r="I105" s="91">
        <f>VLOOKUP($A105,'Data Vlaue (Cr)'!$C:$FB,93)</f>
        <v>15</v>
      </c>
      <c r="J105" s="92">
        <f>VLOOKUP($A105,'Data Vlaue (Cr)'!$C:$FB,94)</f>
        <v>0.02</v>
      </c>
      <c r="K105" s="91">
        <f>VLOOKUP($A105,'Data Vlaue (Cr)'!$C:$FB,95)</f>
        <v>417</v>
      </c>
      <c r="L105" s="91">
        <f>VLOOKUP($A105,'Data Vlaue (Cr)'!$C:$FB,97)</f>
        <v>4</v>
      </c>
      <c r="M105" s="92">
        <f>VLOOKUP($A105,'Data Vlaue (Cr)'!$C:$FB,98)</f>
        <v>1.01E-2</v>
      </c>
      <c r="N105" s="91">
        <f>VLOOKUP($A105,'Data Vlaue (Cr)'!$C:$FB,79)</f>
        <v>639</v>
      </c>
      <c r="O105" s="92">
        <f>VLOOKUP($A105,'Data Vlaue (Cr)'!$C:$FB,82)</f>
        <v>2.2000000000000001E-3</v>
      </c>
    </row>
    <row r="106" spans="1:15" x14ac:dyDescent="0.25">
      <c r="A106" s="97" t="str">
        <f>'Data Vlaue (Cr)'!C101</f>
        <v>ITC</v>
      </c>
      <c r="B106" s="142">
        <f>VLOOKUP(A106,'Data Vlaue (Cr)'!C101:CW312,99,0)</f>
        <v>10293</v>
      </c>
      <c r="C106" s="90">
        <f>VLOOKUP(A106,'Data Vlaue (Cr)'!C101:CY312,101,0)</f>
        <v>118</v>
      </c>
      <c r="D106" s="139">
        <f>VLOOKUP(A106,'Data Vlaue (Cr)'!C101:CZ312,102,0)</f>
        <v>1.1599999999999999E-2</v>
      </c>
      <c r="E106" s="91">
        <f>VLOOKUP($A106,'Data Vlaue (Cr)'!$C:$FB,75)</f>
        <v>5256</v>
      </c>
      <c r="F106" s="91">
        <f>VLOOKUP($A106,'Data Vlaue (Cr)'!$C:$FB,77)</f>
        <v>-28</v>
      </c>
      <c r="G106" s="92">
        <f>VLOOKUP(A106,'Data Vlaue (Cr)'!C101:CB312,78,0)</f>
        <v>-5.3E-3</v>
      </c>
      <c r="H106" s="91">
        <f>VLOOKUP($A106,'Data Vlaue (Cr)'!$C:$FB,91)</f>
        <v>3477</v>
      </c>
      <c r="I106" s="91">
        <f>VLOOKUP($A106,'Data Vlaue (Cr)'!$C:$FB,93)</f>
        <v>115</v>
      </c>
      <c r="J106" s="92">
        <f>VLOOKUP($A106,'Data Vlaue (Cr)'!$C:$FB,94)</f>
        <v>3.4099999999999998E-2</v>
      </c>
      <c r="K106" s="91">
        <f>VLOOKUP($A106,'Data Vlaue (Cr)'!$C:$FB,95)</f>
        <v>1560</v>
      </c>
      <c r="L106" s="91">
        <f>VLOOKUP($A106,'Data Vlaue (Cr)'!$C:$FB,97)</f>
        <v>31</v>
      </c>
      <c r="M106" s="92">
        <f>VLOOKUP($A106,'Data Vlaue (Cr)'!$C:$FB,98)</f>
        <v>2.0299999999999999E-2</v>
      </c>
      <c r="N106" s="91">
        <f>VLOOKUP($A106,'Data Vlaue (Cr)'!$C:$FB,79)</f>
        <v>4931</v>
      </c>
      <c r="O106" s="92">
        <f>VLOOKUP($A106,'Data Vlaue (Cr)'!$C:$FB,82)</f>
        <v>-1.03E-2</v>
      </c>
    </row>
    <row r="107" spans="1:15" x14ac:dyDescent="0.25">
      <c r="A107" s="97" t="str">
        <f>'Data Vlaue (Cr)'!C102</f>
        <v>JINDALSTEL</v>
      </c>
      <c r="B107" s="142">
        <f>VLOOKUP(A107,'Data Vlaue (Cr)'!C102:CW313,99,0)</f>
        <v>1927</v>
      </c>
      <c r="C107" s="90">
        <f>VLOOKUP(A107,'Data Vlaue (Cr)'!C102:CY313,101,0)</f>
        <v>15</v>
      </c>
      <c r="D107" s="139">
        <f>VLOOKUP(A107,'Data Vlaue (Cr)'!C102:CZ313,102,0)</f>
        <v>7.9000000000000008E-3</v>
      </c>
      <c r="E107" s="91">
        <f>VLOOKUP($A107,'Data Vlaue (Cr)'!$C:$FB,75)</f>
        <v>1199</v>
      </c>
      <c r="F107" s="91">
        <f>VLOOKUP($A107,'Data Vlaue (Cr)'!$C:$FB,77)</f>
        <v>-2</v>
      </c>
      <c r="G107" s="92">
        <f>VLOOKUP(A107,'Data Vlaue (Cr)'!C102:CB313,78,0)</f>
        <v>-1.5E-3</v>
      </c>
      <c r="H107" s="91">
        <f>VLOOKUP($A107,'Data Vlaue (Cr)'!$C:$FB,91)</f>
        <v>356</v>
      </c>
      <c r="I107" s="91">
        <f>VLOOKUP($A107,'Data Vlaue (Cr)'!$C:$FB,93)</f>
        <v>27</v>
      </c>
      <c r="J107" s="92">
        <f>VLOOKUP($A107,'Data Vlaue (Cr)'!$C:$FB,94)</f>
        <v>8.1100000000000005E-2</v>
      </c>
      <c r="K107" s="91">
        <f>VLOOKUP($A107,'Data Vlaue (Cr)'!$C:$FB,95)</f>
        <v>372</v>
      </c>
      <c r="L107" s="91">
        <f>VLOOKUP($A107,'Data Vlaue (Cr)'!$C:$FB,97)</f>
        <v>-10</v>
      </c>
      <c r="M107" s="92">
        <f>VLOOKUP($A107,'Data Vlaue (Cr)'!$C:$FB,98)</f>
        <v>-2.5499999999999998E-2</v>
      </c>
      <c r="N107" s="91">
        <f>VLOOKUP($A107,'Data Vlaue (Cr)'!$C:$FB,79)</f>
        <v>1185</v>
      </c>
      <c r="O107" s="92">
        <f>VLOOKUP($A107,'Data Vlaue (Cr)'!$C:$FB,82)</f>
        <v>-2.0999999999999999E-3</v>
      </c>
    </row>
    <row r="108" spans="1:15" x14ac:dyDescent="0.25">
      <c r="A108" s="97" t="str">
        <f>'Data Vlaue (Cr)'!C103</f>
        <v>JIOFIN</v>
      </c>
      <c r="B108" s="142">
        <f>VLOOKUP(A108,'Data Vlaue (Cr)'!C103:CW314,99,0)</f>
        <v>6212</v>
      </c>
      <c r="C108" s="90">
        <f>VLOOKUP(A108,'Data Vlaue (Cr)'!C103:CY314,101,0)</f>
        <v>106</v>
      </c>
      <c r="D108" s="139">
        <f>VLOOKUP(A108,'Data Vlaue (Cr)'!C103:CZ314,102,0)</f>
        <v>1.7299999999999999E-2</v>
      </c>
      <c r="E108" s="91">
        <f>VLOOKUP($A108,'Data Vlaue (Cr)'!$C:$FB,75)</f>
        <v>4220</v>
      </c>
      <c r="F108" s="91">
        <f>VLOOKUP($A108,'Data Vlaue (Cr)'!$C:$FB,77)</f>
        <v>19</v>
      </c>
      <c r="G108" s="92">
        <f>VLOOKUP(A108,'Data Vlaue (Cr)'!C103:CB314,78,0)</f>
        <v>4.5999999999999999E-3</v>
      </c>
      <c r="H108" s="91">
        <f>VLOOKUP($A108,'Data Vlaue (Cr)'!$C:$FB,91)</f>
        <v>1106</v>
      </c>
      <c r="I108" s="91">
        <f>VLOOKUP($A108,'Data Vlaue (Cr)'!$C:$FB,93)</f>
        <v>67</v>
      </c>
      <c r="J108" s="92">
        <f>VLOOKUP($A108,'Data Vlaue (Cr)'!$C:$FB,94)</f>
        <v>6.4000000000000001E-2</v>
      </c>
      <c r="K108" s="91">
        <f>VLOOKUP($A108,'Data Vlaue (Cr)'!$C:$FB,95)</f>
        <v>887</v>
      </c>
      <c r="L108" s="91">
        <f>VLOOKUP($A108,'Data Vlaue (Cr)'!$C:$FB,97)</f>
        <v>20</v>
      </c>
      <c r="M108" s="92">
        <f>VLOOKUP($A108,'Data Vlaue (Cr)'!$C:$FB,98)</f>
        <v>2.29E-2</v>
      </c>
      <c r="N108" s="91">
        <f>VLOOKUP($A108,'Data Vlaue (Cr)'!$C:$FB,79)</f>
        <v>3933</v>
      </c>
      <c r="O108" s="92">
        <f>VLOOKUP($A108,'Data Vlaue (Cr)'!$C:$FB,82)</f>
        <v>-7.1000000000000004E-3</v>
      </c>
    </row>
    <row r="109" spans="1:15" x14ac:dyDescent="0.25">
      <c r="A109" s="97" t="str">
        <f>'Data Vlaue (Cr)'!C104</f>
        <v>JSWENERGY</v>
      </c>
      <c r="B109" s="142">
        <f>VLOOKUP(A109,'Data Vlaue (Cr)'!C104:CW315,99,0)</f>
        <v>1882</v>
      </c>
      <c r="C109" s="90">
        <f>VLOOKUP(A109,'Data Vlaue (Cr)'!C104:CY315,101,0)</f>
        <v>-9</v>
      </c>
      <c r="D109" s="139">
        <f>VLOOKUP(A109,'Data Vlaue (Cr)'!C104:CZ315,102,0)</f>
        <v>-4.4999999999999997E-3</v>
      </c>
      <c r="E109" s="91">
        <f>VLOOKUP($A109,'Data Vlaue (Cr)'!$C:$FB,75)</f>
        <v>1411</v>
      </c>
      <c r="F109" s="91">
        <f>VLOOKUP($A109,'Data Vlaue (Cr)'!$C:$FB,77)</f>
        <v>-22</v>
      </c>
      <c r="G109" s="92">
        <f>VLOOKUP(A109,'Data Vlaue (Cr)'!C104:CB315,78,0)</f>
        <v>-1.5100000000000001E-2</v>
      </c>
      <c r="H109" s="91">
        <f>VLOOKUP($A109,'Data Vlaue (Cr)'!$C:$FB,91)</f>
        <v>248</v>
      </c>
      <c r="I109" s="91">
        <f>VLOOKUP($A109,'Data Vlaue (Cr)'!$C:$FB,93)</f>
        <v>8</v>
      </c>
      <c r="J109" s="92">
        <f>VLOOKUP($A109,'Data Vlaue (Cr)'!$C:$FB,94)</f>
        <v>3.49E-2</v>
      </c>
      <c r="K109" s="91">
        <f>VLOOKUP($A109,'Data Vlaue (Cr)'!$C:$FB,95)</f>
        <v>223</v>
      </c>
      <c r="L109" s="91">
        <f>VLOOKUP($A109,'Data Vlaue (Cr)'!$C:$FB,97)</f>
        <v>5</v>
      </c>
      <c r="M109" s="92">
        <f>VLOOKUP($A109,'Data Vlaue (Cr)'!$C:$FB,98)</f>
        <v>2.1600000000000001E-2</v>
      </c>
      <c r="N109" s="91">
        <f>VLOOKUP($A109,'Data Vlaue (Cr)'!$C:$FB,79)</f>
        <v>1402</v>
      </c>
      <c r="O109" s="92">
        <f>VLOOKUP($A109,'Data Vlaue (Cr)'!$C:$FB,82)</f>
        <v>-1.5800000000000002E-2</v>
      </c>
    </row>
    <row r="110" spans="1:15" x14ac:dyDescent="0.25">
      <c r="A110" s="97" t="str">
        <f>'Data Vlaue (Cr)'!C105</f>
        <v>JSWSTEEL</v>
      </c>
      <c r="B110" s="142">
        <f>VLOOKUP(A110,'Data Vlaue (Cr)'!C105:CW316,99,0)</f>
        <v>7857</v>
      </c>
      <c r="C110" s="90">
        <f>VLOOKUP(A110,'Data Vlaue (Cr)'!C105:CY316,101,0)</f>
        <v>99</v>
      </c>
      <c r="D110" s="139">
        <f>VLOOKUP(A110,'Data Vlaue (Cr)'!C105:CZ316,102,0)</f>
        <v>1.2699999999999999E-2</v>
      </c>
      <c r="E110" s="91">
        <f>VLOOKUP($A110,'Data Vlaue (Cr)'!$C:$FB,75)</f>
        <v>6669</v>
      </c>
      <c r="F110" s="91">
        <f>VLOOKUP($A110,'Data Vlaue (Cr)'!$C:$FB,77)</f>
        <v>24</v>
      </c>
      <c r="G110" s="92">
        <f>VLOOKUP(A110,'Data Vlaue (Cr)'!C105:CB316,78,0)</f>
        <v>3.5999999999999999E-3</v>
      </c>
      <c r="H110" s="91">
        <f>VLOOKUP($A110,'Data Vlaue (Cr)'!$C:$FB,91)</f>
        <v>744</v>
      </c>
      <c r="I110" s="91">
        <f>VLOOKUP($A110,'Data Vlaue (Cr)'!$C:$FB,93)</f>
        <v>43</v>
      </c>
      <c r="J110" s="92">
        <f>VLOOKUP($A110,'Data Vlaue (Cr)'!$C:$FB,94)</f>
        <v>6.2100000000000002E-2</v>
      </c>
      <c r="K110" s="91">
        <f>VLOOKUP($A110,'Data Vlaue (Cr)'!$C:$FB,95)</f>
        <v>445</v>
      </c>
      <c r="L110" s="91">
        <f>VLOOKUP($A110,'Data Vlaue (Cr)'!$C:$FB,97)</f>
        <v>31</v>
      </c>
      <c r="M110" s="92">
        <f>VLOOKUP($A110,'Data Vlaue (Cr)'!$C:$FB,98)</f>
        <v>7.4700000000000003E-2</v>
      </c>
      <c r="N110" s="91">
        <f>VLOOKUP($A110,'Data Vlaue (Cr)'!$C:$FB,79)</f>
        <v>6542</v>
      </c>
      <c r="O110" s="92">
        <f>VLOOKUP($A110,'Data Vlaue (Cr)'!$C:$FB,82)</f>
        <v>-1.2800000000000001E-2</v>
      </c>
    </row>
    <row r="111" spans="1:15" x14ac:dyDescent="0.25">
      <c r="A111" s="97" t="str">
        <f>'Data Vlaue (Cr)'!C106</f>
        <v>JUBLFOOD</v>
      </c>
      <c r="B111" s="142">
        <f>VLOOKUP(A111,'Data Vlaue (Cr)'!C106:CW317,99,0)</f>
        <v>1993</v>
      </c>
      <c r="C111" s="90">
        <f>VLOOKUP(A111,'Data Vlaue (Cr)'!C106:CY317,101,0)</f>
        <v>0</v>
      </c>
      <c r="D111" s="139">
        <f>VLOOKUP(A111,'Data Vlaue (Cr)'!C106:CZ317,102,0)</f>
        <v>0</v>
      </c>
      <c r="E111" s="91">
        <f>VLOOKUP($A111,'Data Vlaue (Cr)'!$C:$FB,75)</f>
        <v>1441</v>
      </c>
      <c r="F111" s="91">
        <f>VLOOKUP($A111,'Data Vlaue (Cr)'!$C:$FB,77)</f>
        <v>-21</v>
      </c>
      <c r="G111" s="92">
        <f>VLOOKUP(A111,'Data Vlaue (Cr)'!C106:CB317,78,0)</f>
        <v>-1.44E-2</v>
      </c>
      <c r="H111" s="91">
        <f>VLOOKUP($A111,'Data Vlaue (Cr)'!$C:$FB,91)</f>
        <v>337</v>
      </c>
      <c r="I111" s="91">
        <f>VLOOKUP($A111,'Data Vlaue (Cr)'!$C:$FB,93)</f>
        <v>21</v>
      </c>
      <c r="J111" s="92">
        <f>VLOOKUP($A111,'Data Vlaue (Cr)'!$C:$FB,94)</f>
        <v>6.6400000000000001E-2</v>
      </c>
      <c r="K111" s="91">
        <f>VLOOKUP($A111,'Data Vlaue (Cr)'!$C:$FB,95)</f>
        <v>215</v>
      </c>
      <c r="L111" s="91">
        <f>VLOOKUP($A111,'Data Vlaue (Cr)'!$C:$FB,97)</f>
        <v>0</v>
      </c>
      <c r="M111" s="92">
        <f>VLOOKUP($A111,'Data Vlaue (Cr)'!$C:$FB,98)</f>
        <v>2.9999999999999997E-4</v>
      </c>
      <c r="N111" s="91">
        <f>VLOOKUP($A111,'Data Vlaue (Cr)'!$C:$FB,79)</f>
        <v>1357</v>
      </c>
      <c r="O111" s="92">
        <f>VLOOKUP($A111,'Data Vlaue (Cr)'!$C:$FB,82)</f>
        <v>-2.1000000000000001E-2</v>
      </c>
    </row>
    <row r="112" spans="1:15" x14ac:dyDescent="0.25">
      <c r="A112" s="97" t="str">
        <f>'Data Vlaue (Cr)'!C107</f>
        <v>KALYANKJIL</v>
      </c>
      <c r="B112" s="142">
        <f>VLOOKUP(A112,'Data Vlaue (Cr)'!C107:CW318,99,0)</f>
        <v>1517</v>
      </c>
      <c r="C112" s="90">
        <f>VLOOKUP(A112,'Data Vlaue (Cr)'!C107:CY318,101,0)</f>
        <v>16</v>
      </c>
      <c r="D112" s="139">
        <f>VLOOKUP(A112,'Data Vlaue (Cr)'!C107:CZ318,102,0)</f>
        <v>1.0800000000000001E-2</v>
      </c>
      <c r="E112" s="91">
        <f>VLOOKUP($A112,'Data Vlaue (Cr)'!$C:$FB,75)</f>
        <v>1022</v>
      </c>
      <c r="F112" s="91">
        <f>VLOOKUP($A112,'Data Vlaue (Cr)'!$C:$FB,77)</f>
        <v>7</v>
      </c>
      <c r="G112" s="92">
        <f>VLOOKUP(A112,'Data Vlaue (Cr)'!C107:CB318,78,0)</f>
        <v>6.7999999999999996E-3</v>
      </c>
      <c r="H112" s="91">
        <f>VLOOKUP($A112,'Data Vlaue (Cr)'!$C:$FB,91)</f>
        <v>291</v>
      </c>
      <c r="I112" s="91">
        <f>VLOOKUP($A112,'Data Vlaue (Cr)'!$C:$FB,93)</f>
        <v>11</v>
      </c>
      <c r="J112" s="92">
        <f>VLOOKUP($A112,'Data Vlaue (Cr)'!$C:$FB,94)</f>
        <v>3.85E-2</v>
      </c>
      <c r="K112" s="91">
        <f>VLOOKUP($A112,'Data Vlaue (Cr)'!$C:$FB,95)</f>
        <v>204</v>
      </c>
      <c r="L112" s="91">
        <f>VLOOKUP($A112,'Data Vlaue (Cr)'!$C:$FB,97)</f>
        <v>-1</v>
      </c>
      <c r="M112" s="92">
        <f>VLOOKUP($A112,'Data Vlaue (Cr)'!$C:$FB,98)</f>
        <v>-6.8999999999999999E-3</v>
      </c>
      <c r="N112" s="91">
        <f>VLOOKUP($A112,'Data Vlaue (Cr)'!$C:$FB,79)</f>
        <v>999</v>
      </c>
      <c r="O112" s="92">
        <f>VLOOKUP($A112,'Data Vlaue (Cr)'!$C:$FB,82)</f>
        <v>6.4999999999999997E-3</v>
      </c>
    </row>
    <row r="113" spans="1:15" x14ac:dyDescent="0.25">
      <c r="A113" s="97" t="str">
        <f>'Data Vlaue (Cr)'!C108</f>
        <v>KAYNES</v>
      </c>
      <c r="B113" s="142">
        <f>VLOOKUP(A113,'Data Vlaue (Cr)'!C108:CW319,99,0)</f>
        <v>2477</v>
      </c>
      <c r="C113" s="90">
        <f>VLOOKUP(A113,'Data Vlaue (Cr)'!C108:CY319,101,0)</f>
        <v>181</v>
      </c>
      <c r="D113" s="139">
        <f>VLOOKUP(A113,'Data Vlaue (Cr)'!C108:CZ319,102,0)</f>
        <v>7.9000000000000001E-2</v>
      </c>
      <c r="E113" s="91">
        <f>VLOOKUP($A113,'Data Vlaue (Cr)'!$C:$FB,75)</f>
        <v>1438</v>
      </c>
      <c r="F113" s="91">
        <f>VLOOKUP($A113,'Data Vlaue (Cr)'!$C:$FB,77)</f>
        <v>49</v>
      </c>
      <c r="G113" s="92">
        <f>VLOOKUP(A113,'Data Vlaue (Cr)'!C108:CB319,78,0)</f>
        <v>3.5200000000000002E-2</v>
      </c>
      <c r="H113" s="91">
        <f>VLOOKUP($A113,'Data Vlaue (Cr)'!$C:$FB,91)</f>
        <v>553</v>
      </c>
      <c r="I113" s="91">
        <f>VLOOKUP($A113,'Data Vlaue (Cr)'!$C:$FB,93)</f>
        <v>59</v>
      </c>
      <c r="J113" s="92">
        <f>VLOOKUP($A113,'Data Vlaue (Cr)'!$C:$FB,94)</f>
        <v>0.1188</v>
      </c>
      <c r="K113" s="91">
        <f>VLOOKUP($A113,'Data Vlaue (Cr)'!$C:$FB,95)</f>
        <v>486</v>
      </c>
      <c r="L113" s="91">
        <f>VLOOKUP($A113,'Data Vlaue (Cr)'!$C:$FB,97)</f>
        <v>74</v>
      </c>
      <c r="M113" s="92">
        <f>VLOOKUP($A113,'Data Vlaue (Cr)'!$C:$FB,98)</f>
        <v>0.1784</v>
      </c>
      <c r="N113" s="91">
        <f>VLOOKUP($A113,'Data Vlaue (Cr)'!$C:$FB,79)</f>
        <v>1371</v>
      </c>
      <c r="O113" s="92">
        <f>VLOOKUP($A113,'Data Vlaue (Cr)'!$C:$FB,82)</f>
        <v>3.4099999999999998E-2</v>
      </c>
    </row>
    <row r="114" spans="1:15" x14ac:dyDescent="0.25">
      <c r="A114" s="97" t="str">
        <f>'Data Vlaue (Cr)'!C109</f>
        <v>KEI</v>
      </c>
      <c r="B114" s="142">
        <f>VLOOKUP(A114,'Data Vlaue (Cr)'!C109:CW320,99,0)</f>
        <v>1315</v>
      </c>
      <c r="C114" s="90">
        <f>VLOOKUP(A114,'Data Vlaue (Cr)'!C109:CY320,101,0)</f>
        <v>-54</v>
      </c>
      <c r="D114" s="139">
        <f>VLOOKUP(A114,'Data Vlaue (Cr)'!C109:CZ320,102,0)</f>
        <v>-3.9399999999999998E-2</v>
      </c>
      <c r="E114" s="91">
        <f>VLOOKUP($A114,'Data Vlaue (Cr)'!$C:$FB,75)</f>
        <v>774</v>
      </c>
      <c r="F114" s="91">
        <f>VLOOKUP($A114,'Data Vlaue (Cr)'!$C:$FB,77)</f>
        <v>-62</v>
      </c>
      <c r="G114" s="92">
        <f>VLOOKUP(A114,'Data Vlaue (Cr)'!C109:CB320,78,0)</f>
        <v>-7.4300000000000005E-2</v>
      </c>
      <c r="H114" s="91">
        <f>VLOOKUP($A114,'Data Vlaue (Cr)'!$C:$FB,91)</f>
        <v>302</v>
      </c>
      <c r="I114" s="91">
        <f>VLOOKUP($A114,'Data Vlaue (Cr)'!$C:$FB,93)</f>
        <v>4</v>
      </c>
      <c r="J114" s="92">
        <f>VLOOKUP($A114,'Data Vlaue (Cr)'!$C:$FB,94)</f>
        <v>1.2800000000000001E-2</v>
      </c>
      <c r="K114" s="91">
        <f>VLOOKUP($A114,'Data Vlaue (Cr)'!$C:$FB,95)</f>
        <v>239</v>
      </c>
      <c r="L114" s="91">
        <f>VLOOKUP($A114,'Data Vlaue (Cr)'!$C:$FB,97)</f>
        <v>4</v>
      </c>
      <c r="M114" s="92">
        <f>VLOOKUP($A114,'Data Vlaue (Cr)'!$C:$FB,98)</f>
        <v>1.8800000000000001E-2</v>
      </c>
      <c r="N114" s="91">
        <f>VLOOKUP($A114,'Data Vlaue (Cr)'!$C:$FB,79)</f>
        <v>706</v>
      </c>
      <c r="O114" s="92">
        <f>VLOOKUP($A114,'Data Vlaue (Cr)'!$C:$FB,82)</f>
        <v>-8.9899999999999994E-2</v>
      </c>
    </row>
    <row r="115" spans="1:15" x14ac:dyDescent="0.25">
      <c r="A115" s="97" t="str">
        <f>'Data Vlaue (Cr)'!C110</f>
        <v>KFINTECH</v>
      </c>
      <c r="B115" s="142">
        <f>VLOOKUP(A115,'Data Vlaue (Cr)'!C110:CW321,99,0)</f>
        <v>503</v>
      </c>
      <c r="C115" s="90">
        <f>VLOOKUP(A115,'Data Vlaue (Cr)'!C110:CY321,101,0)</f>
        <v>17</v>
      </c>
      <c r="D115" s="139">
        <f>VLOOKUP(A115,'Data Vlaue (Cr)'!C110:CZ321,102,0)</f>
        <v>3.49E-2</v>
      </c>
      <c r="E115" s="91">
        <f>VLOOKUP($A115,'Data Vlaue (Cr)'!$C:$FB,75)</f>
        <v>242</v>
      </c>
      <c r="F115" s="91">
        <f>VLOOKUP($A115,'Data Vlaue (Cr)'!$C:$FB,77)</f>
        <v>1</v>
      </c>
      <c r="G115" s="92">
        <f>VLOOKUP(A115,'Data Vlaue (Cr)'!C110:CB321,78,0)</f>
        <v>4.4000000000000003E-3</v>
      </c>
      <c r="H115" s="91">
        <f>VLOOKUP($A115,'Data Vlaue (Cr)'!$C:$FB,91)</f>
        <v>159</v>
      </c>
      <c r="I115" s="91">
        <f>VLOOKUP($A115,'Data Vlaue (Cr)'!$C:$FB,93)</f>
        <v>11</v>
      </c>
      <c r="J115" s="92">
        <f>VLOOKUP($A115,'Data Vlaue (Cr)'!$C:$FB,94)</f>
        <v>7.7700000000000005E-2</v>
      </c>
      <c r="K115" s="91">
        <f>VLOOKUP($A115,'Data Vlaue (Cr)'!$C:$FB,95)</f>
        <v>102</v>
      </c>
      <c r="L115" s="91">
        <f>VLOOKUP($A115,'Data Vlaue (Cr)'!$C:$FB,97)</f>
        <v>4</v>
      </c>
      <c r="M115" s="92">
        <f>VLOOKUP($A115,'Data Vlaue (Cr)'!$C:$FB,98)</f>
        <v>4.5100000000000001E-2</v>
      </c>
      <c r="N115" s="91">
        <f>VLOOKUP($A115,'Data Vlaue (Cr)'!$C:$FB,79)</f>
        <v>225</v>
      </c>
      <c r="O115" s="92">
        <f>VLOOKUP($A115,'Data Vlaue (Cr)'!$C:$FB,82)</f>
        <v>4.5999999999999999E-3</v>
      </c>
    </row>
    <row r="116" spans="1:15" x14ac:dyDescent="0.25">
      <c r="A116" s="97" t="str">
        <f>'Data Vlaue (Cr)'!C111</f>
        <v>KOTAKBANK</v>
      </c>
      <c r="B116" s="142">
        <f>VLOOKUP(A116,'Data Vlaue (Cr)'!C111:CW322,99,0)</f>
        <v>10351</v>
      </c>
      <c r="C116" s="90">
        <f>VLOOKUP(A116,'Data Vlaue (Cr)'!C111:CY322,101,0)</f>
        <v>167</v>
      </c>
      <c r="D116" s="139">
        <f>VLOOKUP(A116,'Data Vlaue (Cr)'!C111:CZ322,102,0)</f>
        <v>1.6400000000000001E-2</v>
      </c>
      <c r="E116" s="91">
        <f>VLOOKUP($A116,'Data Vlaue (Cr)'!$C:$FB,75)</f>
        <v>8301</v>
      </c>
      <c r="F116" s="91">
        <f>VLOOKUP($A116,'Data Vlaue (Cr)'!$C:$FB,77)</f>
        <v>139</v>
      </c>
      <c r="G116" s="92">
        <f>VLOOKUP(A116,'Data Vlaue (Cr)'!C111:CB322,78,0)</f>
        <v>1.7000000000000001E-2</v>
      </c>
      <c r="H116" s="91">
        <f>VLOOKUP($A116,'Data Vlaue (Cr)'!$C:$FB,91)</f>
        <v>1242</v>
      </c>
      <c r="I116" s="91">
        <f>VLOOKUP($A116,'Data Vlaue (Cr)'!$C:$FB,93)</f>
        <v>51</v>
      </c>
      <c r="J116" s="92">
        <f>VLOOKUP($A116,'Data Vlaue (Cr)'!$C:$FB,94)</f>
        <v>4.2900000000000001E-2</v>
      </c>
      <c r="K116" s="91">
        <f>VLOOKUP($A116,'Data Vlaue (Cr)'!$C:$FB,95)</f>
        <v>808</v>
      </c>
      <c r="L116" s="91">
        <f>VLOOKUP($A116,'Data Vlaue (Cr)'!$C:$FB,97)</f>
        <v>-23</v>
      </c>
      <c r="M116" s="92">
        <f>VLOOKUP($A116,'Data Vlaue (Cr)'!$C:$FB,98)</f>
        <v>-2.76E-2</v>
      </c>
      <c r="N116" s="91">
        <f>VLOOKUP($A116,'Data Vlaue (Cr)'!$C:$FB,79)</f>
        <v>8180</v>
      </c>
      <c r="O116" s="92">
        <f>VLOOKUP($A116,'Data Vlaue (Cr)'!$C:$FB,82)</f>
        <v>1.4800000000000001E-2</v>
      </c>
    </row>
    <row r="117" spans="1:15" x14ac:dyDescent="0.25">
      <c r="A117" s="97" t="str">
        <f>'Data Vlaue (Cr)'!C112</f>
        <v>KPITTECH</v>
      </c>
      <c r="B117" s="142">
        <f>VLOOKUP(A117,'Data Vlaue (Cr)'!C112:CW323,99,0)</f>
        <v>980</v>
      </c>
      <c r="C117" s="90">
        <f>VLOOKUP(A117,'Data Vlaue (Cr)'!C112:CY323,101,0)</f>
        <v>93</v>
      </c>
      <c r="D117" s="139">
        <f>VLOOKUP(A117,'Data Vlaue (Cr)'!C112:CZ323,102,0)</f>
        <v>0.10489999999999999</v>
      </c>
      <c r="E117" s="91">
        <f>VLOOKUP($A117,'Data Vlaue (Cr)'!$C:$FB,75)</f>
        <v>480</v>
      </c>
      <c r="F117" s="91">
        <f>VLOOKUP($A117,'Data Vlaue (Cr)'!$C:$FB,77)</f>
        <v>31</v>
      </c>
      <c r="G117" s="92">
        <f>VLOOKUP(A117,'Data Vlaue (Cr)'!C112:CB323,78,0)</f>
        <v>6.9199999999999998E-2</v>
      </c>
      <c r="H117" s="91">
        <f>VLOOKUP($A117,'Data Vlaue (Cr)'!$C:$FB,91)</f>
        <v>313</v>
      </c>
      <c r="I117" s="91">
        <f>VLOOKUP($A117,'Data Vlaue (Cr)'!$C:$FB,93)</f>
        <v>53</v>
      </c>
      <c r="J117" s="92">
        <f>VLOOKUP($A117,'Data Vlaue (Cr)'!$C:$FB,94)</f>
        <v>0.2054</v>
      </c>
      <c r="K117" s="91">
        <f>VLOOKUP($A117,'Data Vlaue (Cr)'!$C:$FB,95)</f>
        <v>188</v>
      </c>
      <c r="L117" s="91">
        <f>VLOOKUP($A117,'Data Vlaue (Cr)'!$C:$FB,97)</f>
        <v>9</v>
      </c>
      <c r="M117" s="92">
        <f>VLOOKUP($A117,'Data Vlaue (Cr)'!$C:$FB,98)</f>
        <v>4.8399999999999999E-2</v>
      </c>
      <c r="N117" s="91">
        <f>VLOOKUP($A117,'Data Vlaue (Cr)'!$C:$FB,79)</f>
        <v>442</v>
      </c>
      <c r="O117" s="92">
        <f>VLOOKUP($A117,'Data Vlaue (Cr)'!$C:$FB,82)</f>
        <v>6.5199999999999994E-2</v>
      </c>
    </row>
    <row r="118" spans="1:15" x14ac:dyDescent="0.25">
      <c r="A118" s="97" t="str">
        <f>'Data Vlaue (Cr)'!C113</f>
        <v>LAURUSLABS</v>
      </c>
      <c r="B118" s="142">
        <f>VLOOKUP(A118,'Data Vlaue (Cr)'!C113:CW324,99,0)</f>
        <v>3185</v>
      </c>
      <c r="C118" s="90">
        <f>VLOOKUP(A118,'Data Vlaue (Cr)'!C113:CY324,101,0)</f>
        <v>78</v>
      </c>
      <c r="D118" s="139">
        <f>VLOOKUP(A118,'Data Vlaue (Cr)'!C113:CZ324,102,0)</f>
        <v>2.52E-2</v>
      </c>
      <c r="E118" s="91">
        <f>VLOOKUP($A118,'Data Vlaue (Cr)'!$C:$FB,75)</f>
        <v>2028</v>
      </c>
      <c r="F118" s="91">
        <f>VLOOKUP($A118,'Data Vlaue (Cr)'!$C:$FB,77)</f>
        <v>5</v>
      </c>
      <c r="G118" s="92">
        <f>VLOOKUP(A118,'Data Vlaue (Cr)'!C113:CB324,78,0)</f>
        <v>2.2000000000000001E-3</v>
      </c>
      <c r="H118" s="91">
        <f>VLOOKUP($A118,'Data Vlaue (Cr)'!$C:$FB,91)</f>
        <v>737</v>
      </c>
      <c r="I118" s="91">
        <f>VLOOKUP($A118,'Data Vlaue (Cr)'!$C:$FB,93)</f>
        <v>52</v>
      </c>
      <c r="J118" s="92">
        <f>VLOOKUP($A118,'Data Vlaue (Cr)'!$C:$FB,94)</f>
        <v>7.6300000000000007E-2</v>
      </c>
      <c r="K118" s="91">
        <f>VLOOKUP($A118,'Data Vlaue (Cr)'!$C:$FB,95)</f>
        <v>420</v>
      </c>
      <c r="L118" s="91">
        <f>VLOOKUP($A118,'Data Vlaue (Cr)'!$C:$FB,97)</f>
        <v>22</v>
      </c>
      <c r="M118" s="92">
        <f>VLOOKUP($A118,'Data Vlaue (Cr)'!$C:$FB,98)</f>
        <v>5.3999999999999999E-2</v>
      </c>
      <c r="N118" s="91">
        <f>VLOOKUP($A118,'Data Vlaue (Cr)'!$C:$FB,79)</f>
        <v>1924</v>
      </c>
      <c r="O118" s="92">
        <f>VLOOKUP($A118,'Data Vlaue (Cr)'!$C:$FB,82)</f>
        <v>-5.7000000000000002E-3</v>
      </c>
    </row>
    <row r="119" spans="1:15" x14ac:dyDescent="0.25">
      <c r="A119" s="97" t="str">
        <f>'Data Vlaue (Cr)'!C114</f>
        <v>LICHSGFIN</v>
      </c>
      <c r="B119" s="142">
        <f>VLOOKUP(A119,'Data Vlaue (Cr)'!C114:CW325,99,0)</f>
        <v>2314</v>
      </c>
      <c r="C119" s="90">
        <f>VLOOKUP(A119,'Data Vlaue (Cr)'!C114:CY325,101,0)</f>
        <v>23</v>
      </c>
      <c r="D119" s="139">
        <f>VLOOKUP(A119,'Data Vlaue (Cr)'!C114:CZ325,102,0)</f>
        <v>1.0200000000000001E-2</v>
      </c>
      <c r="E119" s="91">
        <f>VLOOKUP($A119,'Data Vlaue (Cr)'!$C:$FB,75)</f>
        <v>1679</v>
      </c>
      <c r="F119" s="91">
        <f>VLOOKUP($A119,'Data Vlaue (Cr)'!$C:$FB,77)</f>
        <v>17</v>
      </c>
      <c r="G119" s="92">
        <f>VLOOKUP(A119,'Data Vlaue (Cr)'!C114:CB325,78,0)</f>
        <v>1.0500000000000001E-2</v>
      </c>
      <c r="H119" s="91">
        <f>VLOOKUP($A119,'Data Vlaue (Cr)'!$C:$FB,91)</f>
        <v>332</v>
      </c>
      <c r="I119" s="91">
        <f>VLOOKUP($A119,'Data Vlaue (Cr)'!$C:$FB,93)</f>
        <v>0</v>
      </c>
      <c r="J119" s="92">
        <f>VLOOKUP($A119,'Data Vlaue (Cr)'!$C:$FB,94)</f>
        <v>8.9999999999999998E-4</v>
      </c>
      <c r="K119" s="91">
        <f>VLOOKUP($A119,'Data Vlaue (Cr)'!$C:$FB,95)</f>
        <v>303</v>
      </c>
      <c r="L119" s="91">
        <f>VLOOKUP($A119,'Data Vlaue (Cr)'!$C:$FB,97)</f>
        <v>6</v>
      </c>
      <c r="M119" s="92">
        <f>VLOOKUP($A119,'Data Vlaue (Cr)'!$C:$FB,98)</f>
        <v>1.8700000000000001E-2</v>
      </c>
      <c r="N119" s="91">
        <f>VLOOKUP($A119,'Data Vlaue (Cr)'!$C:$FB,79)</f>
        <v>1461</v>
      </c>
      <c r="O119" s="92">
        <f>VLOOKUP($A119,'Data Vlaue (Cr)'!$C:$FB,82)</f>
        <v>0</v>
      </c>
    </row>
    <row r="120" spans="1:15" x14ac:dyDescent="0.25">
      <c r="A120" s="97" t="str">
        <f>'Data Vlaue (Cr)'!C115</f>
        <v>LICI</v>
      </c>
      <c r="B120" s="142">
        <f>VLOOKUP(A120,'Data Vlaue (Cr)'!C115:CW326,99,0)</f>
        <v>1483</v>
      </c>
      <c r="C120" s="90">
        <f>VLOOKUP(A120,'Data Vlaue (Cr)'!C115:CY326,101,0)</f>
        <v>24</v>
      </c>
      <c r="D120" s="139">
        <f>VLOOKUP(A120,'Data Vlaue (Cr)'!C115:CZ326,102,0)</f>
        <v>1.67E-2</v>
      </c>
      <c r="E120" s="91">
        <f>VLOOKUP($A120,'Data Vlaue (Cr)'!$C:$FB,75)</f>
        <v>857</v>
      </c>
      <c r="F120" s="91">
        <f>VLOOKUP($A120,'Data Vlaue (Cr)'!$C:$FB,77)</f>
        <v>-6</v>
      </c>
      <c r="G120" s="92">
        <f>VLOOKUP(A120,'Data Vlaue (Cr)'!C115:CB326,78,0)</f>
        <v>-6.7999999999999996E-3</v>
      </c>
      <c r="H120" s="91">
        <f>VLOOKUP($A120,'Data Vlaue (Cr)'!$C:$FB,91)</f>
        <v>424</v>
      </c>
      <c r="I120" s="91">
        <f>VLOOKUP($A120,'Data Vlaue (Cr)'!$C:$FB,93)</f>
        <v>28</v>
      </c>
      <c r="J120" s="92">
        <f>VLOOKUP($A120,'Data Vlaue (Cr)'!$C:$FB,94)</f>
        <v>6.9599999999999995E-2</v>
      </c>
      <c r="K120" s="91">
        <f>VLOOKUP($A120,'Data Vlaue (Cr)'!$C:$FB,95)</f>
        <v>201</v>
      </c>
      <c r="L120" s="91">
        <f>VLOOKUP($A120,'Data Vlaue (Cr)'!$C:$FB,97)</f>
        <v>3</v>
      </c>
      <c r="M120" s="92">
        <f>VLOOKUP($A120,'Data Vlaue (Cr)'!$C:$FB,98)</f>
        <v>1.26E-2</v>
      </c>
      <c r="N120" s="91">
        <f>VLOOKUP($A120,'Data Vlaue (Cr)'!$C:$FB,79)</f>
        <v>791</v>
      </c>
      <c r="O120" s="92">
        <f>VLOOKUP($A120,'Data Vlaue (Cr)'!$C:$FB,82)</f>
        <v>-1.1900000000000001E-2</v>
      </c>
    </row>
    <row r="121" spans="1:15" x14ac:dyDescent="0.25">
      <c r="A121" s="97" t="str">
        <f>'Data Vlaue (Cr)'!C116</f>
        <v>LODHA</v>
      </c>
      <c r="B121" s="142">
        <f>VLOOKUP(A121,'Data Vlaue (Cr)'!C116:CW327,99,0)</f>
        <v>1282</v>
      </c>
      <c r="C121" s="90">
        <f>VLOOKUP(A121,'Data Vlaue (Cr)'!C116:CY327,101,0)</f>
        <v>108</v>
      </c>
      <c r="D121" s="139">
        <f>VLOOKUP(A121,'Data Vlaue (Cr)'!C116:CZ327,102,0)</f>
        <v>9.1800000000000007E-2</v>
      </c>
      <c r="E121" s="91">
        <f>VLOOKUP($A121,'Data Vlaue (Cr)'!$C:$FB,75)</f>
        <v>881</v>
      </c>
      <c r="F121" s="91">
        <f>VLOOKUP($A121,'Data Vlaue (Cr)'!$C:$FB,77)</f>
        <v>45</v>
      </c>
      <c r="G121" s="92">
        <f>VLOOKUP(A121,'Data Vlaue (Cr)'!C116:CB327,78,0)</f>
        <v>5.3900000000000003E-2</v>
      </c>
      <c r="H121" s="91">
        <f>VLOOKUP($A121,'Data Vlaue (Cr)'!$C:$FB,91)</f>
        <v>184</v>
      </c>
      <c r="I121" s="91">
        <f>VLOOKUP($A121,'Data Vlaue (Cr)'!$C:$FB,93)</f>
        <v>23</v>
      </c>
      <c r="J121" s="92">
        <f>VLOOKUP($A121,'Data Vlaue (Cr)'!$C:$FB,94)</f>
        <v>0.13969999999999999</v>
      </c>
      <c r="K121" s="91">
        <f>VLOOKUP($A121,'Data Vlaue (Cr)'!$C:$FB,95)</f>
        <v>218</v>
      </c>
      <c r="L121" s="91">
        <f>VLOOKUP($A121,'Data Vlaue (Cr)'!$C:$FB,97)</f>
        <v>40</v>
      </c>
      <c r="M121" s="92">
        <f>VLOOKUP($A121,'Data Vlaue (Cr)'!$C:$FB,98)</f>
        <v>0.22639999999999999</v>
      </c>
      <c r="N121" s="91">
        <f>VLOOKUP($A121,'Data Vlaue (Cr)'!$C:$FB,79)</f>
        <v>861</v>
      </c>
      <c r="O121" s="92">
        <f>VLOOKUP($A121,'Data Vlaue (Cr)'!$C:$FB,82)</f>
        <v>5.3100000000000001E-2</v>
      </c>
    </row>
    <row r="122" spans="1:15" x14ac:dyDescent="0.25">
      <c r="A122" s="97" t="str">
        <f>'Data Vlaue (Cr)'!C117</f>
        <v>LT</v>
      </c>
      <c r="B122" s="142">
        <f>VLOOKUP(A122,'Data Vlaue (Cr)'!C117:CW328,99,0)</f>
        <v>12132</v>
      </c>
      <c r="C122" s="90">
        <f>VLOOKUP(A122,'Data Vlaue (Cr)'!C117:CY328,101,0)</f>
        <v>547</v>
      </c>
      <c r="D122" s="139">
        <f>VLOOKUP(A122,'Data Vlaue (Cr)'!C117:CZ328,102,0)</f>
        <v>4.7199999999999999E-2</v>
      </c>
      <c r="E122" s="91">
        <f>VLOOKUP($A122,'Data Vlaue (Cr)'!$C:$FB,75)</f>
        <v>5489</v>
      </c>
      <c r="F122" s="91">
        <f>VLOOKUP($A122,'Data Vlaue (Cr)'!$C:$FB,77)</f>
        <v>-48</v>
      </c>
      <c r="G122" s="92">
        <f>VLOOKUP(A122,'Data Vlaue (Cr)'!C117:CB328,78,0)</f>
        <v>-8.6999999999999994E-3</v>
      </c>
      <c r="H122" s="91">
        <f>VLOOKUP($A122,'Data Vlaue (Cr)'!$C:$FB,91)</f>
        <v>4135</v>
      </c>
      <c r="I122" s="91">
        <f>VLOOKUP($A122,'Data Vlaue (Cr)'!$C:$FB,93)</f>
        <v>179</v>
      </c>
      <c r="J122" s="92">
        <f>VLOOKUP($A122,'Data Vlaue (Cr)'!$C:$FB,94)</f>
        <v>4.5199999999999997E-2</v>
      </c>
      <c r="K122" s="91">
        <f>VLOOKUP($A122,'Data Vlaue (Cr)'!$C:$FB,95)</f>
        <v>2508</v>
      </c>
      <c r="L122" s="91">
        <f>VLOOKUP($A122,'Data Vlaue (Cr)'!$C:$FB,97)</f>
        <v>416</v>
      </c>
      <c r="M122" s="92">
        <f>VLOOKUP($A122,'Data Vlaue (Cr)'!$C:$FB,98)</f>
        <v>0.19900000000000001</v>
      </c>
      <c r="N122" s="91">
        <f>VLOOKUP($A122,'Data Vlaue (Cr)'!$C:$FB,79)</f>
        <v>5326</v>
      </c>
      <c r="O122" s="92">
        <f>VLOOKUP($A122,'Data Vlaue (Cr)'!$C:$FB,82)</f>
        <v>-9.9000000000000008E-3</v>
      </c>
    </row>
    <row r="123" spans="1:15" x14ac:dyDescent="0.25">
      <c r="A123" s="97" t="str">
        <f>'Data Vlaue (Cr)'!C118</f>
        <v>LTF</v>
      </c>
      <c r="B123" s="142">
        <f>VLOOKUP(A123,'Data Vlaue (Cr)'!C118:CW329,99,0)</f>
        <v>3247</v>
      </c>
      <c r="C123" s="90">
        <f>VLOOKUP(A123,'Data Vlaue (Cr)'!C118:CY329,101,0)</f>
        <v>-46</v>
      </c>
      <c r="D123" s="139">
        <f>VLOOKUP(A123,'Data Vlaue (Cr)'!C118:CZ329,102,0)</f>
        <v>-1.41E-2</v>
      </c>
      <c r="E123" s="91">
        <f>VLOOKUP($A123,'Data Vlaue (Cr)'!$C:$FB,75)</f>
        <v>1646</v>
      </c>
      <c r="F123" s="91">
        <f>VLOOKUP($A123,'Data Vlaue (Cr)'!$C:$FB,77)</f>
        <v>-16</v>
      </c>
      <c r="G123" s="92">
        <f>VLOOKUP(A123,'Data Vlaue (Cr)'!C118:CB329,78,0)</f>
        <v>-9.7999999999999997E-3</v>
      </c>
      <c r="H123" s="91">
        <f>VLOOKUP($A123,'Data Vlaue (Cr)'!$C:$FB,91)</f>
        <v>1041</v>
      </c>
      <c r="I123" s="91">
        <f>VLOOKUP($A123,'Data Vlaue (Cr)'!$C:$FB,93)</f>
        <v>-14</v>
      </c>
      <c r="J123" s="92">
        <f>VLOOKUP($A123,'Data Vlaue (Cr)'!$C:$FB,94)</f>
        <v>-1.35E-2</v>
      </c>
      <c r="K123" s="91">
        <f>VLOOKUP($A123,'Data Vlaue (Cr)'!$C:$FB,95)</f>
        <v>560</v>
      </c>
      <c r="L123" s="91">
        <f>VLOOKUP($A123,'Data Vlaue (Cr)'!$C:$FB,97)</f>
        <v>-16</v>
      </c>
      <c r="M123" s="92">
        <f>VLOOKUP($A123,'Data Vlaue (Cr)'!$C:$FB,98)</f>
        <v>-2.75E-2</v>
      </c>
      <c r="N123" s="91">
        <f>VLOOKUP($A123,'Data Vlaue (Cr)'!$C:$FB,79)</f>
        <v>1549</v>
      </c>
      <c r="O123" s="92">
        <f>VLOOKUP($A123,'Data Vlaue (Cr)'!$C:$FB,82)</f>
        <v>-1.78E-2</v>
      </c>
    </row>
    <row r="124" spans="1:15" x14ac:dyDescent="0.25">
      <c r="A124" s="97" t="str">
        <f>'Data Vlaue (Cr)'!C119</f>
        <v>LTM</v>
      </c>
      <c r="B124" s="142">
        <f>VLOOKUP(A124,'Data Vlaue (Cr)'!C119:CW330,99,0)</f>
        <v>2305</v>
      </c>
      <c r="C124" s="90">
        <f>VLOOKUP(A124,'Data Vlaue (Cr)'!C119:CY330,101,0)</f>
        <v>126</v>
      </c>
      <c r="D124" s="139">
        <f>VLOOKUP(A124,'Data Vlaue (Cr)'!C119:CZ330,102,0)</f>
        <v>5.7700000000000001E-2</v>
      </c>
      <c r="E124" s="91">
        <f>VLOOKUP($A124,'Data Vlaue (Cr)'!$C:$FB,75)</f>
        <v>1413</v>
      </c>
      <c r="F124" s="91">
        <f>VLOOKUP($A124,'Data Vlaue (Cr)'!$C:$FB,77)</f>
        <v>20</v>
      </c>
      <c r="G124" s="92">
        <f>VLOOKUP(A124,'Data Vlaue (Cr)'!C119:CB330,78,0)</f>
        <v>1.4200000000000001E-2</v>
      </c>
      <c r="H124" s="91">
        <f>VLOOKUP($A124,'Data Vlaue (Cr)'!$C:$FB,91)</f>
        <v>551</v>
      </c>
      <c r="I124" s="91">
        <f>VLOOKUP($A124,'Data Vlaue (Cr)'!$C:$FB,93)</f>
        <v>71</v>
      </c>
      <c r="J124" s="92">
        <f>VLOOKUP($A124,'Data Vlaue (Cr)'!$C:$FB,94)</f>
        <v>0.1484</v>
      </c>
      <c r="K124" s="91">
        <f>VLOOKUP($A124,'Data Vlaue (Cr)'!$C:$FB,95)</f>
        <v>342</v>
      </c>
      <c r="L124" s="91">
        <f>VLOOKUP($A124,'Data Vlaue (Cr)'!$C:$FB,97)</f>
        <v>35</v>
      </c>
      <c r="M124" s="92">
        <f>VLOOKUP($A124,'Data Vlaue (Cr)'!$C:$FB,98)</f>
        <v>0.1129</v>
      </c>
      <c r="N124" s="91">
        <f>VLOOKUP($A124,'Data Vlaue (Cr)'!$C:$FB,79)</f>
        <v>1378</v>
      </c>
      <c r="O124" s="92">
        <f>VLOOKUP($A124,'Data Vlaue (Cr)'!$C:$FB,82)</f>
        <v>1.2699999999999999E-2</v>
      </c>
    </row>
    <row r="125" spans="1:15" x14ac:dyDescent="0.25">
      <c r="A125" s="97" t="str">
        <f>'Data Vlaue (Cr)'!C120</f>
        <v>LUPIN</v>
      </c>
      <c r="B125" s="142">
        <f>VLOOKUP(A125,'Data Vlaue (Cr)'!C120:CW331,99,0)</f>
        <v>2671</v>
      </c>
      <c r="C125" s="90">
        <f>VLOOKUP(A125,'Data Vlaue (Cr)'!C120:CY331,101,0)</f>
        <v>72</v>
      </c>
      <c r="D125" s="139">
        <f>VLOOKUP(A125,'Data Vlaue (Cr)'!C120:CZ331,102,0)</f>
        <v>2.7799999999999998E-2</v>
      </c>
      <c r="E125" s="91">
        <f>VLOOKUP($A125,'Data Vlaue (Cr)'!$C:$FB,75)</f>
        <v>1733</v>
      </c>
      <c r="F125" s="91">
        <f>VLOOKUP($A125,'Data Vlaue (Cr)'!$C:$FB,77)</f>
        <v>-1</v>
      </c>
      <c r="G125" s="92">
        <f>VLOOKUP(A125,'Data Vlaue (Cr)'!C120:CB331,78,0)</f>
        <v>-6.9999999999999999E-4</v>
      </c>
      <c r="H125" s="91">
        <f>VLOOKUP($A125,'Data Vlaue (Cr)'!$C:$FB,91)</f>
        <v>552</v>
      </c>
      <c r="I125" s="91">
        <f>VLOOKUP($A125,'Data Vlaue (Cr)'!$C:$FB,93)</f>
        <v>56</v>
      </c>
      <c r="J125" s="92">
        <f>VLOOKUP($A125,'Data Vlaue (Cr)'!$C:$FB,94)</f>
        <v>0.1135</v>
      </c>
      <c r="K125" s="91">
        <f>VLOOKUP($A125,'Data Vlaue (Cr)'!$C:$FB,95)</f>
        <v>386</v>
      </c>
      <c r="L125" s="91">
        <f>VLOOKUP($A125,'Data Vlaue (Cr)'!$C:$FB,97)</f>
        <v>17</v>
      </c>
      <c r="M125" s="92">
        <f>VLOOKUP($A125,'Data Vlaue (Cr)'!$C:$FB,98)</f>
        <v>4.6800000000000001E-2</v>
      </c>
      <c r="N125" s="91">
        <f>VLOOKUP($A125,'Data Vlaue (Cr)'!$C:$FB,79)</f>
        <v>1693</v>
      </c>
      <c r="O125" s="92">
        <f>VLOOKUP($A125,'Data Vlaue (Cr)'!$C:$FB,82)</f>
        <v>-5.5999999999999999E-3</v>
      </c>
    </row>
    <row r="126" spans="1:15" x14ac:dyDescent="0.25">
      <c r="A126" s="97" t="str">
        <f>'Data Vlaue (Cr)'!C121</f>
        <v>M&amp;M</v>
      </c>
      <c r="B126" s="142">
        <f>VLOOKUP(A126,'Data Vlaue (Cr)'!C121:CW332,99,0)</f>
        <v>8701</v>
      </c>
      <c r="C126" s="90">
        <f>VLOOKUP(A126,'Data Vlaue (Cr)'!C121:CY332,101,0)</f>
        <v>-189</v>
      </c>
      <c r="D126" s="139">
        <f>VLOOKUP(A126,'Data Vlaue (Cr)'!C121:CZ332,102,0)</f>
        <v>-2.1299999999999999E-2</v>
      </c>
      <c r="E126" s="91">
        <f>VLOOKUP($A126,'Data Vlaue (Cr)'!$C:$FB,75)</f>
        <v>6028</v>
      </c>
      <c r="F126" s="91">
        <f>VLOOKUP($A126,'Data Vlaue (Cr)'!$C:$FB,77)</f>
        <v>-167</v>
      </c>
      <c r="G126" s="92">
        <f>VLOOKUP(A126,'Data Vlaue (Cr)'!C121:CB332,78,0)</f>
        <v>-2.7E-2</v>
      </c>
      <c r="H126" s="91">
        <f>VLOOKUP($A126,'Data Vlaue (Cr)'!$C:$FB,91)</f>
        <v>1627</v>
      </c>
      <c r="I126" s="91">
        <f>VLOOKUP($A126,'Data Vlaue (Cr)'!$C:$FB,93)</f>
        <v>-15</v>
      </c>
      <c r="J126" s="92">
        <f>VLOOKUP($A126,'Data Vlaue (Cr)'!$C:$FB,94)</f>
        <v>-9.2999999999999992E-3</v>
      </c>
      <c r="K126" s="91">
        <f>VLOOKUP($A126,'Data Vlaue (Cr)'!$C:$FB,95)</f>
        <v>1046</v>
      </c>
      <c r="L126" s="91">
        <f>VLOOKUP($A126,'Data Vlaue (Cr)'!$C:$FB,97)</f>
        <v>-7</v>
      </c>
      <c r="M126" s="92">
        <f>VLOOKUP($A126,'Data Vlaue (Cr)'!$C:$FB,98)</f>
        <v>-6.1999999999999998E-3</v>
      </c>
      <c r="N126" s="91">
        <f>VLOOKUP($A126,'Data Vlaue (Cr)'!$C:$FB,79)</f>
        <v>5910</v>
      </c>
      <c r="O126" s="92">
        <f>VLOOKUP($A126,'Data Vlaue (Cr)'!$C:$FB,82)</f>
        <v>-2.7300000000000001E-2</v>
      </c>
    </row>
    <row r="127" spans="1:15" x14ac:dyDescent="0.25">
      <c r="A127" s="97" t="str">
        <f>'Data Vlaue (Cr)'!C122</f>
        <v>MANAPPURAM</v>
      </c>
      <c r="B127" s="142">
        <f>VLOOKUP(A127,'Data Vlaue (Cr)'!C122:CW333,99,0)</f>
        <v>2236</v>
      </c>
      <c r="C127" s="90">
        <f>VLOOKUP(A127,'Data Vlaue (Cr)'!C122:CY333,101,0)</f>
        <v>102</v>
      </c>
      <c r="D127" s="139">
        <f>VLOOKUP(A127,'Data Vlaue (Cr)'!C122:CZ333,102,0)</f>
        <v>4.7699999999999999E-2</v>
      </c>
      <c r="E127" s="91">
        <f>VLOOKUP($A127,'Data Vlaue (Cr)'!$C:$FB,75)</f>
        <v>1380</v>
      </c>
      <c r="F127" s="91">
        <f>VLOOKUP($A127,'Data Vlaue (Cr)'!$C:$FB,77)</f>
        <v>40</v>
      </c>
      <c r="G127" s="92">
        <f>VLOOKUP(A127,'Data Vlaue (Cr)'!C122:CB333,78,0)</f>
        <v>2.98E-2</v>
      </c>
      <c r="H127" s="91">
        <f>VLOOKUP($A127,'Data Vlaue (Cr)'!$C:$FB,91)</f>
        <v>483</v>
      </c>
      <c r="I127" s="91">
        <f>VLOOKUP($A127,'Data Vlaue (Cr)'!$C:$FB,93)</f>
        <v>34</v>
      </c>
      <c r="J127" s="92">
        <f>VLOOKUP($A127,'Data Vlaue (Cr)'!$C:$FB,94)</f>
        <v>7.6700000000000004E-2</v>
      </c>
      <c r="K127" s="91">
        <f>VLOOKUP($A127,'Data Vlaue (Cr)'!$C:$FB,95)</f>
        <v>373</v>
      </c>
      <c r="L127" s="91">
        <f>VLOOKUP($A127,'Data Vlaue (Cr)'!$C:$FB,97)</f>
        <v>27</v>
      </c>
      <c r="M127" s="92">
        <f>VLOOKUP($A127,'Data Vlaue (Cr)'!$C:$FB,98)</f>
        <v>7.9000000000000001E-2</v>
      </c>
      <c r="N127" s="91">
        <f>VLOOKUP($A127,'Data Vlaue (Cr)'!$C:$FB,79)</f>
        <v>1362</v>
      </c>
      <c r="O127" s="92">
        <f>VLOOKUP($A127,'Data Vlaue (Cr)'!$C:$FB,82)</f>
        <v>2.7699999999999999E-2</v>
      </c>
    </row>
    <row r="128" spans="1:15" x14ac:dyDescent="0.25">
      <c r="A128" s="97" t="str">
        <f>'Data Vlaue (Cr)'!C123</f>
        <v>MANKIND</v>
      </c>
      <c r="B128" s="142">
        <f>VLOOKUP(A128,'Data Vlaue (Cr)'!C123:CW334,99,0)</f>
        <v>919</v>
      </c>
      <c r="C128" s="90">
        <f>VLOOKUP(A128,'Data Vlaue (Cr)'!C123:CY334,101,0)</f>
        <v>7</v>
      </c>
      <c r="D128" s="139">
        <f>VLOOKUP(A128,'Data Vlaue (Cr)'!C123:CZ334,102,0)</f>
        <v>7.7000000000000002E-3</v>
      </c>
      <c r="E128" s="91">
        <f>VLOOKUP($A128,'Data Vlaue (Cr)'!$C:$FB,75)</f>
        <v>599</v>
      </c>
      <c r="F128" s="91">
        <f>VLOOKUP($A128,'Data Vlaue (Cr)'!$C:$FB,77)</f>
        <v>-4</v>
      </c>
      <c r="G128" s="92">
        <f>VLOOKUP(A128,'Data Vlaue (Cr)'!C123:CB334,78,0)</f>
        <v>-6.7000000000000002E-3</v>
      </c>
      <c r="H128" s="91">
        <f>VLOOKUP($A128,'Data Vlaue (Cr)'!$C:$FB,91)</f>
        <v>201</v>
      </c>
      <c r="I128" s="91">
        <f>VLOOKUP($A128,'Data Vlaue (Cr)'!$C:$FB,93)</f>
        <v>14</v>
      </c>
      <c r="J128" s="92">
        <f>VLOOKUP($A128,'Data Vlaue (Cr)'!$C:$FB,94)</f>
        <v>7.4899999999999994E-2</v>
      </c>
      <c r="K128" s="91">
        <f>VLOOKUP($A128,'Data Vlaue (Cr)'!$C:$FB,95)</f>
        <v>119</v>
      </c>
      <c r="L128" s="91">
        <f>VLOOKUP($A128,'Data Vlaue (Cr)'!$C:$FB,97)</f>
        <v>-3</v>
      </c>
      <c r="M128" s="92">
        <f>VLOOKUP($A128,'Data Vlaue (Cr)'!$C:$FB,98)</f>
        <v>-2.4299999999999999E-2</v>
      </c>
      <c r="N128" s="91">
        <f>VLOOKUP($A128,'Data Vlaue (Cr)'!$C:$FB,79)</f>
        <v>588</v>
      </c>
      <c r="O128" s="92">
        <f>VLOOKUP($A128,'Data Vlaue (Cr)'!$C:$FB,82)</f>
        <v>-7.7000000000000002E-3</v>
      </c>
    </row>
    <row r="129" spans="1:15" x14ac:dyDescent="0.25">
      <c r="A129" s="97" t="str">
        <f>'Data Vlaue (Cr)'!C124</f>
        <v>MARICO</v>
      </c>
      <c r="B129" s="142">
        <f>VLOOKUP(A129,'Data Vlaue (Cr)'!C124:CW335,99,0)</f>
        <v>2620</v>
      </c>
      <c r="C129" s="90">
        <f>VLOOKUP(A129,'Data Vlaue (Cr)'!C124:CY335,101,0)</f>
        <v>0</v>
      </c>
      <c r="D129" s="139">
        <f>VLOOKUP(A129,'Data Vlaue (Cr)'!C124:CZ335,102,0)</f>
        <v>0</v>
      </c>
      <c r="E129" s="91">
        <f>VLOOKUP($A129,'Data Vlaue (Cr)'!$C:$FB,75)</f>
        <v>2091</v>
      </c>
      <c r="F129" s="91">
        <f>VLOOKUP($A129,'Data Vlaue (Cr)'!$C:$FB,77)</f>
        <v>-15</v>
      </c>
      <c r="G129" s="92">
        <f>VLOOKUP(A129,'Data Vlaue (Cr)'!C124:CB335,78,0)</f>
        <v>-7.0000000000000001E-3</v>
      </c>
      <c r="H129" s="91">
        <f>VLOOKUP($A129,'Data Vlaue (Cr)'!$C:$FB,91)</f>
        <v>361</v>
      </c>
      <c r="I129" s="91">
        <f>VLOOKUP($A129,'Data Vlaue (Cr)'!$C:$FB,93)</f>
        <v>9</v>
      </c>
      <c r="J129" s="92">
        <f>VLOOKUP($A129,'Data Vlaue (Cr)'!$C:$FB,94)</f>
        <v>2.6599999999999999E-2</v>
      </c>
      <c r="K129" s="91">
        <f>VLOOKUP($A129,'Data Vlaue (Cr)'!$C:$FB,95)</f>
        <v>167</v>
      </c>
      <c r="L129" s="91">
        <f>VLOOKUP($A129,'Data Vlaue (Cr)'!$C:$FB,97)</f>
        <v>5</v>
      </c>
      <c r="M129" s="92">
        <f>VLOOKUP($A129,'Data Vlaue (Cr)'!$C:$FB,98)</f>
        <v>3.2399999999999998E-2</v>
      </c>
      <c r="N129" s="91">
        <f>VLOOKUP($A129,'Data Vlaue (Cr)'!$C:$FB,79)</f>
        <v>2086</v>
      </c>
      <c r="O129" s="92">
        <f>VLOOKUP($A129,'Data Vlaue (Cr)'!$C:$FB,82)</f>
        <v>-6.6E-3</v>
      </c>
    </row>
    <row r="130" spans="1:15" x14ac:dyDescent="0.25">
      <c r="A130" s="97" t="str">
        <f>'Data Vlaue (Cr)'!C125</f>
        <v>MARUTI</v>
      </c>
      <c r="B130" s="142">
        <f>VLOOKUP(A130,'Data Vlaue (Cr)'!C125:CW336,99,0)</f>
        <v>7633</v>
      </c>
      <c r="C130" s="90">
        <f>VLOOKUP(A130,'Data Vlaue (Cr)'!C125:CY336,101,0)</f>
        <v>70</v>
      </c>
      <c r="D130" s="139">
        <f>VLOOKUP(A130,'Data Vlaue (Cr)'!C125:CZ336,102,0)</f>
        <v>9.1999999999999998E-3</v>
      </c>
      <c r="E130" s="91">
        <f>VLOOKUP($A130,'Data Vlaue (Cr)'!$C:$FB,75)</f>
        <v>4060</v>
      </c>
      <c r="F130" s="91">
        <f>VLOOKUP($A130,'Data Vlaue (Cr)'!$C:$FB,77)</f>
        <v>-27</v>
      </c>
      <c r="G130" s="92">
        <f>VLOOKUP(A130,'Data Vlaue (Cr)'!C125:CB336,78,0)</f>
        <v>-6.4999999999999997E-3</v>
      </c>
      <c r="H130" s="91">
        <f>VLOOKUP($A130,'Data Vlaue (Cr)'!$C:$FB,91)</f>
        <v>2372</v>
      </c>
      <c r="I130" s="91">
        <f>VLOOKUP($A130,'Data Vlaue (Cr)'!$C:$FB,93)</f>
        <v>75</v>
      </c>
      <c r="J130" s="92">
        <f>VLOOKUP($A130,'Data Vlaue (Cr)'!$C:$FB,94)</f>
        <v>3.2800000000000003E-2</v>
      </c>
      <c r="K130" s="91">
        <f>VLOOKUP($A130,'Data Vlaue (Cr)'!$C:$FB,95)</f>
        <v>1201</v>
      </c>
      <c r="L130" s="91">
        <f>VLOOKUP($A130,'Data Vlaue (Cr)'!$C:$FB,97)</f>
        <v>21</v>
      </c>
      <c r="M130" s="92">
        <f>VLOOKUP($A130,'Data Vlaue (Cr)'!$C:$FB,98)</f>
        <v>1.78E-2</v>
      </c>
      <c r="N130" s="91">
        <f>VLOOKUP($A130,'Data Vlaue (Cr)'!$C:$FB,79)</f>
        <v>3993</v>
      </c>
      <c r="O130" s="92">
        <f>VLOOKUP($A130,'Data Vlaue (Cr)'!$C:$FB,82)</f>
        <v>-7.9000000000000008E-3</v>
      </c>
    </row>
    <row r="131" spans="1:15" x14ac:dyDescent="0.25">
      <c r="A131" s="97" t="str">
        <f>'Data Vlaue (Cr)'!C126</f>
        <v>MAXHEALTH</v>
      </c>
      <c r="B131" s="142">
        <f>VLOOKUP(A131,'Data Vlaue (Cr)'!C126:CW337,99,0)</f>
        <v>1869</v>
      </c>
      <c r="C131" s="90">
        <f>VLOOKUP(A131,'Data Vlaue (Cr)'!C126:CY337,101,0)</f>
        <v>73</v>
      </c>
      <c r="D131" s="139">
        <f>VLOOKUP(A131,'Data Vlaue (Cr)'!C126:CZ337,102,0)</f>
        <v>4.07E-2</v>
      </c>
      <c r="E131" s="91">
        <f>VLOOKUP($A131,'Data Vlaue (Cr)'!$C:$FB,75)</f>
        <v>1426</v>
      </c>
      <c r="F131" s="91">
        <f>VLOOKUP($A131,'Data Vlaue (Cr)'!$C:$FB,77)</f>
        <v>11</v>
      </c>
      <c r="G131" s="92">
        <f>VLOOKUP(A131,'Data Vlaue (Cr)'!C126:CB337,78,0)</f>
        <v>7.9000000000000008E-3</v>
      </c>
      <c r="H131" s="91">
        <f>VLOOKUP($A131,'Data Vlaue (Cr)'!$C:$FB,91)</f>
        <v>248</v>
      </c>
      <c r="I131" s="91">
        <f>VLOOKUP($A131,'Data Vlaue (Cr)'!$C:$FB,93)</f>
        <v>34</v>
      </c>
      <c r="J131" s="92">
        <f>VLOOKUP($A131,'Data Vlaue (Cr)'!$C:$FB,94)</f>
        <v>0.15920000000000001</v>
      </c>
      <c r="K131" s="91">
        <f>VLOOKUP($A131,'Data Vlaue (Cr)'!$C:$FB,95)</f>
        <v>196</v>
      </c>
      <c r="L131" s="91">
        <f>VLOOKUP($A131,'Data Vlaue (Cr)'!$C:$FB,97)</f>
        <v>28</v>
      </c>
      <c r="M131" s="92">
        <f>VLOOKUP($A131,'Data Vlaue (Cr)'!$C:$FB,98)</f>
        <v>0.1663</v>
      </c>
      <c r="N131" s="91">
        <f>VLOOKUP($A131,'Data Vlaue (Cr)'!$C:$FB,79)</f>
        <v>1409</v>
      </c>
      <c r="O131" s="92">
        <f>VLOOKUP($A131,'Data Vlaue (Cr)'!$C:$FB,82)</f>
        <v>7.1000000000000004E-3</v>
      </c>
    </row>
    <row r="132" spans="1:15" x14ac:dyDescent="0.25">
      <c r="A132" s="97" t="str">
        <f>'Data Vlaue (Cr)'!C127</f>
        <v>MAZDOCK</v>
      </c>
      <c r="B132" s="142">
        <f>VLOOKUP(A132,'Data Vlaue (Cr)'!C127:CW338,99,0)</f>
        <v>2158</v>
      </c>
      <c r="C132" s="90">
        <f>VLOOKUP(A132,'Data Vlaue (Cr)'!C127:CY338,101,0)</f>
        <v>399</v>
      </c>
      <c r="D132" s="139">
        <f>VLOOKUP(A132,'Data Vlaue (Cr)'!C127:CZ338,102,0)</f>
        <v>0.22639999999999999</v>
      </c>
      <c r="E132" s="91">
        <f>VLOOKUP($A132,'Data Vlaue (Cr)'!$C:$FB,75)</f>
        <v>1020</v>
      </c>
      <c r="F132" s="91">
        <f>VLOOKUP($A132,'Data Vlaue (Cr)'!$C:$FB,77)</f>
        <v>-13</v>
      </c>
      <c r="G132" s="92">
        <f>VLOOKUP(A132,'Data Vlaue (Cr)'!C127:CB338,78,0)</f>
        <v>-1.21E-2</v>
      </c>
      <c r="H132" s="91">
        <f>VLOOKUP($A132,'Data Vlaue (Cr)'!$C:$FB,91)</f>
        <v>744</v>
      </c>
      <c r="I132" s="91">
        <f>VLOOKUP($A132,'Data Vlaue (Cr)'!$C:$FB,93)</f>
        <v>293</v>
      </c>
      <c r="J132" s="92">
        <f>VLOOKUP($A132,'Data Vlaue (Cr)'!$C:$FB,94)</f>
        <v>0.6502</v>
      </c>
      <c r="K132" s="91">
        <f>VLOOKUP($A132,'Data Vlaue (Cr)'!$C:$FB,95)</f>
        <v>395</v>
      </c>
      <c r="L132" s="91">
        <f>VLOOKUP($A132,'Data Vlaue (Cr)'!$C:$FB,97)</f>
        <v>118</v>
      </c>
      <c r="M132" s="92">
        <f>VLOOKUP($A132,'Data Vlaue (Cr)'!$C:$FB,98)</f>
        <v>0.4259</v>
      </c>
      <c r="N132" s="91">
        <f>VLOOKUP($A132,'Data Vlaue (Cr)'!$C:$FB,79)</f>
        <v>964</v>
      </c>
      <c r="O132" s="92">
        <f>VLOOKUP($A132,'Data Vlaue (Cr)'!$C:$FB,82)</f>
        <v>-1.35E-2</v>
      </c>
    </row>
    <row r="133" spans="1:15" x14ac:dyDescent="0.25">
      <c r="A133" s="97" t="str">
        <f>'Data Vlaue (Cr)'!C128</f>
        <v>MCX</v>
      </c>
      <c r="B133" s="142">
        <f>VLOOKUP(A133,'Data Vlaue (Cr)'!C128:CW339,99,0)</f>
        <v>6220</v>
      </c>
      <c r="C133" s="90">
        <f>VLOOKUP(A133,'Data Vlaue (Cr)'!C128:CY339,101,0)</f>
        <v>-91</v>
      </c>
      <c r="D133" s="139">
        <f>VLOOKUP(A133,'Data Vlaue (Cr)'!C128:CZ339,102,0)</f>
        <v>-1.44E-2</v>
      </c>
      <c r="E133" s="91">
        <f>VLOOKUP($A133,'Data Vlaue (Cr)'!$C:$FB,75)</f>
        <v>3218</v>
      </c>
      <c r="F133" s="91">
        <f>VLOOKUP($A133,'Data Vlaue (Cr)'!$C:$FB,77)</f>
        <v>-51</v>
      </c>
      <c r="G133" s="92">
        <f>VLOOKUP(A133,'Data Vlaue (Cr)'!C128:CB339,78,0)</f>
        <v>-1.5699999999999999E-2</v>
      </c>
      <c r="H133" s="91">
        <f>VLOOKUP($A133,'Data Vlaue (Cr)'!$C:$FB,91)</f>
        <v>1685</v>
      </c>
      <c r="I133" s="91">
        <f>VLOOKUP($A133,'Data Vlaue (Cr)'!$C:$FB,93)</f>
        <v>-74</v>
      </c>
      <c r="J133" s="92">
        <f>VLOOKUP($A133,'Data Vlaue (Cr)'!$C:$FB,94)</f>
        <v>-4.2200000000000001E-2</v>
      </c>
      <c r="K133" s="91">
        <f>VLOOKUP($A133,'Data Vlaue (Cr)'!$C:$FB,95)</f>
        <v>1317</v>
      </c>
      <c r="L133" s="91">
        <f>VLOOKUP($A133,'Data Vlaue (Cr)'!$C:$FB,97)</f>
        <v>35</v>
      </c>
      <c r="M133" s="92">
        <f>VLOOKUP($A133,'Data Vlaue (Cr)'!$C:$FB,98)</f>
        <v>2.7400000000000001E-2</v>
      </c>
      <c r="N133" s="91">
        <f>VLOOKUP($A133,'Data Vlaue (Cr)'!$C:$FB,79)</f>
        <v>3063</v>
      </c>
      <c r="O133" s="92">
        <f>VLOOKUP($A133,'Data Vlaue (Cr)'!$C:$FB,82)</f>
        <v>-1.52E-2</v>
      </c>
    </row>
    <row r="134" spans="1:15" x14ac:dyDescent="0.25">
      <c r="A134" s="97" t="str">
        <f>'Data Vlaue (Cr)'!C129</f>
        <v>MFSL</v>
      </c>
      <c r="B134" s="142">
        <f>VLOOKUP(A134,'Data Vlaue (Cr)'!C129:CW340,99,0)</f>
        <v>1726</v>
      </c>
      <c r="C134" s="90">
        <f>VLOOKUP(A134,'Data Vlaue (Cr)'!C129:CY340,101,0)</f>
        <v>13</v>
      </c>
      <c r="D134" s="139">
        <f>VLOOKUP(A134,'Data Vlaue (Cr)'!C129:CZ340,102,0)</f>
        <v>7.7999999999999996E-3</v>
      </c>
      <c r="E134" s="91">
        <f>VLOOKUP($A134,'Data Vlaue (Cr)'!$C:$FB,75)</f>
        <v>1514</v>
      </c>
      <c r="F134" s="91">
        <f>VLOOKUP($A134,'Data Vlaue (Cr)'!$C:$FB,77)</f>
        <v>-16</v>
      </c>
      <c r="G134" s="92">
        <f>VLOOKUP(A134,'Data Vlaue (Cr)'!C129:CB340,78,0)</f>
        <v>-1.03E-2</v>
      </c>
      <c r="H134" s="91">
        <f>VLOOKUP($A134,'Data Vlaue (Cr)'!$C:$FB,91)</f>
        <v>124</v>
      </c>
      <c r="I134" s="91">
        <f>VLOOKUP($A134,'Data Vlaue (Cr)'!$C:$FB,93)</f>
        <v>24</v>
      </c>
      <c r="J134" s="92">
        <f>VLOOKUP($A134,'Data Vlaue (Cr)'!$C:$FB,94)</f>
        <v>0.24590000000000001</v>
      </c>
      <c r="K134" s="91">
        <f>VLOOKUP($A134,'Data Vlaue (Cr)'!$C:$FB,95)</f>
        <v>88</v>
      </c>
      <c r="L134" s="91">
        <f>VLOOKUP($A134,'Data Vlaue (Cr)'!$C:$FB,97)</f>
        <v>5</v>
      </c>
      <c r="M134" s="92">
        <f>VLOOKUP($A134,'Data Vlaue (Cr)'!$C:$FB,98)</f>
        <v>5.6500000000000002E-2</v>
      </c>
      <c r="N134" s="91">
        <f>VLOOKUP($A134,'Data Vlaue (Cr)'!$C:$FB,79)</f>
        <v>1509</v>
      </c>
      <c r="O134" s="92">
        <f>VLOOKUP($A134,'Data Vlaue (Cr)'!$C:$FB,82)</f>
        <v>-1.06E-2</v>
      </c>
    </row>
    <row r="135" spans="1:15" x14ac:dyDescent="0.25">
      <c r="A135" s="97" t="str">
        <f>'Data Vlaue (Cr)'!C130</f>
        <v>MIDCPNIFTY</v>
      </c>
      <c r="B135" s="142">
        <f>VLOOKUP(A135,'Data Vlaue (Cr)'!C130:CW341,99,0)</f>
        <v>18020</v>
      </c>
      <c r="C135" s="90">
        <f>VLOOKUP(A135,'Data Vlaue (Cr)'!C130:CY341,101,0)</f>
        <v>601</v>
      </c>
      <c r="D135" s="139">
        <f>VLOOKUP(A135,'Data Vlaue (Cr)'!C130:CZ341,102,0)</f>
        <v>3.4500000000000003E-2</v>
      </c>
      <c r="E135" s="91">
        <f>VLOOKUP($A135,'Data Vlaue (Cr)'!$C:$FB,75)</f>
        <v>3400</v>
      </c>
      <c r="F135" s="91">
        <f>VLOOKUP($A135,'Data Vlaue (Cr)'!$C:$FB,77)</f>
        <v>-30</v>
      </c>
      <c r="G135" s="92">
        <f>VLOOKUP(A135,'Data Vlaue (Cr)'!C130:CB341,78,0)</f>
        <v>-8.8999999999999999E-3</v>
      </c>
      <c r="H135" s="91">
        <f>VLOOKUP($A135,'Data Vlaue (Cr)'!$C:$FB,91)</f>
        <v>7421</v>
      </c>
      <c r="I135" s="91">
        <f>VLOOKUP($A135,'Data Vlaue (Cr)'!$C:$FB,93)</f>
        <v>246</v>
      </c>
      <c r="J135" s="92">
        <f>VLOOKUP($A135,'Data Vlaue (Cr)'!$C:$FB,94)</f>
        <v>3.4299999999999997E-2</v>
      </c>
      <c r="K135" s="91">
        <f>VLOOKUP($A135,'Data Vlaue (Cr)'!$C:$FB,95)</f>
        <v>7199</v>
      </c>
      <c r="L135" s="91">
        <f>VLOOKUP($A135,'Data Vlaue (Cr)'!$C:$FB,97)</f>
        <v>385</v>
      </c>
      <c r="M135" s="92">
        <f>VLOOKUP($A135,'Data Vlaue (Cr)'!$C:$FB,98)</f>
        <v>5.6500000000000002E-2</v>
      </c>
      <c r="N135" s="91">
        <f>VLOOKUP($A135,'Data Vlaue (Cr)'!$C:$FB,79)</f>
        <v>3292</v>
      </c>
      <c r="O135" s="92">
        <f>VLOOKUP($A135,'Data Vlaue (Cr)'!$C:$FB,82)</f>
        <v>-1.0500000000000001E-2</v>
      </c>
    </row>
    <row r="136" spans="1:15" x14ac:dyDescent="0.25">
      <c r="A136" s="97" t="str">
        <f>'Data Vlaue (Cr)'!C131</f>
        <v>MOTHERSON</v>
      </c>
      <c r="B136" s="142">
        <f>VLOOKUP(A136,'Data Vlaue (Cr)'!C131:CW342,99,0)</f>
        <v>2633</v>
      </c>
      <c r="C136" s="90">
        <f>VLOOKUP(A136,'Data Vlaue (Cr)'!C131:CY342,101,0)</f>
        <v>10</v>
      </c>
      <c r="D136" s="139">
        <f>VLOOKUP(A136,'Data Vlaue (Cr)'!C131:CZ342,102,0)</f>
        <v>3.7000000000000002E-3</v>
      </c>
      <c r="E136" s="91">
        <f>VLOOKUP($A136,'Data Vlaue (Cr)'!$C:$FB,75)</f>
        <v>1764</v>
      </c>
      <c r="F136" s="91">
        <f>VLOOKUP($A136,'Data Vlaue (Cr)'!$C:$FB,77)</f>
        <v>-47</v>
      </c>
      <c r="G136" s="92">
        <f>VLOOKUP(A136,'Data Vlaue (Cr)'!C131:CB342,78,0)</f>
        <v>-2.6200000000000001E-2</v>
      </c>
      <c r="H136" s="91">
        <f>VLOOKUP($A136,'Data Vlaue (Cr)'!$C:$FB,91)</f>
        <v>532</v>
      </c>
      <c r="I136" s="91">
        <f>VLOOKUP($A136,'Data Vlaue (Cr)'!$C:$FB,93)</f>
        <v>36</v>
      </c>
      <c r="J136" s="92">
        <f>VLOOKUP($A136,'Data Vlaue (Cr)'!$C:$FB,94)</f>
        <v>7.2700000000000001E-2</v>
      </c>
      <c r="K136" s="91">
        <f>VLOOKUP($A136,'Data Vlaue (Cr)'!$C:$FB,95)</f>
        <v>337</v>
      </c>
      <c r="L136" s="91">
        <f>VLOOKUP($A136,'Data Vlaue (Cr)'!$C:$FB,97)</f>
        <v>21</v>
      </c>
      <c r="M136" s="92">
        <f>VLOOKUP($A136,'Data Vlaue (Cr)'!$C:$FB,98)</f>
        <v>6.6699999999999995E-2</v>
      </c>
      <c r="N136" s="91">
        <f>VLOOKUP($A136,'Data Vlaue (Cr)'!$C:$FB,79)</f>
        <v>1727</v>
      </c>
      <c r="O136" s="92">
        <f>VLOOKUP($A136,'Data Vlaue (Cr)'!$C:$FB,82)</f>
        <v>-2.87E-2</v>
      </c>
    </row>
    <row r="137" spans="1:15" x14ac:dyDescent="0.25">
      <c r="A137" s="97" t="str">
        <f>'Data Vlaue (Cr)'!C132</f>
        <v>MPHASIS</v>
      </c>
      <c r="B137" s="142">
        <f>VLOOKUP(A137,'Data Vlaue (Cr)'!C132:CW343,99,0)</f>
        <v>1613</v>
      </c>
      <c r="C137" s="90">
        <f>VLOOKUP(A137,'Data Vlaue (Cr)'!C132:CY343,101,0)</f>
        <v>52</v>
      </c>
      <c r="D137" s="139">
        <f>VLOOKUP(A137,'Data Vlaue (Cr)'!C132:CZ343,102,0)</f>
        <v>3.3399999999999999E-2</v>
      </c>
      <c r="E137" s="91">
        <f>VLOOKUP($A137,'Data Vlaue (Cr)'!$C:$FB,75)</f>
        <v>1222</v>
      </c>
      <c r="F137" s="91">
        <f>VLOOKUP($A137,'Data Vlaue (Cr)'!$C:$FB,77)</f>
        <v>47</v>
      </c>
      <c r="G137" s="92">
        <f>VLOOKUP(A137,'Data Vlaue (Cr)'!C132:CB343,78,0)</f>
        <v>0.04</v>
      </c>
      <c r="H137" s="91">
        <f>VLOOKUP($A137,'Data Vlaue (Cr)'!$C:$FB,91)</f>
        <v>247</v>
      </c>
      <c r="I137" s="91">
        <f>VLOOKUP($A137,'Data Vlaue (Cr)'!$C:$FB,93)</f>
        <v>16</v>
      </c>
      <c r="J137" s="92">
        <f>VLOOKUP($A137,'Data Vlaue (Cr)'!$C:$FB,94)</f>
        <v>6.8099999999999994E-2</v>
      </c>
      <c r="K137" s="91">
        <f>VLOOKUP($A137,'Data Vlaue (Cr)'!$C:$FB,95)</f>
        <v>144</v>
      </c>
      <c r="L137" s="91">
        <f>VLOOKUP($A137,'Data Vlaue (Cr)'!$C:$FB,97)</f>
        <v>-11</v>
      </c>
      <c r="M137" s="92">
        <f>VLOOKUP($A137,'Data Vlaue (Cr)'!$C:$FB,98)</f>
        <v>-6.9500000000000006E-2</v>
      </c>
      <c r="N137" s="91">
        <f>VLOOKUP($A137,'Data Vlaue (Cr)'!$C:$FB,79)</f>
        <v>1201</v>
      </c>
      <c r="O137" s="92">
        <f>VLOOKUP($A137,'Data Vlaue (Cr)'!$C:$FB,82)</f>
        <v>3.8800000000000001E-2</v>
      </c>
    </row>
    <row r="138" spans="1:15" x14ac:dyDescent="0.25">
      <c r="A138" s="97" t="str">
        <f>'Data Vlaue (Cr)'!C133</f>
        <v>MUTHOOTFIN</v>
      </c>
      <c r="B138" s="142">
        <f>VLOOKUP(A138,'Data Vlaue (Cr)'!C133:CW344,99,0)</f>
        <v>3309</v>
      </c>
      <c r="C138" s="90">
        <f>VLOOKUP(A138,'Data Vlaue (Cr)'!C133:CY344,101,0)</f>
        <v>82</v>
      </c>
      <c r="D138" s="139">
        <f>VLOOKUP(A138,'Data Vlaue (Cr)'!C133:CZ344,102,0)</f>
        <v>2.5399999999999999E-2</v>
      </c>
      <c r="E138" s="91">
        <f>VLOOKUP($A138,'Data Vlaue (Cr)'!$C:$FB,75)</f>
        <v>1416</v>
      </c>
      <c r="F138" s="91">
        <f>VLOOKUP($A138,'Data Vlaue (Cr)'!$C:$FB,77)</f>
        <v>-38</v>
      </c>
      <c r="G138" s="92">
        <f>VLOOKUP(A138,'Data Vlaue (Cr)'!C133:CB344,78,0)</f>
        <v>-2.6200000000000001E-2</v>
      </c>
      <c r="H138" s="91">
        <f>VLOOKUP($A138,'Data Vlaue (Cr)'!$C:$FB,91)</f>
        <v>1314</v>
      </c>
      <c r="I138" s="91">
        <f>VLOOKUP($A138,'Data Vlaue (Cr)'!$C:$FB,93)</f>
        <v>87</v>
      </c>
      <c r="J138" s="92">
        <f>VLOOKUP($A138,'Data Vlaue (Cr)'!$C:$FB,94)</f>
        <v>7.1099999999999997E-2</v>
      </c>
      <c r="K138" s="91">
        <f>VLOOKUP($A138,'Data Vlaue (Cr)'!$C:$FB,95)</f>
        <v>579</v>
      </c>
      <c r="L138" s="91">
        <f>VLOOKUP($A138,'Data Vlaue (Cr)'!$C:$FB,97)</f>
        <v>33</v>
      </c>
      <c r="M138" s="92">
        <f>VLOOKUP($A138,'Data Vlaue (Cr)'!$C:$FB,98)</f>
        <v>0.06</v>
      </c>
      <c r="N138" s="91">
        <f>VLOOKUP($A138,'Data Vlaue (Cr)'!$C:$FB,79)</f>
        <v>1361</v>
      </c>
      <c r="O138" s="92">
        <f>VLOOKUP($A138,'Data Vlaue (Cr)'!$C:$FB,82)</f>
        <v>-2.98E-2</v>
      </c>
    </row>
    <row r="139" spans="1:15" x14ac:dyDescent="0.25">
      <c r="A139" s="97" t="str">
        <f>'Data Vlaue (Cr)'!C134</f>
        <v>NATIONALUM</v>
      </c>
      <c r="B139" s="142">
        <f>VLOOKUP(A139,'Data Vlaue (Cr)'!C134:CW345,99,0)</f>
        <v>4708</v>
      </c>
      <c r="C139" s="90">
        <f>VLOOKUP(A139,'Data Vlaue (Cr)'!C134:CY345,101,0)</f>
        <v>519</v>
      </c>
      <c r="D139" s="139">
        <f>VLOOKUP(A139,'Data Vlaue (Cr)'!C134:CZ345,102,0)</f>
        <v>0.1239</v>
      </c>
      <c r="E139" s="91">
        <f>VLOOKUP($A139,'Data Vlaue (Cr)'!$C:$FB,75)</f>
        <v>2345</v>
      </c>
      <c r="F139" s="91">
        <f>VLOOKUP($A139,'Data Vlaue (Cr)'!$C:$FB,77)</f>
        <v>51</v>
      </c>
      <c r="G139" s="92">
        <f>VLOOKUP(A139,'Data Vlaue (Cr)'!C134:CB345,78,0)</f>
        <v>2.1999999999999999E-2</v>
      </c>
      <c r="H139" s="91">
        <f>VLOOKUP($A139,'Data Vlaue (Cr)'!$C:$FB,91)</f>
        <v>1303</v>
      </c>
      <c r="I139" s="91">
        <f>VLOOKUP($A139,'Data Vlaue (Cr)'!$C:$FB,93)</f>
        <v>274</v>
      </c>
      <c r="J139" s="92">
        <f>VLOOKUP($A139,'Data Vlaue (Cr)'!$C:$FB,94)</f>
        <v>0.26669999999999999</v>
      </c>
      <c r="K139" s="91">
        <f>VLOOKUP($A139,'Data Vlaue (Cr)'!$C:$FB,95)</f>
        <v>1060</v>
      </c>
      <c r="L139" s="91">
        <f>VLOOKUP($A139,'Data Vlaue (Cr)'!$C:$FB,97)</f>
        <v>194</v>
      </c>
      <c r="M139" s="92">
        <f>VLOOKUP($A139,'Data Vlaue (Cr)'!$C:$FB,98)</f>
        <v>0.22439999999999999</v>
      </c>
      <c r="N139" s="91">
        <f>VLOOKUP($A139,'Data Vlaue (Cr)'!$C:$FB,79)</f>
        <v>1922</v>
      </c>
      <c r="O139" s="92">
        <f>VLOOKUP($A139,'Data Vlaue (Cr)'!$C:$FB,82)</f>
        <v>-5.9200000000000003E-2</v>
      </c>
    </row>
    <row r="140" spans="1:15" x14ac:dyDescent="0.25">
      <c r="A140" s="97" t="str">
        <f>'Data Vlaue (Cr)'!C135</f>
        <v>NAUKRI</v>
      </c>
      <c r="B140" s="142">
        <f>VLOOKUP(A140,'Data Vlaue (Cr)'!C135:CW346,99,0)</f>
        <v>1562</v>
      </c>
      <c r="C140" s="90">
        <f>VLOOKUP(A140,'Data Vlaue (Cr)'!C135:CY346,101,0)</f>
        <v>-17</v>
      </c>
      <c r="D140" s="139">
        <f>VLOOKUP(A140,'Data Vlaue (Cr)'!C135:CZ346,102,0)</f>
        <v>-1.0500000000000001E-2</v>
      </c>
      <c r="E140" s="91">
        <f>VLOOKUP($A140,'Data Vlaue (Cr)'!$C:$FB,75)</f>
        <v>1140</v>
      </c>
      <c r="F140" s="91">
        <f>VLOOKUP($A140,'Data Vlaue (Cr)'!$C:$FB,77)</f>
        <v>-23</v>
      </c>
      <c r="G140" s="92">
        <f>VLOOKUP(A140,'Data Vlaue (Cr)'!C135:CB346,78,0)</f>
        <v>-1.9699999999999999E-2</v>
      </c>
      <c r="H140" s="91">
        <f>VLOOKUP($A140,'Data Vlaue (Cr)'!$C:$FB,91)</f>
        <v>282</v>
      </c>
      <c r="I140" s="91">
        <f>VLOOKUP($A140,'Data Vlaue (Cr)'!$C:$FB,93)</f>
        <v>5</v>
      </c>
      <c r="J140" s="92">
        <f>VLOOKUP($A140,'Data Vlaue (Cr)'!$C:$FB,94)</f>
        <v>1.72E-2</v>
      </c>
      <c r="K140" s="91">
        <f>VLOOKUP($A140,'Data Vlaue (Cr)'!$C:$FB,95)</f>
        <v>140</v>
      </c>
      <c r="L140" s="91">
        <f>VLOOKUP($A140,'Data Vlaue (Cr)'!$C:$FB,97)</f>
        <v>2</v>
      </c>
      <c r="M140" s="92">
        <f>VLOOKUP($A140,'Data Vlaue (Cr)'!$C:$FB,98)</f>
        <v>1.1299999999999999E-2</v>
      </c>
      <c r="N140" s="91">
        <f>VLOOKUP($A140,'Data Vlaue (Cr)'!$C:$FB,79)</f>
        <v>1120</v>
      </c>
      <c r="O140" s="92">
        <f>VLOOKUP($A140,'Data Vlaue (Cr)'!$C:$FB,82)</f>
        <v>-1.95E-2</v>
      </c>
    </row>
    <row r="141" spans="1:15" x14ac:dyDescent="0.25">
      <c r="A141" s="97" t="str">
        <f>'Data Vlaue (Cr)'!C136</f>
        <v>NBCC</v>
      </c>
      <c r="B141" s="142">
        <f>VLOOKUP(A141,'Data Vlaue (Cr)'!C136:CW347,99,0)</f>
        <v>1215</v>
      </c>
      <c r="C141" s="90">
        <f>VLOOKUP(A141,'Data Vlaue (Cr)'!C136:CY347,101,0)</f>
        <v>25</v>
      </c>
      <c r="D141" s="139">
        <f>VLOOKUP(A141,'Data Vlaue (Cr)'!C136:CZ347,102,0)</f>
        <v>2.12E-2</v>
      </c>
      <c r="E141" s="91">
        <f>VLOOKUP($A141,'Data Vlaue (Cr)'!$C:$FB,75)</f>
        <v>777</v>
      </c>
      <c r="F141" s="91">
        <f>VLOOKUP($A141,'Data Vlaue (Cr)'!$C:$FB,77)</f>
        <v>0</v>
      </c>
      <c r="G141" s="92">
        <f>VLOOKUP(A141,'Data Vlaue (Cr)'!C136:CB347,78,0)</f>
        <v>-1E-4</v>
      </c>
      <c r="H141" s="91">
        <f>VLOOKUP($A141,'Data Vlaue (Cr)'!$C:$FB,91)</f>
        <v>277</v>
      </c>
      <c r="I141" s="91">
        <f>VLOOKUP($A141,'Data Vlaue (Cr)'!$C:$FB,93)</f>
        <v>20</v>
      </c>
      <c r="J141" s="92">
        <f>VLOOKUP($A141,'Data Vlaue (Cr)'!$C:$FB,94)</f>
        <v>7.6799999999999993E-2</v>
      </c>
      <c r="K141" s="91">
        <f>VLOOKUP($A141,'Data Vlaue (Cr)'!$C:$FB,95)</f>
        <v>161</v>
      </c>
      <c r="L141" s="91">
        <f>VLOOKUP($A141,'Data Vlaue (Cr)'!$C:$FB,97)</f>
        <v>5</v>
      </c>
      <c r="M141" s="92">
        <f>VLOOKUP($A141,'Data Vlaue (Cr)'!$C:$FB,98)</f>
        <v>3.49E-2</v>
      </c>
      <c r="N141" s="91">
        <f>VLOOKUP($A141,'Data Vlaue (Cr)'!$C:$FB,79)</f>
        <v>750</v>
      </c>
      <c r="O141" s="92">
        <f>VLOOKUP($A141,'Data Vlaue (Cr)'!$C:$FB,82)</f>
        <v>-2.5000000000000001E-3</v>
      </c>
    </row>
    <row r="142" spans="1:15" x14ac:dyDescent="0.25">
      <c r="A142" s="97" t="str">
        <f>'Data Vlaue (Cr)'!C137</f>
        <v>NESTLEIND</v>
      </c>
      <c r="B142" s="142">
        <f>VLOOKUP(A142,'Data Vlaue (Cr)'!C137:CW348,99,0)</f>
        <v>2581</v>
      </c>
      <c r="C142" s="90">
        <f>VLOOKUP(A142,'Data Vlaue (Cr)'!C137:CY348,101,0)</f>
        <v>28</v>
      </c>
      <c r="D142" s="139">
        <f>VLOOKUP(A142,'Data Vlaue (Cr)'!C137:CZ348,102,0)</f>
        <v>1.11E-2</v>
      </c>
      <c r="E142" s="91">
        <f>VLOOKUP($A142,'Data Vlaue (Cr)'!$C:$FB,75)</f>
        <v>2060</v>
      </c>
      <c r="F142" s="91">
        <f>VLOOKUP($A142,'Data Vlaue (Cr)'!$C:$FB,77)</f>
        <v>-15</v>
      </c>
      <c r="G142" s="92">
        <f>VLOOKUP(A142,'Data Vlaue (Cr)'!C137:CB348,78,0)</f>
        <v>-7.1999999999999998E-3</v>
      </c>
      <c r="H142" s="91">
        <f>VLOOKUP($A142,'Data Vlaue (Cr)'!$C:$FB,91)</f>
        <v>339</v>
      </c>
      <c r="I142" s="91">
        <f>VLOOKUP($A142,'Data Vlaue (Cr)'!$C:$FB,93)</f>
        <v>21</v>
      </c>
      <c r="J142" s="92">
        <f>VLOOKUP($A142,'Data Vlaue (Cr)'!$C:$FB,94)</f>
        <v>6.6000000000000003E-2</v>
      </c>
      <c r="K142" s="91">
        <f>VLOOKUP($A142,'Data Vlaue (Cr)'!$C:$FB,95)</f>
        <v>182</v>
      </c>
      <c r="L142" s="91">
        <f>VLOOKUP($A142,'Data Vlaue (Cr)'!$C:$FB,97)</f>
        <v>22</v>
      </c>
      <c r="M142" s="92">
        <f>VLOOKUP($A142,'Data Vlaue (Cr)'!$C:$FB,98)</f>
        <v>0.13980000000000001</v>
      </c>
      <c r="N142" s="91">
        <f>VLOOKUP($A142,'Data Vlaue (Cr)'!$C:$FB,79)</f>
        <v>2042</v>
      </c>
      <c r="O142" s="92">
        <f>VLOOKUP($A142,'Data Vlaue (Cr)'!$C:$FB,82)</f>
        <v>-7.7000000000000002E-3</v>
      </c>
    </row>
    <row r="143" spans="1:15" x14ac:dyDescent="0.25">
      <c r="A143" s="97" t="str">
        <f>'Data Vlaue (Cr)'!C138</f>
        <v>NHPC</v>
      </c>
      <c r="B143" s="142">
        <f>VLOOKUP(A143,'Data Vlaue (Cr)'!C138:CW349,99,0)</f>
        <v>957</v>
      </c>
      <c r="C143" s="90">
        <f>VLOOKUP(A143,'Data Vlaue (Cr)'!C138:CY349,101,0)</f>
        <v>2</v>
      </c>
      <c r="D143" s="139">
        <f>VLOOKUP(A143,'Data Vlaue (Cr)'!C138:CZ349,102,0)</f>
        <v>2E-3</v>
      </c>
      <c r="E143" s="91">
        <f>VLOOKUP($A143,'Data Vlaue (Cr)'!$C:$FB,75)</f>
        <v>553</v>
      </c>
      <c r="F143" s="91">
        <f>VLOOKUP($A143,'Data Vlaue (Cr)'!$C:$FB,77)</f>
        <v>9</v>
      </c>
      <c r="G143" s="92">
        <f>VLOOKUP(A143,'Data Vlaue (Cr)'!C138:CB349,78,0)</f>
        <v>1.72E-2</v>
      </c>
      <c r="H143" s="91">
        <f>VLOOKUP($A143,'Data Vlaue (Cr)'!$C:$FB,91)</f>
        <v>252</v>
      </c>
      <c r="I143" s="91">
        <f>VLOOKUP($A143,'Data Vlaue (Cr)'!$C:$FB,93)</f>
        <v>-10</v>
      </c>
      <c r="J143" s="92">
        <f>VLOOKUP($A143,'Data Vlaue (Cr)'!$C:$FB,94)</f>
        <v>-3.9399999999999998E-2</v>
      </c>
      <c r="K143" s="91">
        <f>VLOOKUP($A143,'Data Vlaue (Cr)'!$C:$FB,95)</f>
        <v>152</v>
      </c>
      <c r="L143" s="91">
        <f>VLOOKUP($A143,'Data Vlaue (Cr)'!$C:$FB,97)</f>
        <v>3</v>
      </c>
      <c r="M143" s="92">
        <f>VLOOKUP($A143,'Data Vlaue (Cr)'!$C:$FB,98)</f>
        <v>1.95E-2</v>
      </c>
      <c r="N143" s="91">
        <f>VLOOKUP($A143,'Data Vlaue (Cr)'!$C:$FB,79)</f>
        <v>532</v>
      </c>
      <c r="O143" s="92">
        <f>VLOOKUP($A143,'Data Vlaue (Cr)'!$C:$FB,82)</f>
        <v>1.7999999999999999E-2</v>
      </c>
    </row>
    <row r="144" spans="1:15" x14ac:dyDescent="0.25">
      <c r="A144" s="97" t="str">
        <f>'Data Vlaue (Cr)'!C139</f>
        <v>NIFTY</v>
      </c>
      <c r="B144" s="142">
        <f>VLOOKUP(A144,'Data Vlaue (Cr)'!C139:CW350,99,0)</f>
        <v>1055609</v>
      </c>
      <c r="C144" s="90">
        <f>VLOOKUP(A144,'Data Vlaue (Cr)'!C139:CY350,101,0)</f>
        <v>143421</v>
      </c>
      <c r="D144" s="139">
        <f>VLOOKUP(A144,'Data Vlaue (Cr)'!C139:CZ350,102,0)</f>
        <v>0.15720000000000001</v>
      </c>
      <c r="E144" s="91">
        <f>VLOOKUP($A144,'Data Vlaue (Cr)'!$C:$FB,75)</f>
        <v>44413</v>
      </c>
      <c r="F144" s="91">
        <f>VLOOKUP($A144,'Data Vlaue (Cr)'!$C:$FB,77)</f>
        <v>-174</v>
      </c>
      <c r="G144" s="92">
        <f>VLOOKUP(A144,'Data Vlaue (Cr)'!C139:CB350,78,0)</f>
        <v>-3.8999999999999998E-3</v>
      </c>
      <c r="H144" s="91">
        <f>VLOOKUP($A144,'Data Vlaue (Cr)'!$C:$FB,91)</f>
        <v>501858</v>
      </c>
      <c r="I144" s="91">
        <f>VLOOKUP($A144,'Data Vlaue (Cr)'!$C:$FB,93)</f>
        <v>57145</v>
      </c>
      <c r="J144" s="92">
        <f>VLOOKUP($A144,'Data Vlaue (Cr)'!$C:$FB,94)</f>
        <v>0.1285</v>
      </c>
      <c r="K144" s="91">
        <f>VLOOKUP($A144,'Data Vlaue (Cr)'!$C:$FB,95)</f>
        <v>509338</v>
      </c>
      <c r="L144" s="91">
        <f>VLOOKUP($A144,'Data Vlaue (Cr)'!$C:$FB,97)</f>
        <v>86450</v>
      </c>
      <c r="M144" s="92">
        <f>VLOOKUP($A144,'Data Vlaue (Cr)'!$C:$FB,98)</f>
        <v>0.2044</v>
      </c>
      <c r="N144" s="91">
        <f>VLOOKUP($A144,'Data Vlaue (Cr)'!$C:$FB,79)</f>
        <v>38437</v>
      </c>
      <c r="O144" s="92">
        <f>VLOOKUP($A144,'Data Vlaue (Cr)'!$C:$FB,82)</f>
        <v>-1.47E-2</v>
      </c>
    </row>
    <row r="145" spans="1:15" x14ac:dyDescent="0.25">
      <c r="A145" s="97" t="str">
        <f>'Data Vlaue (Cr)'!C140</f>
        <v>NIFTYNXT50</v>
      </c>
      <c r="B145" s="142">
        <f>VLOOKUP(A145,'Data Vlaue (Cr)'!C140:CW351,99,0)</f>
        <v>187</v>
      </c>
      <c r="C145" s="90">
        <f>VLOOKUP(A145,'Data Vlaue (Cr)'!C140:CY351,101,0)</f>
        <v>9</v>
      </c>
      <c r="D145" s="139">
        <f>VLOOKUP(A145,'Data Vlaue (Cr)'!C140:CZ351,102,0)</f>
        <v>5.16E-2</v>
      </c>
      <c r="E145" s="91">
        <f>VLOOKUP($A145,'Data Vlaue (Cr)'!$C:$FB,75)</f>
        <v>118</v>
      </c>
      <c r="F145" s="91">
        <f>VLOOKUP($A145,'Data Vlaue (Cr)'!$C:$FB,77)</f>
        <v>-7</v>
      </c>
      <c r="G145" s="92">
        <f>VLOOKUP(A145,'Data Vlaue (Cr)'!C140:CB351,78,0)</f>
        <v>-5.45E-2</v>
      </c>
      <c r="H145" s="91">
        <f>VLOOKUP($A145,'Data Vlaue (Cr)'!$C:$FB,91)</f>
        <v>50</v>
      </c>
      <c r="I145" s="91">
        <f>VLOOKUP($A145,'Data Vlaue (Cr)'!$C:$FB,93)</f>
        <v>8</v>
      </c>
      <c r="J145" s="92">
        <f>VLOOKUP($A145,'Data Vlaue (Cr)'!$C:$FB,94)</f>
        <v>0.19670000000000001</v>
      </c>
      <c r="K145" s="91">
        <f>VLOOKUP($A145,'Data Vlaue (Cr)'!$C:$FB,95)</f>
        <v>19</v>
      </c>
      <c r="L145" s="91">
        <f>VLOOKUP($A145,'Data Vlaue (Cr)'!$C:$FB,97)</f>
        <v>8</v>
      </c>
      <c r="M145" s="92">
        <f>VLOOKUP($A145,'Data Vlaue (Cr)'!$C:$FB,98)</f>
        <v>0.67649999999999999</v>
      </c>
      <c r="N145" s="91">
        <f>VLOOKUP($A145,'Data Vlaue (Cr)'!$C:$FB,79)</f>
        <v>106</v>
      </c>
      <c r="O145" s="92">
        <f>VLOOKUP($A145,'Data Vlaue (Cr)'!$C:$FB,82)</f>
        <v>-6.4500000000000002E-2</v>
      </c>
    </row>
    <row r="146" spans="1:15" x14ac:dyDescent="0.25">
      <c r="A146" s="97" t="str">
        <f>'Data Vlaue (Cr)'!C141</f>
        <v>NMDC</v>
      </c>
      <c r="B146" s="142">
        <f>VLOOKUP(A146,'Data Vlaue (Cr)'!C141:CW352,99,0)</f>
        <v>3645</v>
      </c>
      <c r="C146" s="90">
        <f>VLOOKUP(A146,'Data Vlaue (Cr)'!C141:CY352,101,0)</f>
        <v>45</v>
      </c>
      <c r="D146" s="139">
        <f>VLOOKUP(A146,'Data Vlaue (Cr)'!C141:CZ352,102,0)</f>
        <v>1.26E-2</v>
      </c>
      <c r="E146" s="91">
        <f>VLOOKUP($A146,'Data Vlaue (Cr)'!$C:$FB,75)</f>
        <v>2724</v>
      </c>
      <c r="F146" s="91">
        <f>VLOOKUP($A146,'Data Vlaue (Cr)'!$C:$FB,77)</f>
        <v>7</v>
      </c>
      <c r="G146" s="92">
        <f>VLOOKUP(A146,'Data Vlaue (Cr)'!C141:CB352,78,0)</f>
        <v>2.5999999999999999E-3</v>
      </c>
      <c r="H146" s="91">
        <f>VLOOKUP($A146,'Data Vlaue (Cr)'!$C:$FB,91)</f>
        <v>588</v>
      </c>
      <c r="I146" s="91">
        <f>VLOOKUP($A146,'Data Vlaue (Cr)'!$C:$FB,93)</f>
        <v>32</v>
      </c>
      <c r="J146" s="92">
        <f>VLOOKUP($A146,'Data Vlaue (Cr)'!$C:$FB,94)</f>
        <v>5.8400000000000001E-2</v>
      </c>
      <c r="K146" s="91">
        <f>VLOOKUP($A146,'Data Vlaue (Cr)'!$C:$FB,95)</f>
        <v>334</v>
      </c>
      <c r="L146" s="91">
        <f>VLOOKUP($A146,'Data Vlaue (Cr)'!$C:$FB,97)</f>
        <v>6</v>
      </c>
      <c r="M146" s="92">
        <f>VLOOKUP($A146,'Data Vlaue (Cr)'!$C:$FB,98)</f>
        <v>1.7500000000000002E-2</v>
      </c>
      <c r="N146" s="91">
        <f>VLOOKUP($A146,'Data Vlaue (Cr)'!$C:$FB,79)</f>
        <v>2634</v>
      </c>
      <c r="O146" s="92">
        <f>VLOOKUP($A146,'Data Vlaue (Cr)'!$C:$FB,82)</f>
        <v>1.5E-3</v>
      </c>
    </row>
    <row r="147" spans="1:15" x14ac:dyDescent="0.25">
      <c r="A147" s="97" t="str">
        <f>'Data Vlaue (Cr)'!C142</f>
        <v>NTPC</v>
      </c>
      <c r="B147" s="142">
        <f>VLOOKUP(A147,'Data Vlaue (Cr)'!C142:CW353,99,0)</f>
        <v>6829</v>
      </c>
      <c r="C147" s="90">
        <f>VLOOKUP(A147,'Data Vlaue (Cr)'!C142:CY353,101,0)</f>
        <v>304</v>
      </c>
      <c r="D147" s="139">
        <f>VLOOKUP(A147,'Data Vlaue (Cr)'!C142:CZ353,102,0)</f>
        <v>4.6600000000000003E-2</v>
      </c>
      <c r="E147" s="91">
        <f>VLOOKUP($A147,'Data Vlaue (Cr)'!$C:$FB,75)</f>
        <v>3788</v>
      </c>
      <c r="F147" s="91">
        <f>VLOOKUP($A147,'Data Vlaue (Cr)'!$C:$FB,77)</f>
        <v>-5</v>
      </c>
      <c r="G147" s="92">
        <f>VLOOKUP(A147,'Data Vlaue (Cr)'!C142:CB353,78,0)</f>
        <v>-1.1999999999999999E-3</v>
      </c>
      <c r="H147" s="91">
        <f>VLOOKUP($A147,'Data Vlaue (Cr)'!$C:$FB,91)</f>
        <v>2193</v>
      </c>
      <c r="I147" s="91">
        <f>VLOOKUP($A147,'Data Vlaue (Cr)'!$C:$FB,93)</f>
        <v>189</v>
      </c>
      <c r="J147" s="92">
        <f>VLOOKUP($A147,'Data Vlaue (Cr)'!$C:$FB,94)</f>
        <v>9.4600000000000004E-2</v>
      </c>
      <c r="K147" s="91">
        <f>VLOOKUP($A147,'Data Vlaue (Cr)'!$C:$FB,95)</f>
        <v>848</v>
      </c>
      <c r="L147" s="91">
        <f>VLOOKUP($A147,'Data Vlaue (Cr)'!$C:$FB,97)</f>
        <v>119</v>
      </c>
      <c r="M147" s="92">
        <f>VLOOKUP($A147,'Data Vlaue (Cr)'!$C:$FB,98)</f>
        <v>0.1633</v>
      </c>
      <c r="N147" s="91">
        <f>VLOOKUP($A147,'Data Vlaue (Cr)'!$C:$FB,79)</f>
        <v>3727</v>
      </c>
      <c r="O147" s="92">
        <f>VLOOKUP($A147,'Data Vlaue (Cr)'!$C:$FB,82)</f>
        <v>-2.3E-3</v>
      </c>
    </row>
    <row r="148" spans="1:15" x14ac:dyDescent="0.25">
      <c r="A148" s="97" t="str">
        <f>'Data Vlaue (Cr)'!C143</f>
        <v>NUVAMA</v>
      </c>
      <c r="B148" s="142">
        <f>VLOOKUP(A148,'Data Vlaue (Cr)'!C143:CW354,99,0)</f>
        <v>412</v>
      </c>
      <c r="C148" s="90">
        <f>VLOOKUP(A148,'Data Vlaue (Cr)'!C143:CY354,101,0)</f>
        <v>13</v>
      </c>
      <c r="D148" s="139">
        <f>VLOOKUP(A148,'Data Vlaue (Cr)'!C143:CZ354,102,0)</f>
        <v>3.1300000000000001E-2</v>
      </c>
      <c r="E148" s="91">
        <f>VLOOKUP($A148,'Data Vlaue (Cr)'!$C:$FB,75)</f>
        <v>255</v>
      </c>
      <c r="F148" s="91">
        <f>VLOOKUP($A148,'Data Vlaue (Cr)'!$C:$FB,77)</f>
        <v>12</v>
      </c>
      <c r="G148" s="92">
        <f>VLOOKUP(A148,'Data Vlaue (Cr)'!C143:CB354,78,0)</f>
        <v>5.0700000000000002E-2</v>
      </c>
      <c r="H148" s="91">
        <f>VLOOKUP($A148,'Data Vlaue (Cr)'!$C:$FB,91)</f>
        <v>95</v>
      </c>
      <c r="I148" s="91">
        <f>VLOOKUP($A148,'Data Vlaue (Cr)'!$C:$FB,93)</f>
        <v>1</v>
      </c>
      <c r="J148" s="92">
        <f>VLOOKUP($A148,'Data Vlaue (Cr)'!$C:$FB,94)</f>
        <v>7.7999999999999996E-3</v>
      </c>
      <c r="K148" s="91">
        <f>VLOOKUP($A148,'Data Vlaue (Cr)'!$C:$FB,95)</f>
        <v>62</v>
      </c>
      <c r="L148" s="91">
        <f>VLOOKUP($A148,'Data Vlaue (Cr)'!$C:$FB,97)</f>
        <v>-1</v>
      </c>
      <c r="M148" s="92">
        <f>VLOOKUP($A148,'Data Vlaue (Cr)'!$C:$FB,98)</f>
        <v>-8.8999999999999999E-3</v>
      </c>
      <c r="N148" s="91">
        <f>VLOOKUP($A148,'Data Vlaue (Cr)'!$C:$FB,79)</f>
        <v>240</v>
      </c>
      <c r="O148" s="92">
        <f>VLOOKUP($A148,'Data Vlaue (Cr)'!$C:$FB,82)</f>
        <v>3.8100000000000002E-2</v>
      </c>
    </row>
    <row r="149" spans="1:15" x14ac:dyDescent="0.25">
      <c r="A149" s="97" t="str">
        <f>'Data Vlaue (Cr)'!C144</f>
        <v>NYKAA</v>
      </c>
      <c r="B149" s="142">
        <f>VLOOKUP(A149,'Data Vlaue (Cr)'!C144:CW355,99,0)</f>
        <v>1472</v>
      </c>
      <c r="C149" s="90">
        <f>VLOOKUP(A149,'Data Vlaue (Cr)'!C144:CY355,101,0)</f>
        <v>12</v>
      </c>
      <c r="D149" s="139">
        <f>VLOOKUP(A149,'Data Vlaue (Cr)'!C144:CZ355,102,0)</f>
        <v>8.3000000000000001E-3</v>
      </c>
      <c r="E149" s="91">
        <f>VLOOKUP($A149,'Data Vlaue (Cr)'!$C:$FB,75)</f>
        <v>1182</v>
      </c>
      <c r="F149" s="91">
        <f>VLOOKUP($A149,'Data Vlaue (Cr)'!$C:$FB,77)</f>
        <v>-3</v>
      </c>
      <c r="G149" s="92">
        <f>VLOOKUP(A149,'Data Vlaue (Cr)'!C144:CB355,78,0)</f>
        <v>-2.5000000000000001E-3</v>
      </c>
      <c r="H149" s="91">
        <f>VLOOKUP($A149,'Data Vlaue (Cr)'!$C:$FB,91)</f>
        <v>184</v>
      </c>
      <c r="I149" s="91">
        <f>VLOOKUP($A149,'Data Vlaue (Cr)'!$C:$FB,93)</f>
        <v>14</v>
      </c>
      <c r="J149" s="92">
        <f>VLOOKUP($A149,'Data Vlaue (Cr)'!$C:$FB,94)</f>
        <v>8.1500000000000003E-2</v>
      </c>
      <c r="K149" s="91">
        <f>VLOOKUP($A149,'Data Vlaue (Cr)'!$C:$FB,95)</f>
        <v>106</v>
      </c>
      <c r="L149" s="91">
        <f>VLOOKUP($A149,'Data Vlaue (Cr)'!$C:$FB,97)</f>
        <v>1</v>
      </c>
      <c r="M149" s="92">
        <f>VLOOKUP($A149,'Data Vlaue (Cr)'!$C:$FB,98)</f>
        <v>1.09E-2</v>
      </c>
      <c r="N149" s="91">
        <f>VLOOKUP($A149,'Data Vlaue (Cr)'!$C:$FB,79)</f>
        <v>1168</v>
      </c>
      <c r="O149" s="92">
        <f>VLOOKUP($A149,'Data Vlaue (Cr)'!$C:$FB,82)</f>
        <v>-2.8999999999999998E-3</v>
      </c>
    </row>
    <row r="150" spans="1:15" x14ac:dyDescent="0.25">
      <c r="A150" s="97" t="str">
        <f>'Data Vlaue (Cr)'!C145</f>
        <v>OBEROIRLTY</v>
      </c>
      <c r="B150" s="142">
        <f>VLOOKUP(A150,'Data Vlaue (Cr)'!C145:CW356,99,0)</f>
        <v>1254</v>
      </c>
      <c r="C150" s="90">
        <f>VLOOKUP(A150,'Data Vlaue (Cr)'!C145:CY356,101,0)</f>
        <v>22</v>
      </c>
      <c r="D150" s="139">
        <f>VLOOKUP(A150,'Data Vlaue (Cr)'!C145:CZ356,102,0)</f>
        <v>1.78E-2</v>
      </c>
      <c r="E150" s="91">
        <f>VLOOKUP($A150,'Data Vlaue (Cr)'!$C:$FB,75)</f>
        <v>939</v>
      </c>
      <c r="F150" s="91">
        <f>VLOOKUP($A150,'Data Vlaue (Cr)'!$C:$FB,77)</f>
        <v>17</v>
      </c>
      <c r="G150" s="92">
        <f>VLOOKUP(A150,'Data Vlaue (Cr)'!C145:CB356,78,0)</f>
        <v>1.8200000000000001E-2</v>
      </c>
      <c r="H150" s="91">
        <f>VLOOKUP($A150,'Data Vlaue (Cr)'!$C:$FB,91)</f>
        <v>153</v>
      </c>
      <c r="I150" s="91">
        <f>VLOOKUP($A150,'Data Vlaue (Cr)'!$C:$FB,93)</f>
        <v>3</v>
      </c>
      <c r="J150" s="92">
        <f>VLOOKUP($A150,'Data Vlaue (Cr)'!$C:$FB,94)</f>
        <v>1.89E-2</v>
      </c>
      <c r="K150" s="91">
        <f>VLOOKUP($A150,'Data Vlaue (Cr)'!$C:$FB,95)</f>
        <v>162</v>
      </c>
      <c r="L150" s="91">
        <f>VLOOKUP($A150,'Data Vlaue (Cr)'!$C:$FB,97)</f>
        <v>2</v>
      </c>
      <c r="M150" s="92">
        <f>VLOOKUP($A150,'Data Vlaue (Cr)'!$C:$FB,98)</f>
        <v>1.4200000000000001E-2</v>
      </c>
      <c r="N150" s="91">
        <f>VLOOKUP($A150,'Data Vlaue (Cr)'!$C:$FB,79)</f>
        <v>920</v>
      </c>
      <c r="O150" s="92">
        <f>VLOOKUP($A150,'Data Vlaue (Cr)'!$C:$FB,82)</f>
        <v>1.3100000000000001E-2</v>
      </c>
    </row>
    <row r="151" spans="1:15" x14ac:dyDescent="0.25">
      <c r="A151" s="97" t="str">
        <f>'Data Vlaue (Cr)'!C146</f>
        <v>OFSS</v>
      </c>
      <c r="B151" s="142">
        <f>VLOOKUP(A151,'Data Vlaue (Cr)'!C146:CW357,99,0)</f>
        <v>1498</v>
      </c>
      <c r="C151" s="90">
        <f>VLOOKUP(A151,'Data Vlaue (Cr)'!C146:CY357,101,0)</f>
        <v>22</v>
      </c>
      <c r="D151" s="139">
        <f>VLOOKUP(A151,'Data Vlaue (Cr)'!C146:CZ357,102,0)</f>
        <v>1.5100000000000001E-2</v>
      </c>
      <c r="E151" s="91">
        <f>VLOOKUP($A151,'Data Vlaue (Cr)'!$C:$FB,75)</f>
        <v>1016</v>
      </c>
      <c r="F151" s="91">
        <f>VLOOKUP($A151,'Data Vlaue (Cr)'!$C:$FB,77)</f>
        <v>9</v>
      </c>
      <c r="G151" s="92">
        <f>VLOOKUP(A151,'Data Vlaue (Cr)'!C146:CB357,78,0)</f>
        <v>9.1999999999999998E-3</v>
      </c>
      <c r="H151" s="91">
        <f>VLOOKUP($A151,'Data Vlaue (Cr)'!$C:$FB,91)</f>
        <v>281</v>
      </c>
      <c r="I151" s="91">
        <f>VLOOKUP($A151,'Data Vlaue (Cr)'!$C:$FB,93)</f>
        <v>16</v>
      </c>
      <c r="J151" s="92">
        <f>VLOOKUP($A151,'Data Vlaue (Cr)'!$C:$FB,94)</f>
        <v>5.9200000000000003E-2</v>
      </c>
      <c r="K151" s="91">
        <f>VLOOKUP($A151,'Data Vlaue (Cr)'!$C:$FB,95)</f>
        <v>201</v>
      </c>
      <c r="L151" s="91">
        <f>VLOOKUP($A151,'Data Vlaue (Cr)'!$C:$FB,97)</f>
        <v>-3</v>
      </c>
      <c r="M151" s="92">
        <f>VLOOKUP($A151,'Data Vlaue (Cr)'!$C:$FB,98)</f>
        <v>-1.3299999999999999E-2</v>
      </c>
      <c r="N151" s="91">
        <f>VLOOKUP($A151,'Data Vlaue (Cr)'!$C:$FB,79)</f>
        <v>984</v>
      </c>
      <c r="O151" s="92">
        <f>VLOOKUP($A151,'Data Vlaue (Cr)'!$C:$FB,82)</f>
        <v>8.0000000000000002E-3</v>
      </c>
    </row>
    <row r="152" spans="1:15" x14ac:dyDescent="0.25">
      <c r="A152" s="97" t="str">
        <f>'Data Vlaue (Cr)'!C147</f>
        <v>OIL</v>
      </c>
      <c r="B152" s="142">
        <f>VLOOKUP(A152,'Data Vlaue (Cr)'!C147:CW358,99,0)</f>
        <v>2009</v>
      </c>
      <c r="C152" s="90">
        <f>VLOOKUP(A152,'Data Vlaue (Cr)'!C147:CY358,101,0)</f>
        <v>-76</v>
      </c>
      <c r="D152" s="139">
        <f>VLOOKUP(A152,'Data Vlaue (Cr)'!C147:CZ358,102,0)</f>
        <v>-3.6499999999999998E-2</v>
      </c>
      <c r="E152" s="91">
        <f>VLOOKUP($A152,'Data Vlaue (Cr)'!$C:$FB,75)</f>
        <v>932</v>
      </c>
      <c r="F152" s="91">
        <f>VLOOKUP($A152,'Data Vlaue (Cr)'!$C:$FB,77)</f>
        <v>-39</v>
      </c>
      <c r="G152" s="92">
        <f>VLOOKUP(A152,'Data Vlaue (Cr)'!C147:CB358,78,0)</f>
        <v>-4.0599999999999997E-2</v>
      </c>
      <c r="H152" s="91">
        <f>VLOOKUP($A152,'Data Vlaue (Cr)'!$C:$FB,91)</f>
        <v>704</v>
      </c>
      <c r="I152" s="91">
        <f>VLOOKUP($A152,'Data Vlaue (Cr)'!$C:$FB,93)</f>
        <v>-17</v>
      </c>
      <c r="J152" s="92">
        <f>VLOOKUP($A152,'Data Vlaue (Cr)'!$C:$FB,94)</f>
        <v>-2.3300000000000001E-2</v>
      </c>
      <c r="K152" s="91">
        <f>VLOOKUP($A152,'Data Vlaue (Cr)'!$C:$FB,95)</f>
        <v>372</v>
      </c>
      <c r="L152" s="91">
        <f>VLOOKUP($A152,'Data Vlaue (Cr)'!$C:$FB,97)</f>
        <v>-20</v>
      </c>
      <c r="M152" s="92">
        <f>VLOOKUP($A152,'Data Vlaue (Cr)'!$C:$FB,98)</f>
        <v>-5.0500000000000003E-2</v>
      </c>
      <c r="N152" s="91">
        <f>VLOOKUP($A152,'Data Vlaue (Cr)'!$C:$FB,79)</f>
        <v>886</v>
      </c>
      <c r="O152" s="92">
        <f>VLOOKUP($A152,'Data Vlaue (Cr)'!$C:$FB,82)</f>
        <v>-4.58E-2</v>
      </c>
    </row>
    <row r="153" spans="1:15" x14ac:dyDescent="0.25">
      <c r="A153" s="97" t="str">
        <f>'Data Vlaue (Cr)'!C148</f>
        <v>ONGC</v>
      </c>
      <c r="B153" s="142">
        <f>VLOOKUP(A153,'Data Vlaue (Cr)'!C148:CW359,99,0)</f>
        <v>6040</v>
      </c>
      <c r="C153" s="90">
        <f>VLOOKUP(A153,'Data Vlaue (Cr)'!C148:CY359,101,0)</f>
        <v>-232</v>
      </c>
      <c r="D153" s="139">
        <f>VLOOKUP(A153,'Data Vlaue (Cr)'!C148:CZ359,102,0)</f>
        <v>-3.6999999999999998E-2</v>
      </c>
      <c r="E153" s="91">
        <f>VLOOKUP($A153,'Data Vlaue (Cr)'!$C:$FB,75)</f>
        <v>3244</v>
      </c>
      <c r="F153" s="91">
        <f>VLOOKUP($A153,'Data Vlaue (Cr)'!$C:$FB,77)</f>
        <v>-164</v>
      </c>
      <c r="G153" s="92">
        <f>VLOOKUP(A153,'Data Vlaue (Cr)'!C148:CB359,78,0)</f>
        <v>-4.8099999999999997E-2</v>
      </c>
      <c r="H153" s="91">
        <f>VLOOKUP($A153,'Data Vlaue (Cr)'!$C:$FB,91)</f>
        <v>1855</v>
      </c>
      <c r="I153" s="91">
        <f>VLOOKUP($A153,'Data Vlaue (Cr)'!$C:$FB,93)</f>
        <v>-91</v>
      </c>
      <c r="J153" s="92">
        <f>VLOOKUP($A153,'Data Vlaue (Cr)'!$C:$FB,94)</f>
        <v>-4.6699999999999998E-2</v>
      </c>
      <c r="K153" s="91">
        <f>VLOOKUP($A153,'Data Vlaue (Cr)'!$C:$FB,95)</f>
        <v>940</v>
      </c>
      <c r="L153" s="91">
        <f>VLOOKUP($A153,'Data Vlaue (Cr)'!$C:$FB,97)</f>
        <v>23</v>
      </c>
      <c r="M153" s="92">
        <f>VLOOKUP($A153,'Data Vlaue (Cr)'!$C:$FB,98)</f>
        <v>2.4899999999999999E-2</v>
      </c>
      <c r="N153" s="91">
        <f>VLOOKUP($A153,'Data Vlaue (Cr)'!$C:$FB,79)</f>
        <v>3178</v>
      </c>
      <c r="O153" s="92">
        <f>VLOOKUP($A153,'Data Vlaue (Cr)'!$C:$FB,82)</f>
        <v>-4.7800000000000002E-2</v>
      </c>
    </row>
    <row r="154" spans="1:15" x14ac:dyDescent="0.25">
      <c r="A154" s="97" t="str">
        <f>'Data Vlaue (Cr)'!C149</f>
        <v>PAGEIND</v>
      </c>
      <c r="B154" s="142">
        <f>VLOOKUP(A154,'Data Vlaue (Cr)'!C149:CW360,99,0)</f>
        <v>1137</v>
      </c>
      <c r="C154" s="90">
        <f>VLOOKUP(A154,'Data Vlaue (Cr)'!C149:CY360,101,0)</f>
        <v>-43</v>
      </c>
      <c r="D154" s="139">
        <f>VLOOKUP(A154,'Data Vlaue (Cr)'!C149:CZ360,102,0)</f>
        <v>-3.6700000000000003E-2</v>
      </c>
      <c r="E154" s="91">
        <f>VLOOKUP($A154,'Data Vlaue (Cr)'!$C:$FB,75)</f>
        <v>727</v>
      </c>
      <c r="F154" s="91">
        <f>VLOOKUP($A154,'Data Vlaue (Cr)'!$C:$FB,77)</f>
        <v>-34</v>
      </c>
      <c r="G154" s="92">
        <f>VLOOKUP(A154,'Data Vlaue (Cr)'!C149:CB360,78,0)</f>
        <v>-4.4499999999999998E-2</v>
      </c>
      <c r="H154" s="91">
        <f>VLOOKUP($A154,'Data Vlaue (Cr)'!$C:$FB,91)</f>
        <v>261</v>
      </c>
      <c r="I154" s="91">
        <f>VLOOKUP($A154,'Data Vlaue (Cr)'!$C:$FB,93)</f>
        <v>-13</v>
      </c>
      <c r="J154" s="92">
        <f>VLOOKUP($A154,'Data Vlaue (Cr)'!$C:$FB,94)</f>
        <v>-4.7300000000000002E-2</v>
      </c>
      <c r="K154" s="91">
        <f>VLOOKUP($A154,'Data Vlaue (Cr)'!$C:$FB,95)</f>
        <v>149</v>
      </c>
      <c r="L154" s="91">
        <f>VLOOKUP($A154,'Data Vlaue (Cr)'!$C:$FB,97)</f>
        <v>3</v>
      </c>
      <c r="M154" s="92">
        <f>VLOOKUP($A154,'Data Vlaue (Cr)'!$C:$FB,98)</f>
        <v>2.3900000000000001E-2</v>
      </c>
      <c r="N154" s="91">
        <f>VLOOKUP($A154,'Data Vlaue (Cr)'!$C:$FB,79)</f>
        <v>691</v>
      </c>
      <c r="O154" s="92">
        <f>VLOOKUP($A154,'Data Vlaue (Cr)'!$C:$FB,82)</f>
        <v>-4.8099999999999997E-2</v>
      </c>
    </row>
    <row r="155" spans="1:15" x14ac:dyDescent="0.25">
      <c r="A155" s="97" t="str">
        <f>'Data Vlaue (Cr)'!C150</f>
        <v>PATANJALI</v>
      </c>
      <c r="B155" s="142">
        <f>VLOOKUP(A155,'Data Vlaue (Cr)'!C150:CW361,99,0)</f>
        <v>2137</v>
      </c>
      <c r="C155" s="90">
        <f>VLOOKUP(A155,'Data Vlaue (Cr)'!C150:CY361,101,0)</f>
        <v>7</v>
      </c>
      <c r="D155" s="139">
        <f>VLOOKUP(A155,'Data Vlaue (Cr)'!C150:CZ361,102,0)</f>
        <v>3.2000000000000002E-3</v>
      </c>
      <c r="E155" s="91">
        <f>VLOOKUP($A155,'Data Vlaue (Cr)'!$C:$FB,75)</f>
        <v>1896</v>
      </c>
      <c r="F155" s="91">
        <f>VLOOKUP($A155,'Data Vlaue (Cr)'!$C:$FB,77)</f>
        <v>-7</v>
      </c>
      <c r="G155" s="92">
        <f>VLOOKUP(A155,'Data Vlaue (Cr)'!C150:CB361,78,0)</f>
        <v>-3.7000000000000002E-3</v>
      </c>
      <c r="H155" s="91">
        <f>VLOOKUP($A155,'Data Vlaue (Cr)'!$C:$FB,91)</f>
        <v>148</v>
      </c>
      <c r="I155" s="91">
        <f>VLOOKUP($A155,'Data Vlaue (Cr)'!$C:$FB,93)</f>
        <v>16</v>
      </c>
      <c r="J155" s="92">
        <f>VLOOKUP($A155,'Data Vlaue (Cr)'!$C:$FB,94)</f>
        <v>0.1198</v>
      </c>
      <c r="K155" s="91">
        <f>VLOOKUP($A155,'Data Vlaue (Cr)'!$C:$FB,95)</f>
        <v>93</v>
      </c>
      <c r="L155" s="91">
        <f>VLOOKUP($A155,'Data Vlaue (Cr)'!$C:$FB,97)</f>
        <v>-2</v>
      </c>
      <c r="M155" s="92">
        <f>VLOOKUP($A155,'Data Vlaue (Cr)'!$C:$FB,98)</f>
        <v>-2.1899999999999999E-2</v>
      </c>
      <c r="N155" s="91">
        <f>VLOOKUP($A155,'Data Vlaue (Cr)'!$C:$FB,79)</f>
        <v>1888</v>
      </c>
      <c r="O155" s="92">
        <f>VLOOKUP($A155,'Data Vlaue (Cr)'!$C:$FB,82)</f>
        <v>-4.1999999999999997E-3</v>
      </c>
    </row>
    <row r="156" spans="1:15" x14ac:dyDescent="0.25">
      <c r="A156" s="97" t="str">
        <f>'Data Vlaue (Cr)'!C151</f>
        <v>PAYTM</v>
      </c>
      <c r="B156" s="142">
        <f>VLOOKUP(A156,'Data Vlaue (Cr)'!C151:CW362,99,0)</f>
        <v>3707</v>
      </c>
      <c r="C156" s="90">
        <f>VLOOKUP(A156,'Data Vlaue (Cr)'!C151:CY362,101,0)</f>
        <v>83</v>
      </c>
      <c r="D156" s="139">
        <f>VLOOKUP(A156,'Data Vlaue (Cr)'!C151:CZ362,102,0)</f>
        <v>2.3E-2</v>
      </c>
      <c r="E156" s="91">
        <f>VLOOKUP($A156,'Data Vlaue (Cr)'!$C:$FB,75)</f>
        <v>2318</v>
      </c>
      <c r="F156" s="91">
        <f>VLOOKUP($A156,'Data Vlaue (Cr)'!$C:$FB,77)</f>
        <v>60</v>
      </c>
      <c r="G156" s="92">
        <f>VLOOKUP(A156,'Data Vlaue (Cr)'!C151:CB362,78,0)</f>
        <v>2.64E-2</v>
      </c>
      <c r="H156" s="91">
        <f>VLOOKUP($A156,'Data Vlaue (Cr)'!$C:$FB,91)</f>
        <v>820</v>
      </c>
      <c r="I156" s="91">
        <f>VLOOKUP($A156,'Data Vlaue (Cr)'!$C:$FB,93)</f>
        <v>12</v>
      </c>
      <c r="J156" s="92">
        <f>VLOOKUP($A156,'Data Vlaue (Cr)'!$C:$FB,94)</f>
        <v>1.54E-2</v>
      </c>
      <c r="K156" s="91">
        <f>VLOOKUP($A156,'Data Vlaue (Cr)'!$C:$FB,95)</f>
        <v>569</v>
      </c>
      <c r="L156" s="91">
        <f>VLOOKUP($A156,'Data Vlaue (Cr)'!$C:$FB,97)</f>
        <v>11</v>
      </c>
      <c r="M156" s="92">
        <f>VLOOKUP($A156,'Data Vlaue (Cr)'!$C:$FB,98)</f>
        <v>2.0299999999999999E-2</v>
      </c>
      <c r="N156" s="91">
        <f>VLOOKUP($A156,'Data Vlaue (Cr)'!$C:$FB,79)</f>
        <v>2283</v>
      </c>
      <c r="O156" s="92">
        <f>VLOOKUP($A156,'Data Vlaue (Cr)'!$C:$FB,82)</f>
        <v>2.6700000000000002E-2</v>
      </c>
    </row>
    <row r="157" spans="1:15" x14ac:dyDescent="0.25">
      <c r="A157" s="97" t="str">
        <f>'Data Vlaue (Cr)'!C152</f>
        <v>PERSISTENT</v>
      </c>
      <c r="B157" s="142">
        <f>VLOOKUP(A157,'Data Vlaue (Cr)'!C152:CW363,99,0)</f>
        <v>3322</v>
      </c>
      <c r="C157" s="90">
        <f>VLOOKUP(A157,'Data Vlaue (Cr)'!C152:CY363,101,0)</f>
        <v>47</v>
      </c>
      <c r="D157" s="139">
        <f>VLOOKUP(A157,'Data Vlaue (Cr)'!C152:CZ363,102,0)</f>
        <v>1.43E-2</v>
      </c>
      <c r="E157" s="91">
        <f>VLOOKUP($A157,'Data Vlaue (Cr)'!$C:$FB,75)</f>
        <v>1902</v>
      </c>
      <c r="F157" s="91">
        <f>VLOOKUP($A157,'Data Vlaue (Cr)'!$C:$FB,77)</f>
        <v>11</v>
      </c>
      <c r="G157" s="92">
        <f>VLOOKUP(A157,'Data Vlaue (Cr)'!C152:CB363,78,0)</f>
        <v>5.7000000000000002E-3</v>
      </c>
      <c r="H157" s="91">
        <f>VLOOKUP($A157,'Data Vlaue (Cr)'!$C:$FB,91)</f>
        <v>829</v>
      </c>
      <c r="I157" s="91">
        <f>VLOOKUP($A157,'Data Vlaue (Cr)'!$C:$FB,93)</f>
        <v>24</v>
      </c>
      <c r="J157" s="92">
        <f>VLOOKUP($A157,'Data Vlaue (Cr)'!$C:$FB,94)</f>
        <v>2.93E-2</v>
      </c>
      <c r="K157" s="91">
        <f>VLOOKUP($A157,'Data Vlaue (Cr)'!$C:$FB,95)</f>
        <v>590</v>
      </c>
      <c r="L157" s="91">
        <f>VLOOKUP($A157,'Data Vlaue (Cr)'!$C:$FB,97)</f>
        <v>13</v>
      </c>
      <c r="M157" s="92">
        <f>VLOOKUP($A157,'Data Vlaue (Cr)'!$C:$FB,98)</f>
        <v>2.1600000000000001E-2</v>
      </c>
      <c r="N157" s="91">
        <f>VLOOKUP($A157,'Data Vlaue (Cr)'!$C:$FB,79)</f>
        <v>1842</v>
      </c>
      <c r="O157" s="92">
        <f>VLOOKUP($A157,'Data Vlaue (Cr)'!$C:$FB,82)</f>
        <v>4.4999999999999997E-3</v>
      </c>
    </row>
    <row r="158" spans="1:15" x14ac:dyDescent="0.25">
      <c r="A158" s="97" t="str">
        <f>'Data Vlaue (Cr)'!C153</f>
        <v>PETRONET</v>
      </c>
      <c r="B158" s="142">
        <f>VLOOKUP(A158,'Data Vlaue (Cr)'!C153:CW364,99,0)</f>
        <v>2064</v>
      </c>
      <c r="C158" s="90">
        <f>VLOOKUP(A158,'Data Vlaue (Cr)'!C153:CY364,101,0)</f>
        <v>-22</v>
      </c>
      <c r="D158" s="139">
        <f>VLOOKUP(A158,'Data Vlaue (Cr)'!C153:CZ364,102,0)</f>
        <v>-1.03E-2</v>
      </c>
      <c r="E158" s="91">
        <f>VLOOKUP($A158,'Data Vlaue (Cr)'!$C:$FB,75)</f>
        <v>1035</v>
      </c>
      <c r="F158" s="91">
        <f>VLOOKUP($A158,'Data Vlaue (Cr)'!$C:$FB,77)</f>
        <v>-99</v>
      </c>
      <c r="G158" s="92">
        <f>VLOOKUP(A158,'Data Vlaue (Cr)'!C153:CB364,78,0)</f>
        <v>-8.7099999999999997E-2</v>
      </c>
      <c r="H158" s="91">
        <f>VLOOKUP($A158,'Data Vlaue (Cr)'!$C:$FB,91)</f>
        <v>497</v>
      </c>
      <c r="I158" s="91">
        <f>VLOOKUP($A158,'Data Vlaue (Cr)'!$C:$FB,93)</f>
        <v>51</v>
      </c>
      <c r="J158" s="92">
        <f>VLOOKUP($A158,'Data Vlaue (Cr)'!$C:$FB,94)</f>
        <v>0.1154</v>
      </c>
      <c r="K158" s="91">
        <f>VLOOKUP($A158,'Data Vlaue (Cr)'!$C:$FB,95)</f>
        <v>532</v>
      </c>
      <c r="L158" s="91">
        <f>VLOOKUP($A158,'Data Vlaue (Cr)'!$C:$FB,97)</f>
        <v>26</v>
      </c>
      <c r="M158" s="92">
        <f>VLOOKUP($A158,'Data Vlaue (Cr)'!$C:$FB,98)</f>
        <v>5.0999999999999997E-2</v>
      </c>
      <c r="N158" s="91">
        <f>VLOOKUP($A158,'Data Vlaue (Cr)'!$C:$FB,79)</f>
        <v>923</v>
      </c>
      <c r="O158" s="92">
        <f>VLOOKUP($A158,'Data Vlaue (Cr)'!$C:$FB,82)</f>
        <v>-9.4200000000000006E-2</v>
      </c>
    </row>
    <row r="159" spans="1:15" x14ac:dyDescent="0.25">
      <c r="A159" s="97" t="str">
        <f>'Data Vlaue (Cr)'!C154</f>
        <v>PFC</v>
      </c>
      <c r="B159" s="142">
        <f>VLOOKUP(A159,'Data Vlaue (Cr)'!C154:CW365,99,0)</f>
        <v>4550</v>
      </c>
      <c r="C159" s="90">
        <f>VLOOKUP(A159,'Data Vlaue (Cr)'!C154:CY365,101,0)</f>
        <v>54</v>
      </c>
      <c r="D159" s="139">
        <f>VLOOKUP(A159,'Data Vlaue (Cr)'!C154:CZ365,102,0)</f>
        <v>1.1900000000000001E-2</v>
      </c>
      <c r="E159" s="91">
        <f>VLOOKUP($A159,'Data Vlaue (Cr)'!$C:$FB,75)</f>
        <v>2693</v>
      </c>
      <c r="F159" s="91">
        <f>VLOOKUP($A159,'Data Vlaue (Cr)'!$C:$FB,77)</f>
        <v>33</v>
      </c>
      <c r="G159" s="92">
        <f>VLOOKUP(A159,'Data Vlaue (Cr)'!C154:CB365,78,0)</f>
        <v>1.2200000000000001E-2</v>
      </c>
      <c r="H159" s="91">
        <f>VLOOKUP($A159,'Data Vlaue (Cr)'!$C:$FB,91)</f>
        <v>1234</v>
      </c>
      <c r="I159" s="91">
        <f>VLOOKUP($A159,'Data Vlaue (Cr)'!$C:$FB,93)</f>
        <v>-11</v>
      </c>
      <c r="J159" s="92">
        <f>VLOOKUP($A159,'Data Vlaue (Cr)'!$C:$FB,94)</f>
        <v>-8.8000000000000005E-3</v>
      </c>
      <c r="K159" s="91">
        <f>VLOOKUP($A159,'Data Vlaue (Cr)'!$C:$FB,95)</f>
        <v>623</v>
      </c>
      <c r="L159" s="91">
        <f>VLOOKUP($A159,'Data Vlaue (Cr)'!$C:$FB,97)</f>
        <v>32</v>
      </c>
      <c r="M159" s="92">
        <f>VLOOKUP($A159,'Data Vlaue (Cr)'!$C:$FB,98)</f>
        <v>5.4100000000000002E-2</v>
      </c>
      <c r="N159" s="91">
        <f>VLOOKUP($A159,'Data Vlaue (Cr)'!$C:$FB,79)</f>
        <v>2321</v>
      </c>
      <c r="O159" s="92">
        <f>VLOOKUP($A159,'Data Vlaue (Cr)'!$C:$FB,82)</f>
        <v>1.5100000000000001E-2</v>
      </c>
    </row>
    <row r="160" spans="1:15" x14ac:dyDescent="0.25">
      <c r="A160" s="97" t="str">
        <f>'Data Vlaue (Cr)'!C155</f>
        <v>PGEL</v>
      </c>
      <c r="B160" s="142">
        <f>VLOOKUP(A160,'Data Vlaue (Cr)'!C155:CW366,99,0)</f>
        <v>1182</v>
      </c>
      <c r="C160" s="90">
        <f>VLOOKUP(A160,'Data Vlaue (Cr)'!C155:CY366,101,0)</f>
        <v>98</v>
      </c>
      <c r="D160" s="139">
        <f>VLOOKUP(A160,'Data Vlaue (Cr)'!C155:CZ366,102,0)</f>
        <v>9.0800000000000006E-2</v>
      </c>
      <c r="E160" s="91">
        <f>VLOOKUP($A160,'Data Vlaue (Cr)'!$C:$FB,75)</f>
        <v>730</v>
      </c>
      <c r="F160" s="91">
        <f>VLOOKUP($A160,'Data Vlaue (Cr)'!$C:$FB,77)</f>
        <v>24</v>
      </c>
      <c r="G160" s="92">
        <f>VLOOKUP(A160,'Data Vlaue (Cr)'!C155:CB366,78,0)</f>
        <v>3.4099999999999998E-2</v>
      </c>
      <c r="H160" s="91">
        <f>VLOOKUP($A160,'Data Vlaue (Cr)'!$C:$FB,91)</f>
        <v>248</v>
      </c>
      <c r="I160" s="91">
        <f>VLOOKUP($A160,'Data Vlaue (Cr)'!$C:$FB,93)</f>
        <v>47</v>
      </c>
      <c r="J160" s="92">
        <f>VLOOKUP($A160,'Data Vlaue (Cr)'!$C:$FB,94)</f>
        <v>0.23619999999999999</v>
      </c>
      <c r="K160" s="91">
        <f>VLOOKUP($A160,'Data Vlaue (Cr)'!$C:$FB,95)</f>
        <v>205</v>
      </c>
      <c r="L160" s="91">
        <f>VLOOKUP($A160,'Data Vlaue (Cr)'!$C:$FB,97)</f>
        <v>27</v>
      </c>
      <c r="M160" s="92">
        <f>VLOOKUP($A160,'Data Vlaue (Cr)'!$C:$FB,98)</f>
        <v>0.152</v>
      </c>
      <c r="N160" s="91">
        <f>VLOOKUP($A160,'Data Vlaue (Cr)'!$C:$FB,79)</f>
        <v>721</v>
      </c>
      <c r="O160" s="92">
        <f>VLOOKUP($A160,'Data Vlaue (Cr)'!$C:$FB,82)</f>
        <v>3.32E-2</v>
      </c>
    </row>
    <row r="161" spans="1:15" x14ac:dyDescent="0.25">
      <c r="A161" s="97" t="str">
        <f>'Data Vlaue (Cr)'!C156</f>
        <v>PHOENIXLTD</v>
      </c>
      <c r="B161" s="142">
        <f>VLOOKUP(A161,'Data Vlaue (Cr)'!C156:CW367,99,0)</f>
        <v>918</v>
      </c>
      <c r="C161" s="90">
        <f>VLOOKUP(A161,'Data Vlaue (Cr)'!C156:CY367,101,0)</f>
        <v>48</v>
      </c>
      <c r="D161" s="139">
        <f>VLOOKUP(A161,'Data Vlaue (Cr)'!C156:CZ367,102,0)</f>
        <v>5.4600000000000003E-2</v>
      </c>
      <c r="E161" s="91">
        <f>VLOOKUP($A161,'Data Vlaue (Cr)'!$C:$FB,75)</f>
        <v>662</v>
      </c>
      <c r="F161" s="91">
        <f>VLOOKUP($A161,'Data Vlaue (Cr)'!$C:$FB,77)</f>
        <v>9</v>
      </c>
      <c r="G161" s="92">
        <f>VLOOKUP(A161,'Data Vlaue (Cr)'!C156:CB367,78,0)</f>
        <v>1.41E-2</v>
      </c>
      <c r="H161" s="91">
        <f>VLOOKUP($A161,'Data Vlaue (Cr)'!$C:$FB,91)</f>
        <v>162</v>
      </c>
      <c r="I161" s="91">
        <f>VLOOKUP($A161,'Data Vlaue (Cr)'!$C:$FB,93)</f>
        <v>28</v>
      </c>
      <c r="J161" s="92">
        <f>VLOOKUP($A161,'Data Vlaue (Cr)'!$C:$FB,94)</f>
        <v>0.2117</v>
      </c>
      <c r="K161" s="91">
        <f>VLOOKUP($A161,'Data Vlaue (Cr)'!$C:$FB,95)</f>
        <v>94</v>
      </c>
      <c r="L161" s="91">
        <f>VLOOKUP($A161,'Data Vlaue (Cr)'!$C:$FB,97)</f>
        <v>10</v>
      </c>
      <c r="M161" s="92">
        <f>VLOOKUP($A161,'Data Vlaue (Cr)'!$C:$FB,98)</f>
        <v>0.1192</v>
      </c>
      <c r="N161" s="91">
        <f>VLOOKUP($A161,'Data Vlaue (Cr)'!$C:$FB,79)</f>
        <v>655</v>
      </c>
      <c r="O161" s="92">
        <f>VLOOKUP($A161,'Data Vlaue (Cr)'!$C:$FB,82)</f>
        <v>7.4999999999999997E-3</v>
      </c>
    </row>
    <row r="162" spans="1:15" x14ac:dyDescent="0.25">
      <c r="A162" s="97" t="str">
        <f>'Data Vlaue (Cr)'!C157</f>
        <v>PIDILITIND</v>
      </c>
      <c r="B162" s="142">
        <f>VLOOKUP(A162,'Data Vlaue (Cr)'!C157:CW368,99,0)</f>
        <v>1448</v>
      </c>
      <c r="C162" s="90">
        <f>VLOOKUP(A162,'Data Vlaue (Cr)'!C157:CY368,101,0)</f>
        <v>13</v>
      </c>
      <c r="D162" s="139">
        <f>VLOOKUP(A162,'Data Vlaue (Cr)'!C157:CZ368,102,0)</f>
        <v>8.8000000000000005E-3</v>
      </c>
      <c r="E162" s="91">
        <f>VLOOKUP($A162,'Data Vlaue (Cr)'!$C:$FB,75)</f>
        <v>1131</v>
      </c>
      <c r="F162" s="91">
        <f>VLOOKUP($A162,'Data Vlaue (Cr)'!$C:$FB,77)</f>
        <v>-1</v>
      </c>
      <c r="G162" s="92">
        <f>VLOOKUP(A162,'Data Vlaue (Cr)'!C157:CB368,78,0)</f>
        <v>-1E-3</v>
      </c>
      <c r="H162" s="91">
        <f>VLOOKUP($A162,'Data Vlaue (Cr)'!$C:$FB,91)</f>
        <v>209</v>
      </c>
      <c r="I162" s="91">
        <f>VLOOKUP($A162,'Data Vlaue (Cr)'!$C:$FB,93)</f>
        <v>15</v>
      </c>
      <c r="J162" s="92">
        <f>VLOOKUP($A162,'Data Vlaue (Cr)'!$C:$FB,94)</f>
        <v>7.8399999999999997E-2</v>
      </c>
      <c r="K162" s="91">
        <f>VLOOKUP($A162,'Data Vlaue (Cr)'!$C:$FB,95)</f>
        <v>108</v>
      </c>
      <c r="L162" s="91">
        <f>VLOOKUP($A162,'Data Vlaue (Cr)'!$C:$FB,97)</f>
        <v>-1</v>
      </c>
      <c r="M162" s="92">
        <f>VLOOKUP($A162,'Data Vlaue (Cr)'!$C:$FB,98)</f>
        <v>-1.32E-2</v>
      </c>
      <c r="N162" s="91">
        <f>VLOOKUP($A162,'Data Vlaue (Cr)'!$C:$FB,79)</f>
        <v>1125</v>
      </c>
      <c r="O162" s="92">
        <f>VLOOKUP($A162,'Data Vlaue (Cr)'!$C:$FB,82)</f>
        <v>-1E-3</v>
      </c>
    </row>
    <row r="163" spans="1:15" x14ac:dyDescent="0.25">
      <c r="A163" s="97" t="str">
        <f>'Data Vlaue (Cr)'!C158</f>
        <v>PIIND</v>
      </c>
      <c r="B163" s="142">
        <f>VLOOKUP(A163,'Data Vlaue (Cr)'!C158:CW369,99,0)</f>
        <v>1421</v>
      </c>
      <c r="C163" s="90">
        <f>VLOOKUP(A163,'Data Vlaue (Cr)'!C158:CY369,101,0)</f>
        <v>2</v>
      </c>
      <c r="D163" s="139">
        <f>VLOOKUP(A163,'Data Vlaue (Cr)'!C158:CZ369,102,0)</f>
        <v>1.1999999999999999E-3</v>
      </c>
      <c r="E163" s="91">
        <f>VLOOKUP($A163,'Data Vlaue (Cr)'!$C:$FB,75)</f>
        <v>1094</v>
      </c>
      <c r="F163" s="91">
        <f>VLOOKUP($A163,'Data Vlaue (Cr)'!$C:$FB,77)</f>
        <v>-5</v>
      </c>
      <c r="G163" s="92">
        <f>VLOOKUP(A163,'Data Vlaue (Cr)'!C158:CB369,78,0)</f>
        <v>-4.3E-3</v>
      </c>
      <c r="H163" s="91">
        <f>VLOOKUP($A163,'Data Vlaue (Cr)'!$C:$FB,91)</f>
        <v>199</v>
      </c>
      <c r="I163" s="91">
        <f>VLOOKUP($A163,'Data Vlaue (Cr)'!$C:$FB,93)</f>
        <v>10</v>
      </c>
      <c r="J163" s="92">
        <f>VLOOKUP($A163,'Data Vlaue (Cr)'!$C:$FB,94)</f>
        <v>5.2699999999999997E-2</v>
      </c>
      <c r="K163" s="91">
        <f>VLOOKUP($A163,'Data Vlaue (Cr)'!$C:$FB,95)</f>
        <v>127</v>
      </c>
      <c r="L163" s="91">
        <f>VLOOKUP($A163,'Data Vlaue (Cr)'!$C:$FB,97)</f>
        <v>-4</v>
      </c>
      <c r="M163" s="92">
        <f>VLOOKUP($A163,'Data Vlaue (Cr)'!$C:$FB,98)</f>
        <v>-2.7199999999999998E-2</v>
      </c>
      <c r="N163" s="91">
        <f>VLOOKUP($A163,'Data Vlaue (Cr)'!$C:$FB,79)</f>
        <v>1039</v>
      </c>
      <c r="O163" s="92">
        <f>VLOOKUP($A163,'Data Vlaue (Cr)'!$C:$FB,82)</f>
        <v>-1.21E-2</v>
      </c>
    </row>
    <row r="164" spans="1:15" x14ac:dyDescent="0.25">
      <c r="A164" s="97" t="str">
        <f>'Data Vlaue (Cr)'!C159</f>
        <v>PNB</v>
      </c>
      <c r="B164" s="142">
        <f>VLOOKUP(A164,'Data Vlaue (Cr)'!C159:CW370,99,0)</f>
        <v>5310</v>
      </c>
      <c r="C164" s="90">
        <f>VLOOKUP(A164,'Data Vlaue (Cr)'!C159:CY370,101,0)</f>
        <v>338</v>
      </c>
      <c r="D164" s="139">
        <f>VLOOKUP(A164,'Data Vlaue (Cr)'!C159:CZ370,102,0)</f>
        <v>6.8099999999999994E-2</v>
      </c>
      <c r="E164" s="91">
        <f>VLOOKUP($A164,'Data Vlaue (Cr)'!$C:$FB,75)</f>
        <v>3107</v>
      </c>
      <c r="F164" s="91">
        <f>VLOOKUP($A164,'Data Vlaue (Cr)'!$C:$FB,77)</f>
        <v>39</v>
      </c>
      <c r="G164" s="92">
        <f>VLOOKUP(A164,'Data Vlaue (Cr)'!C159:CB370,78,0)</f>
        <v>1.2699999999999999E-2</v>
      </c>
      <c r="H164" s="91">
        <f>VLOOKUP($A164,'Data Vlaue (Cr)'!$C:$FB,91)</f>
        <v>1317</v>
      </c>
      <c r="I164" s="91">
        <f>VLOOKUP($A164,'Data Vlaue (Cr)'!$C:$FB,93)</f>
        <v>180</v>
      </c>
      <c r="J164" s="92">
        <f>VLOOKUP($A164,'Data Vlaue (Cr)'!$C:$FB,94)</f>
        <v>0.15809999999999999</v>
      </c>
      <c r="K164" s="91">
        <f>VLOOKUP($A164,'Data Vlaue (Cr)'!$C:$FB,95)</f>
        <v>886</v>
      </c>
      <c r="L164" s="91">
        <f>VLOOKUP($A164,'Data Vlaue (Cr)'!$C:$FB,97)</f>
        <v>120</v>
      </c>
      <c r="M164" s="92">
        <f>VLOOKUP($A164,'Data Vlaue (Cr)'!$C:$FB,98)</f>
        <v>0.156</v>
      </c>
      <c r="N164" s="91">
        <f>VLOOKUP($A164,'Data Vlaue (Cr)'!$C:$FB,79)</f>
        <v>2909</v>
      </c>
      <c r="O164" s="92">
        <f>VLOOKUP($A164,'Data Vlaue (Cr)'!$C:$FB,82)</f>
        <v>8.3000000000000001E-3</v>
      </c>
    </row>
    <row r="165" spans="1:15" x14ac:dyDescent="0.25">
      <c r="A165" s="97" t="str">
        <f>'Data Vlaue (Cr)'!C160</f>
        <v>PNBHOUSING</v>
      </c>
      <c r="B165" s="142">
        <f>VLOOKUP(A165,'Data Vlaue (Cr)'!C160:CW371,99,0)</f>
        <v>1281</v>
      </c>
      <c r="C165" s="90">
        <f>VLOOKUP(A165,'Data Vlaue (Cr)'!C160:CY371,101,0)</f>
        <v>42</v>
      </c>
      <c r="D165" s="139">
        <f>VLOOKUP(A165,'Data Vlaue (Cr)'!C160:CZ371,102,0)</f>
        <v>3.3500000000000002E-2</v>
      </c>
      <c r="E165" s="91">
        <f>VLOOKUP($A165,'Data Vlaue (Cr)'!$C:$FB,75)</f>
        <v>1047</v>
      </c>
      <c r="F165" s="91">
        <f>VLOOKUP($A165,'Data Vlaue (Cr)'!$C:$FB,77)</f>
        <v>25</v>
      </c>
      <c r="G165" s="92">
        <f>VLOOKUP(A165,'Data Vlaue (Cr)'!C160:CB371,78,0)</f>
        <v>2.4500000000000001E-2</v>
      </c>
      <c r="H165" s="91">
        <f>VLOOKUP($A165,'Data Vlaue (Cr)'!$C:$FB,91)</f>
        <v>134</v>
      </c>
      <c r="I165" s="91">
        <f>VLOOKUP($A165,'Data Vlaue (Cr)'!$C:$FB,93)</f>
        <v>13</v>
      </c>
      <c r="J165" s="92">
        <f>VLOOKUP($A165,'Data Vlaue (Cr)'!$C:$FB,94)</f>
        <v>0.1113</v>
      </c>
      <c r="K165" s="91">
        <f>VLOOKUP($A165,'Data Vlaue (Cr)'!$C:$FB,95)</f>
        <v>100</v>
      </c>
      <c r="L165" s="91">
        <f>VLOOKUP($A165,'Data Vlaue (Cr)'!$C:$FB,97)</f>
        <v>3</v>
      </c>
      <c r="M165" s="92">
        <f>VLOOKUP($A165,'Data Vlaue (Cr)'!$C:$FB,98)</f>
        <v>3.15E-2</v>
      </c>
      <c r="N165" s="91">
        <f>VLOOKUP($A165,'Data Vlaue (Cr)'!$C:$FB,79)</f>
        <v>1030</v>
      </c>
      <c r="O165" s="92">
        <f>VLOOKUP($A165,'Data Vlaue (Cr)'!$C:$FB,82)</f>
        <v>2.4E-2</v>
      </c>
    </row>
    <row r="166" spans="1:15" x14ac:dyDescent="0.25">
      <c r="A166" s="97" t="str">
        <f>'Data Vlaue (Cr)'!C161</f>
        <v>POLICYBZR</v>
      </c>
      <c r="B166" s="142">
        <f>VLOOKUP(A166,'Data Vlaue (Cr)'!C161:CW372,99,0)</f>
        <v>1725</v>
      </c>
      <c r="C166" s="90">
        <f>VLOOKUP(A166,'Data Vlaue (Cr)'!C161:CY372,101,0)</f>
        <v>3</v>
      </c>
      <c r="D166" s="139">
        <f>VLOOKUP(A166,'Data Vlaue (Cr)'!C161:CZ372,102,0)</f>
        <v>1.8E-3</v>
      </c>
      <c r="E166" s="91">
        <f>VLOOKUP($A166,'Data Vlaue (Cr)'!$C:$FB,75)</f>
        <v>1245</v>
      </c>
      <c r="F166" s="91">
        <f>VLOOKUP($A166,'Data Vlaue (Cr)'!$C:$FB,77)</f>
        <v>-25</v>
      </c>
      <c r="G166" s="92">
        <f>VLOOKUP(A166,'Data Vlaue (Cr)'!C161:CB372,78,0)</f>
        <v>-1.95E-2</v>
      </c>
      <c r="H166" s="91">
        <f>VLOOKUP($A166,'Data Vlaue (Cr)'!$C:$FB,91)</f>
        <v>268</v>
      </c>
      <c r="I166" s="91">
        <f>VLOOKUP($A166,'Data Vlaue (Cr)'!$C:$FB,93)</f>
        <v>10</v>
      </c>
      <c r="J166" s="92">
        <f>VLOOKUP($A166,'Data Vlaue (Cr)'!$C:$FB,94)</f>
        <v>3.7699999999999997E-2</v>
      </c>
      <c r="K166" s="91">
        <f>VLOOKUP($A166,'Data Vlaue (Cr)'!$C:$FB,95)</f>
        <v>213</v>
      </c>
      <c r="L166" s="91">
        <f>VLOOKUP($A166,'Data Vlaue (Cr)'!$C:$FB,97)</f>
        <v>18</v>
      </c>
      <c r="M166" s="92">
        <f>VLOOKUP($A166,'Data Vlaue (Cr)'!$C:$FB,98)</f>
        <v>9.3100000000000002E-2</v>
      </c>
      <c r="N166" s="91">
        <f>VLOOKUP($A166,'Data Vlaue (Cr)'!$C:$FB,79)</f>
        <v>1229</v>
      </c>
      <c r="O166" s="92">
        <f>VLOOKUP($A166,'Data Vlaue (Cr)'!$C:$FB,82)</f>
        <v>-2.0299999999999999E-2</v>
      </c>
    </row>
    <row r="167" spans="1:15" x14ac:dyDescent="0.25">
      <c r="A167" s="97" t="str">
        <f>'Data Vlaue (Cr)'!C162</f>
        <v>POLYCAB</v>
      </c>
      <c r="B167" s="142">
        <f>VLOOKUP(A167,'Data Vlaue (Cr)'!C162:CW373,99,0)</f>
        <v>3968</v>
      </c>
      <c r="C167" s="90">
        <f>VLOOKUP(A167,'Data Vlaue (Cr)'!C162:CY373,101,0)</f>
        <v>148</v>
      </c>
      <c r="D167" s="139">
        <f>VLOOKUP(A167,'Data Vlaue (Cr)'!C162:CZ373,102,0)</f>
        <v>3.8699999999999998E-2</v>
      </c>
      <c r="E167" s="91">
        <f>VLOOKUP($A167,'Data Vlaue (Cr)'!$C:$FB,75)</f>
        <v>1966</v>
      </c>
      <c r="F167" s="91">
        <f>VLOOKUP($A167,'Data Vlaue (Cr)'!$C:$FB,77)</f>
        <v>-28</v>
      </c>
      <c r="G167" s="92">
        <f>VLOOKUP(A167,'Data Vlaue (Cr)'!C162:CB373,78,0)</f>
        <v>-1.41E-2</v>
      </c>
      <c r="H167" s="91">
        <f>VLOOKUP($A167,'Data Vlaue (Cr)'!$C:$FB,91)</f>
        <v>967</v>
      </c>
      <c r="I167" s="91">
        <f>VLOOKUP($A167,'Data Vlaue (Cr)'!$C:$FB,93)</f>
        <v>92</v>
      </c>
      <c r="J167" s="92">
        <f>VLOOKUP($A167,'Data Vlaue (Cr)'!$C:$FB,94)</f>
        <v>0.10539999999999999</v>
      </c>
      <c r="K167" s="91">
        <f>VLOOKUP($A167,'Data Vlaue (Cr)'!$C:$FB,95)</f>
        <v>1035</v>
      </c>
      <c r="L167" s="91">
        <f>VLOOKUP($A167,'Data Vlaue (Cr)'!$C:$FB,97)</f>
        <v>84</v>
      </c>
      <c r="M167" s="92">
        <f>VLOOKUP($A167,'Data Vlaue (Cr)'!$C:$FB,98)</f>
        <v>8.8099999999999998E-2</v>
      </c>
      <c r="N167" s="91">
        <f>VLOOKUP($A167,'Data Vlaue (Cr)'!$C:$FB,79)</f>
        <v>1892</v>
      </c>
      <c r="O167" s="92">
        <f>VLOOKUP($A167,'Data Vlaue (Cr)'!$C:$FB,82)</f>
        <v>-1.9199999999999998E-2</v>
      </c>
    </row>
    <row r="168" spans="1:15" x14ac:dyDescent="0.25">
      <c r="A168" s="97" t="str">
        <f>'Data Vlaue (Cr)'!C163</f>
        <v>POWERGRID</v>
      </c>
      <c r="B168" s="142">
        <f>VLOOKUP(A168,'Data Vlaue (Cr)'!C163:CW374,99,0)</f>
        <v>4010</v>
      </c>
      <c r="C168" s="90">
        <f>VLOOKUP(A168,'Data Vlaue (Cr)'!C163:CY374,101,0)</f>
        <v>41</v>
      </c>
      <c r="D168" s="139">
        <f>VLOOKUP(A168,'Data Vlaue (Cr)'!C163:CZ374,102,0)</f>
        <v>1.04E-2</v>
      </c>
      <c r="E168" s="91">
        <f>VLOOKUP($A168,'Data Vlaue (Cr)'!$C:$FB,75)</f>
        <v>2427</v>
      </c>
      <c r="F168" s="91">
        <f>VLOOKUP($A168,'Data Vlaue (Cr)'!$C:$FB,77)</f>
        <v>-45</v>
      </c>
      <c r="G168" s="92">
        <f>VLOOKUP(A168,'Data Vlaue (Cr)'!C163:CB374,78,0)</f>
        <v>-1.84E-2</v>
      </c>
      <c r="H168" s="91">
        <f>VLOOKUP($A168,'Data Vlaue (Cr)'!$C:$FB,91)</f>
        <v>1114</v>
      </c>
      <c r="I168" s="91">
        <f>VLOOKUP($A168,'Data Vlaue (Cr)'!$C:$FB,93)</f>
        <v>78</v>
      </c>
      <c r="J168" s="92">
        <f>VLOOKUP($A168,'Data Vlaue (Cr)'!$C:$FB,94)</f>
        <v>7.4899999999999994E-2</v>
      </c>
      <c r="K168" s="91">
        <f>VLOOKUP($A168,'Data Vlaue (Cr)'!$C:$FB,95)</f>
        <v>468</v>
      </c>
      <c r="L168" s="91">
        <f>VLOOKUP($A168,'Data Vlaue (Cr)'!$C:$FB,97)</f>
        <v>9</v>
      </c>
      <c r="M168" s="92">
        <f>VLOOKUP($A168,'Data Vlaue (Cr)'!$C:$FB,98)</f>
        <v>1.9599999999999999E-2</v>
      </c>
      <c r="N168" s="91">
        <f>VLOOKUP($A168,'Data Vlaue (Cr)'!$C:$FB,79)</f>
        <v>2386</v>
      </c>
      <c r="O168" s="92">
        <f>VLOOKUP($A168,'Data Vlaue (Cr)'!$C:$FB,82)</f>
        <v>-2.0400000000000001E-2</v>
      </c>
    </row>
    <row r="169" spans="1:15" x14ac:dyDescent="0.25">
      <c r="A169" s="97" t="str">
        <f>'Data Vlaue (Cr)'!C164</f>
        <v>POWERINDIA</v>
      </c>
      <c r="B169" s="142">
        <f>VLOOKUP(A169,'Data Vlaue (Cr)'!C164:CW375,99,0)</f>
        <v>1493</v>
      </c>
      <c r="C169" s="90">
        <f>VLOOKUP(A169,'Data Vlaue (Cr)'!C164:CY375,101,0)</f>
        <v>116</v>
      </c>
      <c r="D169" s="139">
        <f>VLOOKUP(A169,'Data Vlaue (Cr)'!C164:CZ375,102,0)</f>
        <v>8.43E-2</v>
      </c>
      <c r="E169" s="91">
        <f>VLOOKUP($A169,'Data Vlaue (Cr)'!$C:$FB,75)</f>
        <v>713</v>
      </c>
      <c r="F169" s="91">
        <f>VLOOKUP($A169,'Data Vlaue (Cr)'!$C:$FB,77)</f>
        <v>31</v>
      </c>
      <c r="G169" s="92">
        <f>VLOOKUP(A169,'Data Vlaue (Cr)'!C164:CB375,78,0)</f>
        <v>4.58E-2</v>
      </c>
      <c r="H169" s="91">
        <f>VLOOKUP($A169,'Data Vlaue (Cr)'!$C:$FB,91)</f>
        <v>407</v>
      </c>
      <c r="I169" s="91">
        <f>VLOOKUP($A169,'Data Vlaue (Cr)'!$C:$FB,93)</f>
        <v>44</v>
      </c>
      <c r="J169" s="92">
        <f>VLOOKUP($A169,'Data Vlaue (Cr)'!$C:$FB,94)</f>
        <v>0.12239999999999999</v>
      </c>
      <c r="K169" s="91">
        <f>VLOOKUP($A169,'Data Vlaue (Cr)'!$C:$FB,95)</f>
        <v>373</v>
      </c>
      <c r="L169" s="91">
        <f>VLOOKUP($A169,'Data Vlaue (Cr)'!$C:$FB,97)</f>
        <v>40</v>
      </c>
      <c r="M169" s="92">
        <f>VLOOKUP($A169,'Data Vlaue (Cr)'!$C:$FB,98)</f>
        <v>0.1215</v>
      </c>
      <c r="N169" s="91">
        <f>VLOOKUP($A169,'Data Vlaue (Cr)'!$C:$FB,79)</f>
        <v>680</v>
      </c>
      <c r="O169" s="92">
        <f>VLOOKUP($A169,'Data Vlaue (Cr)'!$C:$FB,82)</f>
        <v>4.53E-2</v>
      </c>
    </row>
    <row r="170" spans="1:15" x14ac:dyDescent="0.25">
      <c r="A170" s="97" t="str">
        <f>'Data Vlaue (Cr)'!C165</f>
        <v>PPLPHARMA</v>
      </c>
      <c r="B170" s="142">
        <f>VLOOKUP(A170,'Data Vlaue (Cr)'!C165:CW376,99,0)</f>
        <v>429</v>
      </c>
      <c r="C170" s="90">
        <f>VLOOKUP(A170,'Data Vlaue (Cr)'!C165:CY376,101,0)</f>
        <v>3</v>
      </c>
      <c r="D170" s="139">
        <f>VLOOKUP(A170,'Data Vlaue (Cr)'!C165:CZ376,102,0)</f>
        <v>7.3000000000000001E-3</v>
      </c>
      <c r="E170" s="91">
        <f>VLOOKUP($A170,'Data Vlaue (Cr)'!$C:$FB,75)</f>
        <v>272</v>
      </c>
      <c r="F170" s="91">
        <f>VLOOKUP($A170,'Data Vlaue (Cr)'!$C:$FB,77)</f>
        <v>-3</v>
      </c>
      <c r="G170" s="92">
        <f>VLOOKUP(A170,'Data Vlaue (Cr)'!C165:CB376,78,0)</f>
        <v>-1.1900000000000001E-2</v>
      </c>
      <c r="H170" s="91">
        <f>VLOOKUP($A170,'Data Vlaue (Cr)'!$C:$FB,91)</f>
        <v>98</v>
      </c>
      <c r="I170" s="91">
        <f>VLOOKUP($A170,'Data Vlaue (Cr)'!$C:$FB,93)</f>
        <v>5</v>
      </c>
      <c r="J170" s="92">
        <f>VLOOKUP($A170,'Data Vlaue (Cr)'!$C:$FB,94)</f>
        <v>5.6399999999999999E-2</v>
      </c>
      <c r="K170" s="91">
        <f>VLOOKUP($A170,'Data Vlaue (Cr)'!$C:$FB,95)</f>
        <v>59</v>
      </c>
      <c r="L170" s="91">
        <f>VLOOKUP($A170,'Data Vlaue (Cr)'!$C:$FB,97)</f>
        <v>1</v>
      </c>
      <c r="M170" s="92">
        <f>VLOOKUP($A170,'Data Vlaue (Cr)'!$C:$FB,98)</f>
        <v>2.01E-2</v>
      </c>
      <c r="N170" s="91">
        <f>VLOOKUP($A170,'Data Vlaue (Cr)'!$C:$FB,79)</f>
        <v>250</v>
      </c>
      <c r="O170" s="92">
        <f>VLOOKUP($A170,'Data Vlaue (Cr)'!$C:$FB,82)</f>
        <v>-1.4500000000000001E-2</v>
      </c>
    </row>
    <row r="171" spans="1:15" x14ac:dyDescent="0.25">
      <c r="A171" s="97" t="str">
        <f>'Data Vlaue (Cr)'!C166</f>
        <v>PREMIERENE</v>
      </c>
      <c r="B171" s="142">
        <f>VLOOKUP(A171,'Data Vlaue (Cr)'!C166:CW377,99,0)</f>
        <v>1107</v>
      </c>
      <c r="C171" s="90">
        <f>VLOOKUP(A171,'Data Vlaue (Cr)'!C166:CY377,101,0)</f>
        <v>21</v>
      </c>
      <c r="D171" s="139">
        <f>VLOOKUP(A171,'Data Vlaue (Cr)'!C166:CZ377,102,0)</f>
        <v>1.9599999999999999E-2</v>
      </c>
      <c r="E171" s="91">
        <f>VLOOKUP($A171,'Data Vlaue (Cr)'!$C:$FB,75)</f>
        <v>563</v>
      </c>
      <c r="F171" s="91">
        <f>VLOOKUP($A171,'Data Vlaue (Cr)'!$C:$FB,77)</f>
        <v>-6</v>
      </c>
      <c r="G171" s="92">
        <f>VLOOKUP(A171,'Data Vlaue (Cr)'!C166:CB377,78,0)</f>
        <v>-1.03E-2</v>
      </c>
      <c r="H171" s="91">
        <f>VLOOKUP($A171,'Data Vlaue (Cr)'!$C:$FB,91)</f>
        <v>275</v>
      </c>
      <c r="I171" s="91">
        <f>VLOOKUP($A171,'Data Vlaue (Cr)'!$C:$FB,93)</f>
        <v>13</v>
      </c>
      <c r="J171" s="92">
        <f>VLOOKUP($A171,'Data Vlaue (Cr)'!$C:$FB,94)</f>
        <v>5.0500000000000003E-2</v>
      </c>
      <c r="K171" s="91">
        <f>VLOOKUP($A171,'Data Vlaue (Cr)'!$C:$FB,95)</f>
        <v>269</v>
      </c>
      <c r="L171" s="91">
        <f>VLOOKUP($A171,'Data Vlaue (Cr)'!$C:$FB,97)</f>
        <v>14</v>
      </c>
      <c r="M171" s="92">
        <f>VLOOKUP($A171,'Data Vlaue (Cr)'!$C:$FB,98)</f>
        <v>5.45E-2</v>
      </c>
      <c r="N171" s="91">
        <f>VLOOKUP($A171,'Data Vlaue (Cr)'!$C:$FB,79)</f>
        <v>553</v>
      </c>
      <c r="O171" s="92">
        <f>VLOOKUP($A171,'Data Vlaue (Cr)'!$C:$FB,82)</f>
        <v>-1.1299999999999999E-2</v>
      </c>
    </row>
    <row r="172" spans="1:15" x14ac:dyDescent="0.25">
      <c r="A172" s="97" t="str">
        <f>'Data Vlaue (Cr)'!C167</f>
        <v>PRESTIGE</v>
      </c>
      <c r="B172" s="142">
        <f>VLOOKUP(A172,'Data Vlaue (Cr)'!C167:CW378,99,0)</f>
        <v>925</v>
      </c>
      <c r="C172" s="90">
        <f>VLOOKUP(A172,'Data Vlaue (Cr)'!C167:CY378,101,0)</f>
        <v>-6</v>
      </c>
      <c r="D172" s="139">
        <f>VLOOKUP(A172,'Data Vlaue (Cr)'!C167:CZ378,102,0)</f>
        <v>-6.0000000000000001E-3</v>
      </c>
      <c r="E172" s="91">
        <f>VLOOKUP($A172,'Data Vlaue (Cr)'!$C:$FB,75)</f>
        <v>652</v>
      </c>
      <c r="F172" s="91">
        <f>VLOOKUP($A172,'Data Vlaue (Cr)'!$C:$FB,77)</f>
        <v>1</v>
      </c>
      <c r="G172" s="92">
        <f>VLOOKUP(A172,'Data Vlaue (Cr)'!C167:CB378,78,0)</f>
        <v>1.8E-3</v>
      </c>
      <c r="H172" s="91">
        <f>VLOOKUP($A172,'Data Vlaue (Cr)'!$C:$FB,91)</f>
        <v>131</v>
      </c>
      <c r="I172" s="91">
        <f>VLOOKUP($A172,'Data Vlaue (Cr)'!$C:$FB,93)</f>
        <v>-7</v>
      </c>
      <c r="J172" s="92">
        <f>VLOOKUP($A172,'Data Vlaue (Cr)'!$C:$FB,94)</f>
        <v>-4.8300000000000003E-2</v>
      </c>
      <c r="K172" s="91">
        <f>VLOOKUP($A172,'Data Vlaue (Cr)'!$C:$FB,95)</f>
        <v>143</v>
      </c>
      <c r="L172" s="91">
        <f>VLOOKUP($A172,'Data Vlaue (Cr)'!$C:$FB,97)</f>
        <v>0</v>
      </c>
      <c r="M172" s="92">
        <f>VLOOKUP($A172,'Data Vlaue (Cr)'!$C:$FB,98)</f>
        <v>-8.9999999999999998E-4</v>
      </c>
      <c r="N172" s="91">
        <f>VLOOKUP($A172,'Data Vlaue (Cr)'!$C:$FB,79)</f>
        <v>644</v>
      </c>
      <c r="O172" s="92">
        <f>VLOOKUP($A172,'Data Vlaue (Cr)'!$C:$FB,82)</f>
        <v>1.8E-3</v>
      </c>
    </row>
    <row r="173" spans="1:15" x14ac:dyDescent="0.25">
      <c r="A173" s="97" t="str">
        <f>'Data Vlaue (Cr)'!C168</f>
        <v>RBLBANK</v>
      </c>
      <c r="B173" s="142">
        <f>VLOOKUP(A173,'Data Vlaue (Cr)'!C168:CW379,99,0)</f>
        <v>3120</v>
      </c>
      <c r="C173" s="90">
        <f>VLOOKUP(A173,'Data Vlaue (Cr)'!C168:CY379,101,0)</f>
        <v>56</v>
      </c>
      <c r="D173" s="139">
        <f>VLOOKUP(A173,'Data Vlaue (Cr)'!C168:CZ379,102,0)</f>
        <v>1.8100000000000002E-2</v>
      </c>
      <c r="E173" s="91">
        <f>VLOOKUP($A173,'Data Vlaue (Cr)'!$C:$FB,75)</f>
        <v>1979</v>
      </c>
      <c r="F173" s="91">
        <f>VLOOKUP($A173,'Data Vlaue (Cr)'!$C:$FB,77)</f>
        <v>28</v>
      </c>
      <c r="G173" s="92">
        <f>VLOOKUP(A173,'Data Vlaue (Cr)'!C168:CB379,78,0)</f>
        <v>1.44E-2</v>
      </c>
      <c r="H173" s="91">
        <f>VLOOKUP($A173,'Data Vlaue (Cr)'!$C:$FB,91)</f>
        <v>621</v>
      </c>
      <c r="I173" s="91">
        <f>VLOOKUP($A173,'Data Vlaue (Cr)'!$C:$FB,93)</f>
        <v>17</v>
      </c>
      <c r="J173" s="92">
        <f>VLOOKUP($A173,'Data Vlaue (Cr)'!$C:$FB,94)</f>
        <v>2.8199999999999999E-2</v>
      </c>
      <c r="K173" s="91">
        <f>VLOOKUP($A173,'Data Vlaue (Cr)'!$C:$FB,95)</f>
        <v>520</v>
      </c>
      <c r="L173" s="91">
        <f>VLOOKUP($A173,'Data Vlaue (Cr)'!$C:$FB,97)</f>
        <v>10</v>
      </c>
      <c r="M173" s="92">
        <f>VLOOKUP($A173,'Data Vlaue (Cr)'!$C:$FB,98)</f>
        <v>2.0400000000000001E-2</v>
      </c>
      <c r="N173" s="91">
        <f>VLOOKUP($A173,'Data Vlaue (Cr)'!$C:$FB,79)</f>
        <v>1945</v>
      </c>
      <c r="O173" s="92">
        <f>VLOOKUP($A173,'Data Vlaue (Cr)'!$C:$FB,82)</f>
        <v>1.2999999999999999E-2</v>
      </c>
    </row>
    <row r="174" spans="1:15" x14ac:dyDescent="0.25">
      <c r="A174" s="97" t="str">
        <f>'Data Vlaue (Cr)'!C169</f>
        <v>RECLTD</v>
      </c>
      <c r="B174" s="142">
        <f>VLOOKUP(A174,'Data Vlaue (Cr)'!C169:CW380,99,0)</f>
        <v>4580</v>
      </c>
      <c r="C174" s="90">
        <f>VLOOKUP(A174,'Data Vlaue (Cr)'!C169:CY380,101,0)</f>
        <v>122</v>
      </c>
      <c r="D174" s="139">
        <f>VLOOKUP(A174,'Data Vlaue (Cr)'!C169:CZ380,102,0)</f>
        <v>2.7300000000000001E-2</v>
      </c>
      <c r="E174" s="91">
        <f>VLOOKUP($A174,'Data Vlaue (Cr)'!$C:$FB,75)</f>
        <v>2702</v>
      </c>
      <c r="F174" s="91">
        <f>VLOOKUP($A174,'Data Vlaue (Cr)'!$C:$FB,77)</f>
        <v>2</v>
      </c>
      <c r="G174" s="92">
        <f>VLOOKUP(A174,'Data Vlaue (Cr)'!C169:CB380,78,0)</f>
        <v>8.0000000000000004E-4</v>
      </c>
      <c r="H174" s="91">
        <f>VLOOKUP($A174,'Data Vlaue (Cr)'!$C:$FB,91)</f>
        <v>881</v>
      </c>
      <c r="I174" s="91">
        <f>VLOOKUP($A174,'Data Vlaue (Cr)'!$C:$FB,93)</f>
        <v>21</v>
      </c>
      <c r="J174" s="92">
        <f>VLOOKUP($A174,'Data Vlaue (Cr)'!$C:$FB,94)</f>
        <v>2.4400000000000002E-2</v>
      </c>
      <c r="K174" s="91">
        <f>VLOOKUP($A174,'Data Vlaue (Cr)'!$C:$FB,95)</f>
        <v>997</v>
      </c>
      <c r="L174" s="91">
        <f>VLOOKUP($A174,'Data Vlaue (Cr)'!$C:$FB,97)</f>
        <v>98</v>
      </c>
      <c r="M174" s="92">
        <f>VLOOKUP($A174,'Data Vlaue (Cr)'!$C:$FB,98)</f>
        <v>0.10970000000000001</v>
      </c>
      <c r="N174" s="91">
        <f>VLOOKUP($A174,'Data Vlaue (Cr)'!$C:$FB,79)</f>
        <v>2496</v>
      </c>
      <c r="O174" s="92">
        <f>VLOOKUP($A174,'Data Vlaue (Cr)'!$C:$FB,82)</f>
        <v>1.8E-3</v>
      </c>
    </row>
    <row r="175" spans="1:15" x14ac:dyDescent="0.25">
      <c r="A175" s="97" t="str">
        <f>'Data Vlaue (Cr)'!C170</f>
        <v>RELIANCE</v>
      </c>
      <c r="B175" s="142">
        <f>VLOOKUP(A175,'Data Vlaue (Cr)'!C170:CW381,99,0)</f>
        <v>25967</v>
      </c>
      <c r="C175" s="90">
        <f>VLOOKUP(A175,'Data Vlaue (Cr)'!C170:CY381,101,0)</f>
        <v>-130</v>
      </c>
      <c r="D175" s="139">
        <f>VLOOKUP(A175,'Data Vlaue (Cr)'!C170:CZ381,102,0)</f>
        <v>-5.0000000000000001E-3</v>
      </c>
      <c r="E175" s="91">
        <f>VLOOKUP($A175,'Data Vlaue (Cr)'!$C:$FB,75)</f>
        <v>15517</v>
      </c>
      <c r="F175" s="91">
        <f>VLOOKUP($A175,'Data Vlaue (Cr)'!$C:$FB,77)</f>
        <v>-143</v>
      </c>
      <c r="G175" s="92">
        <f>VLOOKUP(A175,'Data Vlaue (Cr)'!C170:CB381,78,0)</f>
        <v>-9.1000000000000004E-3</v>
      </c>
      <c r="H175" s="91">
        <f>VLOOKUP($A175,'Data Vlaue (Cr)'!$C:$FB,91)</f>
        <v>6041</v>
      </c>
      <c r="I175" s="91">
        <f>VLOOKUP($A175,'Data Vlaue (Cr)'!$C:$FB,93)</f>
        <v>-138</v>
      </c>
      <c r="J175" s="92">
        <f>VLOOKUP($A175,'Data Vlaue (Cr)'!$C:$FB,94)</f>
        <v>-2.23E-2</v>
      </c>
      <c r="K175" s="91">
        <f>VLOOKUP($A175,'Data Vlaue (Cr)'!$C:$FB,95)</f>
        <v>4409</v>
      </c>
      <c r="L175" s="91">
        <f>VLOOKUP($A175,'Data Vlaue (Cr)'!$C:$FB,97)</f>
        <v>151</v>
      </c>
      <c r="M175" s="92">
        <f>VLOOKUP($A175,'Data Vlaue (Cr)'!$C:$FB,98)</f>
        <v>3.5299999999999998E-2</v>
      </c>
      <c r="N175" s="91">
        <f>VLOOKUP($A175,'Data Vlaue (Cr)'!$C:$FB,79)</f>
        <v>14850</v>
      </c>
      <c r="O175" s="92">
        <f>VLOOKUP($A175,'Data Vlaue (Cr)'!$C:$FB,82)</f>
        <v>-1.06E-2</v>
      </c>
    </row>
    <row r="176" spans="1:15" x14ac:dyDescent="0.25">
      <c r="A176" s="97" t="str">
        <f>'Data Vlaue (Cr)'!C171</f>
        <v>RVNL</v>
      </c>
      <c r="B176" s="142">
        <f>VLOOKUP(A176,'Data Vlaue (Cr)'!C171:CW382,99,0)</f>
        <v>2983</v>
      </c>
      <c r="C176" s="90">
        <f>VLOOKUP(A176,'Data Vlaue (Cr)'!C171:CY382,101,0)</f>
        <v>36</v>
      </c>
      <c r="D176" s="139">
        <f>VLOOKUP(A176,'Data Vlaue (Cr)'!C171:CZ382,102,0)</f>
        <v>1.21E-2</v>
      </c>
      <c r="E176" s="91">
        <f>VLOOKUP($A176,'Data Vlaue (Cr)'!$C:$FB,75)</f>
        <v>1746</v>
      </c>
      <c r="F176" s="91">
        <f>VLOOKUP($A176,'Data Vlaue (Cr)'!$C:$FB,77)</f>
        <v>-19</v>
      </c>
      <c r="G176" s="92">
        <f>VLOOKUP(A176,'Data Vlaue (Cr)'!C171:CB382,78,0)</f>
        <v>-1.0800000000000001E-2</v>
      </c>
      <c r="H176" s="91">
        <f>VLOOKUP($A176,'Data Vlaue (Cr)'!$C:$FB,91)</f>
        <v>828</v>
      </c>
      <c r="I176" s="91">
        <f>VLOOKUP($A176,'Data Vlaue (Cr)'!$C:$FB,93)</f>
        <v>52</v>
      </c>
      <c r="J176" s="92">
        <f>VLOOKUP($A176,'Data Vlaue (Cr)'!$C:$FB,94)</f>
        <v>6.7400000000000002E-2</v>
      </c>
      <c r="K176" s="91">
        <f>VLOOKUP($A176,'Data Vlaue (Cr)'!$C:$FB,95)</f>
        <v>409</v>
      </c>
      <c r="L176" s="91">
        <f>VLOOKUP($A176,'Data Vlaue (Cr)'!$C:$FB,97)</f>
        <v>2</v>
      </c>
      <c r="M176" s="92">
        <f>VLOOKUP($A176,'Data Vlaue (Cr)'!$C:$FB,98)</f>
        <v>5.4999999999999997E-3</v>
      </c>
      <c r="N176" s="91">
        <f>VLOOKUP($A176,'Data Vlaue (Cr)'!$C:$FB,79)</f>
        <v>1556</v>
      </c>
      <c r="O176" s="92">
        <f>VLOOKUP($A176,'Data Vlaue (Cr)'!$C:$FB,82)</f>
        <v>-1.8100000000000002E-2</v>
      </c>
    </row>
    <row r="177" spans="1:15" x14ac:dyDescent="0.25">
      <c r="A177" s="97" t="str">
        <f>'Data Vlaue (Cr)'!C172</f>
        <v>SAIL</v>
      </c>
      <c r="B177" s="142">
        <f>VLOOKUP(A177,'Data Vlaue (Cr)'!C172:CW383,99,0)</f>
        <v>3963</v>
      </c>
      <c r="C177" s="90">
        <f>VLOOKUP(A177,'Data Vlaue (Cr)'!C172:CY383,101,0)</f>
        <v>-54</v>
      </c>
      <c r="D177" s="139">
        <f>VLOOKUP(A177,'Data Vlaue (Cr)'!C172:CZ383,102,0)</f>
        <v>-1.35E-2</v>
      </c>
      <c r="E177" s="91">
        <f>VLOOKUP($A177,'Data Vlaue (Cr)'!$C:$FB,75)</f>
        <v>3359</v>
      </c>
      <c r="F177" s="91">
        <f>VLOOKUP($A177,'Data Vlaue (Cr)'!$C:$FB,77)</f>
        <v>-43</v>
      </c>
      <c r="G177" s="92">
        <f>VLOOKUP(A177,'Data Vlaue (Cr)'!C172:CB383,78,0)</f>
        <v>-1.2500000000000001E-2</v>
      </c>
      <c r="H177" s="91">
        <f>VLOOKUP($A177,'Data Vlaue (Cr)'!$C:$FB,91)</f>
        <v>362</v>
      </c>
      <c r="I177" s="91">
        <f>VLOOKUP($A177,'Data Vlaue (Cr)'!$C:$FB,93)</f>
        <v>-8</v>
      </c>
      <c r="J177" s="92">
        <f>VLOOKUP($A177,'Data Vlaue (Cr)'!$C:$FB,94)</f>
        <v>-2.24E-2</v>
      </c>
      <c r="K177" s="91">
        <f>VLOOKUP($A177,'Data Vlaue (Cr)'!$C:$FB,95)</f>
        <v>242</v>
      </c>
      <c r="L177" s="91">
        <f>VLOOKUP($A177,'Data Vlaue (Cr)'!$C:$FB,97)</f>
        <v>-3</v>
      </c>
      <c r="M177" s="92">
        <f>VLOOKUP($A177,'Data Vlaue (Cr)'!$C:$FB,98)</f>
        <v>-1.3299999999999999E-2</v>
      </c>
      <c r="N177" s="91">
        <f>VLOOKUP($A177,'Data Vlaue (Cr)'!$C:$FB,79)</f>
        <v>2838</v>
      </c>
      <c r="O177" s="92">
        <f>VLOOKUP($A177,'Data Vlaue (Cr)'!$C:$FB,82)</f>
        <v>-1.38E-2</v>
      </c>
    </row>
    <row r="178" spans="1:15" x14ac:dyDescent="0.25">
      <c r="A178" s="97" t="str">
        <f>'Data Vlaue (Cr)'!C173</f>
        <v>SAMMAANCAP</v>
      </c>
      <c r="B178" s="142">
        <f>VLOOKUP(A178,'Data Vlaue (Cr)'!C173:CW384,99,0)</f>
        <v>2142</v>
      </c>
      <c r="C178" s="90">
        <f>VLOOKUP(A178,'Data Vlaue (Cr)'!C173:CY384,101,0)</f>
        <v>-4</v>
      </c>
      <c r="D178" s="139">
        <f>VLOOKUP(A178,'Data Vlaue (Cr)'!C173:CZ384,102,0)</f>
        <v>-1.8E-3</v>
      </c>
      <c r="E178" s="91">
        <f>VLOOKUP($A178,'Data Vlaue (Cr)'!$C:$FB,75)</f>
        <v>1653</v>
      </c>
      <c r="F178" s="91">
        <f>VLOOKUP($A178,'Data Vlaue (Cr)'!$C:$FB,77)</f>
        <v>-3</v>
      </c>
      <c r="G178" s="92">
        <f>VLOOKUP(A178,'Data Vlaue (Cr)'!C173:CB384,78,0)</f>
        <v>-1.9E-3</v>
      </c>
      <c r="H178" s="91">
        <f>VLOOKUP($A178,'Data Vlaue (Cr)'!$C:$FB,91)</f>
        <v>340</v>
      </c>
      <c r="I178" s="91">
        <f>VLOOKUP($A178,'Data Vlaue (Cr)'!$C:$FB,93)</f>
        <v>-1</v>
      </c>
      <c r="J178" s="92">
        <f>VLOOKUP($A178,'Data Vlaue (Cr)'!$C:$FB,94)</f>
        <v>-1.8E-3</v>
      </c>
      <c r="K178" s="91">
        <f>VLOOKUP($A178,'Data Vlaue (Cr)'!$C:$FB,95)</f>
        <v>149</v>
      </c>
      <c r="L178" s="91">
        <f>VLOOKUP($A178,'Data Vlaue (Cr)'!$C:$FB,97)</f>
        <v>0</v>
      </c>
      <c r="M178" s="92">
        <f>VLOOKUP($A178,'Data Vlaue (Cr)'!$C:$FB,98)</f>
        <v>4.0000000000000002E-4</v>
      </c>
      <c r="N178" s="91">
        <f>VLOOKUP($A178,'Data Vlaue (Cr)'!$C:$FB,79)</f>
        <v>1585</v>
      </c>
      <c r="O178" s="92">
        <f>VLOOKUP($A178,'Data Vlaue (Cr)'!$C:$FB,82)</f>
        <v>-2E-3</v>
      </c>
    </row>
    <row r="179" spans="1:15" x14ac:dyDescent="0.25">
      <c r="A179" s="97" t="str">
        <f>'Data Vlaue (Cr)'!C174</f>
        <v>SBICARD</v>
      </c>
      <c r="B179" s="142">
        <f>VLOOKUP(A179,'Data Vlaue (Cr)'!C174:CW385,99,0)</f>
        <v>2553</v>
      </c>
      <c r="C179" s="90">
        <f>VLOOKUP(A179,'Data Vlaue (Cr)'!C174:CY385,101,0)</f>
        <v>-7</v>
      </c>
      <c r="D179" s="139">
        <f>VLOOKUP(A179,'Data Vlaue (Cr)'!C174:CZ385,102,0)</f>
        <v>-2.8999999999999998E-3</v>
      </c>
      <c r="E179" s="91">
        <f>VLOOKUP($A179,'Data Vlaue (Cr)'!$C:$FB,75)</f>
        <v>1725</v>
      </c>
      <c r="F179" s="91">
        <f>VLOOKUP($A179,'Data Vlaue (Cr)'!$C:$FB,77)</f>
        <v>-34</v>
      </c>
      <c r="G179" s="92">
        <f>VLOOKUP(A179,'Data Vlaue (Cr)'!C174:CB385,78,0)</f>
        <v>-1.9099999999999999E-2</v>
      </c>
      <c r="H179" s="91">
        <f>VLOOKUP($A179,'Data Vlaue (Cr)'!$C:$FB,91)</f>
        <v>501</v>
      </c>
      <c r="I179" s="91">
        <f>VLOOKUP($A179,'Data Vlaue (Cr)'!$C:$FB,93)</f>
        <v>22</v>
      </c>
      <c r="J179" s="92">
        <f>VLOOKUP($A179,'Data Vlaue (Cr)'!$C:$FB,94)</f>
        <v>4.5499999999999999E-2</v>
      </c>
      <c r="K179" s="91">
        <f>VLOOKUP($A179,'Data Vlaue (Cr)'!$C:$FB,95)</f>
        <v>327</v>
      </c>
      <c r="L179" s="91">
        <f>VLOOKUP($A179,'Data Vlaue (Cr)'!$C:$FB,97)</f>
        <v>4</v>
      </c>
      <c r="M179" s="92">
        <f>VLOOKUP($A179,'Data Vlaue (Cr)'!$C:$FB,98)</f>
        <v>1.3599999999999999E-2</v>
      </c>
      <c r="N179" s="91">
        <f>VLOOKUP($A179,'Data Vlaue (Cr)'!$C:$FB,79)</f>
        <v>1588</v>
      </c>
      <c r="O179" s="92">
        <f>VLOOKUP($A179,'Data Vlaue (Cr)'!$C:$FB,82)</f>
        <v>-2.1999999999999999E-2</v>
      </c>
    </row>
    <row r="180" spans="1:15" x14ac:dyDescent="0.25">
      <c r="A180" s="97" t="str">
        <f>'Data Vlaue (Cr)'!C175</f>
        <v>SBILIFE</v>
      </c>
      <c r="B180" s="142">
        <f>VLOOKUP(A180,'Data Vlaue (Cr)'!C175:CW386,99,0)</f>
        <v>2574</v>
      </c>
      <c r="C180" s="90">
        <f>VLOOKUP(A180,'Data Vlaue (Cr)'!C175:CY386,101,0)</f>
        <v>135</v>
      </c>
      <c r="D180" s="139">
        <f>VLOOKUP(A180,'Data Vlaue (Cr)'!C175:CZ386,102,0)</f>
        <v>5.5399999999999998E-2</v>
      </c>
      <c r="E180" s="91">
        <f>VLOOKUP($A180,'Data Vlaue (Cr)'!$C:$FB,75)</f>
        <v>1738</v>
      </c>
      <c r="F180" s="91">
        <f>VLOOKUP($A180,'Data Vlaue (Cr)'!$C:$FB,77)</f>
        <v>31</v>
      </c>
      <c r="G180" s="92">
        <f>VLOOKUP(A180,'Data Vlaue (Cr)'!C175:CB386,78,0)</f>
        <v>1.7999999999999999E-2</v>
      </c>
      <c r="H180" s="91">
        <f>VLOOKUP($A180,'Data Vlaue (Cr)'!$C:$FB,91)</f>
        <v>591</v>
      </c>
      <c r="I180" s="91">
        <f>VLOOKUP($A180,'Data Vlaue (Cr)'!$C:$FB,93)</f>
        <v>85</v>
      </c>
      <c r="J180" s="92">
        <f>VLOOKUP($A180,'Data Vlaue (Cr)'!$C:$FB,94)</f>
        <v>0.16830000000000001</v>
      </c>
      <c r="K180" s="91">
        <f>VLOOKUP($A180,'Data Vlaue (Cr)'!$C:$FB,95)</f>
        <v>245</v>
      </c>
      <c r="L180" s="91">
        <f>VLOOKUP($A180,'Data Vlaue (Cr)'!$C:$FB,97)</f>
        <v>19</v>
      </c>
      <c r="M180" s="92">
        <f>VLOOKUP($A180,'Data Vlaue (Cr)'!$C:$FB,98)</f>
        <v>8.4900000000000003E-2</v>
      </c>
      <c r="N180" s="91">
        <f>VLOOKUP($A180,'Data Vlaue (Cr)'!$C:$FB,79)</f>
        <v>1722</v>
      </c>
      <c r="O180" s="92">
        <f>VLOOKUP($A180,'Data Vlaue (Cr)'!$C:$FB,82)</f>
        <v>1.7600000000000001E-2</v>
      </c>
    </row>
    <row r="181" spans="1:15" x14ac:dyDescent="0.25">
      <c r="A181" s="97" t="str">
        <f>'Data Vlaue (Cr)'!C176</f>
        <v>SBIN</v>
      </c>
      <c r="B181" s="142">
        <f>VLOOKUP(A181,'Data Vlaue (Cr)'!C176:CW387,99,0)</f>
        <v>15090</v>
      </c>
      <c r="C181" s="90">
        <f>VLOOKUP(A181,'Data Vlaue (Cr)'!C176:CY387,101,0)</f>
        <v>592</v>
      </c>
      <c r="D181" s="139">
        <f>VLOOKUP(A181,'Data Vlaue (Cr)'!C176:CZ387,102,0)</f>
        <v>4.0800000000000003E-2</v>
      </c>
      <c r="E181" s="91">
        <f>VLOOKUP($A181,'Data Vlaue (Cr)'!$C:$FB,75)</f>
        <v>7134</v>
      </c>
      <c r="F181" s="91">
        <f>VLOOKUP($A181,'Data Vlaue (Cr)'!$C:$FB,77)</f>
        <v>369</v>
      </c>
      <c r="G181" s="92">
        <f>VLOOKUP(A181,'Data Vlaue (Cr)'!C176:CB387,78,0)</f>
        <v>5.45E-2</v>
      </c>
      <c r="H181" s="91">
        <f>VLOOKUP($A181,'Data Vlaue (Cr)'!$C:$FB,91)</f>
        <v>4414</v>
      </c>
      <c r="I181" s="91">
        <f>VLOOKUP($A181,'Data Vlaue (Cr)'!$C:$FB,93)</f>
        <v>426</v>
      </c>
      <c r="J181" s="92">
        <f>VLOOKUP($A181,'Data Vlaue (Cr)'!$C:$FB,94)</f>
        <v>0.10680000000000001</v>
      </c>
      <c r="K181" s="91">
        <f>VLOOKUP($A181,'Data Vlaue (Cr)'!$C:$FB,95)</f>
        <v>3542</v>
      </c>
      <c r="L181" s="91">
        <f>VLOOKUP($A181,'Data Vlaue (Cr)'!$C:$FB,97)</f>
        <v>-203</v>
      </c>
      <c r="M181" s="92">
        <f>VLOOKUP($A181,'Data Vlaue (Cr)'!$C:$FB,98)</f>
        <v>-5.4199999999999998E-2</v>
      </c>
      <c r="N181" s="91">
        <f>VLOOKUP($A181,'Data Vlaue (Cr)'!$C:$FB,79)</f>
        <v>6813</v>
      </c>
      <c r="O181" s="92">
        <f>VLOOKUP($A181,'Data Vlaue (Cr)'!$C:$FB,82)</f>
        <v>4.8099999999999997E-2</v>
      </c>
    </row>
    <row r="182" spans="1:15" x14ac:dyDescent="0.25">
      <c r="A182" s="97" t="str">
        <f>'Data Vlaue (Cr)'!C177</f>
        <v>SHREECEM</v>
      </c>
      <c r="B182" s="142">
        <f>VLOOKUP(A182,'Data Vlaue (Cr)'!C177:CW388,99,0)</f>
        <v>1119</v>
      </c>
      <c r="C182" s="90">
        <f>VLOOKUP(A182,'Data Vlaue (Cr)'!C177:CY388,101,0)</f>
        <v>16</v>
      </c>
      <c r="D182" s="139">
        <f>VLOOKUP(A182,'Data Vlaue (Cr)'!C177:CZ388,102,0)</f>
        <v>1.4500000000000001E-2</v>
      </c>
      <c r="E182" s="91">
        <f>VLOOKUP($A182,'Data Vlaue (Cr)'!$C:$FB,75)</f>
        <v>875</v>
      </c>
      <c r="F182" s="91">
        <f>VLOOKUP($A182,'Data Vlaue (Cr)'!$C:$FB,77)</f>
        <v>3</v>
      </c>
      <c r="G182" s="92">
        <f>VLOOKUP(A182,'Data Vlaue (Cr)'!C177:CB388,78,0)</f>
        <v>3.0999999999999999E-3</v>
      </c>
      <c r="H182" s="91">
        <f>VLOOKUP($A182,'Data Vlaue (Cr)'!$C:$FB,91)</f>
        <v>151</v>
      </c>
      <c r="I182" s="91">
        <f>VLOOKUP($A182,'Data Vlaue (Cr)'!$C:$FB,93)</f>
        <v>14</v>
      </c>
      <c r="J182" s="92">
        <f>VLOOKUP($A182,'Data Vlaue (Cr)'!$C:$FB,94)</f>
        <v>0.10059999999999999</v>
      </c>
      <c r="K182" s="91">
        <f>VLOOKUP($A182,'Data Vlaue (Cr)'!$C:$FB,95)</f>
        <v>93</v>
      </c>
      <c r="L182" s="91">
        <f>VLOOKUP($A182,'Data Vlaue (Cr)'!$C:$FB,97)</f>
        <v>-1</v>
      </c>
      <c r="M182" s="92">
        <f>VLOOKUP($A182,'Data Vlaue (Cr)'!$C:$FB,98)</f>
        <v>-5.4000000000000003E-3</v>
      </c>
      <c r="N182" s="91">
        <f>VLOOKUP($A182,'Data Vlaue (Cr)'!$C:$FB,79)</f>
        <v>838</v>
      </c>
      <c r="O182" s="92">
        <f>VLOOKUP($A182,'Data Vlaue (Cr)'!$C:$FB,82)</f>
        <v>-5.9999999999999995E-4</v>
      </c>
    </row>
    <row r="183" spans="1:15" x14ac:dyDescent="0.25">
      <c r="A183" s="97" t="str">
        <f>'Data Vlaue (Cr)'!C178</f>
        <v>SHRIRAMFIN</v>
      </c>
      <c r="B183" s="142">
        <f>VLOOKUP(A183,'Data Vlaue (Cr)'!C178:CW389,99,0)</f>
        <v>5252</v>
      </c>
      <c r="C183" s="90">
        <f>VLOOKUP(A183,'Data Vlaue (Cr)'!C178:CY389,101,0)</f>
        <v>24</v>
      </c>
      <c r="D183" s="139">
        <f>VLOOKUP(A183,'Data Vlaue (Cr)'!C178:CZ389,102,0)</f>
        <v>4.5999999999999999E-3</v>
      </c>
      <c r="E183" s="91">
        <f>VLOOKUP($A183,'Data Vlaue (Cr)'!$C:$FB,75)</f>
        <v>3623</v>
      </c>
      <c r="F183" s="91">
        <f>VLOOKUP($A183,'Data Vlaue (Cr)'!$C:$FB,77)</f>
        <v>-30</v>
      </c>
      <c r="G183" s="92">
        <f>VLOOKUP(A183,'Data Vlaue (Cr)'!C178:CB389,78,0)</f>
        <v>-8.0999999999999996E-3</v>
      </c>
      <c r="H183" s="91">
        <f>VLOOKUP($A183,'Data Vlaue (Cr)'!$C:$FB,91)</f>
        <v>883</v>
      </c>
      <c r="I183" s="91">
        <f>VLOOKUP($A183,'Data Vlaue (Cr)'!$C:$FB,93)</f>
        <v>11</v>
      </c>
      <c r="J183" s="92">
        <f>VLOOKUP($A183,'Data Vlaue (Cr)'!$C:$FB,94)</f>
        <v>1.3100000000000001E-2</v>
      </c>
      <c r="K183" s="91">
        <f>VLOOKUP($A183,'Data Vlaue (Cr)'!$C:$FB,95)</f>
        <v>746</v>
      </c>
      <c r="L183" s="91">
        <f>VLOOKUP($A183,'Data Vlaue (Cr)'!$C:$FB,97)</f>
        <v>42</v>
      </c>
      <c r="M183" s="92">
        <f>VLOOKUP($A183,'Data Vlaue (Cr)'!$C:$FB,98)</f>
        <v>5.9799999999999999E-2</v>
      </c>
      <c r="N183" s="91">
        <f>VLOOKUP($A183,'Data Vlaue (Cr)'!$C:$FB,79)</f>
        <v>3555</v>
      </c>
      <c r="O183" s="92">
        <f>VLOOKUP($A183,'Data Vlaue (Cr)'!$C:$FB,82)</f>
        <v>-8.9999999999999993E-3</v>
      </c>
    </row>
    <row r="184" spans="1:15" x14ac:dyDescent="0.25">
      <c r="A184" s="97" t="str">
        <f>'Data Vlaue (Cr)'!C179</f>
        <v>SIEMENS</v>
      </c>
      <c r="B184" s="142">
        <f>VLOOKUP(A184,'Data Vlaue (Cr)'!C179:CW390,99,0)</f>
        <v>1506</v>
      </c>
      <c r="C184" s="90">
        <f>VLOOKUP(A184,'Data Vlaue (Cr)'!C179:CY390,101,0)</f>
        <v>-6</v>
      </c>
      <c r="D184" s="139">
        <f>VLOOKUP(A184,'Data Vlaue (Cr)'!C179:CZ390,102,0)</f>
        <v>-4.1999999999999997E-3</v>
      </c>
      <c r="E184" s="91">
        <f>VLOOKUP($A184,'Data Vlaue (Cr)'!$C:$FB,75)</f>
        <v>783</v>
      </c>
      <c r="F184" s="91">
        <f>VLOOKUP($A184,'Data Vlaue (Cr)'!$C:$FB,77)</f>
        <v>1</v>
      </c>
      <c r="G184" s="92">
        <f>VLOOKUP(A184,'Data Vlaue (Cr)'!C179:CB390,78,0)</f>
        <v>1.6999999999999999E-3</v>
      </c>
      <c r="H184" s="91">
        <f>VLOOKUP($A184,'Data Vlaue (Cr)'!$C:$FB,91)</f>
        <v>482</v>
      </c>
      <c r="I184" s="91">
        <f>VLOOKUP($A184,'Data Vlaue (Cr)'!$C:$FB,93)</f>
        <v>2</v>
      </c>
      <c r="J184" s="92">
        <f>VLOOKUP($A184,'Data Vlaue (Cr)'!$C:$FB,94)</f>
        <v>4.5999999999999999E-3</v>
      </c>
      <c r="K184" s="91">
        <f>VLOOKUP($A184,'Data Vlaue (Cr)'!$C:$FB,95)</f>
        <v>241</v>
      </c>
      <c r="L184" s="91">
        <f>VLOOKUP($A184,'Data Vlaue (Cr)'!$C:$FB,97)</f>
        <v>-10</v>
      </c>
      <c r="M184" s="92">
        <f>VLOOKUP($A184,'Data Vlaue (Cr)'!$C:$FB,98)</f>
        <v>-3.9E-2</v>
      </c>
      <c r="N184" s="91">
        <f>VLOOKUP($A184,'Data Vlaue (Cr)'!$C:$FB,79)</f>
        <v>768</v>
      </c>
      <c r="O184" s="92">
        <f>VLOOKUP($A184,'Data Vlaue (Cr)'!$C:$FB,82)</f>
        <v>1E-3</v>
      </c>
    </row>
    <row r="185" spans="1:15" x14ac:dyDescent="0.25">
      <c r="A185" s="97" t="str">
        <f>'Data Vlaue (Cr)'!C180</f>
        <v>SOLARINDS</v>
      </c>
      <c r="B185" s="142">
        <f>VLOOKUP(A185,'Data Vlaue (Cr)'!C180:CW391,99,0)</f>
        <v>1809</v>
      </c>
      <c r="C185" s="90">
        <f>VLOOKUP(A185,'Data Vlaue (Cr)'!C180:CY391,101,0)</f>
        <v>52</v>
      </c>
      <c r="D185" s="139">
        <f>VLOOKUP(A185,'Data Vlaue (Cr)'!C180:CZ391,102,0)</f>
        <v>2.9700000000000001E-2</v>
      </c>
      <c r="E185" s="91">
        <f>VLOOKUP($A185,'Data Vlaue (Cr)'!$C:$FB,75)</f>
        <v>1048</v>
      </c>
      <c r="F185" s="91">
        <f>VLOOKUP($A185,'Data Vlaue (Cr)'!$C:$FB,77)</f>
        <v>-20</v>
      </c>
      <c r="G185" s="92">
        <f>VLOOKUP(A185,'Data Vlaue (Cr)'!C180:CB391,78,0)</f>
        <v>-1.83E-2</v>
      </c>
      <c r="H185" s="91">
        <f>VLOOKUP($A185,'Data Vlaue (Cr)'!$C:$FB,91)</f>
        <v>420</v>
      </c>
      <c r="I185" s="91">
        <f>VLOOKUP($A185,'Data Vlaue (Cr)'!$C:$FB,93)</f>
        <v>41</v>
      </c>
      <c r="J185" s="92">
        <f>VLOOKUP($A185,'Data Vlaue (Cr)'!$C:$FB,94)</f>
        <v>0.1087</v>
      </c>
      <c r="K185" s="91">
        <f>VLOOKUP($A185,'Data Vlaue (Cr)'!$C:$FB,95)</f>
        <v>340</v>
      </c>
      <c r="L185" s="91">
        <f>VLOOKUP($A185,'Data Vlaue (Cr)'!$C:$FB,97)</f>
        <v>30</v>
      </c>
      <c r="M185" s="92">
        <f>VLOOKUP($A185,'Data Vlaue (Cr)'!$C:$FB,98)</f>
        <v>9.8400000000000001E-2</v>
      </c>
      <c r="N185" s="91">
        <f>VLOOKUP($A185,'Data Vlaue (Cr)'!$C:$FB,79)</f>
        <v>959</v>
      </c>
      <c r="O185" s="92">
        <f>VLOOKUP($A185,'Data Vlaue (Cr)'!$C:$FB,82)</f>
        <v>-2.3199999999999998E-2</v>
      </c>
    </row>
    <row r="186" spans="1:15" x14ac:dyDescent="0.25">
      <c r="A186" s="97" t="str">
        <f>'Data Vlaue (Cr)'!C181</f>
        <v>SONACOMS</v>
      </c>
      <c r="B186" s="142">
        <f>VLOOKUP(A186,'Data Vlaue (Cr)'!C181:CW392,99,0)</f>
        <v>940</v>
      </c>
      <c r="C186" s="90">
        <f>VLOOKUP(A186,'Data Vlaue (Cr)'!C181:CY392,101,0)</f>
        <v>34</v>
      </c>
      <c r="D186" s="139">
        <f>VLOOKUP(A186,'Data Vlaue (Cr)'!C181:CZ392,102,0)</f>
        <v>3.6999999999999998E-2</v>
      </c>
      <c r="E186" s="91">
        <f>VLOOKUP($A186,'Data Vlaue (Cr)'!$C:$FB,75)</f>
        <v>632</v>
      </c>
      <c r="F186" s="91">
        <f>VLOOKUP($A186,'Data Vlaue (Cr)'!$C:$FB,77)</f>
        <v>-7</v>
      </c>
      <c r="G186" s="92">
        <f>VLOOKUP(A186,'Data Vlaue (Cr)'!C181:CB392,78,0)</f>
        <v>-1.1299999999999999E-2</v>
      </c>
      <c r="H186" s="91">
        <f>VLOOKUP($A186,'Data Vlaue (Cr)'!$C:$FB,91)</f>
        <v>170</v>
      </c>
      <c r="I186" s="91">
        <f>VLOOKUP($A186,'Data Vlaue (Cr)'!$C:$FB,93)</f>
        <v>7</v>
      </c>
      <c r="J186" s="92">
        <f>VLOOKUP($A186,'Data Vlaue (Cr)'!$C:$FB,94)</f>
        <v>4.19E-2</v>
      </c>
      <c r="K186" s="91">
        <f>VLOOKUP($A186,'Data Vlaue (Cr)'!$C:$FB,95)</f>
        <v>138</v>
      </c>
      <c r="L186" s="91">
        <f>VLOOKUP($A186,'Data Vlaue (Cr)'!$C:$FB,97)</f>
        <v>34</v>
      </c>
      <c r="M186" s="92">
        <f>VLOOKUP($A186,'Data Vlaue (Cr)'!$C:$FB,98)</f>
        <v>0.32650000000000001</v>
      </c>
      <c r="N186" s="91">
        <f>VLOOKUP($A186,'Data Vlaue (Cr)'!$C:$FB,79)</f>
        <v>622</v>
      </c>
      <c r="O186" s="92">
        <f>VLOOKUP($A186,'Data Vlaue (Cr)'!$C:$FB,82)</f>
        <v>-1.1599999999999999E-2</v>
      </c>
    </row>
    <row r="187" spans="1:15" x14ac:dyDescent="0.25">
      <c r="A187" s="97" t="str">
        <f>'Data Vlaue (Cr)'!C182</f>
        <v>SRF</v>
      </c>
      <c r="B187" s="142">
        <f>VLOOKUP(A187,'Data Vlaue (Cr)'!C182:CW393,99,0)</f>
        <v>1558</v>
      </c>
      <c r="C187" s="90">
        <f>VLOOKUP(A187,'Data Vlaue (Cr)'!C182:CY393,101,0)</f>
        <v>-17</v>
      </c>
      <c r="D187" s="139">
        <f>VLOOKUP(A187,'Data Vlaue (Cr)'!C182:CZ393,102,0)</f>
        <v>-1.06E-2</v>
      </c>
      <c r="E187" s="91">
        <f>VLOOKUP($A187,'Data Vlaue (Cr)'!$C:$FB,75)</f>
        <v>922</v>
      </c>
      <c r="F187" s="91">
        <f>VLOOKUP($A187,'Data Vlaue (Cr)'!$C:$FB,77)</f>
        <v>-18</v>
      </c>
      <c r="G187" s="92">
        <f>VLOOKUP(A187,'Data Vlaue (Cr)'!C182:CB393,78,0)</f>
        <v>-1.9599999999999999E-2</v>
      </c>
      <c r="H187" s="91">
        <f>VLOOKUP($A187,'Data Vlaue (Cr)'!$C:$FB,91)</f>
        <v>354</v>
      </c>
      <c r="I187" s="91">
        <f>VLOOKUP($A187,'Data Vlaue (Cr)'!$C:$FB,93)</f>
        <v>6</v>
      </c>
      <c r="J187" s="92">
        <f>VLOOKUP($A187,'Data Vlaue (Cr)'!$C:$FB,94)</f>
        <v>1.6299999999999999E-2</v>
      </c>
      <c r="K187" s="91">
        <f>VLOOKUP($A187,'Data Vlaue (Cr)'!$C:$FB,95)</f>
        <v>283</v>
      </c>
      <c r="L187" s="91">
        <f>VLOOKUP($A187,'Data Vlaue (Cr)'!$C:$FB,97)</f>
        <v>-4</v>
      </c>
      <c r="M187" s="92">
        <f>VLOOKUP($A187,'Data Vlaue (Cr)'!$C:$FB,98)</f>
        <v>-1.35E-2</v>
      </c>
      <c r="N187" s="91">
        <f>VLOOKUP($A187,'Data Vlaue (Cr)'!$C:$FB,79)</f>
        <v>905</v>
      </c>
      <c r="O187" s="92">
        <f>VLOOKUP($A187,'Data Vlaue (Cr)'!$C:$FB,82)</f>
        <v>-0.02</v>
      </c>
    </row>
    <row r="188" spans="1:15" x14ac:dyDescent="0.25">
      <c r="A188" s="97" t="str">
        <f>'Data Vlaue (Cr)'!C183</f>
        <v>SUNPHARMA</v>
      </c>
      <c r="B188" s="142">
        <f>VLOOKUP(A188,'Data Vlaue (Cr)'!C183:CW394,99,0)</f>
        <v>5917</v>
      </c>
      <c r="C188" s="90">
        <f>VLOOKUP(A188,'Data Vlaue (Cr)'!C183:CY394,101,0)</f>
        <v>279</v>
      </c>
      <c r="D188" s="139">
        <f>VLOOKUP(A188,'Data Vlaue (Cr)'!C183:CZ394,102,0)</f>
        <v>4.9500000000000002E-2</v>
      </c>
      <c r="E188" s="91">
        <f>VLOOKUP($A188,'Data Vlaue (Cr)'!$C:$FB,75)</f>
        <v>3920</v>
      </c>
      <c r="F188" s="91">
        <f>VLOOKUP($A188,'Data Vlaue (Cr)'!$C:$FB,77)</f>
        <v>42</v>
      </c>
      <c r="G188" s="92">
        <f>VLOOKUP(A188,'Data Vlaue (Cr)'!C183:CB394,78,0)</f>
        <v>1.0800000000000001E-2</v>
      </c>
      <c r="H188" s="91">
        <f>VLOOKUP($A188,'Data Vlaue (Cr)'!$C:$FB,91)</f>
        <v>1287</v>
      </c>
      <c r="I188" s="91">
        <f>VLOOKUP($A188,'Data Vlaue (Cr)'!$C:$FB,93)</f>
        <v>101</v>
      </c>
      <c r="J188" s="92">
        <f>VLOOKUP($A188,'Data Vlaue (Cr)'!$C:$FB,94)</f>
        <v>8.5199999999999998E-2</v>
      </c>
      <c r="K188" s="91">
        <f>VLOOKUP($A188,'Data Vlaue (Cr)'!$C:$FB,95)</f>
        <v>709</v>
      </c>
      <c r="L188" s="91">
        <f>VLOOKUP($A188,'Data Vlaue (Cr)'!$C:$FB,97)</f>
        <v>136</v>
      </c>
      <c r="M188" s="92">
        <f>VLOOKUP($A188,'Data Vlaue (Cr)'!$C:$FB,98)</f>
        <v>0.2369</v>
      </c>
      <c r="N188" s="91">
        <f>VLOOKUP($A188,'Data Vlaue (Cr)'!$C:$FB,79)</f>
        <v>3892</v>
      </c>
      <c r="O188" s="92">
        <f>VLOOKUP($A188,'Data Vlaue (Cr)'!$C:$FB,82)</f>
        <v>1.06E-2</v>
      </c>
    </row>
    <row r="189" spans="1:15" x14ac:dyDescent="0.25">
      <c r="A189" s="97" t="str">
        <f>'Data Vlaue (Cr)'!C184</f>
        <v>SUPREMEIND</v>
      </c>
      <c r="B189" s="142">
        <f>VLOOKUP(A189,'Data Vlaue (Cr)'!C184:CW395,99,0)</f>
        <v>834</v>
      </c>
      <c r="C189" s="90">
        <f>VLOOKUP(A189,'Data Vlaue (Cr)'!C184:CY395,101,0)</f>
        <v>25</v>
      </c>
      <c r="D189" s="139">
        <f>VLOOKUP(A189,'Data Vlaue (Cr)'!C184:CZ395,102,0)</f>
        <v>3.15E-2</v>
      </c>
      <c r="E189" s="91">
        <f>VLOOKUP($A189,'Data Vlaue (Cr)'!$C:$FB,75)</f>
        <v>620</v>
      </c>
      <c r="F189" s="91">
        <f>VLOOKUP($A189,'Data Vlaue (Cr)'!$C:$FB,77)</f>
        <v>4</v>
      </c>
      <c r="G189" s="92">
        <f>VLOOKUP(A189,'Data Vlaue (Cr)'!C184:CB395,78,0)</f>
        <v>6.6E-3</v>
      </c>
      <c r="H189" s="91">
        <f>VLOOKUP($A189,'Data Vlaue (Cr)'!$C:$FB,91)</f>
        <v>154</v>
      </c>
      <c r="I189" s="91">
        <f>VLOOKUP($A189,'Data Vlaue (Cr)'!$C:$FB,93)</f>
        <v>18</v>
      </c>
      <c r="J189" s="92">
        <f>VLOOKUP($A189,'Data Vlaue (Cr)'!$C:$FB,94)</f>
        <v>0.13009999999999999</v>
      </c>
      <c r="K189" s="91">
        <f>VLOOKUP($A189,'Data Vlaue (Cr)'!$C:$FB,95)</f>
        <v>61</v>
      </c>
      <c r="L189" s="91">
        <f>VLOOKUP($A189,'Data Vlaue (Cr)'!$C:$FB,97)</f>
        <v>4</v>
      </c>
      <c r="M189" s="92">
        <f>VLOOKUP($A189,'Data Vlaue (Cr)'!$C:$FB,98)</f>
        <v>6.4199999999999993E-2</v>
      </c>
      <c r="N189" s="91">
        <f>VLOOKUP($A189,'Data Vlaue (Cr)'!$C:$FB,79)</f>
        <v>611</v>
      </c>
      <c r="O189" s="92">
        <f>VLOOKUP($A189,'Data Vlaue (Cr)'!$C:$FB,82)</f>
        <v>6.4000000000000003E-3</v>
      </c>
    </row>
    <row r="190" spans="1:15" x14ac:dyDescent="0.25">
      <c r="A190" s="97" t="str">
        <f>'Data Vlaue (Cr)'!C185</f>
        <v>SUZLON</v>
      </c>
      <c r="B190" s="142">
        <f>VLOOKUP(A190,'Data Vlaue (Cr)'!C185:CW396,99,0)</f>
        <v>2330</v>
      </c>
      <c r="C190" s="90">
        <f>VLOOKUP(A190,'Data Vlaue (Cr)'!C185:CY396,101,0)</f>
        <v>149</v>
      </c>
      <c r="D190" s="139">
        <f>VLOOKUP(A190,'Data Vlaue (Cr)'!C185:CZ396,102,0)</f>
        <v>6.8400000000000002E-2</v>
      </c>
      <c r="E190" s="91">
        <f>VLOOKUP($A190,'Data Vlaue (Cr)'!$C:$FB,75)</f>
        <v>1325</v>
      </c>
      <c r="F190" s="91">
        <f>VLOOKUP($A190,'Data Vlaue (Cr)'!$C:$FB,77)</f>
        <v>-17</v>
      </c>
      <c r="G190" s="92">
        <f>VLOOKUP(A190,'Data Vlaue (Cr)'!C185:CB396,78,0)</f>
        <v>-1.24E-2</v>
      </c>
      <c r="H190" s="91">
        <f>VLOOKUP($A190,'Data Vlaue (Cr)'!$C:$FB,91)</f>
        <v>717</v>
      </c>
      <c r="I190" s="91">
        <f>VLOOKUP($A190,'Data Vlaue (Cr)'!$C:$FB,93)</f>
        <v>157</v>
      </c>
      <c r="J190" s="92">
        <f>VLOOKUP($A190,'Data Vlaue (Cr)'!$C:$FB,94)</f>
        <v>0.27929999999999999</v>
      </c>
      <c r="K190" s="91">
        <f>VLOOKUP($A190,'Data Vlaue (Cr)'!$C:$FB,95)</f>
        <v>288</v>
      </c>
      <c r="L190" s="91">
        <f>VLOOKUP($A190,'Data Vlaue (Cr)'!$C:$FB,97)</f>
        <v>9</v>
      </c>
      <c r="M190" s="92">
        <f>VLOOKUP($A190,'Data Vlaue (Cr)'!$C:$FB,98)</f>
        <v>3.2899999999999999E-2</v>
      </c>
      <c r="N190" s="91">
        <f>VLOOKUP($A190,'Data Vlaue (Cr)'!$C:$FB,79)</f>
        <v>1250</v>
      </c>
      <c r="O190" s="92">
        <f>VLOOKUP($A190,'Data Vlaue (Cr)'!$C:$FB,82)</f>
        <v>-1.6799999999999999E-2</v>
      </c>
    </row>
    <row r="191" spans="1:15" x14ac:dyDescent="0.25">
      <c r="A191" s="97" t="str">
        <f>'Data Vlaue (Cr)'!C186</f>
        <v>SWIGGY</v>
      </c>
      <c r="B191" s="142">
        <f>VLOOKUP(A191,'Data Vlaue (Cr)'!C186:CW397,99,0)</f>
        <v>1853</v>
      </c>
      <c r="C191" s="90">
        <f>VLOOKUP(A191,'Data Vlaue (Cr)'!C186:CY397,101,0)</f>
        <v>12</v>
      </c>
      <c r="D191" s="139">
        <f>VLOOKUP(A191,'Data Vlaue (Cr)'!C186:CZ397,102,0)</f>
        <v>6.4999999999999997E-3</v>
      </c>
      <c r="E191" s="91">
        <f>VLOOKUP($A191,'Data Vlaue (Cr)'!$C:$FB,75)</f>
        <v>1504</v>
      </c>
      <c r="F191" s="91">
        <f>VLOOKUP($A191,'Data Vlaue (Cr)'!$C:$FB,77)</f>
        <v>10</v>
      </c>
      <c r="G191" s="92">
        <f>VLOOKUP(A191,'Data Vlaue (Cr)'!C186:CB397,78,0)</f>
        <v>6.7000000000000002E-3</v>
      </c>
      <c r="H191" s="91">
        <f>VLOOKUP($A191,'Data Vlaue (Cr)'!$C:$FB,91)</f>
        <v>194</v>
      </c>
      <c r="I191" s="91">
        <f>VLOOKUP($A191,'Data Vlaue (Cr)'!$C:$FB,93)</f>
        <v>-1</v>
      </c>
      <c r="J191" s="92">
        <f>VLOOKUP($A191,'Data Vlaue (Cr)'!$C:$FB,94)</f>
        <v>-4.5999999999999999E-3</v>
      </c>
      <c r="K191" s="91">
        <f>VLOOKUP($A191,'Data Vlaue (Cr)'!$C:$FB,95)</f>
        <v>156</v>
      </c>
      <c r="L191" s="91">
        <f>VLOOKUP($A191,'Data Vlaue (Cr)'!$C:$FB,97)</f>
        <v>3</v>
      </c>
      <c r="M191" s="92">
        <f>VLOOKUP($A191,'Data Vlaue (Cr)'!$C:$FB,98)</f>
        <v>1.77E-2</v>
      </c>
      <c r="N191" s="91">
        <f>VLOOKUP($A191,'Data Vlaue (Cr)'!$C:$FB,79)</f>
        <v>1479</v>
      </c>
      <c r="O191" s="92">
        <f>VLOOKUP($A191,'Data Vlaue (Cr)'!$C:$FB,82)</f>
        <v>6.4999999999999997E-3</v>
      </c>
    </row>
    <row r="192" spans="1:15" x14ac:dyDescent="0.25">
      <c r="A192" s="97" t="str">
        <f>'Data Vlaue (Cr)'!C187</f>
        <v>SYNGENE</v>
      </c>
      <c r="B192" s="142">
        <f>VLOOKUP(A192,'Data Vlaue (Cr)'!C187:CW398,99,0)</f>
        <v>669</v>
      </c>
      <c r="C192" s="90">
        <f>VLOOKUP(A192,'Data Vlaue (Cr)'!C187:CY398,101,0)</f>
        <v>17</v>
      </c>
      <c r="D192" s="139">
        <f>VLOOKUP(A192,'Data Vlaue (Cr)'!C187:CZ398,102,0)</f>
        <v>2.5600000000000001E-2</v>
      </c>
      <c r="E192" s="91">
        <f>VLOOKUP($A192,'Data Vlaue (Cr)'!$C:$FB,75)</f>
        <v>359</v>
      </c>
      <c r="F192" s="91">
        <f>VLOOKUP($A192,'Data Vlaue (Cr)'!$C:$FB,77)</f>
        <v>2</v>
      </c>
      <c r="G192" s="92">
        <f>VLOOKUP(A192,'Data Vlaue (Cr)'!C187:CB398,78,0)</f>
        <v>4.4999999999999997E-3</v>
      </c>
      <c r="H192" s="91">
        <f>VLOOKUP($A192,'Data Vlaue (Cr)'!$C:$FB,91)</f>
        <v>197</v>
      </c>
      <c r="I192" s="91">
        <f>VLOOKUP($A192,'Data Vlaue (Cr)'!$C:$FB,93)</f>
        <v>15</v>
      </c>
      <c r="J192" s="92">
        <f>VLOOKUP($A192,'Data Vlaue (Cr)'!$C:$FB,94)</f>
        <v>8.5300000000000001E-2</v>
      </c>
      <c r="K192" s="91">
        <f>VLOOKUP($A192,'Data Vlaue (Cr)'!$C:$FB,95)</f>
        <v>114</v>
      </c>
      <c r="L192" s="91">
        <f>VLOOKUP($A192,'Data Vlaue (Cr)'!$C:$FB,97)</f>
        <v>0</v>
      </c>
      <c r="M192" s="92">
        <f>VLOOKUP($A192,'Data Vlaue (Cr)'!$C:$FB,98)</f>
        <v>-3.2000000000000002E-3</v>
      </c>
      <c r="N192" s="91">
        <f>VLOOKUP($A192,'Data Vlaue (Cr)'!$C:$FB,79)</f>
        <v>359</v>
      </c>
      <c r="O192" s="92">
        <f>VLOOKUP($A192,'Data Vlaue (Cr)'!$C:$FB,82)</f>
        <v>4.4999999999999997E-3</v>
      </c>
    </row>
    <row r="193" spans="1:15" x14ac:dyDescent="0.25">
      <c r="A193" s="97" t="str">
        <f>'Data Vlaue (Cr)'!C188</f>
        <v>TATACONSUM</v>
      </c>
      <c r="B193" s="142">
        <f>VLOOKUP(A193,'Data Vlaue (Cr)'!C188:CW399,99,0)</f>
        <v>1903</v>
      </c>
      <c r="C193" s="90">
        <f>VLOOKUP(A193,'Data Vlaue (Cr)'!C188:CY399,101,0)</f>
        <v>18</v>
      </c>
      <c r="D193" s="139">
        <f>VLOOKUP(A193,'Data Vlaue (Cr)'!C188:CZ399,102,0)</f>
        <v>9.7000000000000003E-3</v>
      </c>
      <c r="E193" s="91">
        <f>VLOOKUP($A193,'Data Vlaue (Cr)'!$C:$FB,75)</f>
        <v>1483</v>
      </c>
      <c r="F193" s="91">
        <f>VLOOKUP($A193,'Data Vlaue (Cr)'!$C:$FB,77)</f>
        <v>5</v>
      </c>
      <c r="G193" s="92">
        <f>VLOOKUP(A193,'Data Vlaue (Cr)'!C188:CB399,78,0)</f>
        <v>3.5999999999999999E-3</v>
      </c>
      <c r="H193" s="91">
        <f>VLOOKUP($A193,'Data Vlaue (Cr)'!$C:$FB,91)</f>
        <v>261</v>
      </c>
      <c r="I193" s="91">
        <f>VLOOKUP($A193,'Data Vlaue (Cr)'!$C:$FB,93)</f>
        <v>10</v>
      </c>
      <c r="J193" s="92">
        <f>VLOOKUP($A193,'Data Vlaue (Cr)'!$C:$FB,94)</f>
        <v>4.1099999999999998E-2</v>
      </c>
      <c r="K193" s="91">
        <f>VLOOKUP($A193,'Data Vlaue (Cr)'!$C:$FB,95)</f>
        <v>160</v>
      </c>
      <c r="L193" s="91">
        <f>VLOOKUP($A193,'Data Vlaue (Cr)'!$C:$FB,97)</f>
        <v>3</v>
      </c>
      <c r="M193" s="92">
        <f>VLOOKUP($A193,'Data Vlaue (Cr)'!$C:$FB,98)</f>
        <v>1.7299999999999999E-2</v>
      </c>
      <c r="N193" s="91">
        <f>VLOOKUP($A193,'Data Vlaue (Cr)'!$C:$FB,79)</f>
        <v>1469</v>
      </c>
      <c r="O193" s="92">
        <f>VLOOKUP($A193,'Data Vlaue (Cr)'!$C:$FB,82)</f>
        <v>2.8999999999999998E-3</v>
      </c>
    </row>
    <row r="194" spans="1:15" x14ac:dyDescent="0.25">
      <c r="A194" s="97" t="str">
        <f>'Data Vlaue (Cr)'!C189</f>
        <v>TATAELXSI</v>
      </c>
      <c r="B194" s="142">
        <f>VLOOKUP(A194,'Data Vlaue (Cr)'!C189:CW400,99,0)</f>
        <v>1631</v>
      </c>
      <c r="C194" s="90">
        <f>VLOOKUP(A194,'Data Vlaue (Cr)'!C189:CY400,101,0)</f>
        <v>40</v>
      </c>
      <c r="D194" s="139">
        <f>VLOOKUP(A194,'Data Vlaue (Cr)'!C189:CZ400,102,0)</f>
        <v>2.5100000000000001E-2</v>
      </c>
      <c r="E194" s="91">
        <f>VLOOKUP($A194,'Data Vlaue (Cr)'!$C:$FB,75)</f>
        <v>735</v>
      </c>
      <c r="F194" s="91">
        <f>VLOOKUP($A194,'Data Vlaue (Cr)'!$C:$FB,77)</f>
        <v>17</v>
      </c>
      <c r="G194" s="92">
        <f>VLOOKUP(A194,'Data Vlaue (Cr)'!C189:CB400,78,0)</f>
        <v>2.41E-2</v>
      </c>
      <c r="H194" s="91">
        <f>VLOOKUP($A194,'Data Vlaue (Cr)'!$C:$FB,91)</f>
        <v>607</v>
      </c>
      <c r="I194" s="91">
        <f>VLOOKUP($A194,'Data Vlaue (Cr)'!$C:$FB,93)</f>
        <v>16</v>
      </c>
      <c r="J194" s="92">
        <f>VLOOKUP($A194,'Data Vlaue (Cr)'!$C:$FB,94)</f>
        <v>2.7300000000000001E-2</v>
      </c>
      <c r="K194" s="91">
        <f>VLOOKUP($A194,'Data Vlaue (Cr)'!$C:$FB,95)</f>
        <v>289</v>
      </c>
      <c r="L194" s="91">
        <f>VLOOKUP($A194,'Data Vlaue (Cr)'!$C:$FB,97)</f>
        <v>7</v>
      </c>
      <c r="M194" s="92">
        <f>VLOOKUP($A194,'Data Vlaue (Cr)'!$C:$FB,98)</f>
        <v>2.3300000000000001E-2</v>
      </c>
      <c r="N194" s="91">
        <f>VLOOKUP($A194,'Data Vlaue (Cr)'!$C:$FB,79)</f>
        <v>694</v>
      </c>
      <c r="O194" s="92">
        <f>VLOOKUP($A194,'Data Vlaue (Cr)'!$C:$FB,82)</f>
        <v>1.49E-2</v>
      </c>
    </row>
    <row r="195" spans="1:15" x14ac:dyDescent="0.25">
      <c r="A195" s="97" t="str">
        <f>'Data Vlaue (Cr)'!C190</f>
        <v>TATAPOWER</v>
      </c>
      <c r="B195" s="142">
        <f>VLOOKUP(A195,'Data Vlaue (Cr)'!C190:CW401,99,0)</f>
        <v>3812</v>
      </c>
      <c r="C195" s="90">
        <f>VLOOKUP(A195,'Data Vlaue (Cr)'!C190:CY401,101,0)</f>
        <v>-26</v>
      </c>
      <c r="D195" s="139">
        <f>VLOOKUP(A195,'Data Vlaue (Cr)'!C190:CZ401,102,0)</f>
        <v>-6.8999999999999999E-3</v>
      </c>
      <c r="E195" s="91">
        <f>VLOOKUP($A195,'Data Vlaue (Cr)'!$C:$FB,75)</f>
        <v>1871</v>
      </c>
      <c r="F195" s="91">
        <f>VLOOKUP($A195,'Data Vlaue (Cr)'!$C:$FB,77)</f>
        <v>-25</v>
      </c>
      <c r="G195" s="92">
        <f>VLOOKUP(A195,'Data Vlaue (Cr)'!C190:CB401,78,0)</f>
        <v>-1.2999999999999999E-2</v>
      </c>
      <c r="H195" s="91">
        <f>VLOOKUP($A195,'Data Vlaue (Cr)'!$C:$FB,91)</f>
        <v>1131</v>
      </c>
      <c r="I195" s="91">
        <f>VLOOKUP($A195,'Data Vlaue (Cr)'!$C:$FB,93)</f>
        <v>-33</v>
      </c>
      <c r="J195" s="92">
        <f>VLOOKUP($A195,'Data Vlaue (Cr)'!$C:$FB,94)</f>
        <v>-2.7900000000000001E-2</v>
      </c>
      <c r="K195" s="91">
        <f>VLOOKUP($A195,'Data Vlaue (Cr)'!$C:$FB,95)</f>
        <v>810</v>
      </c>
      <c r="L195" s="91">
        <f>VLOOKUP($A195,'Data Vlaue (Cr)'!$C:$FB,97)</f>
        <v>31</v>
      </c>
      <c r="M195" s="92">
        <f>VLOOKUP($A195,'Data Vlaue (Cr)'!$C:$FB,98)</f>
        <v>3.95E-2</v>
      </c>
      <c r="N195" s="91">
        <f>VLOOKUP($A195,'Data Vlaue (Cr)'!$C:$FB,79)</f>
        <v>1805</v>
      </c>
      <c r="O195" s="92">
        <f>VLOOKUP($A195,'Data Vlaue (Cr)'!$C:$FB,82)</f>
        <v>-1.38E-2</v>
      </c>
    </row>
    <row r="196" spans="1:15" x14ac:dyDescent="0.25">
      <c r="A196" s="97" t="str">
        <f>'Data Vlaue (Cr)'!C191</f>
        <v>TATASTEEL</v>
      </c>
      <c r="B196" s="142">
        <f>VLOOKUP(A196,'Data Vlaue (Cr)'!C191:CW402,99,0)</f>
        <v>8486</v>
      </c>
      <c r="C196" s="90">
        <f>VLOOKUP(A196,'Data Vlaue (Cr)'!C191:CY402,101,0)</f>
        <v>-25</v>
      </c>
      <c r="D196" s="139">
        <f>VLOOKUP(A196,'Data Vlaue (Cr)'!C191:CZ402,102,0)</f>
        <v>-3.0000000000000001E-3</v>
      </c>
      <c r="E196" s="91">
        <f>VLOOKUP($A196,'Data Vlaue (Cr)'!$C:$FB,75)</f>
        <v>4517</v>
      </c>
      <c r="F196" s="91">
        <f>VLOOKUP($A196,'Data Vlaue (Cr)'!$C:$FB,77)</f>
        <v>-14</v>
      </c>
      <c r="G196" s="92">
        <f>VLOOKUP(A196,'Data Vlaue (Cr)'!C191:CB402,78,0)</f>
        <v>-3.0000000000000001E-3</v>
      </c>
      <c r="H196" s="91">
        <f>VLOOKUP($A196,'Data Vlaue (Cr)'!$C:$FB,91)</f>
        <v>2374</v>
      </c>
      <c r="I196" s="91">
        <f>VLOOKUP($A196,'Data Vlaue (Cr)'!$C:$FB,93)</f>
        <v>33</v>
      </c>
      <c r="J196" s="92">
        <f>VLOOKUP($A196,'Data Vlaue (Cr)'!$C:$FB,94)</f>
        <v>1.4E-2</v>
      </c>
      <c r="K196" s="91">
        <f>VLOOKUP($A196,'Data Vlaue (Cr)'!$C:$FB,95)</f>
        <v>1595</v>
      </c>
      <c r="L196" s="91">
        <f>VLOOKUP($A196,'Data Vlaue (Cr)'!$C:$FB,97)</f>
        <v>-44</v>
      </c>
      <c r="M196" s="92">
        <f>VLOOKUP($A196,'Data Vlaue (Cr)'!$C:$FB,98)</f>
        <v>-2.7099999999999999E-2</v>
      </c>
      <c r="N196" s="91">
        <f>VLOOKUP($A196,'Data Vlaue (Cr)'!$C:$FB,79)</f>
        <v>4001</v>
      </c>
      <c r="O196" s="92">
        <f>VLOOKUP($A196,'Data Vlaue (Cr)'!$C:$FB,82)</f>
        <v>-2.8E-3</v>
      </c>
    </row>
    <row r="197" spans="1:15" x14ac:dyDescent="0.25">
      <c r="A197" s="97" t="str">
        <f>'Data Vlaue (Cr)'!C192</f>
        <v>TATATECH</v>
      </c>
      <c r="B197" s="142">
        <f>VLOOKUP(A197,'Data Vlaue (Cr)'!C192:CW403,99,0)</f>
        <v>1031</v>
      </c>
      <c r="C197" s="90">
        <f>VLOOKUP(A197,'Data Vlaue (Cr)'!C192:CY403,101,0)</f>
        <v>-6</v>
      </c>
      <c r="D197" s="139">
        <f>VLOOKUP(A197,'Data Vlaue (Cr)'!C192:CZ403,102,0)</f>
        <v>-6.0000000000000001E-3</v>
      </c>
      <c r="E197" s="91">
        <f>VLOOKUP($A197,'Data Vlaue (Cr)'!$C:$FB,75)</f>
        <v>654</v>
      </c>
      <c r="F197" s="91">
        <f>VLOOKUP($A197,'Data Vlaue (Cr)'!$C:$FB,77)</f>
        <v>-6</v>
      </c>
      <c r="G197" s="92">
        <f>VLOOKUP(A197,'Data Vlaue (Cr)'!C192:CB403,78,0)</f>
        <v>-8.6999999999999994E-3</v>
      </c>
      <c r="H197" s="91">
        <f>VLOOKUP($A197,'Data Vlaue (Cr)'!$C:$FB,91)</f>
        <v>232</v>
      </c>
      <c r="I197" s="91">
        <f>VLOOKUP($A197,'Data Vlaue (Cr)'!$C:$FB,93)</f>
        <v>2</v>
      </c>
      <c r="J197" s="92">
        <f>VLOOKUP($A197,'Data Vlaue (Cr)'!$C:$FB,94)</f>
        <v>1.03E-2</v>
      </c>
      <c r="K197" s="91">
        <f>VLOOKUP($A197,'Data Vlaue (Cr)'!$C:$FB,95)</f>
        <v>144</v>
      </c>
      <c r="L197" s="91">
        <f>VLOOKUP($A197,'Data Vlaue (Cr)'!$C:$FB,97)</f>
        <v>-3</v>
      </c>
      <c r="M197" s="92">
        <f>VLOOKUP($A197,'Data Vlaue (Cr)'!$C:$FB,98)</f>
        <v>-1.95E-2</v>
      </c>
      <c r="N197" s="91">
        <f>VLOOKUP($A197,'Data Vlaue (Cr)'!$C:$FB,79)</f>
        <v>606</v>
      </c>
      <c r="O197" s="92">
        <f>VLOOKUP($A197,'Data Vlaue (Cr)'!$C:$FB,82)</f>
        <v>-8.8999999999999999E-3</v>
      </c>
    </row>
    <row r="198" spans="1:15" x14ac:dyDescent="0.25">
      <c r="A198" s="97" t="str">
        <f>'Data Vlaue (Cr)'!C193</f>
        <v>TCS</v>
      </c>
      <c r="B198" s="142">
        <f>VLOOKUP(A198,'Data Vlaue (Cr)'!C193:CW404,99,0)</f>
        <v>13155</v>
      </c>
      <c r="C198" s="90">
        <f>VLOOKUP(A198,'Data Vlaue (Cr)'!C193:CY404,101,0)</f>
        <v>62</v>
      </c>
      <c r="D198" s="139">
        <f>VLOOKUP(A198,'Data Vlaue (Cr)'!C193:CZ404,102,0)</f>
        <v>4.7000000000000002E-3</v>
      </c>
      <c r="E198" s="91">
        <f>VLOOKUP($A198,'Data Vlaue (Cr)'!$C:$FB,75)</f>
        <v>7285</v>
      </c>
      <c r="F198" s="91">
        <f>VLOOKUP($A198,'Data Vlaue (Cr)'!$C:$FB,77)</f>
        <v>31</v>
      </c>
      <c r="G198" s="92">
        <f>VLOOKUP(A198,'Data Vlaue (Cr)'!C193:CB404,78,0)</f>
        <v>4.3E-3</v>
      </c>
      <c r="H198" s="91">
        <f>VLOOKUP($A198,'Data Vlaue (Cr)'!$C:$FB,91)</f>
        <v>3591</v>
      </c>
      <c r="I198" s="91">
        <f>VLOOKUP($A198,'Data Vlaue (Cr)'!$C:$FB,93)</f>
        <v>81</v>
      </c>
      <c r="J198" s="92">
        <f>VLOOKUP($A198,'Data Vlaue (Cr)'!$C:$FB,94)</f>
        <v>2.3199999999999998E-2</v>
      </c>
      <c r="K198" s="91">
        <f>VLOOKUP($A198,'Data Vlaue (Cr)'!$C:$FB,95)</f>
        <v>2279</v>
      </c>
      <c r="L198" s="91">
        <f>VLOOKUP($A198,'Data Vlaue (Cr)'!$C:$FB,97)</f>
        <v>-51</v>
      </c>
      <c r="M198" s="92">
        <f>VLOOKUP($A198,'Data Vlaue (Cr)'!$C:$FB,98)</f>
        <v>-2.1700000000000001E-2</v>
      </c>
      <c r="N198" s="91">
        <f>VLOOKUP($A198,'Data Vlaue (Cr)'!$C:$FB,79)</f>
        <v>6297</v>
      </c>
      <c r="O198" s="92">
        <f>VLOOKUP($A198,'Data Vlaue (Cr)'!$C:$FB,82)</f>
        <v>2.0999999999999999E-3</v>
      </c>
    </row>
    <row r="199" spans="1:15" x14ac:dyDescent="0.25">
      <c r="A199" s="97" t="str">
        <f>'Data Vlaue (Cr)'!C194</f>
        <v>TECHM</v>
      </c>
      <c r="B199" s="142">
        <f>VLOOKUP(A199,'Data Vlaue (Cr)'!C194:CW405,99,0)</f>
        <v>4577</v>
      </c>
      <c r="C199" s="90">
        <f>VLOOKUP(A199,'Data Vlaue (Cr)'!C194:CY405,101,0)</f>
        <v>53</v>
      </c>
      <c r="D199" s="139">
        <f>VLOOKUP(A199,'Data Vlaue (Cr)'!C194:CZ405,102,0)</f>
        <v>1.18E-2</v>
      </c>
      <c r="E199" s="91">
        <f>VLOOKUP($A199,'Data Vlaue (Cr)'!$C:$FB,75)</f>
        <v>2626</v>
      </c>
      <c r="F199" s="91">
        <f>VLOOKUP($A199,'Data Vlaue (Cr)'!$C:$FB,77)</f>
        <v>5</v>
      </c>
      <c r="G199" s="92">
        <f>VLOOKUP(A199,'Data Vlaue (Cr)'!C194:CB405,78,0)</f>
        <v>2E-3</v>
      </c>
      <c r="H199" s="91">
        <f>VLOOKUP($A199,'Data Vlaue (Cr)'!$C:$FB,91)</f>
        <v>1225</v>
      </c>
      <c r="I199" s="91">
        <f>VLOOKUP($A199,'Data Vlaue (Cr)'!$C:$FB,93)</f>
        <v>60</v>
      </c>
      <c r="J199" s="92">
        <f>VLOOKUP($A199,'Data Vlaue (Cr)'!$C:$FB,94)</f>
        <v>5.16E-2</v>
      </c>
      <c r="K199" s="91">
        <f>VLOOKUP($A199,'Data Vlaue (Cr)'!$C:$FB,95)</f>
        <v>726</v>
      </c>
      <c r="L199" s="91">
        <f>VLOOKUP($A199,'Data Vlaue (Cr)'!$C:$FB,97)</f>
        <v>-12</v>
      </c>
      <c r="M199" s="92">
        <f>VLOOKUP($A199,'Data Vlaue (Cr)'!$C:$FB,98)</f>
        <v>-1.6299999999999999E-2</v>
      </c>
      <c r="N199" s="91">
        <f>VLOOKUP($A199,'Data Vlaue (Cr)'!$C:$FB,79)</f>
        <v>2581</v>
      </c>
      <c r="O199" s="92">
        <f>VLOOKUP($A199,'Data Vlaue (Cr)'!$C:$FB,82)</f>
        <v>-8.9999999999999998E-4</v>
      </c>
    </row>
    <row r="200" spans="1:15" x14ac:dyDescent="0.25">
      <c r="A200" s="97" t="str">
        <f>'Data Vlaue (Cr)'!C195</f>
        <v>TIINDIA</v>
      </c>
      <c r="B200" s="142">
        <f>VLOOKUP(A200,'Data Vlaue (Cr)'!C195:CW406,99,0)</f>
        <v>1172</v>
      </c>
      <c r="C200" s="90">
        <f>VLOOKUP(A200,'Data Vlaue (Cr)'!C195:CY406,101,0)</f>
        <v>20</v>
      </c>
      <c r="D200" s="139">
        <f>VLOOKUP(A200,'Data Vlaue (Cr)'!C195:CZ406,102,0)</f>
        <v>1.7100000000000001E-2</v>
      </c>
      <c r="E200" s="91">
        <f>VLOOKUP($A200,'Data Vlaue (Cr)'!$C:$FB,75)</f>
        <v>880</v>
      </c>
      <c r="F200" s="91">
        <f>VLOOKUP($A200,'Data Vlaue (Cr)'!$C:$FB,77)</f>
        <v>23</v>
      </c>
      <c r="G200" s="92">
        <f>VLOOKUP(A200,'Data Vlaue (Cr)'!C195:CB406,78,0)</f>
        <v>2.6599999999999999E-2</v>
      </c>
      <c r="H200" s="91">
        <f>VLOOKUP($A200,'Data Vlaue (Cr)'!$C:$FB,91)</f>
        <v>165</v>
      </c>
      <c r="I200" s="91">
        <f>VLOOKUP($A200,'Data Vlaue (Cr)'!$C:$FB,93)</f>
        <v>-2</v>
      </c>
      <c r="J200" s="92">
        <f>VLOOKUP($A200,'Data Vlaue (Cr)'!$C:$FB,94)</f>
        <v>-1.29E-2</v>
      </c>
      <c r="K200" s="91">
        <f>VLOOKUP($A200,'Data Vlaue (Cr)'!$C:$FB,95)</f>
        <v>128</v>
      </c>
      <c r="L200" s="91">
        <f>VLOOKUP($A200,'Data Vlaue (Cr)'!$C:$FB,97)</f>
        <v>-1</v>
      </c>
      <c r="M200" s="92">
        <f>VLOOKUP($A200,'Data Vlaue (Cr)'!$C:$FB,98)</f>
        <v>-6.8999999999999999E-3</v>
      </c>
      <c r="N200" s="91">
        <f>VLOOKUP($A200,'Data Vlaue (Cr)'!$C:$FB,79)</f>
        <v>860</v>
      </c>
      <c r="O200" s="92">
        <f>VLOOKUP($A200,'Data Vlaue (Cr)'!$C:$FB,82)</f>
        <v>2.3400000000000001E-2</v>
      </c>
    </row>
    <row r="201" spans="1:15" x14ac:dyDescent="0.25">
      <c r="A201" s="97" t="str">
        <f>'Data Vlaue (Cr)'!C196</f>
        <v>TITAN</v>
      </c>
      <c r="B201" s="142">
        <f>VLOOKUP(A201,'Data Vlaue (Cr)'!C196:CW407,99,0)</f>
        <v>5643</v>
      </c>
      <c r="C201" s="90">
        <f>VLOOKUP(A201,'Data Vlaue (Cr)'!C196:CY407,101,0)</f>
        <v>38</v>
      </c>
      <c r="D201" s="139">
        <f>VLOOKUP(A201,'Data Vlaue (Cr)'!C196:CZ407,102,0)</f>
        <v>6.7999999999999996E-3</v>
      </c>
      <c r="E201" s="91">
        <f>VLOOKUP($A201,'Data Vlaue (Cr)'!$C:$FB,75)</f>
        <v>4198</v>
      </c>
      <c r="F201" s="91">
        <f>VLOOKUP($A201,'Data Vlaue (Cr)'!$C:$FB,77)</f>
        <v>-33</v>
      </c>
      <c r="G201" s="92">
        <f>VLOOKUP(A201,'Data Vlaue (Cr)'!C196:CB407,78,0)</f>
        <v>-7.7999999999999996E-3</v>
      </c>
      <c r="H201" s="91">
        <f>VLOOKUP($A201,'Data Vlaue (Cr)'!$C:$FB,91)</f>
        <v>868</v>
      </c>
      <c r="I201" s="91">
        <f>VLOOKUP($A201,'Data Vlaue (Cr)'!$C:$FB,93)</f>
        <v>64</v>
      </c>
      <c r="J201" s="92">
        <f>VLOOKUP($A201,'Data Vlaue (Cr)'!$C:$FB,94)</f>
        <v>7.9000000000000001E-2</v>
      </c>
      <c r="K201" s="91">
        <f>VLOOKUP($A201,'Data Vlaue (Cr)'!$C:$FB,95)</f>
        <v>576</v>
      </c>
      <c r="L201" s="91">
        <f>VLOOKUP($A201,'Data Vlaue (Cr)'!$C:$FB,97)</f>
        <v>7</v>
      </c>
      <c r="M201" s="92">
        <f>VLOOKUP($A201,'Data Vlaue (Cr)'!$C:$FB,98)</f>
        <v>1.2500000000000001E-2</v>
      </c>
      <c r="N201" s="91">
        <f>VLOOKUP($A201,'Data Vlaue (Cr)'!$C:$FB,79)</f>
        <v>4148</v>
      </c>
      <c r="O201" s="92">
        <f>VLOOKUP($A201,'Data Vlaue (Cr)'!$C:$FB,82)</f>
        <v>-8.6999999999999994E-3</v>
      </c>
    </row>
    <row r="202" spans="1:15" x14ac:dyDescent="0.25">
      <c r="A202" s="97" t="str">
        <f>'Data Vlaue (Cr)'!C197</f>
        <v>TMPV</v>
      </c>
      <c r="B202" s="142">
        <f>VLOOKUP(A202,'Data Vlaue (Cr)'!C197:CW408,99,0)</f>
        <v>5154</v>
      </c>
      <c r="C202" s="90">
        <f>VLOOKUP(A202,'Data Vlaue (Cr)'!C197:CY408,101,0)</f>
        <v>137</v>
      </c>
      <c r="D202" s="139">
        <f>VLOOKUP(A202,'Data Vlaue (Cr)'!C197:CZ408,102,0)</f>
        <v>2.7300000000000001E-2</v>
      </c>
      <c r="E202" s="91">
        <f>VLOOKUP($A202,'Data Vlaue (Cr)'!$C:$FB,75)</f>
        <v>2682</v>
      </c>
      <c r="F202" s="91">
        <f>VLOOKUP($A202,'Data Vlaue (Cr)'!$C:$FB,77)</f>
        <v>15</v>
      </c>
      <c r="G202" s="92">
        <f>VLOOKUP(A202,'Data Vlaue (Cr)'!C197:CB408,78,0)</f>
        <v>5.7000000000000002E-3</v>
      </c>
      <c r="H202" s="91">
        <f>VLOOKUP($A202,'Data Vlaue (Cr)'!$C:$FB,91)</f>
        <v>1539</v>
      </c>
      <c r="I202" s="91">
        <f>VLOOKUP($A202,'Data Vlaue (Cr)'!$C:$FB,93)</f>
        <v>92</v>
      </c>
      <c r="J202" s="92">
        <f>VLOOKUP($A202,'Data Vlaue (Cr)'!$C:$FB,94)</f>
        <v>6.3299999999999995E-2</v>
      </c>
      <c r="K202" s="91">
        <f>VLOOKUP($A202,'Data Vlaue (Cr)'!$C:$FB,95)</f>
        <v>933</v>
      </c>
      <c r="L202" s="91">
        <f>VLOOKUP($A202,'Data Vlaue (Cr)'!$C:$FB,97)</f>
        <v>30</v>
      </c>
      <c r="M202" s="92">
        <f>VLOOKUP($A202,'Data Vlaue (Cr)'!$C:$FB,98)</f>
        <v>3.3700000000000001E-2</v>
      </c>
      <c r="N202" s="91">
        <f>VLOOKUP($A202,'Data Vlaue (Cr)'!$C:$FB,79)</f>
        <v>2532</v>
      </c>
      <c r="O202" s="92">
        <f>VLOOKUP($A202,'Data Vlaue (Cr)'!$C:$FB,82)</f>
        <v>-1.5E-3</v>
      </c>
    </row>
    <row r="203" spans="1:15" x14ac:dyDescent="0.25">
      <c r="A203" s="97" t="str">
        <f>'Data Vlaue (Cr)'!C198</f>
        <v>TORNTPHARM</v>
      </c>
      <c r="B203" s="142">
        <f>VLOOKUP(A203,'Data Vlaue (Cr)'!C198:CW409,99,0)</f>
        <v>1740</v>
      </c>
      <c r="C203" s="90">
        <f>VLOOKUP(A203,'Data Vlaue (Cr)'!C198:CY409,101,0)</f>
        <v>23</v>
      </c>
      <c r="D203" s="139">
        <f>VLOOKUP(A203,'Data Vlaue (Cr)'!C198:CZ409,102,0)</f>
        <v>1.3599999999999999E-2</v>
      </c>
      <c r="E203" s="91">
        <f>VLOOKUP($A203,'Data Vlaue (Cr)'!$C:$FB,75)</f>
        <v>1240</v>
      </c>
      <c r="F203" s="91">
        <f>VLOOKUP($A203,'Data Vlaue (Cr)'!$C:$FB,77)</f>
        <v>-3</v>
      </c>
      <c r="G203" s="92">
        <f>VLOOKUP(A203,'Data Vlaue (Cr)'!C198:CB409,78,0)</f>
        <v>-2.3E-3</v>
      </c>
      <c r="H203" s="91">
        <f>VLOOKUP($A203,'Data Vlaue (Cr)'!$C:$FB,91)</f>
        <v>292</v>
      </c>
      <c r="I203" s="91">
        <f>VLOOKUP($A203,'Data Vlaue (Cr)'!$C:$FB,93)</f>
        <v>9</v>
      </c>
      <c r="J203" s="92">
        <f>VLOOKUP($A203,'Data Vlaue (Cr)'!$C:$FB,94)</f>
        <v>3.2800000000000003E-2</v>
      </c>
      <c r="K203" s="91">
        <f>VLOOKUP($A203,'Data Vlaue (Cr)'!$C:$FB,95)</f>
        <v>208</v>
      </c>
      <c r="L203" s="91">
        <f>VLOOKUP($A203,'Data Vlaue (Cr)'!$C:$FB,97)</f>
        <v>17</v>
      </c>
      <c r="M203" s="92">
        <f>VLOOKUP($A203,'Data Vlaue (Cr)'!$C:$FB,98)</f>
        <v>8.7800000000000003E-2</v>
      </c>
      <c r="N203" s="91">
        <f>VLOOKUP($A203,'Data Vlaue (Cr)'!$C:$FB,79)</f>
        <v>1229</v>
      </c>
      <c r="O203" s="92">
        <f>VLOOKUP($A203,'Data Vlaue (Cr)'!$C:$FB,82)</f>
        <v>-4.3E-3</v>
      </c>
    </row>
    <row r="204" spans="1:15" x14ac:dyDescent="0.25">
      <c r="A204" s="97" t="str">
        <f>'Data Vlaue (Cr)'!C199</f>
        <v>TORNTPOWER</v>
      </c>
      <c r="B204" s="142">
        <f>VLOOKUP(A204,'Data Vlaue (Cr)'!C199:CW410,99,0)</f>
        <v>909</v>
      </c>
      <c r="C204" s="90">
        <f>VLOOKUP(A204,'Data Vlaue (Cr)'!C199:CY410,101,0)</f>
        <v>43</v>
      </c>
      <c r="D204" s="139">
        <f>VLOOKUP(A204,'Data Vlaue (Cr)'!C199:CZ410,102,0)</f>
        <v>5.0200000000000002E-2</v>
      </c>
      <c r="E204" s="91">
        <f>VLOOKUP($A204,'Data Vlaue (Cr)'!$C:$FB,75)</f>
        <v>564</v>
      </c>
      <c r="F204" s="91">
        <f>VLOOKUP($A204,'Data Vlaue (Cr)'!$C:$FB,77)</f>
        <v>10</v>
      </c>
      <c r="G204" s="92">
        <f>VLOOKUP(A204,'Data Vlaue (Cr)'!C199:CB410,78,0)</f>
        <v>1.7500000000000002E-2</v>
      </c>
      <c r="H204" s="91">
        <f>VLOOKUP($A204,'Data Vlaue (Cr)'!$C:$FB,91)</f>
        <v>221</v>
      </c>
      <c r="I204" s="91">
        <f>VLOOKUP($A204,'Data Vlaue (Cr)'!$C:$FB,93)</f>
        <v>21</v>
      </c>
      <c r="J204" s="92">
        <f>VLOOKUP($A204,'Data Vlaue (Cr)'!$C:$FB,94)</f>
        <v>0.1066</v>
      </c>
      <c r="K204" s="91">
        <f>VLOOKUP($A204,'Data Vlaue (Cr)'!$C:$FB,95)</f>
        <v>124</v>
      </c>
      <c r="L204" s="91">
        <f>VLOOKUP($A204,'Data Vlaue (Cr)'!$C:$FB,97)</f>
        <v>12</v>
      </c>
      <c r="M204" s="92">
        <f>VLOOKUP($A204,'Data Vlaue (Cr)'!$C:$FB,98)</f>
        <v>0.1116</v>
      </c>
      <c r="N204" s="91">
        <f>VLOOKUP($A204,'Data Vlaue (Cr)'!$C:$FB,79)</f>
        <v>556</v>
      </c>
      <c r="O204" s="92">
        <f>VLOOKUP($A204,'Data Vlaue (Cr)'!$C:$FB,82)</f>
        <v>1.6799999999999999E-2</v>
      </c>
    </row>
    <row r="205" spans="1:15" x14ac:dyDescent="0.25">
      <c r="A205" s="97" t="str">
        <f>'Data Vlaue (Cr)'!C200</f>
        <v>TRENT</v>
      </c>
      <c r="B205" s="142">
        <f>VLOOKUP(A205,'Data Vlaue (Cr)'!C200:CW411,99,0)</f>
        <v>3791</v>
      </c>
      <c r="C205" s="90">
        <f>VLOOKUP(A205,'Data Vlaue (Cr)'!C200:CY411,101,0)</f>
        <v>-17</v>
      </c>
      <c r="D205" s="139">
        <f>VLOOKUP(A205,'Data Vlaue (Cr)'!C200:CZ411,102,0)</f>
        <v>-4.4999999999999997E-3</v>
      </c>
      <c r="E205" s="91">
        <f>VLOOKUP($A205,'Data Vlaue (Cr)'!$C:$FB,75)</f>
        <v>2451</v>
      </c>
      <c r="F205" s="91">
        <f>VLOOKUP($A205,'Data Vlaue (Cr)'!$C:$FB,77)</f>
        <v>-60</v>
      </c>
      <c r="G205" s="92">
        <f>VLOOKUP(A205,'Data Vlaue (Cr)'!C200:CB411,78,0)</f>
        <v>-2.4E-2</v>
      </c>
      <c r="H205" s="91">
        <f>VLOOKUP($A205,'Data Vlaue (Cr)'!$C:$FB,91)</f>
        <v>777</v>
      </c>
      <c r="I205" s="91">
        <f>VLOOKUP($A205,'Data Vlaue (Cr)'!$C:$FB,93)</f>
        <v>42</v>
      </c>
      <c r="J205" s="92">
        <f>VLOOKUP($A205,'Data Vlaue (Cr)'!$C:$FB,94)</f>
        <v>5.6500000000000002E-2</v>
      </c>
      <c r="K205" s="91">
        <f>VLOOKUP($A205,'Data Vlaue (Cr)'!$C:$FB,95)</f>
        <v>563</v>
      </c>
      <c r="L205" s="91">
        <f>VLOOKUP($A205,'Data Vlaue (Cr)'!$C:$FB,97)</f>
        <v>2</v>
      </c>
      <c r="M205" s="92">
        <f>VLOOKUP($A205,'Data Vlaue (Cr)'!$C:$FB,98)</f>
        <v>3.0000000000000001E-3</v>
      </c>
      <c r="N205" s="91">
        <f>VLOOKUP($A205,'Data Vlaue (Cr)'!$C:$FB,79)</f>
        <v>2371</v>
      </c>
      <c r="O205" s="92">
        <f>VLOOKUP($A205,'Data Vlaue (Cr)'!$C:$FB,82)</f>
        <v>-2.5000000000000001E-2</v>
      </c>
    </row>
    <row r="206" spans="1:15" x14ac:dyDescent="0.25">
      <c r="A206" s="97" t="str">
        <f>'Data Vlaue (Cr)'!C201</f>
        <v>TVSMOTOR</v>
      </c>
      <c r="B206" s="142">
        <f>VLOOKUP(A206,'Data Vlaue (Cr)'!C201:CW412,99,0)</f>
        <v>4391</v>
      </c>
      <c r="C206" s="90">
        <f>VLOOKUP(A206,'Data Vlaue (Cr)'!C201:CY412,101,0)</f>
        <v>-29</v>
      </c>
      <c r="D206" s="139">
        <f>VLOOKUP(A206,'Data Vlaue (Cr)'!C201:CZ412,102,0)</f>
        <v>-6.4999999999999997E-3</v>
      </c>
      <c r="E206" s="91">
        <f>VLOOKUP($A206,'Data Vlaue (Cr)'!$C:$FB,75)</f>
        <v>3179</v>
      </c>
      <c r="F206" s="91">
        <f>VLOOKUP($A206,'Data Vlaue (Cr)'!$C:$FB,77)</f>
        <v>-18</v>
      </c>
      <c r="G206" s="92">
        <f>VLOOKUP(A206,'Data Vlaue (Cr)'!C201:CB412,78,0)</f>
        <v>-5.5999999999999999E-3</v>
      </c>
      <c r="H206" s="91">
        <f>VLOOKUP($A206,'Data Vlaue (Cr)'!$C:$FB,91)</f>
        <v>684</v>
      </c>
      <c r="I206" s="91">
        <f>VLOOKUP($A206,'Data Vlaue (Cr)'!$C:$FB,93)</f>
        <v>-24</v>
      </c>
      <c r="J206" s="92">
        <f>VLOOKUP($A206,'Data Vlaue (Cr)'!$C:$FB,94)</f>
        <v>-3.4099999999999998E-2</v>
      </c>
      <c r="K206" s="91">
        <f>VLOOKUP($A206,'Data Vlaue (Cr)'!$C:$FB,95)</f>
        <v>528</v>
      </c>
      <c r="L206" s="91">
        <f>VLOOKUP($A206,'Data Vlaue (Cr)'!$C:$FB,97)</f>
        <v>13</v>
      </c>
      <c r="M206" s="92">
        <f>VLOOKUP($A206,'Data Vlaue (Cr)'!$C:$FB,98)</f>
        <v>2.6100000000000002E-2</v>
      </c>
      <c r="N206" s="91">
        <f>VLOOKUP($A206,'Data Vlaue (Cr)'!$C:$FB,79)</f>
        <v>3156</v>
      </c>
      <c r="O206" s="92">
        <f>VLOOKUP($A206,'Data Vlaue (Cr)'!$C:$FB,82)</f>
        <v>-6.7999999999999996E-3</v>
      </c>
    </row>
    <row r="207" spans="1:15" x14ac:dyDescent="0.25">
      <c r="A207" s="97" t="str">
        <f>'Data Vlaue (Cr)'!C202</f>
        <v>ULTRACEMCO</v>
      </c>
      <c r="B207" s="142">
        <f>VLOOKUP(A207,'Data Vlaue (Cr)'!C202:CW413,99,0)</f>
        <v>3658</v>
      </c>
      <c r="C207" s="90">
        <f>VLOOKUP(A207,'Data Vlaue (Cr)'!C202:CY413,101,0)</f>
        <v>113</v>
      </c>
      <c r="D207" s="139">
        <f>VLOOKUP(A207,'Data Vlaue (Cr)'!C202:CZ413,102,0)</f>
        <v>3.1899999999999998E-2</v>
      </c>
      <c r="E207" s="91">
        <f>VLOOKUP($A207,'Data Vlaue (Cr)'!$C:$FB,75)</f>
        <v>2505</v>
      </c>
      <c r="F207" s="91">
        <f>VLOOKUP($A207,'Data Vlaue (Cr)'!$C:$FB,77)</f>
        <v>10</v>
      </c>
      <c r="G207" s="92">
        <f>VLOOKUP(A207,'Data Vlaue (Cr)'!C202:CB413,78,0)</f>
        <v>4.1000000000000003E-3</v>
      </c>
      <c r="H207" s="91">
        <f>VLOOKUP($A207,'Data Vlaue (Cr)'!$C:$FB,91)</f>
        <v>732</v>
      </c>
      <c r="I207" s="91">
        <f>VLOOKUP($A207,'Data Vlaue (Cr)'!$C:$FB,93)</f>
        <v>48</v>
      </c>
      <c r="J207" s="92">
        <f>VLOOKUP($A207,'Data Vlaue (Cr)'!$C:$FB,94)</f>
        <v>6.9500000000000006E-2</v>
      </c>
      <c r="K207" s="91">
        <f>VLOOKUP($A207,'Data Vlaue (Cr)'!$C:$FB,95)</f>
        <v>421</v>
      </c>
      <c r="L207" s="91">
        <f>VLOOKUP($A207,'Data Vlaue (Cr)'!$C:$FB,97)</f>
        <v>55</v>
      </c>
      <c r="M207" s="92">
        <f>VLOOKUP($A207,'Data Vlaue (Cr)'!$C:$FB,98)</f>
        <v>0.1517</v>
      </c>
      <c r="N207" s="91">
        <f>VLOOKUP($A207,'Data Vlaue (Cr)'!$C:$FB,79)</f>
        <v>2480</v>
      </c>
      <c r="O207" s="92">
        <f>VLOOKUP($A207,'Data Vlaue (Cr)'!$C:$FB,82)</f>
        <v>3.3999999999999998E-3</v>
      </c>
    </row>
    <row r="208" spans="1:15" x14ac:dyDescent="0.25">
      <c r="A208" s="97" t="str">
        <f>'Data Vlaue (Cr)'!C203</f>
        <v>UNIONBANK</v>
      </c>
      <c r="B208" s="142">
        <f>VLOOKUP(A208,'Data Vlaue (Cr)'!C203:CW414,99,0)</f>
        <v>2431</v>
      </c>
      <c r="C208" s="90">
        <f>VLOOKUP(A208,'Data Vlaue (Cr)'!C203:CY414,101,0)</f>
        <v>96</v>
      </c>
      <c r="D208" s="139">
        <f>VLOOKUP(A208,'Data Vlaue (Cr)'!C203:CZ414,102,0)</f>
        <v>4.1200000000000001E-2</v>
      </c>
      <c r="E208" s="91">
        <f>VLOOKUP($A208,'Data Vlaue (Cr)'!$C:$FB,75)</f>
        <v>1473</v>
      </c>
      <c r="F208" s="91">
        <f>VLOOKUP($A208,'Data Vlaue (Cr)'!$C:$FB,77)</f>
        <v>57</v>
      </c>
      <c r="G208" s="92">
        <f>VLOOKUP(A208,'Data Vlaue (Cr)'!C203:CB414,78,0)</f>
        <v>0.04</v>
      </c>
      <c r="H208" s="91">
        <f>VLOOKUP($A208,'Data Vlaue (Cr)'!$C:$FB,91)</f>
        <v>553</v>
      </c>
      <c r="I208" s="91">
        <f>VLOOKUP($A208,'Data Vlaue (Cr)'!$C:$FB,93)</f>
        <v>56</v>
      </c>
      <c r="J208" s="92">
        <f>VLOOKUP($A208,'Data Vlaue (Cr)'!$C:$FB,94)</f>
        <v>0.11169999999999999</v>
      </c>
      <c r="K208" s="91">
        <f>VLOOKUP($A208,'Data Vlaue (Cr)'!$C:$FB,95)</f>
        <v>404</v>
      </c>
      <c r="L208" s="91">
        <f>VLOOKUP($A208,'Data Vlaue (Cr)'!$C:$FB,97)</f>
        <v>-16</v>
      </c>
      <c r="M208" s="92">
        <f>VLOOKUP($A208,'Data Vlaue (Cr)'!$C:$FB,98)</f>
        <v>-3.8399999999999997E-2</v>
      </c>
      <c r="N208" s="91">
        <f>VLOOKUP($A208,'Data Vlaue (Cr)'!$C:$FB,79)</f>
        <v>1340</v>
      </c>
      <c r="O208" s="92">
        <f>VLOOKUP($A208,'Data Vlaue (Cr)'!$C:$FB,82)</f>
        <v>3.5000000000000003E-2</v>
      </c>
    </row>
    <row r="209" spans="1:15" x14ac:dyDescent="0.25">
      <c r="A209" s="97" t="str">
        <f>'Data Vlaue (Cr)'!C204</f>
        <v>UNITDSPR</v>
      </c>
      <c r="B209" s="142">
        <f>VLOOKUP(A209,'Data Vlaue (Cr)'!C204:CW415,99,0)</f>
        <v>1743</v>
      </c>
      <c r="C209" s="90">
        <f>VLOOKUP(A209,'Data Vlaue (Cr)'!C204:CY415,101,0)</f>
        <v>28</v>
      </c>
      <c r="D209" s="139">
        <f>VLOOKUP(A209,'Data Vlaue (Cr)'!C204:CZ415,102,0)</f>
        <v>1.6500000000000001E-2</v>
      </c>
      <c r="E209" s="91">
        <f>VLOOKUP($A209,'Data Vlaue (Cr)'!$C:$FB,75)</f>
        <v>1298</v>
      </c>
      <c r="F209" s="91">
        <f>VLOOKUP($A209,'Data Vlaue (Cr)'!$C:$FB,77)</f>
        <v>6</v>
      </c>
      <c r="G209" s="92">
        <f>VLOOKUP(A209,'Data Vlaue (Cr)'!C204:CB415,78,0)</f>
        <v>4.3E-3</v>
      </c>
      <c r="H209" s="91">
        <f>VLOOKUP($A209,'Data Vlaue (Cr)'!$C:$FB,91)</f>
        <v>251</v>
      </c>
      <c r="I209" s="91">
        <f>VLOOKUP($A209,'Data Vlaue (Cr)'!$C:$FB,93)</f>
        <v>21</v>
      </c>
      <c r="J209" s="92">
        <f>VLOOKUP($A209,'Data Vlaue (Cr)'!$C:$FB,94)</f>
        <v>9.2999999999999999E-2</v>
      </c>
      <c r="K209" s="91">
        <f>VLOOKUP($A209,'Data Vlaue (Cr)'!$C:$FB,95)</f>
        <v>193</v>
      </c>
      <c r="L209" s="91">
        <f>VLOOKUP($A209,'Data Vlaue (Cr)'!$C:$FB,97)</f>
        <v>1</v>
      </c>
      <c r="M209" s="92">
        <f>VLOOKUP($A209,'Data Vlaue (Cr)'!$C:$FB,98)</f>
        <v>7.1999999999999998E-3</v>
      </c>
      <c r="N209" s="91">
        <f>VLOOKUP($A209,'Data Vlaue (Cr)'!$C:$FB,79)</f>
        <v>1283</v>
      </c>
      <c r="O209" s="92">
        <f>VLOOKUP($A209,'Data Vlaue (Cr)'!$C:$FB,82)</f>
        <v>2.8999999999999998E-3</v>
      </c>
    </row>
    <row r="210" spans="1:15" s="88" customFormat="1" ht="15.75" customHeight="1" x14ac:dyDescent="0.2">
      <c r="A210" s="97" t="str">
        <f>'Data Vlaue (Cr)'!C205</f>
        <v>UNOMINDA</v>
      </c>
      <c r="B210" s="142">
        <f>VLOOKUP(A210,'Data Vlaue (Cr)'!C205:CW416,99,0)</f>
        <v>952</v>
      </c>
      <c r="C210" s="90">
        <f>VLOOKUP(A210,'Data Vlaue (Cr)'!C205:CY416,101,0)</f>
        <v>12</v>
      </c>
      <c r="D210" s="139">
        <f>VLOOKUP(A210,'Data Vlaue (Cr)'!C205:CZ416,102,0)</f>
        <v>1.29E-2</v>
      </c>
      <c r="E210" s="91">
        <f>VLOOKUP($A210,'Data Vlaue (Cr)'!$C:$FB,75)</f>
        <v>725</v>
      </c>
      <c r="F210" s="91">
        <f>VLOOKUP($A210,'Data Vlaue (Cr)'!$C:$FB,77)</f>
        <v>-10</v>
      </c>
      <c r="G210" s="92">
        <f>VLOOKUP(A210,'Data Vlaue (Cr)'!C205:CB416,78,0)</f>
        <v>-1.43E-2</v>
      </c>
      <c r="H210" s="91">
        <f>VLOOKUP($A210,'Data Vlaue (Cr)'!$C:$FB,91)</f>
        <v>137</v>
      </c>
      <c r="I210" s="91">
        <f>VLOOKUP($A210,'Data Vlaue (Cr)'!$C:$FB,93)</f>
        <v>14</v>
      </c>
      <c r="J210" s="92">
        <f>VLOOKUP($A210,'Data Vlaue (Cr)'!$C:$FB,94)</f>
        <v>0.113</v>
      </c>
      <c r="K210" s="91">
        <f>VLOOKUP($A210,'Data Vlaue (Cr)'!$C:$FB,95)</f>
        <v>91</v>
      </c>
      <c r="L210" s="91">
        <f>VLOOKUP($A210,'Data Vlaue (Cr)'!$C:$FB,97)</f>
        <v>9</v>
      </c>
      <c r="M210" s="92">
        <f>VLOOKUP($A210,'Data Vlaue (Cr)'!$C:$FB,98)</f>
        <v>0.1066</v>
      </c>
      <c r="N210" s="91">
        <f>VLOOKUP($A210,'Data Vlaue (Cr)'!$C:$FB,79)</f>
        <v>717</v>
      </c>
      <c r="O210" s="92">
        <f>VLOOKUP($A210,'Data Vlaue (Cr)'!$C:$FB,82)</f>
        <v>-1.5100000000000001E-2</v>
      </c>
    </row>
    <row r="211" spans="1:15" x14ac:dyDescent="0.25">
      <c r="A211" s="97" t="str">
        <f>'Data Vlaue (Cr)'!C206</f>
        <v>UPL</v>
      </c>
      <c r="B211" s="142">
        <f>VLOOKUP(A211,'Data Vlaue (Cr)'!C206:CW417,99,0)</f>
        <v>4135</v>
      </c>
      <c r="C211" s="90">
        <f>VLOOKUP(A211,'Data Vlaue (Cr)'!C206:CY417,101,0)</f>
        <v>-80</v>
      </c>
      <c r="D211" s="139">
        <f>VLOOKUP(A211,'Data Vlaue (Cr)'!C206:CZ417,102,0)</f>
        <v>-1.89E-2</v>
      </c>
      <c r="E211" s="91">
        <f>VLOOKUP($A211,'Data Vlaue (Cr)'!$C:$FB,75)</f>
        <v>2143</v>
      </c>
      <c r="F211" s="91">
        <f>VLOOKUP($A211,'Data Vlaue (Cr)'!$C:$FB,77)</f>
        <v>-47</v>
      </c>
      <c r="G211" s="92">
        <f>VLOOKUP(A211,'Data Vlaue (Cr)'!C206:CB417,78,0)</f>
        <v>-2.12E-2</v>
      </c>
      <c r="H211" s="91">
        <f>VLOOKUP($A211,'Data Vlaue (Cr)'!$C:$FB,91)</f>
        <v>1364</v>
      </c>
      <c r="I211" s="91">
        <f>VLOOKUP($A211,'Data Vlaue (Cr)'!$C:$FB,93)</f>
        <v>-40</v>
      </c>
      <c r="J211" s="92">
        <f>VLOOKUP($A211,'Data Vlaue (Cr)'!$C:$FB,94)</f>
        <v>-2.8400000000000002E-2</v>
      </c>
      <c r="K211" s="91">
        <f>VLOOKUP($A211,'Data Vlaue (Cr)'!$C:$FB,95)</f>
        <v>627</v>
      </c>
      <c r="L211" s="91">
        <f>VLOOKUP($A211,'Data Vlaue (Cr)'!$C:$FB,97)</f>
        <v>7</v>
      </c>
      <c r="M211" s="92">
        <f>VLOOKUP($A211,'Data Vlaue (Cr)'!$C:$FB,98)</f>
        <v>1.0999999999999999E-2</v>
      </c>
      <c r="N211" s="91">
        <f>VLOOKUP($A211,'Data Vlaue (Cr)'!$C:$FB,79)</f>
        <v>2080</v>
      </c>
      <c r="O211" s="92">
        <f>VLOOKUP($A211,'Data Vlaue (Cr)'!$C:$FB,82)</f>
        <v>-2.1399999999999999E-2</v>
      </c>
    </row>
    <row r="212" spans="1:15" x14ac:dyDescent="0.25">
      <c r="A212" s="97" t="str">
        <f>'Data Vlaue (Cr)'!C207</f>
        <v>VBL</v>
      </c>
      <c r="B212" s="142">
        <f>VLOOKUP(A212,'Data Vlaue (Cr)'!C207:CW418,99,0)</f>
        <v>2505</v>
      </c>
      <c r="C212" s="90">
        <f>VLOOKUP(A212,'Data Vlaue (Cr)'!C207:CY418,101,0)</f>
        <v>4</v>
      </c>
      <c r="D212" s="139">
        <f>VLOOKUP(A212,'Data Vlaue (Cr)'!C207:CZ418,102,0)</f>
        <v>1.6000000000000001E-3</v>
      </c>
      <c r="E212" s="91">
        <f>VLOOKUP($A212,'Data Vlaue (Cr)'!$C:$FB,75)</f>
        <v>1813</v>
      </c>
      <c r="F212" s="91">
        <f>VLOOKUP($A212,'Data Vlaue (Cr)'!$C:$FB,77)</f>
        <v>-52</v>
      </c>
      <c r="G212" s="92">
        <f>VLOOKUP(A212,'Data Vlaue (Cr)'!C207:CB418,78,0)</f>
        <v>-2.7699999999999999E-2</v>
      </c>
      <c r="H212" s="91">
        <f>VLOOKUP($A212,'Data Vlaue (Cr)'!$C:$FB,91)</f>
        <v>433</v>
      </c>
      <c r="I212" s="91">
        <f>VLOOKUP($A212,'Data Vlaue (Cr)'!$C:$FB,93)</f>
        <v>37</v>
      </c>
      <c r="J212" s="92">
        <f>VLOOKUP($A212,'Data Vlaue (Cr)'!$C:$FB,94)</f>
        <v>9.2499999999999999E-2</v>
      </c>
      <c r="K212" s="91">
        <f>VLOOKUP($A212,'Data Vlaue (Cr)'!$C:$FB,95)</f>
        <v>259</v>
      </c>
      <c r="L212" s="91">
        <f>VLOOKUP($A212,'Data Vlaue (Cr)'!$C:$FB,97)</f>
        <v>19</v>
      </c>
      <c r="M212" s="92">
        <f>VLOOKUP($A212,'Data Vlaue (Cr)'!$C:$FB,98)</f>
        <v>7.9399999999999998E-2</v>
      </c>
      <c r="N212" s="91">
        <f>VLOOKUP($A212,'Data Vlaue (Cr)'!$C:$FB,79)</f>
        <v>1752</v>
      </c>
      <c r="O212" s="92">
        <f>VLOOKUP($A212,'Data Vlaue (Cr)'!$C:$FB,82)</f>
        <v>-3.1199999999999999E-2</v>
      </c>
    </row>
    <row r="213" spans="1:15" x14ac:dyDescent="0.25">
      <c r="A213" s="97" t="str">
        <f>'Data Vlaue (Cr)'!C208</f>
        <v>VEDL</v>
      </c>
      <c r="B213" s="142">
        <f>VLOOKUP(A213,'Data Vlaue (Cr)'!C208:CW419,99,0)</f>
        <v>8769</v>
      </c>
      <c r="C213" s="90">
        <f>VLOOKUP(A213,'Data Vlaue (Cr)'!C208:CY419,101,0)</f>
        <v>230</v>
      </c>
      <c r="D213" s="139">
        <f>VLOOKUP(A213,'Data Vlaue (Cr)'!C208:CZ419,102,0)</f>
        <v>2.69E-2</v>
      </c>
      <c r="E213" s="91">
        <f>VLOOKUP($A213,'Data Vlaue (Cr)'!$C:$FB,75)</f>
        <v>5079</v>
      </c>
      <c r="F213" s="91">
        <f>VLOOKUP($A213,'Data Vlaue (Cr)'!$C:$FB,77)</f>
        <v>27</v>
      </c>
      <c r="G213" s="92">
        <f>VLOOKUP(A213,'Data Vlaue (Cr)'!C208:CB419,78,0)</f>
        <v>5.4000000000000003E-3</v>
      </c>
      <c r="H213" s="91">
        <f>VLOOKUP($A213,'Data Vlaue (Cr)'!$C:$FB,91)</f>
        <v>2199</v>
      </c>
      <c r="I213" s="91">
        <f>VLOOKUP($A213,'Data Vlaue (Cr)'!$C:$FB,93)</f>
        <v>126</v>
      </c>
      <c r="J213" s="92">
        <f>VLOOKUP($A213,'Data Vlaue (Cr)'!$C:$FB,94)</f>
        <v>6.0699999999999997E-2</v>
      </c>
      <c r="K213" s="91">
        <f>VLOOKUP($A213,'Data Vlaue (Cr)'!$C:$FB,95)</f>
        <v>1492</v>
      </c>
      <c r="L213" s="91">
        <f>VLOOKUP($A213,'Data Vlaue (Cr)'!$C:$FB,97)</f>
        <v>77</v>
      </c>
      <c r="M213" s="92">
        <f>VLOOKUP($A213,'Data Vlaue (Cr)'!$C:$FB,98)</f>
        <v>5.4399999999999997E-2</v>
      </c>
      <c r="N213" s="91">
        <f>VLOOKUP($A213,'Data Vlaue (Cr)'!$C:$FB,79)</f>
        <v>4614</v>
      </c>
      <c r="O213" s="92">
        <f>VLOOKUP($A213,'Data Vlaue (Cr)'!$C:$FB,82)</f>
        <v>3.8999999999999998E-3</v>
      </c>
    </row>
    <row r="214" spans="1:15" x14ac:dyDescent="0.25">
      <c r="A214" s="97" t="str">
        <f>'Data Vlaue (Cr)'!C209</f>
        <v>VOLTAS</v>
      </c>
      <c r="B214" s="142">
        <f>VLOOKUP(A214,'Data Vlaue (Cr)'!C209:CW420,99,0)</f>
        <v>2575</v>
      </c>
      <c r="C214" s="90">
        <f>VLOOKUP(A214,'Data Vlaue (Cr)'!C209:CY420,101,0)</f>
        <v>64</v>
      </c>
      <c r="D214" s="139">
        <f>VLOOKUP(A214,'Data Vlaue (Cr)'!C209:CZ420,102,0)</f>
        <v>2.5499999999999998E-2</v>
      </c>
      <c r="E214" s="91">
        <f>VLOOKUP($A214,'Data Vlaue (Cr)'!$C:$FB,75)</f>
        <v>1496</v>
      </c>
      <c r="F214" s="91">
        <f>VLOOKUP($A214,'Data Vlaue (Cr)'!$C:$FB,77)</f>
        <v>-18</v>
      </c>
      <c r="G214" s="92">
        <f>VLOOKUP(A214,'Data Vlaue (Cr)'!C209:CB420,78,0)</f>
        <v>-1.18E-2</v>
      </c>
      <c r="H214" s="91">
        <f>VLOOKUP($A214,'Data Vlaue (Cr)'!$C:$FB,91)</f>
        <v>648</v>
      </c>
      <c r="I214" s="91">
        <f>VLOOKUP($A214,'Data Vlaue (Cr)'!$C:$FB,93)</f>
        <v>45</v>
      </c>
      <c r="J214" s="92">
        <f>VLOOKUP($A214,'Data Vlaue (Cr)'!$C:$FB,94)</f>
        <v>7.3800000000000004E-2</v>
      </c>
      <c r="K214" s="91">
        <f>VLOOKUP($A214,'Data Vlaue (Cr)'!$C:$FB,95)</f>
        <v>431</v>
      </c>
      <c r="L214" s="91">
        <f>VLOOKUP($A214,'Data Vlaue (Cr)'!$C:$FB,97)</f>
        <v>38</v>
      </c>
      <c r="M214" s="92">
        <f>VLOOKUP($A214,'Data Vlaue (Cr)'!$C:$FB,98)</f>
        <v>9.5399999999999999E-2</v>
      </c>
      <c r="N214" s="91">
        <f>VLOOKUP($A214,'Data Vlaue (Cr)'!$C:$FB,79)</f>
        <v>1448</v>
      </c>
      <c r="O214" s="92">
        <f>VLOOKUP($A214,'Data Vlaue (Cr)'!$C:$FB,82)</f>
        <v>-1.5100000000000001E-2</v>
      </c>
    </row>
    <row r="215" spans="1:15" x14ac:dyDescent="0.25">
      <c r="A215" s="97" t="str">
        <f>'Data Vlaue (Cr)'!C210</f>
        <v>WAAREEENER</v>
      </c>
      <c r="B215" s="142">
        <f>VLOOKUP(A215,'Data Vlaue (Cr)'!C210:CW421,99,0)</f>
        <v>2430</v>
      </c>
      <c r="C215" s="90">
        <f>VLOOKUP(A215,'Data Vlaue (Cr)'!C210:CY421,101,0)</f>
        <v>5</v>
      </c>
      <c r="D215" s="139">
        <f>VLOOKUP(A215,'Data Vlaue (Cr)'!C210:CZ421,102,0)</f>
        <v>1.9E-3</v>
      </c>
      <c r="E215" s="91">
        <f>VLOOKUP($A215,'Data Vlaue (Cr)'!$C:$FB,75)</f>
        <v>1091</v>
      </c>
      <c r="F215" s="91">
        <f>VLOOKUP($A215,'Data Vlaue (Cr)'!$C:$FB,77)</f>
        <v>-13</v>
      </c>
      <c r="G215" s="92">
        <f>VLOOKUP(A215,'Data Vlaue (Cr)'!C210:CB421,78,0)</f>
        <v>-1.1599999999999999E-2</v>
      </c>
      <c r="H215" s="91">
        <f>VLOOKUP($A215,'Data Vlaue (Cr)'!$C:$FB,91)</f>
        <v>846</v>
      </c>
      <c r="I215" s="91">
        <f>VLOOKUP($A215,'Data Vlaue (Cr)'!$C:$FB,93)</f>
        <v>18</v>
      </c>
      <c r="J215" s="92">
        <f>VLOOKUP($A215,'Data Vlaue (Cr)'!$C:$FB,94)</f>
        <v>2.18E-2</v>
      </c>
      <c r="K215" s="91">
        <f>VLOOKUP($A215,'Data Vlaue (Cr)'!$C:$FB,95)</f>
        <v>493</v>
      </c>
      <c r="L215" s="91">
        <f>VLOOKUP($A215,'Data Vlaue (Cr)'!$C:$FB,97)</f>
        <v>-1</v>
      </c>
      <c r="M215" s="92">
        <f>VLOOKUP($A215,'Data Vlaue (Cr)'!$C:$FB,98)</f>
        <v>-1.5E-3</v>
      </c>
      <c r="N215" s="91">
        <f>VLOOKUP($A215,'Data Vlaue (Cr)'!$C:$FB,79)</f>
        <v>973</v>
      </c>
      <c r="O215" s="92">
        <f>VLOOKUP($A215,'Data Vlaue (Cr)'!$C:$FB,82)</f>
        <v>-9.5999999999999992E-3</v>
      </c>
    </row>
    <row r="216" spans="1:15" x14ac:dyDescent="0.25">
      <c r="A216" s="97" t="str">
        <f>'Data Vlaue (Cr)'!C211</f>
        <v>WIPRO</v>
      </c>
      <c r="B216" s="142">
        <f>VLOOKUP(A216,'Data Vlaue (Cr)'!C211:CW422,99,0)</f>
        <v>5465</v>
      </c>
      <c r="C216" s="90">
        <f>VLOOKUP(A216,'Data Vlaue (Cr)'!C211:CY422,101,0)</f>
        <v>8</v>
      </c>
      <c r="D216" s="139">
        <f>VLOOKUP(A216,'Data Vlaue (Cr)'!C211:CZ422,102,0)</f>
        <v>1.4E-3</v>
      </c>
      <c r="E216" s="91">
        <f>VLOOKUP($A216,'Data Vlaue (Cr)'!$C:$FB,75)</f>
        <v>3129</v>
      </c>
      <c r="F216" s="91">
        <f>VLOOKUP($A216,'Data Vlaue (Cr)'!$C:$FB,77)</f>
        <v>-72</v>
      </c>
      <c r="G216" s="92">
        <f>VLOOKUP(A216,'Data Vlaue (Cr)'!C211:CB422,78,0)</f>
        <v>-2.2599999999999999E-2</v>
      </c>
      <c r="H216" s="91">
        <f>VLOOKUP($A216,'Data Vlaue (Cr)'!$C:$FB,91)</f>
        <v>1544</v>
      </c>
      <c r="I216" s="91">
        <f>VLOOKUP($A216,'Data Vlaue (Cr)'!$C:$FB,93)</f>
        <v>53</v>
      </c>
      <c r="J216" s="92">
        <f>VLOOKUP($A216,'Data Vlaue (Cr)'!$C:$FB,94)</f>
        <v>3.5799999999999998E-2</v>
      </c>
      <c r="K216" s="91">
        <f>VLOOKUP($A216,'Data Vlaue (Cr)'!$C:$FB,95)</f>
        <v>792</v>
      </c>
      <c r="L216" s="91">
        <f>VLOOKUP($A216,'Data Vlaue (Cr)'!$C:$FB,97)</f>
        <v>27</v>
      </c>
      <c r="M216" s="92">
        <f>VLOOKUP($A216,'Data Vlaue (Cr)'!$C:$FB,98)</f>
        <v>3.4799999999999998E-2</v>
      </c>
      <c r="N216" s="91">
        <f>VLOOKUP($A216,'Data Vlaue (Cr)'!$C:$FB,79)</f>
        <v>2888</v>
      </c>
      <c r="O216" s="92">
        <f>VLOOKUP($A216,'Data Vlaue (Cr)'!$C:$FB,82)</f>
        <v>-2.87E-2</v>
      </c>
    </row>
    <row r="217" spans="1:15" x14ac:dyDescent="0.25">
      <c r="A217" s="97" t="str">
        <f>'Data Vlaue (Cr)'!C213</f>
        <v>ZYDUSLIFE</v>
      </c>
      <c r="B217" s="142">
        <f>VLOOKUP(A217,'Data Vlaue (Cr)'!C213:CW423,99,0)</f>
        <v>1554</v>
      </c>
      <c r="C217" s="90">
        <f>VLOOKUP(A217,'Data Vlaue (Cr)'!C213:CY423,101,0)</f>
        <v>-15</v>
      </c>
      <c r="D217" s="139">
        <f>VLOOKUP(A217,'Data Vlaue (Cr)'!C213:CZ423,102,0)</f>
        <v>-9.7000000000000003E-3</v>
      </c>
      <c r="E217" s="91">
        <f>VLOOKUP($A217,'Data Vlaue (Cr)'!$C:$FB,75)</f>
        <v>880</v>
      </c>
      <c r="F217" s="91">
        <f>VLOOKUP($A217,'Data Vlaue (Cr)'!$C:$FB,77)</f>
        <v>-9</v>
      </c>
      <c r="G217" s="92">
        <f>VLOOKUP(A217,'Data Vlaue (Cr)'!C213:CB423,78,0)</f>
        <v>-1.0200000000000001E-2</v>
      </c>
      <c r="H217" s="91">
        <f>VLOOKUP($A217,'Data Vlaue (Cr)'!$C:$FB,91)</f>
        <v>430</v>
      </c>
      <c r="I217" s="91">
        <f>VLOOKUP($A217,'Data Vlaue (Cr)'!$C:$FB,93)</f>
        <v>-11</v>
      </c>
      <c r="J217" s="92">
        <f>VLOOKUP($A217,'Data Vlaue (Cr)'!$C:$FB,94)</f>
        <v>-2.47E-2</v>
      </c>
      <c r="K217" s="91">
        <f>VLOOKUP($A217,'Data Vlaue (Cr)'!$C:$FB,95)</f>
        <v>244</v>
      </c>
      <c r="L217" s="91">
        <f>VLOOKUP($A217,'Data Vlaue (Cr)'!$C:$FB,97)</f>
        <v>5</v>
      </c>
      <c r="M217" s="92">
        <f>VLOOKUP($A217,'Data Vlaue (Cr)'!$C:$FB,98)</f>
        <v>1.9599999999999999E-2</v>
      </c>
      <c r="N217" s="91">
        <f>VLOOKUP($A217,'Data Vlaue (Cr)'!$C:$FB,79)</f>
        <v>858</v>
      </c>
      <c r="O217" s="92">
        <f>VLOOKUP($A217,'Data Vlaue (Cr)'!$C:$FB,82)</f>
        <v>-1.15E-2</v>
      </c>
    </row>
    <row r="218" spans="1:15" x14ac:dyDescent="0.25">
      <c r="A218" s="97"/>
      <c r="B218" s="142"/>
      <c r="C218" s="90"/>
      <c r="D218" s="139"/>
      <c r="E218" s="91"/>
      <c r="F218" s="91"/>
      <c r="G218" s="92"/>
      <c r="H218" s="91"/>
      <c r="I218" s="91"/>
      <c r="J218" s="92"/>
      <c r="K218" s="91"/>
      <c r="L218" s="91"/>
      <c r="M218" s="92"/>
      <c r="N218" s="91"/>
      <c r="O218" s="92"/>
    </row>
    <row r="219" spans="1:15" x14ac:dyDescent="0.25">
      <c r="A219" s="97"/>
      <c r="B219" s="142"/>
      <c r="C219" s="90"/>
      <c r="D219" s="139"/>
      <c r="E219" s="91"/>
      <c r="F219" s="91"/>
      <c r="G219" s="92"/>
      <c r="H219" s="91"/>
      <c r="I219" s="91"/>
      <c r="J219" s="92"/>
      <c r="K219" s="91"/>
      <c r="L219" s="91"/>
      <c r="M219" s="92"/>
      <c r="N219" s="91"/>
      <c r="O219" s="92" t="s">
        <v>694</v>
      </c>
    </row>
    <row r="220" spans="1:15" x14ac:dyDescent="0.25">
      <c r="A220" s="97"/>
      <c r="B220" s="142"/>
      <c r="C220" s="90"/>
      <c r="D220" s="139"/>
      <c r="E220" s="91"/>
      <c r="F220" s="91"/>
      <c r="G220" s="92"/>
      <c r="H220" s="91"/>
      <c r="I220" s="91"/>
      <c r="J220" s="92"/>
      <c r="K220" s="91"/>
      <c r="L220" s="91"/>
      <c r="M220" s="92"/>
      <c r="N220" s="91"/>
      <c r="O220" s="92"/>
    </row>
    <row r="221" spans="1:15" x14ac:dyDescent="0.25">
      <c r="A221" s="97"/>
      <c r="B221" s="142"/>
      <c r="C221" s="90"/>
      <c r="D221" s="139"/>
      <c r="E221" s="91"/>
      <c r="F221" s="91"/>
      <c r="G221" s="92"/>
      <c r="H221" s="91"/>
      <c r="I221" s="91"/>
      <c r="J221" s="92"/>
      <c r="K221" s="91"/>
      <c r="L221" s="91"/>
      <c r="M221" s="92"/>
      <c r="N221" s="91"/>
      <c r="O221" s="92"/>
    </row>
    <row r="222" spans="1:15" x14ac:dyDescent="0.25">
      <c r="A222" s="97"/>
      <c r="B222" s="142"/>
      <c r="C222" s="90"/>
      <c r="D222" s="139"/>
      <c r="E222" s="91"/>
      <c r="F222" s="91"/>
      <c r="G222" s="92"/>
      <c r="H222" s="91"/>
      <c r="I222" s="91"/>
      <c r="J222" s="92"/>
      <c r="K222" s="91"/>
      <c r="L222" s="91"/>
      <c r="M222" s="92"/>
      <c r="N222" s="91"/>
      <c r="O222" s="92"/>
    </row>
    <row r="223" spans="1:15" x14ac:dyDescent="0.25">
      <c r="A223" s="97"/>
      <c r="B223" s="142"/>
      <c r="C223" s="90"/>
      <c r="D223" s="139"/>
      <c r="E223" s="91"/>
      <c r="F223" s="91"/>
      <c r="G223" s="92"/>
      <c r="H223" s="91"/>
      <c r="I223" s="91"/>
      <c r="J223" s="92"/>
      <c r="K223" s="91"/>
      <c r="L223" s="91"/>
      <c r="M223" s="92"/>
      <c r="N223" s="91"/>
      <c r="O223" s="92"/>
    </row>
    <row r="224" spans="1:15" x14ac:dyDescent="0.25">
      <c r="A224" s="97"/>
      <c r="B224" s="142"/>
      <c r="C224" s="90"/>
      <c r="D224" s="139"/>
      <c r="E224" s="91"/>
      <c r="F224" s="91"/>
      <c r="G224" s="92"/>
      <c r="H224" s="91"/>
      <c r="I224" s="91"/>
      <c r="J224" s="92"/>
      <c r="K224" s="91"/>
      <c r="L224" s="91"/>
      <c r="M224" s="92"/>
      <c r="N224" s="91"/>
      <c r="O224" s="92"/>
    </row>
    <row r="225" spans="1:15" x14ac:dyDescent="0.25">
      <c r="A225" s="97"/>
      <c r="B225" s="142"/>
      <c r="C225" s="90"/>
      <c r="D225" s="139"/>
      <c r="E225" s="91"/>
      <c r="F225" s="91"/>
      <c r="G225" s="92"/>
      <c r="H225" s="91"/>
      <c r="I225" s="91"/>
      <c r="J225" s="92"/>
      <c r="K225" s="91"/>
      <c r="L225" s="91"/>
      <c r="M225" s="92"/>
      <c r="N225" s="91"/>
      <c r="O225" s="92"/>
    </row>
    <row r="226" spans="1:15" x14ac:dyDescent="0.25">
      <c r="A226" s="102"/>
      <c r="B226" s="142"/>
      <c r="C226" s="90"/>
      <c r="D226" s="139"/>
      <c r="E226" s="91"/>
      <c r="F226" s="91"/>
      <c r="G226" s="92"/>
      <c r="H226" s="91"/>
      <c r="I226" s="91"/>
      <c r="J226" s="92"/>
      <c r="K226" s="91"/>
      <c r="L226" s="91"/>
      <c r="M226" s="92"/>
      <c r="N226" s="91"/>
      <c r="O226" s="92"/>
    </row>
    <row r="227" spans="1:15" x14ac:dyDescent="0.25">
      <c r="A227" s="122" t="s">
        <v>391</v>
      </c>
      <c r="B227" s="123">
        <f>SUM(B7:B221)</f>
        <v>2033462</v>
      </c>
      <c r="C227" s="123">
        <f>SUM(C7:C224)</f>
        <v>167416</v>
      </c>
      <c r="D227" s="124">
        <f>'Snapshot (Value)'!K228</f>
        <v>8.9717557722348601E-2</v>
      </c>
      <c r="E227" s="123">
        <f>SUM(E7:E222)</f>
        <v>558627</v>
      </c>
      <c r="F227" s="123">
        <f>SUM(F7:F222)</f>
        <v>288</v>
      </c>
      <c r="G227" s="149">
        <f>F227*100/(E227-F227)</f>
        <v>5.1581566037837229E-2</v>
      </c>
      <c r="H227" s="123">
        <f>SUM(H7:H222)</f>
        <v>767302</v>
      </c>
      <c r="I227" s="123">
        <f>SUM(I7:I222)</f>
        <v>71461</v>
      </c>
      <c r="J227" s="149">
        <f>I227/(H227-I227)</f>
        <v>0.10269731159848298</v>
      </c>
      <c r="K227" s="123">
        <f>SUM(K7:K222)</f>
        <v>707531</v>
      </c>
      <c r="L227" s="123">
        <f>SUM(L7:L222)</f>
        <v>95654</v>
      </c>
      <c r="M227" s="149">
        <f>L227/(K227-L227)</f>
        <v>0.15632880464537807</v>
      </c>
      <c r="N227" s="123">
        <f>SUM(N7:N222)</f>
        <v>527088</v>
      </c>
      <c r="O227" s="149">
        <f>(N227-FII!V2)/N227</f>
        <v>-9.0516194639225327E-3</v>
      </c>
    </row>
    <row r="232" spans="1:15" x14ac:dyDescent="0.25">
      <c r="A232" s="275" t="s">
        <v>408</v>
      </c>
      <c r="B232" s="275"/>
      <c r="C232" s="275"/>
      <c r="D232" s="275"/>
    </row>
    <row r="233" spans="1:15" x14ac:dyDescent="0.25">
      <c r="A233" s="35" t="s">
        <v>401</v>
      </c>
      <c r="B233" s="35" t="s">
        <v>402</v>
      </c>
      <c r="C233" s="35" t="s">
        <v>369</v>
      </c>
      <c r="D233" s="35" t="s">
        <v>407</v>
      </c>
    </row>
    <row r="234" spans="1:15" x14ac:dyDescent="0.25">
      <c r="A234" s="36" t="s">
        <v>403</v>
      </c>
      <c r="B234" s="37">
        <f>E227</f>
        <v>558627</v>
      </c>
      <c r="C234" s="37">
        <f>F227</f>
        <v>288</v>
      </c>
      <c r="D234" s="39">
        <f>C234/B234</f>
        <v>5.1554973175303015E-4</v>
      </c>
    </row>
    <row r="235" spans="1:15" x14ac:dyDescent="0.25">
      <c r="A235" s="36" t="s">
        <v>404</v>
      </c>
      <c r="B235" s="37">
        <f>H227</f>
        <v>767302</v>
      </c>
      <c r="C235" s="37">
        <f>I227</f>
        <v>71461</v>
      </c>
      <c r="D235" s="150">
        <f>C235/B235</f>
        <v>9.313282123596707E-2</v>
      </c>
    </row>
    <row r="236" spans="1:15" x14ac:dyDescent="0.25">
      <c r="A236" s="36" t="s">
        <v>405</v>
      </c>
      <c r="B236" s="37">
        <f>K227</f>
        <v>707531</v>
      </c>
      <c r="C236" s="37">
        <f>L227</f>
        <v>95654</v>
      </c>
      <c r="D236" s="150">
        <f>C236/B236</f>
        <v>0.13519407630195709</v>
      </c>
    </row>
    <row r="237" spans="1:15" x14ac:dyDescent="0.25">
      <c r="A237" s="36" t="s">
        <v>406</v>
      </c>
      <c r="B237" s="37">
        <f>B234+B235+B236</f>
        <v>2033460</v>
      </c>
      <c r="C237" s="37">
        <f>C234+C235+C236</f>
        <v>167403</v>
      </c>
      <c r="D237" s="150">
        <f>C237/B237</f>
        <v>8.2324215868519665E-2</v>
      </c>
    </row>
  </sheetData>
  <autoFilter ref="A6:O6">
    <sortState ref="A7:O154">
      <sortCondition ref="A6"/>
    </sortState>
  </autoFilter>
  <mergeCells count="9">
    <mergeCell ref="A232:D232"/>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
  <sheetViews>
    <sheetView workbookViewId="0">
      <pane ySplit="6" topLeftCell="A40" activePane="bottomLeft" state="frozen"/>
      <selection pane="bottomLeft" activeCell="J57" sqref="J57"/>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3" t="s">
        <v>343</v>
      </c>
      <c r="B3" s="294"/>
      <c r="C3" s="294"/>
      <c r="D3" s="294"/>
      <c r="E3" s="294"/>
      <c r="F3" s="294"/>
      <c r="G3" s="295"/>
      <c r="H3" s="295"/>
      <c r="I3" s="295"/>
      <c r="J3" s="296"/>
    </row>
    <row r="4" spans="1:10" s="93" customFormat="1" x14ac:dyDescent="0.25">
      <c r="A4" s="297" t="s">
        <v>330</v>
      </c>
      <c r="B4" s="297" t="s">
        <v>308</v>
      </c>
      <c r="C4" s="297"/>
      <c r="D4" s="297"/>
      <c r="E4" s="297" t="s">
        <v>340</v>
      </c>
      <c r="F4" s="297"/>
      <c r="G4" s="297"/>
      <c r="H4" s="297" t="s">
        <v>458</v>
      </c>
      <c r="I4" s="297"/>
      <c r="J4" s="297"/>
    </row>
    <row r="5" spans="1:10" s="93" customFormat="1" x14ac:dyDescent="0.25">
      <c r="A5" s="298"/>
      <c r="B5" s="94" t="s">
        <v>312</v>
      </c>
      <c r="C5" s="94" t="s">
        <v>313</v>
      </c>
      <c r="D5" s="94"/>
      <c r="E5" s="298" t="s">
        <v>314</v>
      </c>
      <c r="F5" s="298"/>
      <c r="G5" s="298"/>
      <c r="H5" s="298" t="s">
        <v>314</v>
      </c>
      <c r="I5" s="298"/>
      <c r="J5" s="298"/>
    </row>
    <row r="6" spans="1:10" s="93" customFormat="1" x14ac:dyDescent="0.25">
      <c r="A6" s="94" t="s">
        <v>318</v>
      </c>
      <c r="B6" s="3">
        <f>'OI(Volume)'!B6</f>
        <v>46086</v>
      </c>
      <c r="C6" s="3">
        <f>B6</f>
        <v>46086</v>
      </c>
      <c r="D6" s="94" t="s">
        <v>328</v>
      </c>
      <c r="E6" s="3">
        <f>B6</f>
        <v>46086</v>
      </c>
      <c r="F6" s="94" t="s">
        <v>322</v>
      </c>
      <c r="G6" s="94" t="s">
        <v>328</v>
      </c>
      <c r="H6" s="3">
        <f>E6</f>
        <v>46086</v>
      </c>
      <c r="I6" s="94" t="s">
        <v>322</v>
      </c>
      <c r="J6" s="94" t="s">
        <v>328</v>
      </c>
    </row>
    <row r="7" spans="1:10" x14ac:dyDescent="0.25">
      <c r="A7" s="101" t="str">
        <f>'NIFTY GRP'!C2</f>
        <v>ADANIENT</v>
      </c>
      <c r="B7" s="140">
        <f>VLOOKUP($A7,'Data shares'!$C:$FA,7)</f>
        <v>2089.1999999999998</v>
      </c>
      <c r="C7" s="140">
        <f>VLOOKUP($A7,'Data shares'!$C:$FA,3)</f>
        <v>2096.1999999999998</v>
      </c>
      <c r="D7" s="50">
        <f>VLOOKUP($A7,'Data shares'!$C:$FA,6)*100</f>
        <v>1.24</v>
      </c>
      <c r="E7" s="51">
        <f>VLOOKUP($A7,'Data shares'!$C:$FA,98)</f>
        <v>28498143</v>
      </c>
      <c r="F7" s="51">
        <f>VLOOKUP($A7,'Data shares'!$C:$FA,99)</f>
        <v>27925875</v>
      </c>
      <c r="G7" s="50">
        <f>VLOOKUP($A7,'Data shares'!$C:$FA,101)*100</f>
        <v>2.0500000000000003</v>
      </c>
      <c r="H7" s="49">
        <f>VLOOKUP($A7,'Data Vlaue (Cr)'!$C:$FB,99)</f>
        <v>5974</v>
      </c>
      <c r="I7" s="49">
        <f>VLOOKUP($A7,'Data Vlaue (Cr)'!$C:$FB,100)</f>
        <v>5854</v>
      </c>
      <c r="J7" s="49">
        <f>VLOOKUP($A7,'Data Vlaue (Cr)'!$C:$FB,102)*100</f>
        <v>2.0500000000000003</v>
      </c>
    </row>
    <row r="8" spans="1:10" x14ac:dyDescent="0.25">
      <c r="A8" s="101" t="str">
        <f>'NIFTY GRP'!C3</f>
        <v>ADANIPORTS</v>
      </c>
      <c r="B8" s="140">
        <f>VLOOKUP($A8,'Data shares'!$C:$FA,7)</f>
        <v>1499.3</v>
      </c>
      <c r="C8" s="140">
        <f>VLOOKUP($A8,'Data shares'!$C:$FA,3)</f>
        <v>1501.8</v>
      </c>
      <c r="D8" s="50">
        <f>VLOOKUP($A8,'Data shares'!$C:$FA,6)*100</f>
        <v>4.2299999999999995</v>
      </c>
      <c r="E8" s="51">
        <f>VLOOKUP($A8,'Data shares'!$C:$FA,98)</f>
        <v>34416600</v>
      </c>
      <c r="F8" s="51">
        <f>VLOOKUP($A8,'Data shares'!$C:$FA,99)</f>
        <v>34547225</v>
      </c>
      <c r="G8" s="50">
        <f>VLOOKUP($A8,'Data shares'!$C:$FA,101)*100</f>
        <v>-0.38</v>
      </c>
      <c r="H8" s="49">
        <f>VLOOKUP($A8,'Data Vlaue (Cr)'!$C:$FB,99)</f>
        <v>5169</v>
      </c>
      <c r="I8" s="49">
        <f>VLOOKUP($A8,'Data Vlaue (Cr)'!$C:$FB,100)</f>
        <v>5188</v>
      </c>
      <c r="J8" s="49">
        <f>VLOOKUP($A8,'Data Vlaue (Cr)'!$C:$FB,102)*100</f>
        <v>-0.38</v>
      </c>
    </row>
    <row r="9" spans="1:10" x14ac:dyDescent="0.25">
      <c r="A9" s="101" t="str">
        <f>'NIFTY GRP'!C4</f>
        <v>APOLLOHOSP</v>
      </c>
      <c r="B9" s="140">
        <f>VLOOKUP($A9,'Data shares'!$C:$FA,7)</f>
        <v>7775</v>
      </c>
      <c r="C9" s="140">
        <f>VLOOKUP($A9,'Data shares'!$C:$FA,3)</f>
        <v>7787.5</v>
      </c>
      <c r="D9" s="50">
        <f>VLOOKUP($A9,'Data shares'!$C:$FA,6)*100</f>
        <v>1.4000000000000001</v>
      </c>
      <c r="E9" s="51">
        <f>VLOOKUP($A9,'Data shares'!$C:$FA,98)</f>
        <v>4161750</v>
      </c>
      <c r="F9" s="51">
        <f>VLOOKUP($A9,'Data shares'!$C:$FA,99)</f>
        <v>4073250</v>
      </c>
      <c r="G9" s="50">
        <f>VLOOKUP($A9,'Data shares'!$C:$FA,101)*100</f>
        <v>2.17</v>
      </c>
      <c r="H9" s="49">
        <f>VLOOKUP($A9,'Data Vlaue (Cr)'!$C:$FB,99)</f>
        <v>3241</v>
      </c>
      <c r="I9" s="49">
        <f>VLOOKUP($A9,'Data Vlaue (Cr)'!$C:$FB,100)</f>
        <v>3172</v>
      </c>
      <c r="J9" s="49">
        <f>VLOOKUP($A9,'Data Vlaue (Cr)'!$C:$FB,102)*100</f>
        <v>2.17</v>
      </c>
    </row>
    <row r="10" spans="1:10" x14ac:dyDescent="0.25">
      <c r="A10" s="101" t="str">
        <f>'NIFTY GRP'!C5</f>
        <v>ASIANPAINT</v>
      </c>
      <c r="B10" s="140">
        <f>VLOOKUP($A10,'Data shares'!$C:$FA,7)</f>
        <v>2287.8000000000002</v>
      </c>
      <c r="C10" s="140">
        <f>VLOOKUP($A10,'Data shares'!$C:$FA,3)</f>
        <v>2298.8000000000002</v>
      </c>
      <c r="D10" s="50">
        <f>VLOOKUP($A10,'Data shares'!$C:$FA,6)*100</f>
        <v>0.25</v>
      </c>
      <c r="E10" s="51">
        <f>VLOOKUP($A10,'Data shares'!$C:$FA,98)</f>
        <v>20974000</v>
      </c>
      <c r="F10" s="51">
        <f>VLOOKUP($A10,'Data shares'!$C:$FA,99)</f>
        <v>20995250</v>
      </c>
      <c r="G10" s="50">
        <f>VLOOKUP($A10,'Data shares'!$C:$FA,101)*100</f>
        <v>-0.1</v>
      </c>
      <c r="H10" s="49">
        <f>VLOOKUP($A10,'Data Vlaue (Cr)'!$C:$FB,99)</f>
        <v>4822</v>
      </c>
      <c r="I10" s="49">
        <f>VLOOKUP($A10,'Data Vlaue (Cr)'!$C:$FB,100)</f>
        <v>4826</v>
      </c>
      <c r="J10" s="49">
        <f>VLOOKUP($A10,'Data Vlaue (Cr)'!$C:$FB,102)*100</f>
        <v>-0.1</v>
      </c>
    </row>
    <row r="11" spans="1:10" x14ac:dyDescent="0.25">
      <c r="A11" s="101" t="str">
        <f>'NIFTY GRP'!C6</f>
        <v>AXISBANK</v>
      </c>
      <c r="B11" s="140">
        <f>VLOOKUP($A11,'Data shares'!$C:$FA,7)</f>
        <v>1349.1</v>
      </c>
      <c r="C11" s="140">
        <f>VLOOKUP($A11,'Data shares'!$C:$FA,3)</f>
        <v>1356.1</v>
      </c>
      <c r="D11" s="50">
        <f>VLOOKUP($A11,'Data shares'!$C:$FA,6)*100</f>
        <v>0.16999999999999998</v>
      </c>
      <c r="E11" s="51">
        <f>VLOOKUP($A11,'Data shares'!$C:$FA,98)</f>
        <v>88471875</v>
      </c>
      <c r="F11" s="51">
        <f>VLOOKUP($A11,'Data shares'!$C:$FA,99)</f>
        <v>86283125</v>
      </c>
      <c r="G11" s="50">
        <f>VLOOKUP($A11,'Data shares'!$C:$FA,101)*100</f>
        <v>2.54</v>
      </c>
      <c r="H11" s="49">
        <f>VLOOKUP($A11,'Data Vlaue (Cr)'!$C:$FB,99)</f>
        <v>11998</v>
      </c>
      <c r="I11" s="49">
        <f>VLOOKUP($A11,'Data Vlaue (Cr)'!$C:$FB,100)</f>
        <v>11701</v>
      </c>
      <c r="J11" s="49">
        <f>VLOOKUP($A11,'Data Vlaue (Cr)'!$C:$FB,102)*100</f>
        <v>2.54</v>
      </c>
    </row>
    <row r="12" spans="1:10" x14ac:dyDescent="0.25">
      <c r="A12" s="101" t="str">
        <f>'NIFTY GRP'!C7</f>
        <v>BAJAJ-AUTO</v>
      </c>
      <c r="B12" s="140">
        <f>VLOOKUP($A12,'Data shares'!$C:$FA,7)</f>
        <v>9804.5</v>
      </c>
      <c r="C12" s="140">
        <f>VLOOKUP($A12,'Data shares'!$C:$FA,3)</f>
        <v>9788.5</v>
      </c>
      <c r="D12" s="50">
        <f>VLOOKUP($A12,'Data shares'!$C:$FA,6)*100</f>
        <v>1.49</v>
      </c>
      <c r="E12" s="51">
        <f>VLOOKUP($A12,'Data shares'!$C:$FA,98)</f>
        <v>5066325</v>
      </c>
      <c r="F12" s="51">
        <f>VLOOKUP($A12,'Data shares'!$C:$FA,99)</f>
        <v>5079675</v>
      </c>
      <c r="G12" s="50">
        <f>VLOOKUP($A12,'Data shares'!$C:$FA,101)*100</f>
        <v>-0.26</v>
      </c>
      <c r="H12" s="49">
        <f>VLOOKUP($A12,'Data Vlaue (Cr)'!$C:$FB,99)</f>
        <v>4959</v>
      </c>
      <c r="I12" s="49">
        <f>VLOOKUP($A12,'Data Vlaue (Cr)'!$C:$FB,100)</f>
        <v>4972</v>
      </c>
      <c r="J12" s="49">
        <f>VLOOKUP($A12,'Data Vlaue (Cr)'!$C:$FB,102)*100</f>
        <v>-0.26</v>
      </c>
    </row>
    <row r="13" spans="1:10" x14ac:dyDescent="0.25">
      <c r="A13" s="101" t="str">
        <f>'NIFTY GRP'!C8</f>
        <v>BAJAJFINSV</v>
      </c>
      <c r="B13" s="140">
        <f>VLOOKUP($A13,'Data shares'!$C:$FA,7)</f>
        <v>1911.8</v>
      </c>
      <c r="C13" s="140">
        <f>VLOOKUP($A13,'Data shares'!$C:$FA,3)</f>
        <v>1917.9</v>
      </c>
      <c r="D13" s="50">
        <f>VLOOKUP($A13,'Data shares'!$C:$FA,6)*100</f>
        <v>1.38</v>
      </c>
      <c r="E13" s="51">
        <f>VLOOKUP($A13,'Data shares'!$C:$FA,98)</f>
        <v>21270250</v>
      </c>
      <c r="F13" s="51">
        <f>VLOOKUP($A13,'Data shares'!$C:$FA,99)</f>
        <v>21059250</v>
      </c>
      <c r="G13" s="50">
        <f>VLOOKUP($A13,'Data shares'!$C:$FA,101)*100</f>
        <v>1</v>
      </c>
      <c r="H13" s="49">
        <f>VLOOKUP($A13,'Data Vlaue (Cr)'!$C:$FB,99)</f>
        <v>4079</v>
      </c>
      <c r="I13" s="49">
        <f>VLOOKUP($A13,'Data Vlaue (Cr)'!$C:$FB,100)</f>
        <v>4039</v>
      </c>
      <c r="J13" s="49">
        <f>VLOOKUP($A13,'Data Vlaue (Cr)'!$C:$FB,102)*100</f>
        <v>1</v>
      </c>
    </row>
    <row r="14" spans="1:10" x14ac:dyDescent="0.25">
      <c r="A14" s="101" t="str">
        <f>'NIFTY GRP'!C9</f>
        <v>BAJFINANCE</v>
      </c>
      <c r="B14" s="140">
        <f>VLOOKUP($A14,'Data shares'!$C:$FA,7)</f>
        <v>962.4</v>
      </c>
      <c r="C14" s="140">
        <f>VLOOKUP($A14,'Data shares'!$C:$FA,3)</f>
        <v>964.15</v>
      </c>
      <c r="D14" s="50">
        <f>VLOOKUP($A14,'Data shares'!$C:$FA,6)*100</f>
        <v>1.53</v>
      </c>
      <c r="E14" s="51">
        <f>VLOOKUP($A14,'Data shares'!$C:$FA,98)</f>
        <v>104751750</v>
      </c>
      <c r="F14" s="51">
        <f>VLOOKUP($A14,'Data shares'!$C:$FA,99)</f>
        <v>105276000</v>
      </c>
      <c r="G14" s="50">
        <f>VLOOKUP($A14,'Data shares'!$C:$FA,101)*100</f>
        <v>-0.5</v>
      </c>
      <c r="H14" s="49">
        <f>VLOOKUP($A14,'Data Vlaue (Cr)'!$C:$FB,99)</f>
        <v>10100</v>
      </c>
      <c r="I14" s="49">
        <f>VLOOKUP($A14,'Data Vlaue (Cr)'!$C:$FB,100)</f>
        <v>10150</v>
      </c>
      <c r="J14" s="49">
        <f>VLOOKUP($A14,'Data Vlaue (Cr)'!$C:$FB,102)*100</f>
        <v>-0.5</v>
      </c>
    </row>
    <row r="15" spans="1:10" x14ac:dyDescent="0.25">
      <c r="A15" s="101" t="str">
        <f>'NIFTY GRP'!C10</f>
        <v>BEL</v>
      </c>
      <c r="B15" s="140">
        <f>VLOOKUP($A15,'Data shares'!$C:$FA,7)</f>
        <v>460</v>
      </c>
      <c r="C15" s="140">
        <f>VLOOKUP($A15,'Data shares'!$C:$FA,3)</f>
        <v>459.85</v>
      </c>
      <c r="D15" s="50">
        <f>VLOOKUP($A15,'Data shares'!$C:$FA,6)*100</f>
        <v>3.15</v>
      </c>
      <c r="E15" s="51">
        <f>VLOOKUP($A15,'Data shares'!$C:$FA,98)</f>
        <v>179225100</v>
      </c>
      <c r="F15" s="51">
        <f>VLOOKUP($A15,'Data shares'!$C:$FA,99)</f>
        <v>186216150</v>
      </c>
      <c r="G15" s="50">
        <f>VLOOKUP($A15,'Data shares'!$C:$FA,101)*100</f>
        <v>-3.75</v>
      </c>
      <c r="H15" s="49">
        <f>VLOOKUP($A15,'Data Vlaue (Cr)'!$C:$FB,99)</f>
        <v>8242</v>
      </c>
      <c r="I15" s="49">
        <f>VLOOKUP($A15,'Data Vlaue (Cr)'!$C:$FB,100)</f>
        <v>8563</v>
      </c>
      <c r="J15" s="49">
        <f>VLOOKUP($A15,'Data Vlaue (Cr)'!$C:$FB,102)*100</f>
        <v>-3.75</v>
      </c>
    </row>
    <row r="16" spans="1:10" x14ac:dyDescent="0.25">
      <c r="A16" s="101" t="str">
        <f>'NIFTY GRP'!C11</f>
        <v>BHARTIARTL</v>
      </c>
      <c r="B16" s="140">
        <f>VLOOKUP($A16,'Data shares'!$C:$FA,7)</f>
        <v>1907</v>
      </c>
      <c r="C16" s="140">
        <f>VLOOKUP($A16,'Data shares'!$C:$FA,3)</f>
        <v>1914.5</v>
      </c>
      <c r="D16" s="50">
        <f>VLOOKUP($A16,'Data shares'!$C:$FA,6)*100</f>
        <v>0.12</v>
      </c>
      <c r="E16" s="51">
        <f>VLOOKUP($A16,'Data shares'!$C:$FA,98)</f>
        <v>82147925</v>
      </c>
      <c r="F16" s="51">
        <f>VLOOKUP($A16,'Data shares'!$C:$FA,99)</f>
        <v>84154325</v>
      </c>
      <c r="G16" s="50">
        <f>VLOOKUP($A16,'Data shares'!$C:$FA,101)*100</f>
        <v>-2.3800000000000003</v>
      </c>
      <c r="H16" s="49">
        <f>VLOOKUP($A16,'Data Vlaue (Cr)'!$C:$FB,99)</f>
        <v>15727</v>
      </c>
      <c r="I16" s="49">
        <f>VLOOKUP($A16,'Data Vlaue (Cr)'!$C:$FB,100)</f>
        <v>16111</v>
      </c>
      <c r="J16" s="49">
        <f>VLOOKUP($A16,'Data Vlaue (Cr)'!$C:$FB,102)*100</f>
        <v>-2.3800000000000003</v>
      </c>
    </row>
    <row r="17" spans="1:10" x14ac:dyDescent="0.25">
      <c r="A17" s="101" t="str">
        <f>'NIFTY GRP'!C12</f>
        <v>CIPLA</v>
      </c>
      <c r="B17" s="140">
        <f>VLOOKUP($A17,'Data shares'!$C:$FA,7)</f>
        <v>1326.4</v>
      </c>
      <c r="C17" s="140">
        <f>VLOOKUP($A17,'Data shares'!$C:$FA,3)</f>
        <v>1332.3</v>
      </c>
      <c r="D17" s="50">
        <f>VLOOKUP($A17,'Data shares'!$C:$FA,6)*100</f>
        <v>0.95</v>
      </c>
      <c r="E17" s="51">
        <f>VLOOKUP($A17,'Data shares'!$C:$FA,98)</f>
        <v>21161250</v>
      </c>
      <c r="F17" s="51">
        <f>VLOOKUP($A17,'Data shares'!$C:$FA,99)</f>
        <v>21444000</v>
      </c>
      <c r="G17" s="50">
        <f>VLOOKUP($A17,'Data shares'!$C:$FA,101)*100</f>
        <v>-1.32</v>
      </c>
      <c r="H17" s="49">
        <f>VLOOKUP($A17,'Data Vlaue (Cr)'!$C:$FB,99)</f>
        <v>2819</v>
      </c>
      <c r="I17" s="49">
        <f>VLOOKUP($A17,'Data Vlaue (Cr)'!$C:$FB,100)</f>
        <v>2857</v>
      </c>
      <c r="J17" s="49">
        <f>VLOOKUP($A17,'Data Vlaue (Cr)'!$C:$FB,102)*100</f>
        <v>-1.32</v>
      </c>
    </row>
    <row r="18" spans="1:10" x14ac:dyDescent="0.25">
      <c r="A18" s="101" t="str">
        <f>'NIFTY GRP'!C13</f>
        <v>COALINDIA</v>
      </c>
      <c r="B18" s="140">
        <f>VLOOKUP($A18,'Data shares'!$C:$FA,7)</f>
        <v>449.4</v>
      </c>
      <c r="C18" s="140">
        <f>VLOOKUP($A18,'Data shares'!$C:$FA,3)</f>
        <v>450.5</v>
      </c>
      <c r="D18" s="50">
        <f>VLOOKUP($A18,'Data shares'!$C:$FA,6)*100</f>
        <v>3.1199999999999997</v>
      </c>
      <c r="E18" s="51">
        <f>VLOOKUP($A18,'Data shares'!$C:$FA,98)</f>
        <v>96304950</v>
      </c>
      <c r="F18" s="51">
        <f>VLOOKUP($A18,'Data shares'!$C:$FA,99)</f>
        <v>87330150</v>
      </c>
      <c r="G18" s="50">
        <f>VLOOKUP($A18,'Data shares'!$C:$FA,101)*100</f>
        <v>10.280000000000001</v>
      </c>
      <c r="H18" s="49">
        <f>VLOOKUP($A18,'Data Vlaue (Cr)'!$C:$FB,99)</f>
        <v>4339</v>
      </c>
      <c r="I18" s="49">
        <f>VLOOKUP($A18,'Data Vlaue (Cr)'!$C:$FB,100)</f>
        <v>3934</v>
      </c>
      <c r="J18" s="49">
        <f>VLOOKUP($A18,'Data Vlaue (Cr)'!$C:$FB,102)*100</f>
        <v>10.280000000000001</v>
      </c>
    </row>
    <row r="19" spans="1:10" x14ac:dyDescent="0.25">
      <c r="A19" s="101" t="str">
        <f>'NIFTY GRP'!C14</f>
        <v>DRREDDY</v>
      </c>
      <c r="B19" s="140">
        <f>VLOOKUP($A19,'Data shares'!$C:$FA,7)</f>
        <v>1313.5</v>
      </c>
      <c r="C19" s="140">
        <f>VLOOKUP($A19,'Data shares'!$C:$FA,3)</f>
        <v>1318</v>
      </c>
      <c r="D19" s="50">
        <f>VLOOKUP($A19,'Data shares'!$C:$FA,6)*100</f>
        <v>1.87</v>
      </c>
      <c r="E19" s="51">
        <f>VLOOKUP($A19,'Data shares'!$C:$FA,98)</f>
        <v>23436250</v>
      </c>
      <c r="F19" s="51">
        <f>VLOOKUP($A19,'Data shares'!$C:$FA,99)</f>
        <v>23218125</v>
      </c>
      <c r="G19" s="50">
        <f>VLOOKUP($A19,'Data shares'!$C:$FA,101)*100</f>
        <v>0.94000000000000006</v>
      </c>
      <c r="H19" s="49">
        <f>VLOOKUP($A19,'Data Vlaue (Cr)'!$C:$FB,99)</f>
        <v>3089</v>
      </c>
      <c r="I19" s="49">
        <f>VLOOKUP($A19,'Data Vlaue (Cr)'!$C:$FB,100)</f>
        <v>3060</v>
      </c>
      <c r="J19" s="49">
        <f>VLOOKUP($A19,'Data Vlaue (Cr)'!$C:$FB,102)*100</f>
        <v>0.94000000000000006</v>
      </c>
    </row>
    <row r="20" spans="1:10" x14ac:dyDescent="0.25">
      <c r="A20" s="101" t="str">
        <f>'NIFTY GRP'!C15</f>
        <v>EICHERMOT</v>
      </c>
      <c r="B20" s="140">
        <f>VLOOKUP($A20,'Data shares'!$C:$FA,7)</f>
        <v>7755</v>
      </c>
      <c r="C20" s="140">
        <f>VLOOKUP($A20,'Data shares'!$C:$FA,3)</f>
        <v>7768</v>
      </c>
      <c r="D20" s="50">
        <f>VLOOKUP($A20,'Data shares'!$C:$FA,6)*100</f>
        <v>1.49</v>
      </c>
      <c r="E20" s="51">
        <f>VLOOKUP($A20,'Data shares'!$C:$FA,98)</f>
        <v>5913000</v>
      </c>
      <c r="F20" s="51">
        <f>VLOOKUP($A20,'Data shares'!$C:$FA,99)</f>
        <v>5861900</v>
      </c>
      <c r="G20" s="50">
        <f>VLOOKUP($A20,'Data shares'!$C:$FA,101)*100</f>
        <v>0.86999999999999988</v>
      </c>
      <c r="H20" s="49">
        <f>VLOOKUP($A20,'Data Vlaue (Cr)'!$C:$FB,99)</f>
        <v>4593</v>
      </c>
      <c r="I20" s="49">
        <f>VLOOKUP($A20,'Data Vlaue (Cr)'!$C:$FB,100)</f>
        <v>4554</v>
      </c>
      <c r="J20" s="49">
        <f>VLOOKUP($A20,'Data Vlaue (Cr)'!$C:$FB,102)*100</f>
        <v>0.86999999999999988</v>
      </c>
    </row>
    <row r="21" spans="1:10" x14ac:dyDescent="0.25">
      <c r="A21" s="101" t="str">
        <f>'NIFTY GRP'!C16</f>
        <v>ETERNAL</v>
      </c>
      <c r="B21" s="140">
        <f>VLOOKUP($A21,'Data shares'!$C:$FA,7)</f>
        <v>240.14</v>
      </c>
      <c r="C21" s="140">
        <f>VLOOKUP($A21,'Data shares'!$C:$FA,3)</f>
        <v>240.67</v>
      </c>
      <c r="D21" s="50">
        <f>VLOOKUP($A21,'Data shares'!$C:$FA,6)*100</f>
        <v>-0.21</v>
      </c>
      <c r="E21" s="51">
        <f>VLOOKUP($A21,'Data shares'!$C:$FA,98)</f>
        <v>457733300</v>
      </c>
      <c r="F21" s="51">
        <f>VLOOKUP($A21,'Data shares'!$C:$FA,99)</f>
        <v>446772300</v>
      </c>
      <c r="G21" s="50">
        <f>VLOOKUP($A21,'Data shares'!$C:$FA,101)*100</f>
        <v>2.4500000000000002</v>
      </c>
      <c r="H21" s="49">
        <f>VLOOKUP($A21,'Data Vlaue (Cr)'!$C:$FB,99)</f>
        <v>11016</v>
      </c>
      <c r="I21" s="49">
        <f>VLOOKUP($A21,'Data Vlaue (Cr)'!$C:$FB,100)</f>
        <v>10752</v>
      </c>
      <c r="J21" s="49">
        <f>VLOOKUP($A21,'Data Vlaue (Cr)'!$C:$FB,102)*100</f>
        <v>2.4500000000000002</v>
      </c>
    </row>
    <row r="22" spans="1:10" x14ac:dyDescent="0.25">
      <c r="A22" s="101" t="str">
        <f>'NIFTY GRP'!C17</f>
        <v>GRASIM</v>
      </c>
      <c r="B22" s="140">
        <f>VLOOKUP($A22,'Data shares'!$C:$FA,7)</f>
        <v>2724.1</v>
      </c>
      <c r="C22" s="140">
        <f>VLOOKUP($A22,'Data shares'!$C:$FA,3)</f>
        <v>2730</v>
      </c>
      <c r="D22" s="50">
        <f>VLOOKUP($A22,'Data shares'!$C:$FA,6)*100</f>
        <v>1.55</v>
      </c>
      <c r="E22" s="51">
        <f>VLOOKUP($A22,'Data shares'!$C:$FA,98)</f>
        <v>19212500</v>
      </c>
      <c r="F22" s="51">
        <f>VLOOKUP($A22,'Data shares'!$C:$FA,99)</f>
        <v>19125250</v>
      </c>
      <c r="G22" s="50">
        <f>VLOOKUP($A22,'Data shares'!$C:$FA,101)*100</f>
        <v>0.45999999999999996</v>
      </c>
      <c r="H22" s="49">
        <f>VLOOKUP($A22,'Data Vlaue (Cr)'!$C:$FB,99)</f>
        <v>5245</v>
      </c>
      <c r="I22" s="49">
        <f>VLOOKUP($A22,'Data Vlaue (Cr)'!$C:$FB,100)</f>
        <v>5221</v>
      </c>
      <c r="J22" s="49">
        <f>VLOOKUP($A22,'Data Vlaue (Cr)'!$C:$FB,102)*100</f>
        <v>0.45999999999999996</v>
      </c>
    </row>
    <row r="23" spans="1:10" x14ac:dyDescent="0.25">
      <c r="A23" s="101" t="str">
        <f>'NIFTY GRP'!C18</f>
        <v>HCLTECH</v>
      </c>
      <c r="B23" s="140">
        <f>VLOOKUP($A23,'Data shares'!$C:$FA,7)</f>
        <v>1354.1</v>
      </c>
      <c r="C23" s="140">
        <f>VLOOKUP($A23,'Data shares'!$C:$FA,3)</f>
        <v>1355.9</v>
      </c>
      <c r="D23" s="50">
        <f>VLOOKUP($A23,'Data shares'!$C:$FA,6)*100</f>
        <v>-0.8</v>
      </c>
      <c r="E23" s="51">
        <f>VLOOKUP($A23,'Data shares'!$C:$FA,98)</f>
        <v>36384600</v>
      </c>
      <c r="F23" s="51">
        <f>VLOOKUP($A23,'Data shares'!$C:$FA,99)</f>
        <v>35669900</v>
      </c>
      <c r="G23" s="50">
        <f>VLOOKUP($A23,'Data shares'!$C:$FA,101)*100</f>
        <v>2</v>
      </c>
      <c r="H23" s="49">
        <f>VLOOKUP($A23,'Data Vlaue (Cr)'!$C:$FB,99)</f>
        <v>4933</v>
      </c>
      <c r="I23" s="49">
        <f>VLOOKUP($A23,'Data Vlaue (Cr)'!$C:$FB,100)</f>
        <v>4836</v>
      </c>
      <c r="J23" s="49">
        <f>VLOOKUP($A23,'Data Vlaue (Cr)'!$C:$FB,102)*100</f>
        <v>2</v>
      </c>
    </row>
    <row r="24" spans="1:10" x14ac:dyDescent="0.25">
      <c r="A24" s="101" t="str">
        <f>'NIFTY GRP'!C19</f>
        <v>HDFCBANK</v>
      </c>
      <c r="B24" s="140">
        <f>VLOOKUP($A24,'Data shares'!$C:$FA,7)</f>
        <v>877.75</v>
      </c>
      <c r="C24" s="140">
        <f>VLOOKUP($A24,'Data shares'!$C:$FA,3)</f>
        <v>882.2</v>
      </c>
      <c r="D24" s="50">
        <f>VLOOKUP($A24,'Data shares'!$C:$FA,6)*100</f>
        <v>0.92999999999999994</v>
      </c>
      <c r="E24" s="51">
        <f>VLOOKUP($A24,'Data shares'!$C:$FA,98)</f>
        <v>414854550</v>
      </c>
      <c r="F24" s="51">
        <f>VLOOKUP($A24,'Data shares'!$C:$FA,99)</f>
        <v>409574550</v>
      </c>
      <c r="G24" s="50">
        <f>VLOOKUP($A24,'Data shares'!$C:$FA,101)*100</f>
        <v>1.29</v>
      </c>
      <c r="H24" s="49">
        <f>VLOOKUP($A24,'Data Vlaue (Cr)'!$C:$FB,99)</f>
        <v>36598</v>
      </c>
      <c r="I24" s="49">
        <f>VLOOKUP($A24,'Data Vlaue (Cr)'!$C:$FB,100)</f>
        <v>36133</v>
      </c>
      <c r="J24" s="49">
        <f>VLOOKUP($A24,'Data Vlaue (Cr)'!$C:$FB,102)*100</f>
        <v>1.29</v>
      </c>
    </row>
    <row r="25" spans="1:10" x14ac:dyDescent="0.25">
      <c r="A25" s="101" t="str">
        <f>'NIFTY GRP'!C20</f>
        <v>HDFCLIFE</v>
      </c>
      <c r="B25" s="140">
        <f>VLOOKUP($A25,'Data shares'!$C:$FA,7)</f>
        <v>684.3</v>
      </c>
      <c r="C25" s="140">
        <f>VLOOKUP($A25,'Data shares'!$C:$FA,3)</f>
        <v>686.35</v>
      </c>
      <c r="D25" s="50">
        <f>VLOOKUP($A25,'Data shares'!$C:$FA,6)*100</f>
        <v>-0.19</v>
      </c>
      <c r="E25" s="51">
        <f>VLOOKUP($A25,'Data shares'!$C:$FA,98)</f>
        <v>53674500</v>
      </c>
      <c r="F25" s="51">
        <f>VLOOKUP($A25,'Data shares'!$C:$FA,99)</f>
        <v>50657200</v>
      </c>
      <c r="G25" s="50">
        <f>VLOOKUP($A25,'Data shares'!$C:$FA,101)*100</f>
        <v>5.96</v>
      </c>
      <c r="H25" s="49">
        <f>VLOOKUP($A25,'Data Vlaue (Cr)'!$C:$FB,99)</f>
        <v>3684</v>
      </c>
      <c r="I25" s="49">
        <f>VLOOKUP($A25,'Data Vlaue (Cr)'!$C:$FB,100)</f>
        <v>3477</v>
      </c>
      <c r="J25" s="49">
        <f>VLOOKUP($A25,'Data Vlaue (Cr)'!$C:$FB,102)*100</f>
        <v>5.96</v>
      </c>
    </row>
    <row r="26" spans="1:10" x14ac:dyDescent="0.25">
      <c r="A26" s="101" t="str">
        <f>'NIFTY GRP'!C21</f>
        <v>HINDALCO</v>
      </c>
      <c r="B26" s="140">
        <f>VLOOKUP($A26,'Data shares'!$C:$FA,7)</f>
        <v>954.95</v>
      </c>
      <c r="C26" s="140">
        <f>VLOOKUP($A26,'Data shares'!$C:$FA,3)</f>
        <v>956.75</v>
      </c>
      <c r="D26" s="50">
        <f>VLOOKUP($A26,'Data shares'!$C:$FA,6)*100</f>
        <v>3.3300000000000005</v>
      </c>
      <c r="E26" s="51">
        <f>VLOOKUP($A26,'Data shares'!$C:$FA,98)</f>
        <v>63000000</v>
      </c>
      <c r="F26" s="51">
        <f>VLOOKUP($A26,'Data shares'!$C:$FA,99)</f>
        <v>59881500</v>
      </c>
      <c r="G26" s="50">
        <f>VLOOKUP($A26,'Data shares'!$C:$FA,101)*100</f>
        <v>5.21</v>
      </c>
      <c r="H26" s="49">
        <f>VLOOKUP($A26,'Data Vlaue (Cr)'!$C:$FB,99)</f>
        <v>6028</v>
      </c>
      <c r="I26" s="49">
        <f>VLOOKUP($A26,'Data Vlaue (Cr)'!$C:$FB,100)</f>
        <v>5729</v>
      </c>
      <c r="J26" s="49">
        <f>VLOOKUP($A26,'Data Vlaue (Cr)'!$C:$FB,102)*100</f>
        <v>5.21</v>
      </c>
    </row>
    <row r="27" spans="1:10" x14ac:dyDescent="0.25">
      <c r="A27" s="101" t="str">
        <f>'NIFTY GRP'!C22</f>
        <v>HINDUNILVR</v>
      </c>
      <c r="B27" s="140">
        <f>VLOOKUP($A27,'Data shares'!$C:$FA,7)</f>
        <v>2255</v>
      </c>
      <c r="C27" s="140">
        <f>VLOOKUP($A27,'Data shares'!$C:$FA,3)</f>
        <v>2266.6</v>
      </c>
      <c r="D27" s="50">
        <f>VLOOKUP($A27,'Data shares'!$C:$FA,6)*100</f>
        <v>-0.13999999999999999</v>
      </c>
      <c r="E27" s="51">
        <f>VLOOKUP($A27,'Data shares'!$C:$FA,98)</f>
        <v>23574300</v>
      </c>
      <c r="F27" s="51">
        <f>VLOOKUP($A27,'Data shares'!$C:$FA,99)</f>
        <v>23109300</v>
      </c>
      <c r="G27" s="50">
        <f>VLOOKUP($A27,'Data shares'!$C:$FA,101)*100</f>
        <v>2.0099999999999998</v>
      </c>
      <c r="H27" s="49">
        <f>VLOOKUP($A27,'Data Vlaue (Cr)'!$C:$FB,99)</f>
        <v>5343</v>
      </c>
      <c r="I27" s="49">
        <f>VLOOKUP($A27,'Data Vlaue (Cr)'!$C:$FB,100)</f>
        <v>5238</v>
      </c>
      <c r="J27" s="49">
        <f>VLOOKUP($A27,'Data Vlaue (Cr)'!$C:$FB,102)*100</f>
        <v>2.0099999999999998</v>
      </c>
    </row>
    <row r="28" spans="1:10" x14ac:dyDescent="0.25">
      <c r="A28" s="101" t="str">
        <f>'NIFTY GRP'!C23</f>
        <v>ICICIBANK</v>
      </c>
      <c r="B28" s="140">
        <f>VLOOKUP($A28,'Data shares'!$C:$FA,7)</f>
        <v>1357.6</v>
      </c>
      <c r="C28" s="140">
        <f>VLOOKUP($A28,'Data shares'!$C:$FA,3)</f>
        <v>1361.3</v>
      </c>
      <c r="D28" s="50">
        <f>VLOOKUP($A28,'Data shares'!$C:$FA,6)*100</f>
        <v>-0.6</v>
      </c>
      <c r="E28" s="51">
        <f>VLOOKUP($A28,'Data shares'!$C:$FA,98)</f>
        <v>155199800</v>
      </c>
      <c r="F28" s="51">
        <f>VLOOKUP($A28,'Data shares'!$C:$FA,99)</f>
        <v>150866800</v>
      </c>
      <c r="G28" s="50">
        <f>VLOOKUP($A28,'Data shares'!$C:$FA,101)*100</f>
        <v>2.87</v>
      </c>
      <c r="H28" s="49">
        <f>VLOOKUP($A28,'Data Vlaue (Cr)'!$C:$FB,99)</f>
        <v>21127</v>
      </c>
      <c r="I28" s="49">
        <f>VLOOKUP($A28,'Data Vlaue (Cr)'!$C:$FB,100)</f>
        <v>20537</v>
      </c>
      <c r="J28" s="49">
        <f>VLOOKUP($A28,'Data Vlaue (Cr)'!$C:$FB,102)*100</f>
        <v>2.87</v>
      </c>
    </row>
    <row r="29" spans="1:10" x14ac:dyDescent="0.25">
      <c r="A29" s="101" t="str">
        <f>'NIFTY GRP'!C24</f>
        <v>INDIGO</v>
      </c>
      <c r="B29" s="140">
        <f>VLOOKUP($A29,'Data shares'!$C:$FA,7)</f>
        <v>4512.8</v>
      </c>
      <c r="C29" s="140">
        <f>VLOOKUP($A29,'Data shares'!$C:$FA,3)</f>
        <v>4520.1000000000004</v>
      </c>
      <c r="D29" s="50">
        <f>VLOOKUP($A29,'Data shares'!$C:$FA,6)*100</f>
        <v>2.44</v>
      </c>
      <c r="E29" s="51">
        <f>VLOOKUP($A29,'Data shares'!$C:$FA,98)</f>
        <v>18290100</v>
      </c>
      <c r="F29" s="51">
        <f>VLOOKUP($A29,'Data shares'!$C:$FA,99)</f>
        <v>17345250</v>
      </c>
      <c r="G29" s="50">
        <f>VLOOKUP($A29,'Data shares'!$C:$FA,101)*100</f>
        <v>5.45</v>
      </c>
      <c r="H29" s="49">
        <f>VLOOKUP($A29,'Data Vlaue (Cr)'!$C:$FB,99)</f>
        <v>8267</v>
      </c>
      <c r="I29" s="49">
        <f>VLOOKUP($A29,'Data Vlaue (Cr)'!$C:$FB,100)</f>
        <v>7840</v>
      </c>
      <c r="J29" s="49">
        <f>VLOOKUP($A29,'Data Vlaue (Cr)'!$C:$FB,102)*100</f>
        <v>5.45</v>
      </c>
    </row>
    <row r="30" spans="1:10" x14ac:dyDescent="0.25">
      <c r="A30" s="101" t="str">
        <f>'NIFTY GRP'!C25</f>
        <v>INFY</v>
      </c>
      <c r="B30" s="140">
        <f>VLOOKUP($A30,'Data shares'!$C:$FA,7)</f>
        <v>1305.8</v>
      </c>
      <c r="C30" s="140">
        <f>VLOOKUP($A30,'Data shares'!$C:$FA,3)</f>
        <v>1309.3</v>
      </c>
      <c r="D30" s="50">
        <f>VLOOKUP($A30,'Data shares'!$C:$FA,6)*100</f>
        <v>-0.18</v>
      </c>
      <c r="E30" s="51">
        <f>VLOOKUP($A30,'Data shares'!$C:$FA,98)</f>
        <v>138706000</v>
      </c>
      <c r="F30" s="51">
        <f>VLOOKUP($A30,'Data shares'!$C:$FA,99)</f>
        <v>139228400</v>
      </c>
      <c r="G30" s="50">
        <f>VLOOKUP($A30,'Data shares'!$C:$FA,101)*100</f>
        <v>-0.38</v>
      </c>
      <c r="H30" s="49">
        <f>VLOOKUP($A30,'Data Vlaue (Cr)'!$C:$FB,99)</f>
        <v>18161</v>
      </c>
      <c r="I30" s="49">
        <f>VLOOKUP($A30,'Data Vlaue (Cr)'!$C:$FB,100)</f>
        <v>18229</v>
      </c>
      <c r="J30" s="49">
        <f>VLOOKUP($A30,'Data Vlaue (Cr)'!$C:$FB,102)*100</f>
        <v>-0.38</v>
      </c>
    </row>
    <row r="31" spans="1:10" x14ac:dyDescent="0.25">
      <c r="A31" s="101" t="str">
        <f>'NIFTY GRP'!C26</f>
        <v>ITC</v>
      </c>
      <c r="B31" s="140">
        <f>VLOOKUP($A31,'Data shares'!$C:$FA,7)</f>
        <v>311.5</v>
      </c>
      <c r="C31" s="140">
        <f>VLOOKUP($A31,'Data shares'!$C:$FA,3)</f>
        <v>312.89999999999998</v>
      </c>
      <c r="D31" s="50">
        <f>VLOOKUP($A31,'Data shares'!$C:$FA,6)*100</f>
        <v>0.1</v>
      </c>
      <c r="E31" s="51">
        <f>VLOOKUP($A31,'Data shares'!$C:$FA,98)</f>
        <v>328963200</v>
      </c>
      <c r="F31" s="51">
        <f>VLOOKUP($A31,'Data shares'!$C:$FA,99)</f>
        <v>325204800</v>
      </c>
      <c r="G31" s="50">
        <f>VLOOKUP($A31,'Data shares'!$C:$FA,101)*100</f>
        <v>1.1599999999999999</v>
      </c>
      <c r="H31" s="49">
        <f>VLOOKUP($A31,'Data Vlaue (Cr)'!$C:$FB,99)</f>
        <v>10293</v>
      </c>
      <c r="I31" s="49">
        <f>VLOOKUP($A31,'Data Vlaue (Cr)'!$C:$FB,100)</f>
        <v>10176</v>
      </c>
      <c r="J31" s="49">
        <f>VLOOKUP($A31,'Data Vlaue (Cr)'!$C:$FB,102)*100</f>
        <v>1.1599999999999999</v>
      </c>
    </row>
    <row r="32" spans="1:10" x14ac:dyDescent="0.25">
      <c r="A32" s="101" t="str">
        <f>'NIFTY GRP'!C27</f>
        <v>JIOFIN</v>
      </c>
      <c r="B32" s="140">
        <f>VLOOKUP($A32,'Data shares'!$C:$FA,7)</f>
        <v>243.1</v>
      </c>
      <c r="C32" s="140">
        <f>VLOOKUP($A32,'Data shares'!$C:$FA,3)</f>
        <v>244.1</v>
      </c>
      <c r="D32" s="50">
        <f>VLOOKUP($A32,'Data shares'!$C:$FA,6)*100</f>
        <v>0.86999999999999988</v>
      </c>
      <c r="E32" s="51">
        <f>VLOOKUP($A32,'Data shares'!$C:$FA,98)</f>
        <v>254479150</v>
      </c>
      <c r="F32" s="51">
        <f>VLOOKUP($A32,'Data shares'!$C:$FA,99)</f>
        <v>250155150</v>
      </c>
      <c r="G32" s="50">
        <f>VLOOKUP($A32,'Data shares'!$C:$FA,101)*100</f>
        <v>1.73</v>
      </c>
      <c r="H32" s="49">
        <f>VLOOKUP($A32,'Data Vlaue (Cr)'!$C:$FB,99)</f>
        <v>6212</v>
      </c>
      <c r="I32" s="49">
        <f>VLOOKUP($A32,'Data Vlaue (Cr)'!$C:$FB,100)</f>
        <v>6106</v>
      </c>
      <c r="J32" s="49">
        <f>VLOOKUP($A32,'Data Vlaue (Cr)'!$C:$FB,102)*100</f>
        <v>1.73</v>
      </c>
    </row>
    <row r="33" spans="1:10" x14ac:dyDescent="0.25">
      <c r="A33" s="101" t="str">
        <f>'NIFTY GRP'!C28</f>
        <v>JSWSTEEL</v>
      </c>
      <c r="B33" s="140">
        <f>VLOOKUP($A33,'Data shares'!$C:$FA,7)</f>
        <v>1248.0999999999999</v>
      </c>
      <c r="C33" s="140">
        <f>VLOOKUP($A33,'Data shares'!$C:$FA,3)</f>
        <v>1251.2</v>
      </c>
      <c r="D33" s="50">
        <f>VLOOKUP($A33,'Data shares'!$C:$FA,6)*100</f>
        <v>2.82</v>
      </c>
      <c r="E33" s="51">
        <f>VLOOKUP($A33,'Data shares'!$C:$FA,98)</f>
        <v>62794575</v>
      </c>
      <c r="F33" s="51">
        <f>VLOOKUP($A33,'Data shares'!$C:$FA,99)</f>
        <v>62006175</v>
      </c>
      <c r="G33" s="50">
        <f>VLOOKUP($A33,'Data shares'!$C:$FA,101)*100</f>
        <v>1.27</v>
      </c>
      <c r="H33" s="49">
        <f>VLOOKUP($A33,'Data Vlaue (Cr)'!$C:$FB,99)</f>
        <v>7857</v>
      </c>
      <c r="I33" s="49">
        <f>VLOOKUP($A33,'Data Vlaue (Cr)'!$C:$FB,100)</f>
        <v>7758</v>
      </c>
      <c r="J33" s="49">
        <f>VLOOKUP($A33,'Data Vlaue (Cr)'!$C:$FB,102)*100</f>
        <v>1.27</v>
      </c>
    </row>
    <row r="34" spans="1:10" x14ac:dyDescent="0.25">
      <c r="A34" s="101" t="str">
        <f>'NIFTY GRP'!C29</f>
        <v>KOTAKBANK</v>
      </c>
      <c r="B34" s="140">
        <f>VLOOKUP($A34,'Data shares'!$C:$FA,7)</f>
        <v>407.3</v>
      </c>
      <c r="C34" s="140">
        <f>VLOOKUP($A34,'Data shares'!$C:$FA,3)</f>
        <v>409.15</v>
      </c>
      <c r="D34" s="50">
        <f>VLOOKUP($A34,'Data shares'!$C:$FA,6)*100</f>
        <v>0.95</v>
      </c>
      <c r="E34" s="51">
        <f>VLOOKUP($A34,'Data shares'!$C:$FA,98)</f>
        <v>252986000</v>
      </c>
      <c r="F34" s="51">
        <f>VLOOKUP($A34,'Data shares'!$C:$FA,99)</f>
        <v>248902000</v>
      </c>
      <c r="G34" s="50">
        <f>VLOOKUP($A34,'Data shares'!$C:$FA,101)*100</f>
        <v>1.6400000000000001</v>
      </c>
      <c r="H34" s="49">
        <f>VLOOKUP($A34,'Data Vlaue (Cr)'!$C:$FB,99)</f>
        <v>10351</v>
      </c>
      <c r="I34" s="49">
        <f>VLOOKUP($A34,'Data Vlaue (Cr)'!$C:$FB,100)</f>
        <v>10184</v>
      </c>
      <c r="J34" s="49">
        <f>VLOOKUP($A34,'Data Vlaue (Cr)'!$C:$FB,102)*100</f>
        <v>1.6400000000000001</v>
      </c>
    </row>
    <row r="35" spans="1:10" x14ac:dyDescent="0.25">
      <c r="A35" s="101" t="str">
        <f>'NIFTY GRP'!C30</f>
        <v>LT</v>
      </c>
      <c r="B35" s="140">
        <f>VLOOKUP($A35,'Data shares'!$C:$FA,7)</f>
        <v>4038.7</v>
      </c>
      <c r="C35" s="140">
        <f>VLOOKUP($A35,'Data shares'!$C:$FA,3)</f>
        <v>4039.9</v>
      </c>
      <c r="D35" s="50">
        <f>VLOOKUP($A35,'Data shares'!$C:$FA,6)*100</f>
        <v>3.8899999999999997</v>
      </c>
      <c r="E35" s="51">
        <f>VLOOKUP($A35,'Data shares'!$C:$FA,98)</f>
        <v>30030350</v>
      </c>
      <c r="F35" s="51">
        <f>VLOOKUP($A35,'Data shares'!$C:$FA,99)</f>
        <v>28676200</v>
      </c>
      <c r="G35" s="50">
        <f>VLOOKUP($A35,'Data shares'!$C:$FA,101)*100</f>
        <v>4.72</v>
      </c>
      <c r="H35" s="49">
        <f>VLOOKUP($A35,'Data Vlaue (Cr)'!$C:$FB,99)</f>
        <v>12132</v>
      </c>
      <c r="I35" s="49">
        <f>VLOOKUP($A35,'Data Vlaue (Cr)'!$C:$FB,100)</f>
        <v>11585</v>
      </c>
      <c r="J35" s="49">
        <f>VLOOKUP($A35,'Data Vlaue (Cr)'!$C:$FB,102)*100</f>
        <v>4.72</v>
      </c>
    </row>
    <row r="36" spans="1:10" x14ac:dyDescent="0.25">
      <c r="A36" s="101" t="str">
        <f>'NIFTY GRP'!C31</f>
        <v>M&amp;M</v>
      </c>
      <c r="B36" s="140">
        <f>VLOOKUP($A36,'Data shares'!$C:$FA,7)</f>
        <v>3348</v>
      </c>
      <c r="C36" s="140">
        <f>VLOOKUP($A36,'Data shares'!$C:$FA,3)</f>
        <v>3352.8</v>
      </c>
      <c r="D36" s="50">
        <f>VLOOKUP($A36,'Data shares'!$C:$FA,6)*100</f>
        <v>2.2800000000000002</v>
      </c>
      <c r="E36" s="51">
        <f>VLOOKUP($A36,'Data shares'!$C:$FA,98)</f>
        <v>25950600</v>
      </c>
      <c r="F36" s="51">
        <f>VLOOKUP($A36,'Data shares'!$C:$FA,99)</f>
        <v>26514200</v>
      </c>
      <c r="G36" s="50">
        <f>VLOOKUP($A36,'Data shares'!$C:$FA,101)*100</f>
        <v>-2.13</v>
      </c>
      <c r="H36" s="49">
        <f>VLOOKUP($A36,'Data Vlaue (Cr)'!$C:$FB,99)</f>
        <v>8701</v>
      </c>
      <c r="I36" s="49">
        <f>VLOOKUP($A36,'Data Vlaue (Cr)'!$C:$FB,100)</f>
        <v>8890</v>
      </c>
      <c r="J36" s="49">
        <f>VLOOKUP($A36,'Data Vlaue (Cr)'!$C:$FB,102)*100</f>
        <v>-2.13</v>
      </c>
    </row>
    <row r="37" spans="1:10" x14ac:dyDescent="0.25">
      <c r="A37" s="101" t="str">
        <f>'NIFTY GRP'!C32</f>
        <v>MARUTI</v>
      </c>
      <c r="B37" s="140">
        <f>VLOOKUP($A37,'Data shares'!$C:$FA,7)</f>
        <v>14415</v>
      </c>
      <c r="C37" s="140">
        <f>VLOOKUP($A37,'Data shares'!$C:$FA,3)</f>
        <v>14439</v>
      </c>
      <c r="D37" s="50">
        <f>VLOOKUP($A37,'Data shares'!$C:$FA,6)*100</f>
        <v>1.79</v>
      </c>
      <c r="E37" s="51">
        <f>VLOOKUP($A37,'Data shares'!$C:$FA,98)</f>
        <v>5286200</v>
      </c>
      <c r="F37" s="51">
        <f>VLOOKUP($A37,'Data shares'!$C:$FA,99)</f>
        <v>5237900</v>
      </c>
      <c r="G37" s="50">
        <f>VLOOKUP($A37,'Data shares'!$C:$FA,101)*100</f>
        <v>0.91999999999999993</v>
      </c>
      <c r="H37" s="49">
        <f>VLOOKUP($A37,'Data Vlaue (Cr)'!$C:$FB,99)</f>
        <v>7633</v>
      </c>
      <c r="I37" s="49">
        <f>VLOOKUP($A37,'Data Vlaue (Cr)'!$C:$FB,100)</f>
        <v>7563</v>
      </c>
      <c r="J37" s="49">
        <f>VLOOKUP($A37,'Data Vlaue (Cr)'!$C:$FB,102)*100</f>
        <v>0.91999999999999993</v>
      </c>
    </row>
    <row r="38" spans="1:10" x14ac:dyDescent="0.25">
      <c r="A38" s="101" t="str">
        <f>'NIFTY GRP'!C33</f>
        <v>MAXHEALTH</v>
      </c>
      <c r="B38" s="140">
        <f>VLOOKUP($A38,'Data shares'!$C:$FA,7)</f>
        <v>1058.2</v>
      </c>
      <c r="C38" s="140">
        <f>VLOOKUP($A38,'Data shares'!$C:$FA,3)</f>
        <v>1063</v>
      </c>
      <c r="D38" s="50">
        <f>VLOOKUP($A38,'Data shares'!$C:$FA,6)*100</f>
        <v>0.43</v>
      </c>
      <c r="E38" s="51">
        <f>VLOOKUP($A38,'Data shares'!$C:$FA,98)</f>
        <v>17584350</v>
      </c>
      <c r="F38" s="51">
        <f>VLOOKUP($A38,'Data shares'!$C:$FA,99)</f>
        <v>16897125</v>
      </c>
      <c r="G38" s="50">
        <f>VLOOKUP($A38,'Data shares'!$C:$FA,101)*100</f>
        <v>4.07</v>
      </c>
      <c r="H38" s="49">
        <f>VLOOKUP($A38,'Data Vlaue (Cr)'!$C:$FB,99)</f>
        <v>1869</v>
      </c>
      <c r="I38" s="49">
        <f>VLOOKUP($A38,'Data Vlaue (Cr)'!$C:$FB,100)</f>
        <v>1796</v>
      </c>
      <c r="J38" s="49">
        <f>VLOOKUP($A38,'Data Vlaue (Cr)'!$C:$FB,102)*100</f>
        <v>4.07</v>
      </c>
    </row>
    <row r="39" spans="1:10" x14ac:dyDescent="0.25">
      <c r="A39" s="101" t="str">
        <f>'NIFTY GRP'!C34</f>
        <v>NESTLEIND</v>
      </c>
      <c r="B39" s="140">
        <f>VLOOKUP($A39,'Data shares'!$C:$FA,7)</f>
        <v>1250.9000000000001</v>
      </c>
      <c r="C39" s="140">
        <f>VLOOKUP($A39,'Data shares'!$C:$FA,3)</f>
        <v>1256.3</v>
      </c>
      <c r="D39" s="50">
        <f>VLOOKUP($A39,'Data shares'!$C:$FA,6)*100</f>
        <v>0.44999999999999996</v>
      </c>
      <c r="E39" s="51">
        <f>VLOOKUP($A39,'Data shares'!$C:$FA,98)</f>
        <v>20543000</v>
      </c>
      <c r="F39" s="51">
        <f>VLOOKUP($A39,'Data shares'!$C:$FA,99)</f>
        <v>20316500</v>
      </c>
      <c r="G39" s="50">
        <f>VLOOKUP($A39,'Data shares'!$C:$FA,101)*100</f>
        <v>1.1100000000000001</v>
      </c>
      <c r="H39" s="49">
        <f>VLOOKUP($A39,'Data Vlaue (Cr)'!$C:$FB,99)</f>
        <v>2581</v>
      </c>
      <c r="I39" s="49">
        <f>VLOOKUP($A39,'Data Vlaue (Cr)'!$C:$FB,100)</f>
        <v>2552</v>
      </c>
      <c r="J39" s="49">
        <f>VLOOKUP($A39,'Data Vlaue (Cr)'!$C:$FB,102)*100</f>
        <v>1.1100000000000001</v>
      </c>
    </row>
    <row r="40" spans="1:10" x14ac:dyDescent="0.25">
      <c r="A40" s="101" t="str">
        <f>'NIFTY GRP'!C35</f>
        <v>NTPC</v>
      </c>
      <c r="B40" s="140">
        <f>VLOOKUP($A40,'Data shares'!$C:$FA,7)</f>
        <v>378.05</v>
      </c>
      <c r="C40" s="140">
        <f>VLOOKUP($A40,'Data shares'!$C:$FA,3)</f>
        <v>378.65</v>
      </c>
      <c r="D40" s="50">
        <f>VLOOKUP($A40,'Data shares'!$C:$FA,6)*100</f>
        <v>3.19</v>
      </c>
      <c r="E40" s="51">
        <f>VLOOKUP($A40,'Data shares'!$C:$FA,98)</f>
        <v>180358500</v>
      </c>
      <c r="F40" s="51">
        <f>VLOOKUP($A40,'Data shares'!$C:$FA,99)</f>
        <v>172335000</v>
      </c>
      <c r="G40" s="50">
        <f>VLOOKUP($A40,'Data shares'!$C:$FA,101)*100</f>
        <v>4.66</v>
      </c>
      <c r="H40" s="49">
        <f>VLOOKUP($A40,'Data Vlaue (Cr)'!$C:$FB,99)</f>
        <v>6829</v>
      </c>
      <c r="I40" s="49">
        <f>VLOOKUP($A40,'Data Vlaue (Cr)'!$C:$FB,100)</f>
        <v>6525</v>
      </c>
      <c r="J40" s="49">
        <f>VLOOKUP($A40,'Data Vlaue (Cr)'!$C:$FB,102)*100</f>
        <v>4.66</v>
      </c>
    </row>
    <row r="41" spans="1:10" x14ac:dyDescent="0.25">
      <c r="A41" s="101" t="str">
        <f>'NIFTY GRP'!C36</f>
        <v>ONGC</v>
      </c>
      <c r="B41" s="140">
        <f>VLOOKUP($A41,'Data shares'!$C:$FA,7)</f>
        <v>276.35000000000002</v>
      </c>
      <c r="C41" s="140">
        <f>VLOOKUP($A41,'Data shares'!$C:$FA,3)</f>
        <v>277.3</v>
      </c>
      <c r="D41" s="50">
        <f>VLOOKUP($A41,'Data shares'!$C:$FA,6)*100</f>
        <v>-6.9999999999999993E-2</v>
      </c>
      <c r="E41" s="51">
        <f>VLOOKUP($A41,'Data shares'!$C:$FA,98)</f>
        <v>217820250</v>
      </c>
      <c r="F41" s="51">
        <f>VLOOKUP($A41,'Data shares'!$C:$FA,99)</f>
        <v>226185750</v>
      </c>
      <c r="G41" s="50">
        <f>VLOOKUP($A41,'Data shares'!$C:$FA,101)*100</f>
        <v>-3.6999999999999997</v>
      </c>
      <c r="H41" s="49">
        <f>VLOOKUP($A41,'Data Vlaue (Cr)'!$C:$FB,99)</f>
        <v>6040</v>
      </c>
      <c r="I41" s="49">
        <f>VLOOKUP($A41,'Data Vlaue (Cr)'!$C:$FB,100)</f>
        <v>6272</v>
      </c>
      <c r="J41" s="49">
        <f>VLOOKUP($A41,'Data Vlaue (Cr)'!$C:$FB,102)*100</f>
        <v>-3.6999999999999997</v>
      </c>
    </row>
    <row r="42" spans="1:10" x14ac:dyDescent="0.25">
      <c r="A42" s="101" t="str">
        <f>'NIFTY GRP'!C37</f>
        <v>POWERGRID</v>
      </c>
      <c r="B42" s="140">
        <f>VLOOKUP($A42,'Data shares'!$C:$FA,7)</f>
        <v>299.45</v>
      </c>
      <c r="C42" s="140">
        <f>VLOOKUP($A42,'Data shares'!$C:$FA,3)</f>
        <v>299.89999999999998</v>
      </c>
      <c r="D42" s="50">
        <f>VLOOKUP($A42,'Data shares'!$C:$FA,6)*100</f>
        <v>2.3199999999999998</v>
      </c>
      <c r="E42" s="51">
        <f>VLOOKUP($A42,'Data shares'!$C:$FA,98)</f>
        <v>133704900</v>
      </c>
      <c r="F42" s="51">
        <f>VLOOKUP($A42,'Data shares'!$C:$FA,99)</f>
        <v>132331200</v>
      </c>
      <c r="G42" s="50">
        <f>VLOOKUP($A42,'Data shares'!$C:$FA,101)*100</f>
        <v>1.04</v>
      </c>
      <c r="H42" s="49">
        <f>VLOOKUP($A42,'Data Vlaue (Cr)'!$C:$FB,99)</f>
        <v>4010</v>
      </c>
      <c r="I42" s="49">
        <f>VLOOKUP($A42,'Data Vlaue (Cr)'!$C:$FB,100)</f>
        <v>3969</v>
      </c>
      <c r="J42" s="49">
        <f>VLOOKUP($A42,'Data Vlaue (Cr)'!$C:$FB,102)*100</f>
        <v>1.04</v>
      </c>
    </row>
    <row r="43" spans="1:10" x14ac:dyDescent="0.25">
      <c r="A43" s="101" t="str">
        <f>'NIFTY GRP'!C38</f>
        <v>RELIANCE</v>
      </c>
      <c r="B43" s="140">
        <f>VLOOKUP($A43,'Data shares'!$C:$FA,7)</f>
        <v>1389.4</v>
      </c>
      <c r="C43" s="140">
        <f>VLOOKUP($A43,'Data shares'!$C:$FA,3)</f>
        <v>1393</v>
      </c>
      <c r="D43" s="50">
        <f>VLOOKUP($A43,'Data shares'!$C:$FA,6)*100</f>
        <v>3.2199999999999998</v>
      </c>
      <c r="E43" s="51">
        <f>VLOOKUP($A43,'Data shares'!$C:$FA,98)</f>
        <v>186411000</v>
      </c>
      <c r="F43" s="51">
        <f>VLOOKUP($A43,'Data shares'!$C:$FA,99)</f>
        <v>187346000</v>
      </c>
      <c r="G43" s="50">
        <f>VLOOKUP($A43,'Data shares'!$C:$FA,101)*100</f>
        <v>-0.5</v>
      </c>
      <c r="H43" s="49">
        <f>VLOOKUP($A43,'Data Vlaue (Cr)'!$C:$FB,99)</f>
        <v>25967</v>
      </c>
      <c r="I43" s="49">
        <f>VLOOKUP($A43,'Data Vlaue (Cr)'!$C:$FB,100)</f>
        <v>26097</v>
      </c>
      <c r="J43" s="49">
        <f>VLOOKUP($A43,'Data Vlaue (Cr)'!$C:$FB,102)*100</f>
        <v>-0.5</v>
      </c>
    </row>
    <row r="44" spans="1:10" x14ac:dyDescent="0.25">
      <c r="A44" s="101" t="str">
        <f>'NIFTY GRP'!C39</f>
        <v>SBILIFE</v>
      </c>
      <c r="B44" s="140">
        <f>VLOOKUP($A44,'Data shares'!$C:$FA,7)</f>
        <v>1945</v>
      </c>
      <c r="C44" s="140">
        <f>VLOOKUP($A44,'Data shares'!$C:$FA,3)</f>
        <v>1946.2</v>
      </c>
      <c r="D44" s="50">
        <f>VLOOKUP($A44,'Data shares'!$C:$FA,6)*100</f>
        <v>0.5</v>
      </c>
      <c r="E44" s="51">
        <f>VLOOKUP($A44,'Data shares'!$C:$FA,98)</f>
        <v>13224750</v>
      </c>
      <c r="F44" s="51">
        <f>VLOOKUP($A44,'Data shares'!$C:$FA,99)</f>
        <v>12530625</v>
      </c>
      <c r="G44" s="50">
        <f>VLOOKUP($A44,'Data shares'!$C:$FA,101)*100</f>
        <v>5.54</v>
      </c>
      <c r="H44" s="49">
        <f>VLOOKUP($A44,'Data Vlaue (Cr)'!$C:$FB,99)</f>
        <v>2574</v>
      </c>
      <c r="I44" s="49">
        <f>VLOOKUP($A44,'Data Vlaue (Cr)'!$C:$FB,100)</f>
        <v>2439</v>
      </c>
      <c r="J44" s="49">
        <f>VLOOKUP($A44,'Data Vlaue (Cr)'!$C:$FB,102)*100</f>
        <v>5.54</v>
      </c>
    </row>
    <row r="45" spans="1:10" x14ac:dyDescent="0.25">
      <c r="A45" s="101" t="str">
        <f>'NIFTY GRP'!C40</f>
        <v>SBIN</v>
      </c>
      <c r="B45" s="140">
        <f>VLOOKUP($A45,'Data shares'!$C:$FA,7)</f>
        <v>1169.5</v>
      </c>
      <c r="C45" s="140">
        <f>VLOOKUP($A45,'Data shares'!$C:$FA,3)</f>
        <v>1174.5</v>
      </c>
      <c r="D45" s="50">
        <f>VLOOKUP($A45,'Data shares'!$C:$FA,6)*100</f>
        <v>-0.44999999999999996</v>
      </c>
      <c r="E45" s="51">
        <f>VLOOKUP($A45,'Data shares'!$C:$FA,98)</f>
        <v>128481000</v>
      </c>
      <c r="F45" s="51">
        <f>VLOOKUP($A45,'Data shares'!$C:$FA,99)</f>
        <v>123443250</v>
      </c>
      <c r="G45" s="50">
        <f>VLOOKUP($A45,'Data shares'!$C:$FA,101)*100</f>
        <v>4.08</v>
      </c>
      <c r="H45" s="49">
        <f>VLOOKUP($A45,'Data Vlaue (Cr)'!$C:$FB,99)</f>
        <v>15090</v>
      </c>
      <c r="I45" s="49">
        <f>VLOOKUP($A45,'Data Vlaue (Cr)'!$C:$FB,100)</f>
        <v>14498</v>
      </c>
      <c r="J45" s="49">
        <f>VLOOKUP($A45,'Data Vlaue (Cr)'!$C:$FB,102)*100</f>
        <v>4.08</v>
      </c>
    </row>
    <row r="46" spans="1:10" x14ac:dyDescent="0.25">
      <c r="A46" s="101" t="str">
        <f>'NIFTY GRP'!C41</f>
        <v>SHRIRAMFIN</v>
      </c>
      <c r="B46" s="140">
        <f>VLOOKUP($A46,'Data shares'!$C:$FA,7)</f>
        <v>1039.5</v>
      </c>
      <c r="C46" s="140">
        <f>VLOOKUP($A46,'Data shares'!$C:$FA,3)</f>
        <v>1041.2</v>
      </c>
      <c r="D46" s="50">
        <f>VLOOKUP($A46,'Data shares'!$C:$FA,6)*100</f>
        <v>2.81</v>
      </c>
      <c r="E46" s="51">
        <f>VLOOKUP($A46,'Data shares'!$C:$FA,98)</f>
        <v>50437200</v>
      </c>
      <c r="F46" s="51">
        <f>VLOOKUP($A46,'Data shares'!$C:$FA,99)</f>
        <v>50207850</v>
      </c>
      <c r="G46" s="50">
        <f>VLOOKUP($A46,'Data shares'!$C:$FA,101)*100</f>
        <v>0.45999999999999996</v>
      </c>
      <c r="H46" s="49">
        <f>VLOOKUP($A46,'Data Vlaue (Cr)'!$C:$FB,99)</f>
        <v>5252</v>
      </c>
      <c r="I46" s="49">
        <f>VLOOKUP($A46,'Data Vlaue (Cr)'!$C:$FB,100)</f>
        <v>5228</v>
      </c>
      <c r="J46" s="49">
        <f>VLOOKUP($A46,'Data Vlaue (Cr)'!$C:$FB,102)*100</f>
        <v>0.45999999999999996</v>
      </c>
    </row>
    <row r="47" spans="1:10" x14ac:dyDescent="0.25">
      <c r="A47" s="101" t="str">
        <f>'NIFTY GRP'!C42</f>
        <v>SUNPHARMA</v>
      </c>
      <c r="B47" s="140">
        <f>VLOOKUP($A47,'Data shares'!$C:$FA,7)</f>
        <v>1784.5</v>
      </c>
      <c r="C47" s="140">
        <f>VLOOKUP($A47,'Data shares'!$C:$FA,3)</f>
        <v>1790.1</v>
      </c>
      <c r="D47" s="50">
        <f>VLOOKUP($A47,'Data shares'!$C:$FA,6)*100</f>
        <v>2</v>
      </c>
      <c r="E47" s="51">
        <f>VLOOKUP($A47,'Data shares'!$C:$FA,98)</f>
        <v>33051550</v>
      </c>
      <c r="F47" s="51">
        <f>VLOOKUP($A47,'Data shares'!$C:$FA,99)</f>
        <v>31494050</v>
      </c>
      <c r="G47" s="50">
        <f>VLOOKUP($A47,'Data shares'!$C:$FA,101)*100</f>
        <v>4.95</v>
      </c>
      <c r="H47" s="49">
        <f>VLOOKUP($A47,'Data Vlaue (Cr)'!$C:$FB,99)</f>
        <v>5917</v>
      </c>
      <c r="I47" s="49">
        <f>VLOOKUP($A47,'Data Vlaue (Cr)'!$C:$FB,100)</f>
        <v>5638</v>
      </c>
      <c r="J47" s="49">
        <f>VLOOKUP($A47,'Data Vlaue (Cr)'!$C:$FB,102)*100</f>
        <v>4.95</v>
      </c>
    </row>
    <row r="48" spans="1:10" x14ac:dyDescent="0.25">
      <c r="A48" s="101" t="str">
        <f>'NIFTY GRP'!C43</f>
        <v>TATACONSUM</v>
      </c>
      <c r="B48" s="140">
        <f>VLOOKUP($A48,'Data shares'!$C:$FA,7)</f>
        <v>1119.0999999999999</v>
      </c>
      <c r="C48" s="140">
        <f>VLOOKUP($A48,'Data shares'!$C:$FA,3)</f>
        <v>1121.7</v>
      </c>
      <c r="D48" s="50">
        <f>VLOOKUP($A48,'Data shares'!$C:$FA,6)*100</f>
        <v>0.6</v>
      </c>
      <c r="E48" s="51">
        <f>VLOOKUP($A48,'Data shares'!$C:$FA,98)</f>
        <v>16965300</v>
      </c>
      <c r="F48" s="51">
        <f>VLOOKUP($A48,'Data shares'!$C:$FA,99)</f>
        <v>16801950</v>
      </c>
      <c r="G48" s="50">
        <f>VLOOKUP($A48,'Data shares'!$C:$FA,101)*100</f>
        <v>0.97</v>
      </c>
      <c r="H48" s="49">
        <f>VLOOKUP($A48,'Data Vlaue (Cr)'!$C:$FB,99)</f>
        <v>1903</v>
      </c>
      <c r="I48" s="49">
        <f>VLOOKUP($A48,'Data Vlaue (Cr)'!$C:$FB,100)</f>
        <v>1885</v>
      </c>
      <c r="J48" s="49">
        <f>VLOOKUP($A48,'Data Vlaue (Cr)'!$C:$FB,102)*100</f>
        <v>0.97</v>
      </c>
    </row>
    <row r="49" spans="1:10" x14ac:dyDescent="0.25">
      <c r="A49" s="101" t="str">
        <f>'NIFTY GRP'!C44</f>
        <v>TATASTEEL</v>
      </c>
      <c r="B49" s="140">
        <f>VLOOKUP($A49,'Data shares'!$C:$FA,7)</f>
        <v>200.57</v>
      </c>
      <c r="C49" s="140">
        <f>VLOOKUP($A49,'Data shares'!$C:$FA,3)</f>
        <v>200.9</v>
      </c>
      <c r="D49" s="50">
        <f>VLOOKUP($A49,'Data shares'!$C:$FA,6)*100</f>
        <v>1.95</v>
      </c>
      <c r="E49" s="51">
        <f>VLOOKUP($A49,'Data shares'!$C:$FA,98)</f>
        <v>422405500</v>
      </c>
      <c r="F49" s="51">
        <f>VLOOKUP($A49,'Data shares'!$C:$FA,99)</f>
        <v>423665000</v>
      </c>
      <c r="G49" s="50">
        <f>VLOOKUP($A49,'Data shares'!$C:$FA,101)*100</f>
        <v>-0.3</v>
      </c>
      <c r="H49" s="49">
        <f>VLOOKUP($A49,'Data Vlaue (Cr)'!$C:$FB,99)</f>
        <v>8486</v>
      </c>
      <c r="I49" s="49">
        <f>VLOOKUP($A49,'Data Vlaue (Cr)'!$C:$FB,100)</f>
        <v>8511</v>
      </c>
      <c r="J49" s="49">
        <f>VLOOKUP($A49,'Data Vlaue (Cr)'!$C:$FB,102)*100</f>
        <v>-0.3</v>
      </c>
    </row>
    <row r="50" spans="1:10" x14ac:dyDescent="0.25">
      <c r="A50" s="101" t="str">
        <f>'NIFTY GRP'!C45</f>
        <v>TCS</v>
      </c>
      <c r="B50" s="140">
        <f>VLOOKUP($A50,'Data shares'!$C:$FA,7)</f>
        <v>2578.8000000000002</v>
      </c>
      <c r="C50" s="140">
        <f>VLOOKUP($A50,'Data shares'!$C:$FA,3)</f>
        <v>2589.5</v>
      </c>
      <c r="D50" s="50">
        <f>VLOOKUP($A50,'Data shares'!$C:$FA,6)*100</f>
        <v>-0.28999999999999998</v>
      </c>
      <c r="E50" s="51">
        <f>VLOOKUP($A50,'Data shares'!$C:$FA,98)</f>
        <v>50801625</v>
      </c>
      <c r="F50" s="51">
        <f>VLOOKUP($A50,'Data shares'!$C:$FA,99)</f>
        <v>50562750</v>
      </c>
      <c r="G50" s="50">
        <f>VLOOKUP($A50,'Data shares'!$C:$FA,101)*100</f>
        <v>0.47000000000000003</v>
      </c>
      <c r="H50" s="49">
        <f>VLOOKUP($A50,'Data Vlaue (Cr)'!$C:$FB,99)</f>
        <v>13155</v>
      </c>
      <c r="I50" s="49">
        <f>VLOOKUP($A50,'Data Vlaue (Cr)'!$C:$FB,100)</f>
        <v>13093</v>
      </c>
      <c r="J50" s="49">
        <f>VLOOKUP($A50,'Data Vlaue (Cr)'!$C:$FB,102)*100</f>
        <v>0.47000000000000003</v>
      </c>
    </row>
    <row r="51" spans="1:10" x14ac:dyDescent="0.25">
      <c r="A51" s="101" t="str">
        <f>'NIFTY GRP'!C46</f>
        <v>TECHM</v>
      </c>
      <c r="B51" s="140">
        <f>VLOOKUP($A51,'Data shares'!$C:$FA,7)</f>
        <v>1333.3</v>
      </c>
      <c r="C51" s="140">
        <f>VLOOKUP($A51,'Data shares'!$C:$FA,3)</f>
        <v>1336.5</v>
      </c>
      <c r="D51" s="50">
        <f>VLOOKUP($A51,'Data shares'!$C:$FA,6)*100</f>
        <v>-1.31</v>
      </c>
      <c r="E51" s="51">
        <f>VLOOKUP($A51,'Data shares'!$C:$FA,98)</f>
        <v>34249200</v>
      </c>
      <c r="F51" s="51">
        <f>VLOOKUP($A51,'Data shares'!$C:$FA,99)</f>
        <v>33849600</v>
      </c>
      <c r="G51" s="50">
        <f>VLOOKUP($A51,'Data shares'!$C:$FA,101)*100</f>
        <v>1.18</v>
      </c>
      <c r="H51" s="49">
        <f>VLOOKUP($A51,'Data Vlaue (Cr)'!$C:$FB,99)</f>
        <v>4577</v>
      </c>
      <c r="I51" s="49">
        <f>VLOOKUP($A51,'Data Vlaue (Cr)'!$C:$FB,100)</f>
        <v>4524</v>
      </c>
      <c r="J51" s="49">
        <f>VLOOKUP($A51,'Data Vlaue (Cr)'!$C:$FB,102)*100</f>
        <v>1.18</v>
      </c>
    </row>
    <row r="52" spans="1:10" x14ac:dyDescent="0.25">
      <c r="A52" s="101" t="str">
        <f>'NIFTY GRP'!C47</f>
        <v>TITAN</v>
      </c>
      <c r="B52" s="140">
        <f>VLOOKUP($A52,'Data shares'!$C:$FA,7)</f>
        <v>4275.2</v>
      </c>
      <c r="C52" s="140">
        <f>VLOOKUP($A52,'Data shares'!$C:$FA,3)</f>
        <v>4288.3</v>
      </c>
      <c r="D52" s="50">
        <f>VLOOKUP($A52,'Data shares'!$C:$FA,6)*100</f>
        <v>1.63</v>
      </c>
      <c r="E52" s="51">
        <f>VLOOKUP($A52,'Data shares'!$C:$FA,98)</f>
        <v>13158600</v>
      </c>
      <c r="F52" s="51">
        <f>VLOOKUP($A52,'Data shares'!$C:$FA,99)</f>
        <v>13070225</v>
      </c>
      <c r="G52" s="50">
        <f>VLOOKUP($A52,'Data shares'!$C:$FA,101)*100</f>
        <v>0.67999999999999994</v>
      </c>
      <c r="H52" s="49">
        <f>VLOOKUP($A52,'Data Vlaue (Cr)'!$C:$FB,99)</f>
        <v>5643</v>
      </c>
      <c r="I52" s="49">
        <f>VLOOKUP($A52,'Data Vlaue (Cr)'!$C:$FB,100)</f>
        <v>5605</v>
      </c>
      <c r="J52" s="49">
        <f>VLOOKUP($A52,'Data Vlaue (Cr)'!$C:$FB,102)*100</f>
        <v>0.67999999999999994</v>
      </c>
    </row>
    <row r="53" spans="1:10" x14ac:dyDescent="0.25">
      <c r="A53" s="101" t="str">
        <f>'NIFTY GRP'!C48</f>
        <v>TMPV</v>
      </c>
      <c r="B53" s="140">
        <f>VLOOKUP($A53,'Data shares'!$C:$FA,7)</f>
        <v>355.15</v>
      </c>
      <c r="C53" s="140">
        <f>VLOOKUP($A53,'Data shares'!$C:$FA,3)</f>
        <v>356.55</v>
      </c>
      <c r="D53" s="50">
        <f>VLOOKUP($A53,'Data shares'!$C:$FA,6)*100</f>
        <v>1.1900000000000002</v>
      </c>
      <c r="E53" s="51">
        <f>VLOOKUP($A53,'Data shares'!$C:$FA,98)</f>
        <v>144563200</v>
      </c>
      <c r="F53" s="51">
        <f>VLOOKUP($A53,'Data shares'!$C:$FA,99)</f>
        <v>140716000</v>
      </c>
      <c r="G53" s="50">
        <f>VLOOKUP($A53,'Data shares'!$C:$FA,101)*100</f>
        <v>2.73</v>
      </c>
      <c r="H53" s="49">
        <f>VLOOKUP($A53,'Data Vlaue (Cr)'!$C:$FB,99)</f>
        <v>5154</v>
      </c>
      <c r="I53" s="49">
        <f>VLOOKUP($A53,'Data Vlaue (Cr)'!$C:$FB,100)</f>
        <v>5017</v>
      </c>
      <c r="J53" s="49">
        <f>VLOOKUP($A53,'Data Vlaue (Cr)'!$C:$FB,102)*100</f>
        <v>2.73</v>
      </c>
    </row>
    <row r="54" spans="1:10" x14ac:dyDescent="0.25">
      <c r="A54" s="101" t="str">
        <f>'NIFTY GRP'!C49</f>
        <v>TRENT</v>
      </c>
      <c r="B54" s="140">
        <f>VLOOKUP($A54,'Data shares'!$C:$FA,7)</f>
        <v>3790.9</v>
      </c>
      <c r="C54" s="140">
        <f>VLOOKUP($A54,'Data shares'!$C:$FA,3)</f>
        <v>3796.1</v>
      </c>
      <c r="D54" s="50">
        <f>VLOOKUP($A54,'Data shares'!$C:$FA,6)*100</f>
        <v>0.86</v>
      </c>
      <c r="E54" s="51">
        <f>VLOOKUP($A54,'Data shares'!$C:$FA,98)</f>
        <v>9987400</v>
      </c>
      <c r="F54" s="51">
        <f>VLOOKUP($A54,'Data shares'!$C:$FA,99)</f>
        <v>10032300</v>
      </c>
      <c r="G54" s="50">
        <f>VLOOKUP($A54,'Data shares'!$C:$FA,101)*100</f>
        <v>-0.44999999999999996</v>
      </c>
      <c r="H54" s="49">
        <f>VLOOKUP($A54,'Data Vlaue (Cr)'!$C:$FB,99)</f>
        <v>3791</v>
      </c>
      <c r="I54" s="49">
        <f>VLOOKUP($A54,'Data Vlaue (Cr)'!$C:$FB,100)</f>
        <v>3808</v>
      </c>
      <c r="J54" s="49">
        <f>VLOOKUP($A54,'Data Vlaue (Cr)'!$C:$FB,102)*100</f>
        <v>-0.44999999999999996</v>
      </c>
    </row>
    <row r="55" spans="1:10" x14ac:dyDescent="0.25">
      <c r="A55" s="101" t="str">
        <f>'NIFTY GRP'!C50</f>
        <v>ULTRACEMCO</v>
      </c>
      <c r="B55" s="140">
        <f>VLOOKUP($A55,'Data shares'!$C:$FA,7)</f>
        <v>12288</v>
      </c>
      <c r="C55" s="140">
        <f>VLOOKUP($A55,'Data shares'!$C:$FA,3)</f>
        <v>12303</v>
      </c>
      <c r="D55" s="50">
        <f>VLOOKUP($A55,'Data shares'!$C:$FA,6)*100</f>
        <v>1.3299999999999998</v>
      </c>
      <c r="E55" s="51">
        <f>VLOOKUP($A55,'Data shares'!$C:$FA,98)</f>
        <v>2973250</v>
      </c>
      <c r="F55" s="51">
        <f>VLOOKUP($A55,'Data shares'!$C:$FA,99)</f>
        <v>2881250</v>
      </c>
      <c r="G55" s="50">
        <f>VLOOKUP($A55,'Data shares'!$C:$FA,101)*100</f>
        <v>3.19</v>
      </c>
      <c r="H55" s="49">
        <f>VLOOKUP($A55,'Data Vlaue (Cr)'!$C:$FB,99)</f>
        <v>3658</v>
      </c>
      <c r="I55" s="49">
        <f>VLOOKUP($A55,'Data Vlaue (Cr)'!$C:$FB,100)</f>
        <v>3545</v>
      </c>
      <c r="J55" s="49">
        <f>VLOOKUP($A55,'Data Vlaue (Cr)'!$C:$FB,102)*100</f>
        <v>3.19</v>
      </c>
    </row>
    <row r="56" spans="1:10" x14ac:dyDescent="0.25">
      <c r="A56" s="101" t="str">
        <f>'NIFTY GRP'!C51</f>
        <v>WIPRO</v>
      </c>
      <c r="B56" s="140">
        <f>VLOOKUP($A56,'Data shares'!$C:$FA,7)</f>
        <v>195.68</v>
      </c>
      <c r="C56" s="140">
        <f>VLOOKUP($A56,'Data shares'!$C:$FA,3)</f>
        <v>196.02</v>
      </c>
      <c r="D56" s="50">
        <f>VLOOKUP($A56,'Data shares'!$C:$FA,6)*100</f>
        <v>0.08</v>
      </c>
      <c r="E56" s="51">
        <f>VLOOKUP($A56,'Data shares'!$C:$FA,98)</f>
        <v>278799000</v>
      </c>
      <c r="F56" s="51">
        <f>VLOOKUP($A56,'Data shares'!$C:$FA,99)</f>
        <v>278403000</v>
      </c>
      <c r="G56" s="50">
        <f>VLOOKUP($A56,'Data shares'!$C:$FA,101)*100</f>
        <v>0.13999999999999999</v>
      </c>
      <c r="H56" s="49">
        <f>VLOOKUP($A56,'Data Vlaue (Cr)'!$C:$FB,99)</f>
        <v>5465</v>
      </c>
      <c r="I56" s="49">
        <f>VLOOKUP($A56,'Data Vlaue (Cr)'!$C:$FB,100)</f>
        <v>5457</v>
      </c>
      <c r="J56" s="49">
        <f>VLOOKUP($A56,'Data Vlaue (Cr)'!$C:$FB,102)*100</f>
        <v>0.13999999999999999</v>
      </c>
    </row>
    <row r="57" spans="1:10" x14ac:dyDescent="0.25">
      <c r="A57" s="101"/>
      <c r="B57" s="140"/>
      <c r="C57" s="140"/>
      <c r="D57" s="50"/>
      <c r="E57" s="51"/>
      <c r="F57" s="51"/>
      <c r="G57" s="50"/>
      <c r="H57" s="49"/>
      <c r="I57" s="49"/>
      <c r="J57" s="49"/>
    </row>
    <row r="58" spans="1:10" x14ac:dyDescent="0.25">
      <c r="A58" s="102"/>
      <c r="B58" s="17"/>
      <c r="C58" s="17"/>
      <c r="D58" s="17"/>
      <c r="E58" s="17"/>
      <c r="F58" s="17"/>
      <c r="G58" s="17"/>
      <c r="H58" s="17"/>
      <c r="I58" s="17"/>
      <c r="J58" s="17"/>
    </row>
    <row r="59" spans="1:10" x14ac:dyDescent="0.25">
      <c r="A59" s="102"/>
      <c r="B59" s="17"/>
      <c r="C59" s="17"/>
      <c r="D59" s="17"/>
      <c r="E59" s="17"/>
      <c r="F59" s="17"/>
      <c r="G59" s="17"/>
      <c r="H59" s="17"/>
      <c r="I59" s="17"/>
      <c r="J59" s="17"/>
    </row>
    <row r="60" spans="1:10" x14ac:dyDescent="0.25">
      <c r="A60" s="126" t="s">
        <v>391</v>
      </c>
      <c r="B60" s="122"/>
      <c r="C60" s="122"/>
      <c r="D60" s="122"/>
      <c r="E60" s="127">
        <f>SUM(E7:E58)</f>
        <v>5012438468</v>
      </c>
      <c r="F60" s="127">
        <f>SUM(F7:F58)</f>
        <v>4955460600</v>
      </c>
      <c r="G60" s="128">
        <f>(E60-F60)/F60</f>
        <v>1.1497996371921513E-2</v>
      </c>
      <c r="H60" s="127">
        <f>SUM(H7:H58)</f>
        <v>400693</v>
      </c>
      <c r="I60" s="127">
        <f>SUM(I7:I58)</f>
        <v>395694</v>
      </c>
      <c r="J60" s="128">
        <f>(H60-I60)/I60</f>
        <v>1.26334996234464E-2</v>
      </c>
    </row>
    <row r="61" spans="1:10" x14ac:dyDescent="0.25">
      <c r="A61" s="126" t="s">
        <v>398</v>
      </c>
      <c r="B61" s="122"/>
      <c r="C61" s="122"/>
      <c r="D61" s="122"/>
      <c r="E61" s="125">
        <f>E60/10000000</f>
        <v>501.24384679999997</v>
      </c>
      <c r="F61" s="125">
        <f>F60/10000000</f>
        <v>495.54606000000001</v>
      </c>
      <c r="G61" s="128">
        <f>(E61-F61)/F61</f>
        <v>1.1497996371921431E-2</v>
      </c>
      <c r="H61" s="129">
        <f>H60/10000000</f>
        <v>4.0069300000000002E-2</v>
      </c>
      <c r="I61" s="129">
        <f>I60/10000000</f>
        <v>3.9569399999999998E-2</v>
      </c>
      <c r="J61" s="128">
        <f>(H61-I61)/I61</f>
        <v>1.2633499623446514E-2</v>
      </c>
    </row>
    <row r="66" spans="1:3" x14ac:dyDescent="0.25">
      <c r="A66" s="43"/>
      <c r="B66" s="43"/>
      <c r="C66" s="44"/>
    </row>
    <row r="67" spans="1:3" ht="34.5" x14ac:dyDescent="0.25">
      <c r="A67" s="95" t="s">
        <v>411</v>
      </c>
      <c r="B67" s="45"/>
      <c r="C67" s="45" t="s">
        <v>385</v>
      </c>
    </row>
    <row r="68" spans="1:3" x14ac:dyDescent="0.25">
      <c r="A68" s="22" t="s">
        <v>412</v>
      </c>
      <c r="B68" s="22" t="s">
        <v>413</v>
      </c>
      <c r="C68" s="22" t="s">
        <v>414</v>
      </c>
    </row>
    <row r="69" spans="1:3" x14ac:dyDescent="0.25">
      <c r="A69" s="38">
        <f>H60</f>
        <v>400693</v>
      </c>
      <c r="B69" s="38">
        <f>I60</f>
        <v>395694</v>
      </c>
      <c r="C69" s="42">
        <f>J60</f>
        <v>1.26334996234464E-2</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2"/>
  <sheetViews>
    <sheetView workbookViewId="0">
      <pane ySplit="6" topLeftCell="A201" activePane="bottomLeft" state="frozen"/>
      <selection pane="bottomLeft" activeCell="A218" sqref="A218:O218"/>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9" t="s">
        <v>356</v>
      </c>
      <c r="B3" s="300"/>
      <c r="C3" s="300"/>
      <c r="D3" s="300"/>
      <c r="E3" s="300"/>
      <c r="F3" s="300"/>
      <c r="G3" s="300"/>
      <c r="H3" s="300"/>
      <c r="I3" s="300"/>
      <c r="J3" s="300"/>
      <c r="K3" s="300"/>
      <c r="L3" s="300"/>
      <c r="M3" s="300"/>
      <c r="N3" s="300"/>
      <c r="O3" s="301"/>
    </row>
    <row r="4" spans="1:15" s="93" customFormat="1" x14ac:dyDescent="0.25">
      <c r="A4" s="286" t="s">
        <v>330</v>
      </c>
      <c r="B4" s="288" t="s">
        <v>308</v>
      </c>
      <c r="C4" s="290"/>
      <c r="D4" s="288" t="s">
        <v>357</v>
      </c>
      <c r="E4" s="289"/>
      <c r="F4" s="289"/>
      <c r="G4" s="289"/>
      <c r="H4" s="289"/>
      <c r="I4" s="289"/>
      <c r="J4" s="289"/>
      <c r="K4" s="289"/>
      <c r="L4" s="289"/>
      <c r="M4" s="289"/>
      <c r="N4" s="289"/>
      <c r="O4" s="290"/>
    </row>
    <row r="5" spans="1:15" s="93" customFormat="1" x14ac:dyDescent="0.25">
      <c r="A5" s="287"/>
      <c r="B5" s="302" t="s">
        <v>312</v>
      </c>
      <c r="C5" s="292"/>
      <c r="D5" s="302" t="s">
        <v>357</v>
      </c>
      <c r="E5" s="291"/>
      <c r="F5" s="292"/>
      <c r="G5" s="302" t="s">
        <v>358</v>
      </c>
      <c r="H5" s="291"/>
      <c r="I5" s="292"/>
      <c r="J5" s="302" t="s">
        <v>359</v>
      </c>
      <c r="K5" s="291"/>
      <c r="L5" s="292"/>
      <c r="M5" s="302" t="s">
        <v>360</v>
      </c>
      <c r="N5" s="291"/>
      <c r="O5" s="292"/>
    </row>
    <row r="6" spans="1:15" s="93" customFormat="1" x14ac:dyDescent="0.25">
      <c r="A6" s="76" t="s">
        <v>318</v>
      </c>
      <c r="B6" s="3">
        <f>'Nifty Baskets'!B6</f>
        <v>46086</v>
      </c>
      <c r="C6" s="76" t="s">
        <v>328</v>
      </c>
      <c r="D6" s="3">
        <f>B6</f>
        <v>46086</v>
      </c>
      <c r="E6" s="76" t="s">
        <v>322</v>
      </c>
      <c r="F6" s="76" t="s">
        <v>328</v>
      </c>
      <c r="G6" s="3">
        <f>D6</f>
        <v>46086</v>
      </c>
      <c r="H6" s="76" t="s">
        <v>322</v>
      </c>
      <c r="I6" s="76" t="s">
        <v>328</v>
      </c>
      <c r="J6" s="3">
        <f>D6</f>
        <v>46086</v>
      </c>
      <c r="K6" s="76" t="s">
        <v>322</v>
      </c>
      <c r="L6" s="76" t="s">
        <v>328</v>
      </c>
      <c r="M6" s="3">
        <f>D6</f>
        <v>46086</v>
      </c>
      <c r="N6" s="76" t="s">
        <v>322</v>
      </c>
      <c r="O6" s="76" t="s">
        <v>328</v>
      </c>
    </row>
    <row r="7" spans="1:15" x14ac:dyDescent="0.25">
      <c r="A7" s="101" t="str">
        <f>'Data Vlaue (Cr)'!C2</f>
        <v>360ONE</v>
      </c>
      <c r="B7" s="50">
        <f>VLOOKUP($A7,'Data Vlaue (Cr)'!$C:$FB,8)</f>
        <v>1081</v>
      </c>
      <c r="C7" s="50">
        <f>VLOOKUP($A7,'Data Vlaue (Cr)'!$C:$FB,11)*100</f>
        <v>1.37</v>
      </c>
      <c r="D7" s="50">
        <f>VLOOKUP($A7,'Data Vlaue (Cr)'!$C:$FB,143)</f>
        <v>121.34</v>
      </c>
      <c r="E7" s="50">
        <f>VLOOKUP($A7,'Data Vlaue (Cr)'!$C:$FB,144)</f>
        <v>253.77</v>
      </c>
      <c r="F7" s="50">
        <f>VLOOKUP($A7,'Data Vlaue (Cr)'!$C:$FB,146)*100</f>
        <v>-52.180000000000007</v>
      </c>
      <c r="G7" s="49">
        <f>VLOOKUP($A7,'Data Vlaue (Cr)'!$C:$FB,43)</f>
        <v>54</v>
      </c>
      <c r="H7" s="49">
        <f>VLOOKUP($A7,'Data Vlaue (Cr)'!$C:$FB,44)</f>
        <v>103</v>
      </c>
      <c r="I7" s="49">
        <f>VLOOKUP($A7,'Data Vlaue (Cr)'!$C:$FB,46)*100</f>
        <v>-47.78</v>
      </c>
      <c r="J7" s="51">
        <f>VLOOKUP($A7,'Data Vlaue (Cr)'!$C:$FB,59)</f>
        <v>52</v>
      </c>
      <c r="K7" s="51">
        <f>VLOOKUP($A7,'Data Vlaue (Cr)'!$C:$FB,60)</f>
        <v>88</v>
      </c>
      <c r="L7" s="51">
        <f>VLOOKUP($A7,'Data Vlaue (Cr)'!$C:$FB,62)*100</f>
        <v>-40.72</v>
      </c>
      <c r="M7" s="51">
        <f>VLOOKUP($A7,'Data Vlaue (Cr)'!$C:$FB,63)</f>
        <v>12</v>
      </c>
      <c r="N7" s="51">
        <f>VLOOKUP($A7,'Data Vlaue (Cr)'!$C:$FB,64)</f>
        <v>60</v>
      </c>
      <c r="O7" s="51">
        <f>VLOOKUP($A7,'Data Vlaue (Cr)'!$C:$FB,66)*100</f>
        <v>-79.45</v>
      </c>
    </row>
    <row r="8" spans="1:15" x14ac:dyDescent="0.25">
      <c r="A8" s="101" t="str">
        <f>'Data Vlaue (Cr)'!C3</f>
        <v>ABB</v>
      </c>
      <c r="B8" s="50">
        <f>VLOOKUP($A8,'Data Vlaue (Cr)'!$C:$FB,8)</f>
        <v>5929</v>
      </c>
      <c r="C8" s="50">
        <f>VLOOKUP($A8,'Data Vlaue (Cr)'!$C:$FB,11)*100</f>
        <v>1.69</v>
      </c>
      <c r="D8" s="50">
        <f>VLOOKUP($A8,'Data Vlaue (Cr)'!$C:$FB,143)</f>
        <v>1227.1600000000001</v>
      </c>
      <c r="E8" s="50">
        <f>VLOOKUP($A8,'Data Vlaue (Cr)'!$C:$FB,144)</f>
        <v>1544.42</v>
      </c>
      <c r="F8" s="50">
        <f>VLOOKUP($A8,'Data Vlaue (Cr)'!$C:$FB,146)*100</f>
        <v>-20.54</v>
      </c>
      <c r="G8" s="49">
        <f>VLOOKUP($A8,'Data Vlaue (Cr)'!$C:$FB,43)</f>
        <v>231</v>
      </c>
      <c r="H8" s="49">
        <f>VLOOKUP($A8,'Data Vlaue (Cr)'!$C:$FB,44)</f>
        <v>235</v>
      </c>
      <c r="I8" s="49">
        <f>VLOOKUP($A8,'Data Vlaue (Cr)'!$C:$FB,46)*100</f>
        <v>-1.9300000000000002</v>
      </c>
      <c r="J8" s="51">
        <f>VLOOKUP($A8,'Data Vlaue (Cr)'!$C:$FB,59)</f>
        <v>592</v>
      </c>
      <c r="K8" s="51">
        <f>VLOOKUP($A8,'Data Vlaue (Cr)'!$C:$FB,60)</f>
        <v>629</v>
      </c>
      <c r="L8" s="51">
        <f>VLOOKUP($A8,'Data Vlaue (Cr)'!$C:$FB,62)*100</f>
        <v>-5.7700000000000005</v>
      </c>
      <c r="M8" s="51">
        <f>VLOOKUP($A8,'Data Vlaue (Cr)'!$C:$FB,63)</f>
        <v>389</v>
      </c>
      <c r="N8" s="51">
        <f>VLOOKUP($A8,'Data Vlaue (Cr)'!$C:$FB,64)</f>
        <v>665</v>
      </c>
      <c r="O8" s="51">
        <f>VLOOKUP($A8,'Data Vlaue (Cr)'!$C:$FB,66)*100</f>
        <v>-41.4</v>
      </c>
    </row>
    <row r="9" spans="1:15" x14ac:dyDescent="0.25">
      <c r="A9" s="101" t="str">
        <f>'Data Vlaue (Cr)'!C4</f>
        <v>ABCAPITAL</v>
      </c>
      <c r="B9" s="50">
        <f>VLOOKUP($A9,'Data Vlaue (Cr)'!$C:$FB,8)</f>
        <v>327.60000000000002</v>
      </c>
      <c r="C9" s="50">
        <f>VLOOKUP($A9,'Data Vlaue (Cr)'!$C:$FB,11)*100</f>
        <v>1.8800000000000001</v>
      </c>
      <c r="D9" s="50">
        <f>VLOOKUP($A9,'Data Vlaue (Cr)'!$C:$FB,143)</f>
        <v>1085.56</v>
      </c>
      <c r="E9" s="50">
        <f>VLOOKUP($A9,'Data Vlaue (Cr)'!$C:$FB,144)</f>
        <v>2329.56</v>
      </c>
      <c r="F9" s="50">
        <f>VLOOKUP($A9,'Data Vlaue (Cr)'!$C:$FB,146)*100</f>
        <v>-53.400000000000006</v>
      </c>
      <c r="G9" s="49">
        <f>VLOOKUP($A9,'Data Vlaue (Cr)'!$C:$FB,43)</f>
        <v>339</v>
      </c>
      <c r="H9" s="49">
        <f>VLOOKUP($A9,'Data Vlaue (Cr)'!$C:$FB,44)</f>
        <v>455</v>
      </c>
      <c r="I9" s="49">
        <f>VLOOKUP($A9,'Data Vlaue (Cr)'!$C:$FB,46)*100</f>
        <v>-25.39</v>
      </c>
      <c r="J9" s="51">
        <f>VLOOKUP($A9,'Data Vlaue (Cr)'!$C:$FB,59)</f>
        <v>471</v>
      </c>
      <c r="K9" s="51">
        <f>VLOOKUP($A9,'Data Vlaue (Cr)'!$C:$FB,60)</f>
        <v>1195</v>
      </c>
      <c r="L9" s="51">
        <f>VLOOKUP($A9,'Data Vlaue (Cr)'!$C:$FB,62)*100</f>
        <v>-60.57</v>
      </c>
      <c r="M9" s="51">
        <f>VLOOKUP($A9,'Data Vlaue (Cr)'!$C:$FB,63)</f>
        <v>247</v>
      </c>
      <c r="N9" s="51">
        <f>VLOOKUP($A9,'Data Vlaue (Cr)'!$C:$FB,64)</f>
        <v>582</v>
      </c>
      <c r="O9" s="51">
        <f>VLOOKUP($A9,'Data Vlaue (Cr)'!$C:$FB,66)*100</f>
        <v>-57.65</v>
      </c>
    </row>
    <row r="10" spans="1:15" x14ac:dyDescent="0.25">
      <c r="A10" s="101" t="str">
        <f>'Data Vlaue (Cr)'!C5</f>
        <v>ADANIENSOL</v>
      </c>
      <c r="B10" s="50">
        <f>VLOOKUP($A10,'Data Vlaue (Cr)'!$C:$FB,8)</f>
        <v>987.9</v>
      </c>
      <c r="C10" s="50">
        <f>VLOOKUP($A10,'Data Vlaue (Cr)'!$C:$FB,11)*100</f>
        <v>2.85</v>
      </c>
      <c r="D10" s="50">
        <f>VLOOKUP($A10,'Data Vlaue (Cr)'!$C:$FB,143)</f>
        <v>484.09</v>
      </c>
      <c r="E10" s="50">
        <f>VLOOKUP($A10,'Data Vlaue (Cr)'!$C:$FB,144)</f>
        <v>709.21</v>
      </c>
      <c r="F10" s="50">
        <f>VLOOKUP($A10,'Data Vlaue (Cr)'!$C:$FB,146)*100</f>
        <v>-31.740000000000002</v>
      </c>
      <c r="G10" s="49">
        <f>VLOOKUP($A10,'Data Vlaue (Cr)'!$C:$FB,43)</f>
        <v>151</v>
      </c>
      <c r="H10" s="49">
        <f>VLOOKUP($A10,'Data Vlaue (Cr)'!$C:$FB,44)</f>
        <v>194</v>
      </c>
      <c r="I10" s="49">
        <f>VLOOKUP($A10,'Data Vlaue (Cr)'!$C:$FB,46)*100</f>
        <v>-22.13</v>
      </c>
      <c r="J10" s="51">
        <f>VLOOKUP($A10,'Data Vlaue (Cr)'!$C:$FB,59)</f>
        <v>196</v>
      </c>
      <c r="K10" s="51">
        <f>VLOOKUP($A10,'Data Vlaue (Cr)'!$C:$FB,60)</f>
        <v>269</v>
      </c>
      <c r="L10" s="51">
        <f>VLOOKUP($A10,'Data Vlaue (Cr)'!$C:$FB,62)*100</f>
        <v>-27.24</v>
      </c>
      <c r="M10" s="51">
        <f>VLOOKUP($A10,'Data Vlaue (Cr)'!$C:$FB,63)</f>
        <v>129</v>
      </c>
      <c r="N10" s="51">
        <f>VLOOKUP($A10,'Data Vlaue (Cr)'!$C:$FB,64)</f>
        <v>247</v>
      </c>
      <c r="O10" s="51">
        <f>VLOOKUP($A10,'Data Vlaue (Cr)'!$C:$FB,66)*100</f>
        <v>-47.79</v>
      </c>
    </row>
    <row r="11" spans="1:15" x14ac:dyDescent="0.25">
      <c r="A11" s="101" t="str">
        <f>'Data Vlaue (Cr)'!C6</f>
        <v>ADANIENT</v>
      </c>
      <c r="B11" s="50">
        <f>VLOOKUP($A11,'Data Vlaue (Cr)'!$C:$FB,8)</f>
        <v>2089.1999999999998</v>
      </c>
      <c r="C11" s="50">
        <f>VLOOKUP($A11,'Data Vlaue (Cr)'!$C:$FB,11)*100</f>
        <v>0.61</v>
      </c>
      <c r="D11" s="50">
        <f>VLOOKUP($A11,'Data Vlaue (Cr)'!$C:$FB,143)</f>
        <v>3002.84</v>
      </c>
      <c r="E11" s="50">
        <f>VLOOKUP($A11,'Data Vlaue (Cr)'!$C:$FB,144)</f>
        <v>2587.64</v>
      </c>
      <c r="F11" s="50">
        <f>VLOOKUP($A11,'Data Vlaue (Cr)'!$C:$FB,146)*100</f>
        <v>16.05</v>
      </c>
      <c r="G11" s="49">
        <f>VLOOKUP($A11,'Data Vlaue (Cr)'!$C:$FB,43)</f>
        <v>501</v>
      </c>
      <c r="H11" s="49">
        <f>VLOOKUP($A11,'Data Vlaue (Cr)'!$C:$FB,44)</f>
        <v>584</v>
      </c>
      <c r="I11" s="49">
        <f>VLOOKUP($A11,'Data Vlaue (Cr)'!$C:$FB,46)*100</f>
        <v>-14.149999999999999</v>
      </c>
      <c r="J11" s="51">
        <f>VLOOKUP($A11,'Data Vlaue (Cr)'!$C:$FB,59)</f>
        <v>1455</v>
      </c>
      <c r="K11" s="51">
        <f>VLOOKUP($A11,'Data Vlaue (Cr)'!$C:$FB,60)</f>
        <v>991</v>
      </c>
      <c r="L11" s="51">
        <f>VLOOKUP($A11,'Data Vlaue (Cr)'!$C:$FB,62)*100</f>
        <v>46.839999999999996</v>
      </c>
      <c r="M11" s="51">
        <f>VLOOKUP($A11,'Data Vlaue (Cr)'!$C:$FB,63)</f>
        <v>976</v>
      </c>
      <c r="N11" s="51">
        <f>VLOOKUP($A11,'Data Vlaue (Cr)'!$C:$FB,64)</f>
        <v>965</v>
      </c>
      <c r="O11" s="51">
        <f>VLOOKUP($A11,'Data Vlaue (Cr)'!$C:$FB,66)*100</f>
        <v>1.23</v>
      </c>
    </row>
    <row r="12" spans="1:15" x14ac:dyDescent="0.25">
      <c r="A12" s="101" t="str">
        <f>'Data Vlaue (Cr)'!C7</f>
        <v>ADANIGREEN</v>
      </c>
      <c r="B12" s="50">
        <f>VLOOKUP($A12,'Data Vlaue (Cr)'!$C:$FB,8)</f>
        <v>884.55</v>
      </c>
      <c r="C12" s="50">
        <f>VLOOKUP($A12,'Data Vlaue (Cr)'!$C:$FB,11)*100</f>
        <v>1.4500000000000002</v>
      </c>
      <c r="D12" s="50">
        <f>VLOOKUP($A12,'Data Vlaue (Cr)'!$C:$FB,143)</f>
        <v>1410.05</v>
      </c>
      <c r="E12" s="50">
        <f>VLOOKUP($A12,'Data Vlaue (Cr)'!$C:$FB,144)</f>
        <v>931.89</v>
      </c>
      <c r="F12" s="50">
        <f>VLOOKUP($A12,'Data Vlaue (Cr)'!$C:$FB,146)*100</f>
        <v>51.31</v>
      </c>
      <c r="G12" s="49">
        <f>VLOOKUP($A12,'Data Vlaue (Cr)'!$C:$FB,43)</f>
        <v>301</v>
      </c>
      <c r="H12" s="49">
        <f>VLOOKUP($A12,'Data Vlaue (Cr)'!$C:$FB,44)</f>
        <v>165</v>
      </c>
      <c r="I12" s="49">
        <f>VLOOKUP($A12,'Data Vlaue (Cr)'!$C:$FB,46)*100</f>
        <v>82.44</v>
      </c>
      <c r="J12" s="51">
        <f>VLOOKUP($A12,'Data Vlaue (Cr)'!$C:$FB,59)</f>
        <v>758</v>
      </c>
      <c r="K12" s="51">
        <f>VLOOKUP($A12,'Data Vlaue (Cr)'!$C:$FB,60)</f>
        <v>408</v>
      </c>
      <c r="L12" s="51">
        <f>VLOOKUP($A12,'Data Vlaue (Cr)'!$C:$FB,62)*100</f>
        <v>85.86</v>
      </c>
      <c r="M12" s="51">
        <f>VLOOKUP($A12,'Data Vlaue (Cr)'!$C:$FB,63)</f>
        <v>293</v>
      </c>
      <c r="N12" s="51">
        <f>VLOOKUP($A12,'Data Vlaue (Cr)'!$C:$FB,64)</f>
        <v>319</v>
      </c>
      <c r="O12" s="51">
        <f>VLOOKUP($A12,'Data Vlaue (Cr)'!$C:$FB,66)*100</f>
        <v>-8.17</v>
      </c>
    </row>
    <row r="13" spans="1:15" x14ac:dyDescent="0.25">
      <c r="A13" s="101" t="str">
        <f>'Data Vlaue (Cr)'!C8</f>
        <v>ADANIPORTS</v>
      </c>
      <c r="B13" s="50">
        <f>VLOOKUP($A13,'Data Vlaue (Cr)'!$C:$FB,8)</f>
        <v>1499.3</v>
      </c>
      <c r="C13" s="50">
        <f>VLOOKUP($A13,'Data Vlaue (Cr)'!$C:$FB,11)*100</f>
        <v>4.5199999999999996</v>
      </c>
      <c r="D13" s="50">
        <f>VLOOKUP($A13,'Data Vlaue (Cr)'!$C:$FB,143)</f>
        <v>3907.77</v>
      </c>
      <c r="E13" s="50">
        <f>VLOOKUP($A13,'Data Vlaue (Cr)'!$C:$FB,144)</f>
        <v>4260.07</v>
      </c>
      <c r="F13" s="50">
        <f>VLOOKUP($A13,'Data Vlaue (Cr)'!$C:$FB,146)*100</f>
        <v>-8.27</v>
      </c>
      <c r="G13" s="49">
        <f>VLOOKUP($A13,'Data Vlaue (Cr)'!$C:$FB,43)</f>
        <v>683</v>
      </c>
      <c r="H13" s="49">
        <f>VLOOKUP($A13,'Data Vlaue (Cr)'!$C:$FB,44)</f>
        <v>625</v>
      </c>
      <c r="I13" s="49">
        <f>VLOOKUP($A13,'Data Vlaue (Cr)'!$C:$FB,46)*100</f>
        <v>9.31</v>
      </c>
      <c r="J13" s="51">
        <f>VLOOKUP($A13,'Data Vlaue (Cr)'!$C:$FB,59)</f>
        <v>1761</v>
      </c>
      <c r="K13" s="51">
        <f>VLOOKUP($A13,'Data Vlaue (Cr)'!$C:$FB,60)</f>
        <v>1448</v>
      </c>
      <c r="L13" s="51">
        <f>VLOOKUP($A13,'Data Vlaue (Cr)'!$C:$FB,62)*100</f>
        <v>21.6</v>
      </c>
      <c r="M13" s="51">
        <f>VLOOKUP($A13,'Data Vlaue (Cr)'!$C:$FB,63)</f>
        <v>1463</v>
      </c>
      <c r="N13" s="51">
        <f>VLOOKUP($A13,'Data Vlaue (Cr)'!$C:$FB,64)</f>
        <v>2319</v>
      </c>
      <c r="O13" s="51">
        <f>VLOOKUP($A13,'Data Vlaue (Cr)'!$C:$FB,66)*100</f>
        <v>-36.93</v>
      </c>
    </row>
    <row r="14" spans="1:15" x14ac:dyDescent="0.25">
      <c r="A14" s="101" t="str">
        <f>'Data Vlaue (Cr)'!C9</f>
        <v>ALKEM</v>
      </c>
      <c r="B14" s="50">
        <f>VLOOKUP($A14,'Data Vlaue (Cr)'!$C:$FB,8)</f>
        <v>5550</v>
      </c>
      <c r="C14" s="50">
        <f>VLOOKUP($A14,'Data Vlaue (Cr)'!$C:$FB,11)*100</f>
        <v>1.53</v>
      </c>
      <c r="D14" s="50">
        <f>VLOOKUP($A14,'Data Vlaue (Cr)'!$C:$FB,143)</f>
        <v>219.85</v>
      </c>
      <c r="E14" s="50">
        <f>VLOOKUP($A14,'Data Vlaue (Cr)'!$C:$FB,144)</f>
        <v>233.09</v>
      </c>
      <c r="F14" s="50">
        <f>VLOOKUP($A14,'Data Vlaue (Cr)'!$C:$FB,146)*100</f>
        <v>-5.6800000000000006</v>
      </c>
      <c r="G14" s="49">
        <f>VLOOKUP($A14,'Data Vlaue (Cr)'!$C:$FB,43)</f>
        <v>62</v>
      </c>
      <c r="H14" s="49">
        <f>VLOOKUP($A14,'Data Vlaue (Cr)'!$C:$FB,44)</f>
        <v>67</v>
      </c>
      <c r="I14" s="49">
        <f>VLOOKUP($A14,'Data Vlaue (Cr)'!$C:$FB,46)*100</f>
        <v>-6.2799999999999994</v>
      </c>
      <c r="J14" s="51">
        <f>VLOOKUP($A14,'Data Vlaue (Cr)'!$C:$FB,59)</f>
        <v>123</v>
      </c>
      <c r="K14" s="51">
        <f>VLOOKUP($A14,'Data Vlaue (Cr)'!$C:$FB,60)</f>
        <v>94</v>
      </c>
      <c r="L14" s="51">
        <f>VLOOKUP($A14,'Data Vlaue (Cr)'!$C:$FB,62)*100</f>
        <v>29.720000000000002</v>
      </c>
      <c r="M14" s="51">
        <f>VLOOKUP($A14,'Data Vlaue (Cr)'!$C:$FB,63)</f>
        <v>26</v>
      </c>
      <c r="N14" s="51">
        <f>VLOOKUP($A14,'Data Vlaue (Cr)'!$C:$FB,64)</f>
        <v>70</v>
      </c>
      <c r="O14" s="51">
        <f>VLOOKUP($A14,'Data Vlaue (Cr)'!$C:$FB,66)*100</f>
        <v>-62.83</v>
      </c>
    </row>
    <row r="15" spans="1:15" x14ac:dyDescent="0.25">
      <c r="A15" s="101" t="str">
        <f>'Data Vlaue (Cr)'!C10</f>
        <v>AMBER</v>
      </c>
      <c r="B15" s="50">
        <f>VLOOKUP($A15,'Data Vlaue (Cr)'!$C:$FB,8)</f>
        <v>7825.5</v>
      </c>
      <c r="C15" s="50">
        <f>VLOOKUP($A15,'Data Vlaue (Cr)'!$C:$FB,11)*100</f>
        <v>2.1999999999999997</v>
      </c>
      <c r="D15" s="50">
        <f>VLOOKUP($A15,'Data Vlaue (Cr)'!$C:$FB,143)</f>
        <v>1522.04</v>
      </c>
      <c r="E15" s="50">
        <f>VLOOKUP($A15,'Data Vlaue (Cr)'!$C:$FB,144)</f>
        <v>1159.3499999999999</v>
      </c>
      <c r="F15" s="50">
        <f>VLOOKUP($A15,'Data Vlaue (Cr)'!$C:$FB,146)*100</f>
        <v>31.28</v>
      </c>
      <c r="G15" s="49">
        <f>VLOOKUP($A15,'Data Vlaue (Cr)'!$C:$FB,43)</f>
        <v>320</v>
      </c>
      <c r="H15" s="49">
        <f>VLOOKUP($A15,'Data Vlaue (Cr)'!$C:$FB,44)</f>
        <v>245</v>
      </c>
      <c r="I15" s="49">
        <f>VLOOKUP($A15,'Data Vlaue (Cr)'!$C:$FB,46)*100</f>
        <v>30.48</v>
      </c>
      <c r="J15" s="51">
        <f>VLOOKUP($A15,'Data Vlaue (Cr)'!$C:$FB,59)</f>
        <v>829</v>
      </c>
      <c r="K15" s="51">
        <f>VLOOKUP($A15,'Data Vlaue (Cr)'!$C:$FB,60)</f>
        <v>538</v>
      </c>
      <c r="L15" s="51">
        <f>VLOOKUP($A15,'Data Vlaue (Cr)'!$C:$FB,62)*100</f>
        <v>54.16</v>
      </c>
      <c r="M15" s="51">
        <f>VLOOKUP($A15,'Data Vlaue (Cr)'!$C:$FB,63)</f>
        <v>344</v>
      </c>
      <c r="N15" s="51">
        <f>VLOOKUP($A15,'Data Vlaue (Cr)'!$C:$FB,64)</f>
        <v>365</v>
      </c>
      <c r="O15" s="51">
        <f>VLOOKUP($A15,'Data Vlaue (Cr)'!$C:$FB,66)*100</f>
        <v>-5.84</v>
      </c>
    </row>
    <row r="16" spans="1:15" x14ac:dyDescent="0.25">
      <c r="A16" s="101" t="str">
        <f>'Data Vlaue (Cr)'!C11</f>
        <v>AMBUJACEM</v>
      </c>
      <c r="B16" s="50">
        <f>VLOOKUP($A16,'Data Vlaue (Cr)'!$C:$FB,8)</f>
        <v>480</v>
      </c>
      <c r="C16" s="50">
        <f>VLOOKUP($A16,'Data Vlaue (Cr)'!$C:$FB,11)*100</f>
        <v>0.80999999999999994</v>
      </c>
      <c r="D16" s="50">
        <f>VLOOKUP($A16,'Data Vlaue (Cr)'!$C:$FB,143)</f>
        <v>770.25</v>
      </c>
      <c r="E16" s="50">
        <f>VLOOKUP($A16,'Data Vlaue (Cr)'!$C:$FB,144)</f>
        <v>957.53</v>
      </c>
      <c r="F16" s="50">
        <f>VLOOKUP($A16,'Data Vlaue (Cr)'!$C:$FB,146)*100</f>
        <v>-19.559999999999999</v>
      </c>
      <c r="G16" s="49">
        <f>VLOOKUP($A16,'Data Vlaue (Cr)'!$C:$FB,43)</f>
        <v>228</v>
      </c>
      <c r="H16" s="49">
        <f>VLOOKUP($A16,'Data Vlaue (Cr)'!$C:$FB,44)</f>
        <v>292</v>
      </c>
      <c r="I16" s="49">
        <f>VLOOKUP($A16,'Data Vlaue (Cr)'!$C:$FB,46)*100</f>
        <v>-21.93</v>
      </c>
      <c r="J16" s="51">
        <f>VLOOKUP($A16,'Data Vlaue (Cr)'!$C:$FB,59)</f>
        <v>370</v>
      </c>
      <c r="K16" s="51">
        <f>VLOOKUP($A16,'Data Vlaue (Cr)'!$C:$FB,60)</f>
        <v>439</v>
      </c>
      <c r="L16" s="51">
        <f>VLOOKUP($A16,'Data Vlaue (Cr)'!$C:$FB,62)*100</f>
        <v>-15.82</v>
      </c>
      <c r="M16" s="51">
        <f>VLOOKUP($A16,'Data Vlaue (Cr)'!$C:$FB,63)</f>
        <v>151</v>
      </c>
      <c r="N16" s="51">
        <f>VLOOKUP($A16,'Data Vlaue (Cr)'!$C:$FB,64)</f>
        <v>200</v>
      </c>
      <c r="O16" s="51">
        <f>VLOOKUP($A16,'Data Vlaue (Cr)'!$C:$FB,66)*100</f>
        <v>-24.33</v>
      </c>
    </row>
    <row r="17" spans="1:15" x14ac:dyDescent="0.25">
      <c r="A17" s="101" t="str">
        <f>'Data Vlaue (Cr)'!C12</f>
        <v>ANGELONE</v>
      </c>
      <c r="B17" s="50">
        <f>VLOOKUP($A17,'Data Vlaue (Cr)'!$C:$FB,8)</f>
        <v>224.68</v>
      </c>
      <c r="C17" s="50">
        <f>VLOOKUP($A17,'Data Vlaue (Cr)'!$C:$FB,11)*100</f>
        <v>1.32</v>
      </c>
      <c r="D17" s="50">
        <f>VLOOKUP($A17,'Data Vlaue (Cr)'!$C:$FB,143)</f>
        <v>642.23</v>
      </c>
      <c r="E17" s="50">
        <f>VLOOKUP($A17,'Data Vlaue (Cr)'!$C:$FB,144)</f>
        <v>1170.03</v>
      </c>
      <c r="F17" s="50">
        <f>VLOOKUP($A17,'Data Vlaue (Cr)'!$C:$FB,146)*100</f>
        <v>-45.11</v>
      </c>
      <c r="G17" s="49">
        <f>VLOOKUP($A17,'Data Vlaue (Cr)'!$C:$FB,43)</f>
        <v>250</v>
      </c>
      <c r="H17" s="49">
        <f>VLOOKUP($A17,'Data Vlaue (Cr)'!$C:$FB,44)</f>
        <v>464</v>
      </c>
      <c r="I17" s="49">
        <f>VLOOKUP($A17,'Data Vlaue (Cr)'!$C:$FB,46)*100</f>
        <v>-46.160000000000004</v>
      </c>
      <c r="J17" s="51">
        <f>VLOOKUP($A17,'Data Vlaue (Cr)'!$C:$FB,59)</f>
        <v>280</v>
      </c>
      <c r="K17" s="51">
        <f>VLOOKUP($A17,'Data Vlaue (Cr)'!$C:$FB,60)</f>
        <v>444</v>
      </c>
      <c r="L17" s="51">
        <f>VLOOKUP($A17,'Data Vlaue (Cr)'!$C:$FB,62)*100</f>
        <v>-36.96</v>
      </c>
      <c r="M17" s="51">
        <f>VLOOKUP($A17,'Data Vlaue (Cr)'!$C:$FB,63)</f>
        <v>83</v>
      </c>
      <c r="N17" s="51">
        <f>VLOOKUP($A17,'Data Vlaue (Cr)'!$C:$FB,64)</f>
        <v>224</v>
      </c>
      <c r="O17" s="51">
        <f>VLOOKUP($A17,'Data Vlaue (Cr)'!$C:$FB,66)*100</f>
        <v>-62.970000000000006</v>
      </c>
    </row>
    <row r="18" spans="1:15" x14ac:dyDescent="0.25">
      <c r="A18" s="101" t="str">
        <f>'Data Vlaue (Cr)'!C13</f>
        <v>APLAPOLLO</v>
      </c>
      <c r="B18" s="50">
        <f>VLOOKUP($A18,'Data Vlaue (Cr)'!$C:$FB,8)</f>
        <v>2161.3000000000002</v>
      </c>
      <c r="C18" s="50">
        <f>VLOOKUP($A18,'Data Vlaue (Cr)'!$C:$FB,11)*100</f>
        <v>1.96</v>
      </c>
      <c r="D18" s="50">
        <f>VLOOKUP($A18,'Data Vlaue (Cr)'!$C:$FB,143)</f>
        <v>399.36</v>
      </c>
      <c r="E18" s="50">
        <f>VLOOKUP($A18,'Data Vlaue (Cr)'!$C:$FB,144)</f>
        <v>2010.69</v>
      </c>
      <c r="F18" s="50">
        <f>VLOOKUP($A18,'Data Vlaue (Cr)'!$C:$FB,146)*100</f>
        <v>-80.14</v>
      </c>
      <c r="G18" s="49">
        <f>VLOOKUP($A18,'Data Vlaue (Cr)'!$C:$FB,43)</f>
        <v>107</v>
      </c>
      <c r="H18" s="49">
        <f>VLOOKUP($A18,'Data Vlaue (Cr)'!$C:$FB,44)</f>
        <v>388</v>
      </c>
      <c r="I18" s="49">
        <f>VLOOKUP($A18,'Data Vlaue (Cr)'!$C:$FB,46)*100</f>
        <v>-72.36</v>
      </c>
      <c r="J18" s="51">
        <f>VLOOKUP($A18,'Data Vlaue (Cr)'!$C:$FB,59)</f>
        <v>152</v>
      </c>
      <c r="K18" s="51">
        <f>VLOOKUP($A18,'Data Vlaue (Cr)'!$C:$FB,60)</f>
        <v>782</v>
      </c>
      <c r="L18" s="51">
        <f>VLOOKUP($A18,'Data Vlaue (Cr)'!$C:$FB,62)*100</f>
        <v>-80.61</v>
      </c>
      <c r="M18" s="51">
        <f>VLOOKUP($A18,'Data Vlaue (Cr)'!$C:$FB,63)</f>
        <v>137</v>
      </c>
      <c r="N18" s="51">
        <f>VLOOKUP($A18,'Data Vlaue (Cr)'!$C:$FB,64)</f>
        <v>808</v>
      </c>
      <c r="O18" s="51">
        <f>VLOOKUP($A18,'Data Vlaue (Cr)'!$C:$FB,66)*100</f>
        <v>-83.07</v>
      </c>
    </row>
    <row r="19" spans="1:15" x14ac:dyDescent="0.25">
      <c r="A19" s="101" t="str">
        <f>'Data Vlaue (Cr)'!C14</f>
        <v>APOLLOHOSP</v>
      </c>
      <c r="B19" s="50">
        <f>VLOOKUP($A19,'Data Vlaue (Cr)'!$C:$FB,8)</f>
        <v>7775</v>
      </c>
      <c r="C19" s="50">
        <f>VLOOKUP($A19,'Data Vlaue (Cr)'!$C:$FB,11)*100</f>
        <v>1.4200000000000002</v>
      </c>
      <c r="D19" s="50">
        <f>VLOOKUP($A19,'Data Vlaue (Cr)'!$C:$FB,143)</f>
        <v>2465.85</v>
      </c>
      <c r="E19" s="50">
        <f>VLOOKUP($A19,'Data Vlaue (Cr)'!$C:$FB,144)</f>
        <v>3564.81</v>
      </c>
      <c r="F19" s="50">
        <f>VLOOKUP($A19,'Data Vlaue (Cr)'!$C:$FB,146)*100</f>
        <v>-30.830000000000002</v>
      </c>
      <c r="G19" s="49">
        <f>VLOOKUP($A19,'Data Vlaue (Cr)'!$C:$FB,43)</f>
        <v>358</v>
      </c>
      <c r="H19" s="49">
        <f>VLOOKUP($A19,'Data Vlaue (Cr)'!$C:$FB,44)</f>
        <v>479</v>
      </c>
      <c r="I19" s="49">
        <f>VLOOKUP($A19,'Data Vlaue (Cr)'!$C:$FB,46)*100</f>
        <v>-25.15</v>
      </c>
      <c r="J19" s="51">
        <f>VLOOKUP($A19,'Data Vlaue (Cr)'!$C:$FB,59)</f>
        <v>1331</v>
      </c>
      <c r="K19" s="51">
        <f>VLOOKUP($A19,'Data Vlaue (Cr)'!$C:$FB,60)</f>
        <v>1785</v>
      </c>
      <c r="L19" s="51">
        <f>VLOOKUP($A19,'Data Vlaue (Cr)'!$C:$FB,62)*100</f>
        <v>-25.41</v>
      </c>
      <c r="M19" s="51">
        <f>VLOOKUP($A19,'Data Vlaue (Cr)'!$C:$FB,63)</f>
        <v>763</v>
      </c>
      <c r="N19" s="51">
        <f>VLOOKUP($A19,'Data Vlaue (Cr)'!$C:$FB,64)</f>
        <v>1315</v>
      </c>
      <c r="O19" s="51">
        <f>VLOOKUP($A19,'Data Vlaue (Cr)'!$C:$FB,66)*100</f>
        <v>-41.959999999999994</v>
      </c>
    </row>
    <row r="20" spans="1:15" x14ac:dyDescent="0.25">
      <c r="A20" s="101" t="str">
        <f>'Data Vlaue (Cr)'!C15</f>
        <v>ASHOKLEY</v>
      </c>
      <c r="B20" s="50">
        <f>VLOOKUP($A20,'Data Vlaue (Cr)'!$C:$FB,8)</f>
        <v>203.04</v>
      </c>
      <c r="C20" s="50">
        <f>VLOOKUP($A20,'Data Vlaue (Cr)'!$C:$FB,11)*100</f>
        <v>1.29</v>
      </c>
      <c r="D20" s="50">
        <f>VLOOKUP($A20,'Data Vlaue (Cr)'!$C:$FB,143)</f>
        <v>2540.7399999999998</v>
      </c>
      <c r="E20" s="50">
        <f>VLOOKUP($A20,'Data Vlaue (Cr)'!$C:$FB,144)</f>
        <v>3800.84</v>
      </c>
      <c r="F20" s="50">
        <f>VLOOKUP($A20,'Data Vlaue (Cr)'!$C:$FB,146)*100</f>
        <v>-33.15</v>
      </c>
      <c r="G20" s="49">
        <f>VLOOKUP($A20,'Data Vlaue (Cr)'!$C:$FB,43)</f>
        <v>554</v>
      </c>
      <c r="H20" s="49">
        <f>VLOOKUP($A20,'Data Vlaue (Cr)'!$C:$FB,44)</f>
        <v>865</v>
      </c>
      <c r="I20" s="49">
        <f>VLOOKUP($A20,'Data Vlaue (Cr)'!$C:$FB,46)*100</f>
        <v>-35.99</v>
      </c>
      <c r="J20" s="51">
        <f>VLOOKUP($A20,'Data Vlaue (Cr)'!$C:$FB,59)</f>
        <v>1239</v>
      </c>
      <c r="K20" s="51">
        <f>VLOOKUP($A20,'Data Vlaue (Cr)'!$C:$FB,60)</f>
        <v>1736</v>
      </c>
      <c r="L20" s="51">
        <f>VLOOKUP($A20,'Data Vlaue (Cr)'!$C:$FB,62)*100</f>
        <v>-28.660000000000004</v>
      </c>
      <c r="M20" s="51">
        <f>VLOOKUP($A20,'Data Vlaue (Cr)'!$C:$FB,63)</f>
        <v>709</v>
      </c>
      <c r="N20" s="51">
        <f>VLOOKUP($A20,'Data Vlaue (Cr)'!$C:$FB,64)</f>
        <v>1126</v>
      </c>
      <c r="O20" s="51">
        <f>VLOOKUP($A20,'Data Vlaue (Cr)'!$C:$FB,66)*100</f>
        <v>-37.07</v>
      </c>
    </row>
    <row r="21" spans="1:15" x14ac:dyDescent="0.25">
      <c r="A21" s="101" t="str">
        <f>'Data Vlaue (Cr)'!C16</f>
        <v>ASIANPAINT</v>
      </c>
      <c r="B21" s="50">
        <f>VLOOKUP($A21,'Data Vlaue (Cr)'!$C:$FB,8)</f>
        <v>2287.8000000000002</v>
      </c>
      <c r="C21" s="50">
        <f>VLOOKUP($A21,'Data Vlaue (Cr)'!$C:$FB,11)*100</f>
        <v>0.11</v>
      </c>
      <c r="D21" s="50">
        <f>VLOOKUP($A21,'Data Vlaue (Cr)'!$C:$FB,143)</f>
        <v>2516.9899999999998</v>
      </c>
      <c r="E21" s="50">
        <f>VLOOKUP($A21,'Data Vlaue (Cr)'!$C:$FB,144)</f>
        <v>3846.41</v>
      </c>
      <c r="F21" s="50">
        <f>VLOOKUP($A21,'Data Vlaue (Cr)'!$C:$FB,146)*100</f>
        <v>-34.56</v>
      </c>
      <c r="G21" s="49">
        <f>VLOOKUP($A21,'Data Vlaue (Cr)'!$C:$FB,43)</f>
        <v>313</v>
      </c>
      <c r="H21" s="49">
        <f>VLOOKUP($A21,'Data Vlaue (Cr)'!$C:$FB,44)</f>
        <v>446</v>
      </c>
      <c r="I21" s="49">
        <f>VLOOKUP($A21,'Data Vlaue (Cr)'!$C:$FB,46)*100</f>
        <v>-29.68</v>
      </c>
      <c r="J21" s="51">
        <f>VLOOKUP($A21,'Data Vlaue (Cr)'!$C:$FB,59)</f>
        <v>1150</v>
      </c>
      <c r="K21" s="51">
        <f>VLOOKUP($A21,'Data Vlaue (Cr)'!$C:$FB,60)</f>
        <v>1283</v>
      </c>
      <c r="L21" s="51">
        <f>VLOOKUP($A21,'Data Vlaue (Cr)'!$C:$FB,62)*100</f>
        <v>-10.33</v>
      </c>
      <c r="M21" s="51">
        <f>VLOOKUP($A21,'Data Vlaue (Cr)'!$C:$FB,63)</f>
        <v>1015</v>
      </c>
      <c r="N21" s="51">
        <f>VLOOKUP($A21,'Data Vlaue (Cr)'!$C:$FB,64)</f>
        <v>2092</v>
      </c>
      <c r="O21" s="51">
        <f>VLOOKUP($A21,'Data Vlaue (Cr)'!$C:$FB,66)*100</f>
        <v>-51.470000000000006</v>
      </c>
    </row>
    <row r="22" spans="1:15" x14ac:dyDescent="0.25">
      <c r="A22" s="101" t="str">
        <f>'Data Vlaue (Cr)'!C17</f>
        <v>ASTRAL</v>
      </c>
      <c r="B22" s="50">
        <f>VLOOKUP($A22,'Data Vlaue (Cr)'!$C:$FB,8)</f>
        <v>1663.1</v>
      </c>
      <c r="C22" s="50">
        <f>VLOOKUP($A22,'Data Vlaue (Cr)'!$C:$FB,11)*100</f>
        <v>0.98</v>
      </c>
      <c r="D22" s="50">
        <f>VLOOKUP($A22,'Data Vlaue (Cr)'!$C:$FB,143)</f>
        <v>692.37</v>
      </c>
      <c r="E22" s="50">
        <f>VLOOKUP($A22,'Data Vlaue (Cr)'!$C:$FB,144)</f>
        <v>716.97</v>
      </c>
      <c r="F22" s="50">
        <f>VLOOKUP($A22,'Data Vlaue (Cr)'!$C:$FB,146)*100</f>
        <v>-3.4299999999999997</v>
      </c>
      <c r="G22" s="49">
        <f>VLOOKUP($A22,'Data Vlaue (Cr)'!$C:$FB,43)</f>
        <v>255</v>
      </c>
      <c r="H22" s="49">
        <f>VLOOKUP($A22,'Data Vlaue (Cr)'!$C:$FB,44)</f>
        <v>182</v>
      </c>
      <c r="I22" s="49">
        <f>VLOOKUP($A22,'Data Vlaue (Cr)'!$C:$FB,46)*100</f>
        <v>39.78</v>
      </c>
      <c r="J22" s="51">
        <f>VLOOKUP($A22,'Data Vlaue (Cr)'!$C:$FB,59)</f>
        <v>311</v>
      </c>
      <c r="K22" s="51">
        <f>VLOOKUP($A22,'Data Vlaue (Cr)'!$C:$FB,60)</f>
        <v>313</v>
      </c>
      <c r="L22" s="51">
        <f>VLOOKUP($A22,'Data Vlaue (Cr)'!$C:$FB,62)*100</f>
        <v>-0.43</v>
      </c>
      <c r="M22" s="51">
        <f>VLOOKUP($A22,'Data Vlaue (Cr)'!$C:$FB,63)</f>
        <v>119</v>
      </c>
      <c r="N22" s="51">
        <f>VLOOKUP($A22,'Data Vlaue (Cr)'!$C:$FB,64)</f>
        <v>224</v>
      </c>
      <c r="O22" s="51">
        <f>VLOOKUP($A22,'Data Vlaue (Cr)'!$C:$FB,66)*100</f>
        <v>-46.949999999999996</v>
      </c>
    </row>
    <row r="23" spans="1:15" x14ac:dyDescent="0.25">
      <c r="A23" s="101" t="str">
        <f>'Data Vlaue (Cr)'!C18</f>
        <v>AUBANK</v>
      </c>
      <c r="B23" s="50">
        <f>VLOOKUP($A23,'Data Vlaue (Cr)'!$C:$FB,8)</f>
        <v>973.45</v>
      </c>
      <c r="C23" s="50">
        <f>VLOOKUP($A23,'Data Vlaue (Cr)'!$C:$FB,11)*100</f>
        <v>2.8899999999999997</v>
      </c>
      <c r="D23" s="50">
        <f>VLOOKUP($A23,'Data Vlaue (Cr)'!$C:$FB,143)</f>
        <v>1936.61</v>
      </c>
      <c r="E23" s="50">
        <f>VLOOKUP($A23,'Data Vlaue (Cr)'!$C:$FB,144)</f>
        <v>2824.55</v>
      </c>
      <c r="F23" s="50">
        <f>VLOOKUP($A23,'Data Vlaue (Cr)'!$C:$FB,146)*100</f>
        <v>-31.44</v>
      </c>
      <c r="G23" s="49">
        <f>VLOOKUP($A23,'Data Vlaue (Cr)'!$C:$FB,43)</f>
        <v>483</v>
      </c>
      <c r="H23" s="49">
        <f>VLOOKUP($A23,'Data Vlaue (Cr)'!$C:$FB,44)</f>
        <v>734</v>
      </c>
      <c r="I23" s="49">
        <f>VLOOKUP($A23,'Data Vlaue (Cr)'!$C:$FB,46)*100</f>
        <v>-34.21</v>
      </c>
      <c r="J23" s="51">
        <f>VLOOKUP($A23,'Data Vlaue (Cr)'!$C:$FB,59)</f>
        <v>760</v>
      </c>
      <c r="K23" s="51">
        <f>VLOOKUP($A23,'Data Vlaue (Cr)'!$C:$FB,60)</f>
        <v>1066</v>
      </c>
      <c r="L23" s="51">
        <f>VLOOKUP($A23,'Data Vlaue (Cr)'!$C:$FB,62)*100</f>
        <v>-28.73</v>
      </c>
      <c r="M23" s="51">
        <f>VLOOKUP($A23,'Data Vlaue (Cr)'!$C:$FB,63)</f>
        <v>683</v>
      </c>
      <c r="N23" s="51">
        <f>VLOOKUP($A23,'Data Vlaue (Cr)'!$C:$FB,64)</f>
        <v>1050</v>
      </c>
      <c r="O23" s="51">
        <f>VLOOKUP($A23,'Data Vlaue (Cr)'!$C:$FB,66)*100</f>
        <v>-34.94</v>
      </c>
    </row>
    <row r="24" spans="1:15" x14ac:dyDescent="0.25">
      <c r="A24" s="101" t="str">
        <f>'Data Vlaue (Cr)'!C19</f>
        <v>AUROPHARMA</v>
      </c>
      <c r="B24" s="50">
        <f>VLOOKUP($A24,'Data Vlaue (Cr)'!$C:$FB,8)</f>
        <v>1225.5</v>
      </c>
      <c r="C24" s="50">
        <f>VLOOKUP($A24,'Data Vlaue (Cr)'!$C:$FB,11)*100</f>
        <v>2.52</v>
      </c>
      <c r="D24" s="50">
        <f>VLOOKUP($A24,'Data Vlaue (Cr)'!$C:$FB,143)</f>
        <v>1007.96</v>
      </c>
      <c r="E24" s="50">
        <f>VLOOKUP($A24,'Data Vlaue (Cr)'!$C:$FB,144)</f>
        <v>963.65</v>
      </c>
      <c r="F24" s="50">
        <f>VLOOKUP($A24,'Data Vlaue (Cr)'!$C:$FB,146)*100</f>
        <v>4.5999999999999996</v>
      </c>
      <c r="G24" s="49">
        <f>VLOOKUP($A24,'Data Vlaue (Cr)'!$C:$FB,43)</f>
        <v>243</v>
      </c>
      <c r="H24" s="49">
        <f>VLOOKUP($A24,'Data Vlaue (Cr)'!$C:$FB,44)</f>
        <v>235</v>
      </c>
      <c r="I24" s="49">
        <f>VLOOKUP($A24,'Data Vlaue (Cr)'!$C:$FB,46)*100</f>
        <v>3.19</v>
      </c>
      <c r="J24" s="51">
        <f>VLOOKUP($A24,'Data Vlaue (Cr)'!$C:$FB,59)</f>
        <v>573</v>
      </c>
      <c r="K24" s="51">
        <f>VLOOKUP($A24,'Data Vlaue (Cr)'!$C:$FB,60)</f>
        <v>461</v>
      </c>
      <c r="L24" s="51">
        <f>VLOOKUP($A24,'Data Vlaue (Cr)'!$C:$FB,62)*100</f>
        <v>24.44</v>
      </c>
      <c r="M24" s="51">
        <f>VLOOKUP($A24,'Data Vlaue (Cr)'!$C:$FB,63)</f>
        <v>176</v>
      </c>
      <c r="N24" s="51">
        <f>VLOOKUP($A24,'Data Vlaue (Cr)'!$C:$FB,64)</f>
        <v>270</v>
      </c>
      <c r="O24" s="51">
        <f>VLOOKUP($A24,'Data Vlaue (Cr)'!$C:$FB,66)*100</f>
        <v>-34.979999999999997</v>
      </c>
    </row>
    <row r="25" spans="1:15" x14ac:dyDescent="0.25">
      <c r="A25" s="101" t="str">
        <f>'Data Vlaue (Cr)'!C20</f>
        <v>AXISBANK</v>
      </c>
      <c r="B25" s="50">
        <f>VLOOKUP($A25,'Data Vlaue (Cr)'!$C:$FB,8)</f>
        <v>1349.1</v>
      </c>
      <c r="C25" s="50">
        <f>VLOOKUP($A25,'Data Vlaue (Cr)'!$C:$FB,11)*100</f>
        <v>-0.16</v>
      </c>
      <c r="D25" s="50">
        <f>VLOOKUP($A25,'Data Vlaue (Cr)'!$C:$FB,143)</f>
        <v>5328.63</v>
      </c>
      <c r="E25" s="50">
        <f>VLOOKUP($A25,'Data Vlaue (Cr)'!$C:$FB,144)</f>
        <v>7596.19</v>
      </c>
      <c r="F25" s="50">
        <f>VLOOKUP($A25,'Data Vlaue (Cr)'!$C:$FB,146)*100</f>
        <v>-29.849999999999998</v>
      </c>
      <c r="G25" s="49">
        <f>VLOOKUP($A25,'Data Vlaue (Cr)'!$C:$FB,43)</f>
        <v>1196</v>
      </c>
      <c r="H25" s="49">
        <f>VLOOKUP($A25,'Data Vlaue (Cr)'!$C:$FB,44)</f>
        <v>1416</v>
      </c>
      <c r="I25" s="49">
        <f>VLOOKUP($A25,'Data Vlaue (Cr)'!$C:$FB,46)*100</f>
        <v>-15.540000000000001</v>
      </c>
      <c r="J25" s="51">
        <f>VLOOKUP($A25,'Data Vlaue (Cr)'!$C:$FB,59)</f>
        <v>2307</v>
      </c>
      <c r="K25" s="51">
        <f>VLOOKUP($A25,'Data Vlaue (Cr)'!$C:$FB,60)</f>
        <v>3537</v>
      </c>
      <c r="L25" s="51">
        <f>VLOOKUP($A25,'Data Vlaue (Cr)'!$C:$FB,62)*100</f>
        <v>-34.770000000000003</v>
      </c>
      <c r="M25" s="51">
        <f>VLOOKUP($A25,'Data Vlaue (Cr)'!$C:$FB,63)</f>
        <v>1772</v>
      </c>
      <c r="N25" s="51">
        <f>VLOOKUP($A25,'Data Vlaue (Cr)'!$C:$FB,64)</f>
        <v>2570</v>
      </c>
      <c r="O25" s="51">
        <f>VLOOKUP($A25,'Data Vlaue (Cr)'!$C:$FB,66)*100</f>
        <v>-31.04</v>
      </c>
    </row>
    <row r="26" spans="1:15" x14ac:dyDescent="0.25">
      <c r="A26" s="101" t="str">
        <f>'Data Vlaue (Cr)'!C21</f>
        <v>BAJAJ-AUTO</v>
      </c>
      <c r="B26" s="50">
        <f>VLOOKUP($A26,'Data Vlaue (Cr)'!$C:$FB,8)</f>
        <v>9804.5</v>
      </c>
      <c r="C26" s="50">
        <f>VLOOKUP($A26,'Data Vlaue (Cr)'!$C:$FB,11)*100</f>
        <v>1.5699999999999998</v>
      </c>
      <c r="D26" s="50">
        <f>VLOOKUP($A26,'Data Vlaue (Cr)'!$C:$FB,143)</f>
        <v>2894.24</v>
      </c>
      <c r="E26" s="50">
        <f>VLOOKUP($A26,'Data Vlaue (Cr)'!$C:$FB,144)</f>
        <v>3379.61</v>
      </c>
      <c r="F26" s="50">
        <f>VLOOKUP($A26,'Data Vlaue (Cr)'!$C:$FB,146)*100</f>
        <v>-14.360000000000001</v>
      </c>
      <c r="G26" s="49">
        <f>VLOOKUP($A26,'Data Vlaue (Cr)'!$C:$FB,43)</f>
        <v>454</v>
      </c>
      <c r="H26" s="49">
        <f>VLOOKUP($A26,'Data Vlaue (Cr)'!$C:$FB,44)</f>
        <v>468</v>
      </c>
      <c r="I26" s="49">
        <f>VLOOKUP($A26,'Data Vlaue (Cr)'!$C:$FB,46)*100</f>
        <v>-2.92</v>
      </c>
      <c r="J26" s="51">
        <f>VLOOKUP($A26,'Data Vlaue (Cr)'!$C:$FB,59)</f>
        <v>1447</v>
      </c>
      <c r="K26" s="51">
        <f>VLOOKUP($A26,'Data Vlaue (Cr)'!$C:$FB,60)</f>
        <v>1668</v>
      </c>
      <c r="L26" s="51">
        <f>VLOOKUP($A26,'Data Vlaue (Cr)'!$C:$FB,62)*100</f>
        <v>-13.239999999999998</v>
      </c>
      <c r="M26" s="51">
        <f>VLOOKUP($A26,'Data Vlaue (Cr)'!$C:$FB,63)</f>
        <v>980</v>
      </c>
      <c r="N26" s="51">
        <f>VLOOKUP($A26,'Data Vlaue (Cr)'!$C:$FB,64)</f>
        <v>1228</v>
      </c>
      <c r="O26" s="51">
        <f>VLOOKUP($A26,'Data Vlaue (Cr)'!$C:$FB,66)*100</f>
        <v>-20.18</v>
      </c>
    </row>
    <row r="27" spans="1:15" x14ac:dyDescent="0.25">
      <c r="A27" s="101" t="str">
        <f>'Data Vlaue (Cr)'!C22</f>
        <v>BAJAJFINSV</v>
      </c>
      <c r="B27" s="50">
        <f>VLOOKUP($A27,'Data Vlaue (Cr)'!$C:$FB,8)</f>
        <v>1911.8</v>
      </c>
      <c r="C27" s="50">
        <f>VLOOKUP($A27,'Data Vlaue (Cr)'!$C:$FB,11)*100</f>
        <v>1.1900000000000002</v>
      </c>
      <c r="D27" s="50">
        <f>VLOOKUP($A27,'Data Vlaue (Cr)'!$C:$FB,143)</f>
        <v>1555.15</v>
      </c>
      <c r="E27" s="50">
        <f>VLOOKUP($A27,'Data Vlaue (Cr)'!$C:$FB,144)</f>
        <v>2990.39</v>
      </c>
      <c r="F27" s="50">
        <f>VLOOKUP($A27,'Data Vlaue (Cr)'!$C:$FB,146)*100</f>
        <v>-47.99</v>
      </c>
      <c r="G27" s="49">
        <f>VLOOKUP($A27,'Data Vlaue (Cr)'!$C:$FB,43)</f>
        <v>373</v>
      </c>
      <c r="H27" s="49">
        <f>VLOOKUP($A27,'Data Vlaue (Cr)'!$C:$FB,44)</f>
        <v>384</v>
      </c>
      <c r="I27" s="49">
        <f>VLOOKUP($A27,'Data Vlaue (Cr)'!$C:$FB,46)*100</f>
        <v>-2.82</v>
      </c>
      <c r="J27" s="51">
        <f>VLOOKUP($A27,'Data Vlaue (Cr)'!$C:$FB,59)</f>
        <v>825</v>
      </c>
      <c r="K27" s="51">
        <f>VLOOKUP($A27,'Data Vlaue (Cr)'!$C:$FB,60)</f>
        <v>1624</v>
      </c>
      <c r="L27" s="51">
        <f>VLOOKUP($A27,'Data Vlaue (Cr)'!$C:$FB,62)*100</f>
        <v>-49.230000000000004</v>
      </c>
      <c r="M27" s="51">
        <f>VLOOKUP($A27,'Data Vlaue (Cr)'!$C:$FB,63)</f>
        <v>327</v>
      </c>
      <c r="N27" s="51">
        <f>VLOOKUP($A27,'Data Vlaue (Cr)'!$C:$FB,64)</f>
        <v>934</v>
      </c>
      <c r="O27" s="51">
        <f>VLOOKUP($A27,'Data Vlaue (Cr)'!$C:$FB,66)*100</f>
        <v>-64.98</v>
      </c>
    </row>
    <row r="28" spans="1:15" x14ac:dyDescent="0.25">
      <c r="A28" s="101" t="str">
        <f>'Data Vlaue (Cr)'!C23</f>
        <v>BAJAJHLDNG</v>
      </c>
      <c r="B28" s="50">
        <f>VLOOKUP($A28,'Data Vlaue (Cr)'!$C:$FB,8)</f>
        <v>10663</v>
      </c>
      <c r="C28" s="50">
        <f>VLOOKUP($A28,'Data Vlaue (Cr)'!$C:$FB,11)*100</f>
        <v>0.11</v>
      </c>
      <c r="D28" s="50">
        <f>VLOOKUP($A28,'Data Vlaue (Cr)'!$C:$FB,143)</f>
        <v>57.05</v>
      </c>
      <c r="E28" s="50">
        <f>VLOOKUP($A28,'Data Vlaue (Cr)'!$C:$FB,144)</f>
        <v>105.42</v>
      </c>
      <c r="F28" s="50">
        <f>VLOOKUP($A28,'Data Vlaue (Cr)'!$C:$FB,146)*100</f>
        <v>-45.89</v>
      </c>
      <c r="G28" s="49">
        <f>VLOOKUP($A28,'Data Vlaue (Cr)'!$C:$FB,43)</f>
        <v>25</v>
      </c>
      <c r="H28" s="49">
        <f>VLOOKUP($A28,'Data Vlaue (Cr)'!$C:$FB,44)</f>
        <v>31</v>
      </c>
      <c r="I28" s="49">
        <f>VLOOKUP($A28,'Data Vlaue (Cr)'!$C:$FB,46)*100</f>
        <v>-20.96</v>
      </c>
      <c r="J28" s="51">
        <f>VLOOKUP($A28,'Data Vlaue (Cr)'!$C:$FB,59)</f>
        <v>21</v>
      </c>
      <c r="K28" s="51">
        <f>VLOOKUP($A28,'Data Vlaue (Cr)'!$C:$FB,60)</f>
        <v>31</v>
      </c>
      <c r="L28" s="51">
        <f>VLOOKUP($A28,'Data Vlaue (Cr)'!$C:$FB,62)*100</f>
        <v>-31.6</v>
      </c>
      <c r="M28" s="51">
        <f>VLOOKUP($A28,'Data Vlaue (Cr)'!$C:$FB,63)</f>
        <v>10</v>
      </c>
      <c r="N28" s="51">
        <f>VLOOKUP($A28,'Data Vlaue (Cr)'!$C:$FB,64)</f>
        <v>43</v>
      </c>
      <c r="O28" s="51">
        <f>VLOOKUP($A28,'Data Vlaue (Cr)'!$C:$FB,66)*100</f>
        <v>-76.849999999999994</v>
      </c>
    </row>
    <row r="29" spans="1:15" x14ac:dyDescent="0.25">
      <c r="A29" s="101" t="str">
        <f>'Data Vlaue (Cr)'!C24</f>
        <v>BAJFINANCE</v>
      </c>
      <c r="B29" s="50">
        <f>VLOOKUP($A29,'Data Vlaue (Cr)'!$C:$FB,8)</f>
        <v>962.4</v>
      </c>
      <c r="C29" s="50">
        <f>VLOOKUP($A29,'Data Vlaue (Cr)'!$C:$FB,11)*100</f>
        <v>1.83</v>
      </c>
      <c r="D29" s="50">
        <f>VLOOKUP($A29,'Data Vlaue (Cr)'!$C:$FB,143)</f>
        <v>3109.33</v>
      </c>
      <c r="E29" s="50">
        <f>VLOOKUP($A29,'Data Vlaue (Cr)'!$C:$FB,144)</f>
        <v>3800.75</v>
      </c>
      <c r="F29" s="50">
        <f>VLOOKUP($A29,'Data Vlaue (Cr)'!$C:$FB,146)*100</f>
        <v>-18.190000000000001</v>
      </c>
      <c r="G29" s="49">
        <f>VLOOKUP($A29,'Data Vlaue (Cr)'!$C:$FB,43)</f>
        <v>630</v>
      </c>
      <c r="H29" s="49">
        <f>VLOOKUP($A29,'Data Vlaue (Cr)'!$C:$FB,44)</f>
        <v>980</v>
      </c>
      <c r="I29" s="49">
        <f>VLOOKUP($A29,'Data Vlaue (Cr)'!$C:$FB,46)*100</f>
        <v>-35.74</v>
      </c>
      <c r="J29" s="51">
        <f>VLOOKUP($A29,'Data Vlaue (Cr)'!$C:$FB,59)</f>
        <v>1414</v>
      </c>
      <c r="K29" s="51">
        <f>VLOOKUP($A29,'Data Vlaue (Cr)'!$C:$FB,60)</f>
        <v>1462</v>
      </c>
      <c r="L29" s="51">
        <f>VLOOKUP($A29,'Data Vlaue (Cr)'!$C:$FB,62)*100</f>
        <v>-3.3000000000000003</v>
      </c>
      <c r="M29" s="51">
        <f>VLOOKUP($A29,'Data Vlaue (Cr)'!$C:$FB,63)</f>
        <v>1019</v>
      </c>
      <c r="N29" s="51">
        <f>VLOOKUP($A29,'Data Vlaue (Cr)'!$C:$FB,64)</f>
        <v>1319</v>
      </c>
      <c r="O29" s="51">
        <f>VLOOKUP($A29,'Data Vlaue (Cr)'!$C:$FB,66)*100</f>
        <v>-22.770000000000003</v>
      </c>
    </row>
    <row r="30" spans="1:15" x14ac:dyDescent="0.25">
      <c r="A30" s="101" t="str">
        <f>'Data Vlaue (Cr)'!C25</f>
        <v>BANDHANBNK</v>
      </c>
      <c r="B30" s="50">
        <f>VLOOKUP($A30,'Data Vlaue (Cr)'!$C:$FB,8)</f>
        <v>185.03</v>
      </c>
      <c r="C30" s="50">
        <f>VLOOKUP($A30,'Data Vlaue (Cr)'!$C:$FB,11)*100</f>
        <v>4.3</v>
      </c>
      <c r="D30" s="50">
        <f>VLOOKUP($A30,'Data Vlaue (Cr)'!$C:$FB,143)</f>
        <v>1718.38</v>
      </c>
      <c r="E30" s="50">
        <f>VLOOKUP($A30,'Data Vlaue (Cr)'!$C:$FB,144)</f>
        <v>1397.9</v>
      </c>
      <c r="F30" s="50">
        <f>VLOOKUP($A30,'Data Vlaue (Cr)'!$C:$FB,146)*100</f>
        <v>22.93</v>
      </c>
      <c r="G30" s="49">
        <f>VLOOKUP($A30,'Data Vlaue (Cr)'!$C:$FB,43)</f>
        <v>489</v>
      </c>
      <c r="H30" s="49">
        <f>VLOOKUP($A30,'Data Vlaue (Cr)'!$C:$FB,44)</f>
        <v>420</v>
      </c>
      <c r="I30" s="49">
        <f>VLOOKUP($A30,'Data Vlaue (Cr)'!$C:$FB,46)*100</f>
        <v>16.470000000000002</v>
      </c>
      <c r="J30" s="51">
        <f>VLOOKUP($A30,'Data Vlaue (Cr)'!$C:$FB,59)</f>
        <v>846</v>
      </c>
      <c r="K30" s="51">
        <f>VLOOKUP($A30,'Data Vlaue (Cr)'!$C:$FB,60)</f>
        <v>649</v>
      </c>
      <c r="L30" s="51">
        <f>VLOOKUP($A30,'Data Vlaue (Cr)'!$C:$FB,62)*100</f>
        <v>30.330000000000002</v>
      </c>
      <c r="M30" s="51">
        <f>VLOOKUP($A30,'Data Vlaue (Cr)'!$C:$FB,63)</f>
        <v>362</v>
      </c>
      <c r="N30" s="51">
        <f>VLOOKUP($A30,'Data Vlaue (Cr)'!$C:$FB,64)</f>
        <v>350</v>
      </c>
      <c r="O30" s="51">
        <f>VLOOKUP($A30,'Data Vlaue (Cr)'!$C:$FB,66)*100</f>
        <v>3.47</v>
      </c>
    </row>
    <row r="31" spans="1:15" x14ac:dyDescent="0.25">
      <c r="A31" s="101" t="str">
        <f>'Data Vlaue (Cr)'!C26</f>
        <v>BANKBARODA</v>
      </c>
      <c r="B31" s="50">
        <f>VLOOKUP($A31,'Data Vlaue (Cr)'!$C:$FB,8)</f>
        <v>301.85000000000002</v>
      </c>
      <c r="C31" s="50">
        <f>VLOOKUP($A31,'Data Vlaue (Cr)'!$C:$FB,11)*100</f>
        <v>0.85000000000000009</v>
      </c>
      <c r="D31" s="50">
        <f>VLOOKUP($A31,'Data Vlaue (Cr)'!$C:$FB,143)</f>
        <v>3170.18</v>
      </c>
      <c r="E31" s="50">
        <f>VLOOKUP($A31,'Data Vlaue (Cr)'!$C:$FB,144)</f>
        <v>5163.1499999999996</v>
      </c>
      <c r="F31" s="50">
        <f>VLOOKUP($A31,'Data Vlaue (Cr)'!$C:$FB,146)*100</f>
        <v>-38.6</v>
      </c>
      <c r="G31" s="49">
        <f>VLOOKUP($A31,'Data Vlaue (Cr)'!$C:$FB,43)</f>
        <v>888</v>
      </c>
      <c r="H31" s="49">
        <f>VLOOKUP($A31,'Data Vlaue (Cr)'!$C:$FB,44)</f>
        <v>1331</v>
      </c>
      <c r="I31" s="49">
        <f>VLOOKUP($A31,'Data Vlaue (Cr)'!$C:$FB,46)*100</f>
        <v>-33.31</v>
      </c>
      <c r="J31" s="51">
        <f>VLOOKUP($A31,'Data Vlaue (Cr)'!$C:$FB,59)</f>
        <v>1240</v>
      </c>
      <c r="K31" s="51">
        <f>VLOOKUP($A31,'Data Vlaue (Cr)'!$C:$FB,60)</f>
        <v>2022</v>
      </c>
      <c r="L31" s="51">
        <f>VLOOKUP($A31,'Data Vlaue (Cr)'!$C:$FB,62)*100</f>
        <v>-38.68</v>
      </c>
      <c r="M31" s="51">
        <f>VLOOKUP($A31,'Data Vlaue (Cr)'!$C:$FB,63)</f>
        <v>982</v>
      </c>
      <c r="N31" s="51">
        <f>VLOOKUP($A31,'Data Vlaue (Cr)'!$C:$FB,64)</f>
        <v>1651</v>
      </c>
      <c r="O31" s="51">
        <f>VLOOKUP($A31,'Data Vlaue (Cr)'!$C:$FB,66)*100</f>
        <v>-40.54</v>
      </c>
    </row>
    <row r="32" spans="1:15" x14ac:dyDescent="0.25">
      <c r="A32" s="101" t="str">
        <f>'Data Vlaue (Cr)'!C27</f>
        <v>BANKINDIA</v>
      </c>
      <c r="B32" s="50">
        <f>VLOOKUP($A32,'Data Vlaue (Cr)'!$C:$FB,8)</f>
        <v>164.18</v>
      </c>
      <c r="C32" s="50">
        <f>VLOOKUP($A32,'Data Vlaue (Cr)'!$C:$FB,11)*100</f>
        <v>0.48</v>
      </c>
      <c r="D32" s="50">
        <f>VLOOKUP($A32,'Data Vlaue (Cr)'!$C:$FB,143)</f>
        <v>734.88</v>
      </c>
      <c r="E32" s="50">
        <f>VLOOKUP($A32,'Data Vlaue (Cr)'!$C:$FB,144)</f>
        <v>1367.55</v>
      </c>
      <c r="F32" s="50">
        <f>VLOOKUP($A32,'Data Vlaue (Cr)'!$C:$FB,146)*100</f>
        <v>-46.26</v>
      </c>
      <c r="G32" s="49">
        <f>VLOOKUP($A32,'Data Vlaue (Cr)'!$C:$FB,43)</f>
        <v>258</v>
      </c>
      <c r="H32" s="49">
        <f>VLOOKUP($A32,'Data Vlaue (Cr)'!$C:$FB,44)</f>
        <v>400</v>
      </c>
      <c r="I32" s="49">
        <f>VLOOKUP($A32,'Data Vlaue (Cr)'!$C:$FB,46)*100</f>
        <v>-35.57</v>
      </c>
      <c r="J32" s="51">
        <f>VLOOKUP($A32,'Data Vlaue (Cr)'!$C:$FB,59)</f>
        <v>276</v>
      </c>
      <c r="K32" s="51">
        <f>VLOOKUP($A32,'Data Vlaue (Cr)'!$C:$FB,60)</f>
        <v>495</v>
      </c>
      <c r="L32" s="51">
        <f>VLOOKUP($A32,'Data Vlaue (Cr)'!$C:$FB,62)*100</f>
        <v>-44.28</v>
      </c>
      <c r="M32" s="51">
        <f>VLOOKUP($A32,'Data Vlaue (Cr)'!$C:$FB,63)</f>
        <v>179</v>
      </c>
      <c r="N32" s="51">
        <f>VLOOKUP($A32,'Data Vlaue (Cr)'!$C:$FB,64)</f>
        <v>434</v>
      </c>
      <c r="O32" s="51">
        <f>VLOOKUP($A32,'Data Vlaue (Cr)'!$C:$FB,66)*100</f>
        <v>-58.76</v>
      </c>
    </row>
    <row r="33" spans="1:15" x14ac:dyDescent="0.25">
      <c r="A33" s="101" t="str">
        <f>'Data Vlaue (Cr)'!C28</f>
        <v>BANKNIFTY</v>
      </c>
      <c r="B33" s="50">
        <f>VLOOKUP($A33,'Data Vlaue (Cr)'!$C:$FB,8)</f>
        <v>59055.85</v>
      </c>
      <c r="C33" s="50">
        <f>VLOOKUP($A33,'Data Vlaue (Cr)'!$C:$FB,11)*100</f>
        <v>0.51</v>
      </c>
      <c r="D33" s="50">
        <f>VLOOKUP($A33,'Data Vlaue (Cr)'!$C:$FB,143)</f>
        <v>491416.09</v>
      </c>
      <c r="E33" s="50">
        <f>VLOOKUP($A33,'Data Vlaue (Cr)'!$C:$FB,144)</f>
        <v>496737.28000000003</v>
      </c>
      <c r="F33" s="50">
        <f>VLOOKUP($A33,'Data Vlaue (Cr)'!$C:$FB,146)*100</f>
        <v>-1.0699999999999998</v>
      </c>
      <c r="G33" s="49">
        <f>VLOOKUP($A33,'Data Vlaue (Cr)'!$C:$FB,43)</f>
        <v>8906</v>
      </c>
      <c r="H33" s="49">
        <f>VLOOKUP($A33,'Data Vlaue (Cr)'!$C:$FB,44)</f>
        <v>10079</v>
      </c>
      <c r="I33" s="49">
        <f>VLOOKUP($A33,'Data Vlaue (Cr)'!$C:$FB,46)*100</f>
        <v>-11.64</v>
      </c>
      <c r="J33" s="51">
        <f>VLOOKUP($A33,'Data Vlaue (Cr)'!$C:$FB,59)</f>
        <v>256920</v>
      </c>
      <c r="K33" s="51">
        <f>VLOOKUP($A33,'Data Vlaue (Cr)'!$C:$FB,60)</f>
        <v>226732</v>
      </c>
      <c r="L33" s="51">
        <f>VLOOKUP($A33,'Data Vlaue (Cr)'!$C:$FB,62)*100</f>
        <v>13.309999999999999</v>
      </c>
      <c r="M33" s="51">
        <f>VLOOKUP($A33,'Data Vlaue (Cr)'!$C:$FB,63)</f>
        <v>221506</v>
      </c>
      <c r="N33" s="51">
        <f>VLOOKUP($A33,'Data Vlaue (Cr)'!$C:$FB,64)</f>
        <v>256069</v>
      </c>
      <c r="O33" s="51">
        <f>VLOOKUP($A33,'Data Vlaue (Cr)'!$C:$FB,66)*100</f>
        <v>-13.5</v>
      </c>
    </row>
    <row r="34" spans="1:15" x14ac:dyDescent="0.25">
      <c r="A34" s="101" t="str">
        <f>'Data Vlaue (Cr)'!C29</f>
        <v>BDL</v>
      </c>
      <c r="B34" s="50">
        <f>VLOOKUP($A34,'Data Vlaue (Cr)'!$C:$FB,8)</f>
        <v>1280.5999999999999</v>
      </c>
      <c r="C34" s="50">
        <f>VLOOKUP($A34,'Data Vlaue (Cr)'!$C:$FB,11)*100</f>
        <v>0.89</v>
      </c>
      <c r="D34" s="50">
        <f>VLOOKUP($A34,'Data Vlaue (Cr)'!$C:$FB,143)</f>
        <v>2498.15</v>
      </c>
      <c r="E34" s="50">
        <f>VLOOKUP($A34,'Data Vlaue (Cr)'!$C:$FB,144)</f>
        <v>1747.64</v>
      </c>
      <c r="F34" s="50">
        <f>VLOOKUP($A34,'Data Vlaue (Cr)'!$C:$FB,146)*100</f>
        <v>42.94</v>
      </c>
      <c r="G34" s="49">
        <f>VLOOKUP($A34,'Data Vlaue (Cr)'!$C:$FB,43)</f>
        <v>390</v>
      </c>
      <c r="H34" s="49">
        <f>VLOOKUP($A34,'Data Vlaue (Cr)'!$C:$FB,44)</f>
        <v>260</v>
      </c>
      <c r="I34" s="49">
        <f>VLOOKUP($A34,'Data Vlaue (Cr)'!$C:$FB,46)*100</f>
        <v>49.78</v>
      </c>
      <c r="J34" s="51">
        <f>VLOOKUP($A34,'Data Vlaue (Cr)'!$C:$FB,59)</f>
        <v>1640</v>
      </c>
      <c r="K34" s="51">
        <f>VLOOKUP($A34,'Data Vlaue (Cr)'!$C:$FB,60)</f>
        <v>1104</v>
      </c>
      <c r="L34" s="51">
        <f>VLOOKUP($A34,'Data Vlaue (Cr)'!$C:$FB,62)*100</f>
        <v>48.55</v>
      </c>
      <c r="M34" s="51">
        <f>VLOOKUP($A34,'Data Vlaue (Cr)'!$C:$FB,63)</f>
        <v>342</v>
      </c>
      <c r="N34" s="51">
        <f>VLOOKUP($A34,'Data Vlaue (Cr)'!$C:$FB,64)</f>
        <v>328</v>
      </c>
      <c r="O34" s="51">
        <f>VLOOKUP($A34,'Data Vlaue (Cr)'!$C:$FB,66)*100</f>
        <v>4.37</v>
      </c>
    </row>
    <row r="35" spans="1:15" x14ac:dyDescent="0.25">
      <c r="A35" s="101" t="str">
        <f>'Data Vlaue (Cr)'!C30</f>
        <v>BEL</v>
      </c>
      <c r="B35" s="50">
        <f>VLOOKUP($A35,'Data Vlaue (Cr)'!$C:$FB,8)</f>
        <v>460</v>
      </c>
      <c r="C35" s="50">
        <f>VLOOKUP($A35,'Data Vlaue (Cr)'!$C:$FB,11)*100</f>
        <v>2.94</v>
      </c>
      <c r="D35" s="50">
        <f>VLOOKUP($A35,'Data Vlaue (Cr)'!$C:$FB,143)</f>
        <v>16428.29</v>
      </c>
      <c r="E35" s="50">
        <f>VLOOKUP($A35,'Data Vlaue (Cr)'!$C:$FB,144)</f>
        <v>9380.0499999999993</v>
      </c>
      <c r="F35" s="50">
        <f>VLOOKUP($A35,'Data Vlaue (Cr)'!$C:$FB,146)*100</f>
        <v>75.14</v>
      </c>
      <c r="G35" s="49">
        <f>VLOOKUP($A35,'Data Vlaue (Cr)'!$C:$FB,43)</f>
        <v>2193</v>
      </c>
      <c r="H35" s="49">
        <f>VLOOKUP($A35,'Data Vlaue (Cr)'!$C:$FB,44)</f>
        <v>1762</v>
      </c>
      <c r="I35" s="49">
        <f>VLOOKUP($A35,'Data Vlaue (Cr)'!$C:$FB,46)*100</f>
        <v>24.46</v>
      </c>
      <c r="J35" s="51">
        <f>VLOOKUP($A35,'Data Vlaue (Cr)'!$C:$FB,59)</f>
        <v>9439</v>
      </c>
      <c r="K35" s="51">
        <f>VLOOKUP($A35,'Data Vlaue (Cr)'!$C:$FB,60)</f>
        <v>5187</v>
      </c>
      <c r="L35" s="51">
        <f>VLOOKUP($A35,'Data Vlaue (Cr)'!$C:$FB,62)*100</f>
        <v>81.97</v>
      </c>
      <c r="M35" s="51">
        <f>VLOOKUP($A35,'Data Vlaue (Cr)'!$C:$FB,63)</f>
        <v>4426</v>
      </c>
      <c r="N35" s="51">
        <f>VLOOKUP($A35,'Data Vlaue (Cr)'!$C:$FB,64)</f>
        <v>2361</v>
      </c>
      <c r="O35" s="51">
        <f>VLOOKUP($A35,'Data Vlaue (Cr)'!$C:$FB,66)*100</f>
        <v>87.49</v>
      </c>
    </row>
    <row r="36" spans="1:15" x14ac:dyDescent="0.25">
      <c r="A36" s="101" t="str">
        <f>'Data Vlaue (Cr)'!C31</f>
        <v>BHARATFORG</v>
      </c>
      <c r="B36" s="50">
        <f>VLOOKUP($A36,'Data Vlaue (Cr)'!$C:$FB,8)</f>
        <v>1898.4</v>
      </c>
      <c r="C36" s="50">
        <f>VLOOKUP($A36,'Data Vlaue (Cr)'!$C:$FB,11)*100</f>
        <v>3.0700000000000003</v>
      </c>
      <c r="D36" s="50">
        <f>VLOOKUP($A36,'Data Vlaue (Cr)'!$C:$FB,143)</f>
        <v>4590.3</v>
      </c>
      <c r="E36" s="50">
        <f>VLOOKUP($A36,'Data Vlaue (Cr)'!$C:$FB,144)</f>
        <v>2129.48</v>
      </c>
      <c r="F36" s="50">
        <f>VLOOKUP($A36,'Data Vlaue (Cr)'!$C:$FB,146)*100</f>
        <v>115.56</v>
      </c>
      <c r="G36" s="49">
        <f>VLOOKUP($A36,'Data Vlaue (Cr)'!$C:$FB,43)</f>
        <v>806</v>
      </c>
      <c r="H36" s="49">
        <f>VLOOKUP($A36,'Data Vlaue (Cr)'!$C:$FB,44)</f>
        <v>524</v>
      </c>
      <c r="I36" s="49">
        <f>VLOOKUP($A36,'Data Vlaue (Cr)'!$C:$FB,46)*100</f>
        <v>53.790000000000006</v>
      </c>
      <c r="J36" s="51">
        <f>VLOOKUP($A36,'Data Vlaue (Cr)'!$C:$FB,59)</f>
        <v>2767</v>
      </c>
      <c r="K36" s="51">
        <f>VLOOKUP($A36,'Data Vlaue (Cr)'!$C:$FB,60)</f>
        <v>872</v>
      </c>
      <c r="L36" s="51">
        <f>VLOOKUP($A36,'Data Vlaue (Cr)'!$C:$FB,62)*100</f>
        <v>217.22000000000003</v>
      </c>
      <c r="M36" s="51">
        <f>VLOOKUP($A36,'Data Vlaue (Cr)'!$C:$FB,63)</f>
        <v>894</v>
      </c>
      <c r="N36" s="51">
        <f>VLOOKUP($A36,'Data Vlaue (Cr)'!$C:$FB,64)</f>
        <v>744</v>
      </c>
      <c r="O36" s="51">
        <f>VLOOKUP($A36,'Data Vlaue (Cr)'!$C:$FB,66)*100</f>
        <v>20.119999999999997</v>
      </c>
    </row>
    <row r="37" spans="1:15" x14ac:dyDescent="0.25">
      <c r="A37" s="101" t="str">
        <f>'Data Vlaue (Cr)'!C32</f>
        <v>BHARTIARTL</v>
      </c>
      <c r="B37" s="50">
        <f>VLOOKUP($A37,'Data Vlaue (Cr)'!$C:$FB,8)</f>
        <v>1907</v>
      </c>
      <c r="C37" s="50">
        <f>VLOOKUP($A37,'Data Vlaue (Cr)'!$C:$FB,11)*100</f>
        <v>0.06</v>
      </c>
      <c r="D37" s="50">
        <f>VLOOKUP($A37,'Data Vlaue (Cr)'!$C:$FB,143)</f>
        <v>8160.54</v>
      </c>
      <c r="E37" s="50">
        <f>VLOOKUP($A37,'Data Vlaue (Cr)'!$C:$FB,144)</f>
        <v>17200.38</v>
      </c>
      <c r="F37" s="50">
        <f>VLOOKUP($A37,'Data Vlaue (Cr)'!$C:$FB,146)*100</f>
        <v>-52.559999999999995</v>
      </c>
      <c r="G37" s="49">
        <f>VLOOKUP($A37,'Data Vlaue (Cr)'!$C:$FB,43)</f>
        <v>1266</v>
      </c>
      <c r="H37" s="49">
        <f>VLOOKUP($A37,'Data Vlaue (Cr)'!$C:$FB,44)</f>
        <v>2371</v>
      </c>
      <c r="I37" s="49">
        <f>VLOOKUP($A37,'Data Vlaue (Cr)'!$C:$FB,46)*100</f>
        <v>-46.62</v>
      </c>
      <c r="J37" s="51">
        <f>VLOOKUP($A37,'Data Vlaue (Cr)'!$C:$FB,59)</f>
        <v>4106</v>
      </c>
      <c r="K37" s="51">
        <f>VLOOKUP($A37,'Data Vlaue (Cr)'!$C:$FB,60)</f>
        <v>9886</v>
      </c>
      <c r="L37" s="51">
        <f>VLOOKUP($A37,'Data Vlaue (Cr)'!$C:$FB,62)*100</f>
        <v>-58.47</v>
      </c>
      <c r="M37" s="51">
        <f>VLOOKUP($A37,'Data Vlaue (Cr)'!$C:$FB,63)</f>
        <v>2641</v>
      </c>
      <c r="N37" s="51">
        <f>VLOOKUP($A37,'Data Vlaue (Cr)'!$C:$FB,64)</f>
        <v>4707</v>
      </c>
      <c r="O37" s="51">
        <f>VLOOKUP($A37,'Data Vlaue (Cr)'!$C:$FB,66)*100</f>
        <v>-43.89</v>
      </c>
    </row>
    <row r="38" spans="1:15" x14ac:dyDescent="0.25">
      <c r="A38" s="101" t="str">
        <f>'Data Vlaue (Cr)'!C33</f>
        <v>BHEL</v>
      </c>
      <c r="B38" s="50">
        <f>VLOOKUP($A38,'Data Vlaue (Cr)'!$C:$FB,8)</f>
        <v>257.25</v>
      </c>
      <c r="C38" s="50">
        <f>VLOOKUP($A38,'Data Vlaue (Cr)'!$C:$FB,11)*100</f>
        <v>3.7699999999999996</v>
      </c>
      <c r="D38" s="50">
        <f>VLOOKUP($A38,'Data Vlaue (Cr)'!$C:$FB,143)</f>
        <v>2428.41</v>
      </c>
      <c r="E38" s="50">
        <f>VLOOKUP($A38,'Data Vlaue (Cr)'!$C:$FB,144)</f>
        <v>2939.45</v>
      </c>
      <c r="F38" s="50">
        <f>VLOOKUP($A38,'Data Vlaue (Cr)'!$C:$FB,146)*100</f>
        <v>-17.39</v>
      </c>
      <c r="G38" s="49">
        <f>VLOOKUP($A38,'Data Vlaue (Cr)'!$C:$FB,43)</f>
        <v>808</v>
      </c>
      <c r="H38" s="49">
        <f>VLOOKUP($A38,'Data Vlaue (Cr)'!$C:$FB,44)</f>
        <v>876</v>
      </c>
      <c r="I38" s="49">
        <f>VLOOKUP($A38,'Data Vlaue (Cr)'!$C:$FB,46)*100</f>
        <v>-7.7</v>
      </c>
      <c r="J38" s="51">
        <f>VLOOKUP($A38,'Data Vlaue (Cr)'!$C:$FB,59)</f>
        <v>1072</v>
      </c>
      <c r="K38" s="51">
        <f>VLOOKUP($A38,'Data Vlaue (Cr)'!$C:$FB,60)</f>
        <v>1323</v>
      </c>
      <c r="L38" s="51">
        <f>VLOOKUP($A38,'Data Vlaue (Cr)'!$C:$FB,62)*100</f>
        <v>-18.990000000000002</v>
      </c>
      <c r="M38" s="51">
        <f>VLOOKUP($A38,'Data Vlaue (Cr)'!$C:$FB,63)</f>
        <v>511</v>
      </c>
      <c r="N38" s="51">
        <f>VLOOKUP($A38,'Data Vlaue (Cr)'!$C:$FB,64)</f>
        <v>684</v>
      </c>
      <c r="O38" s="51">
        <f>VLOOKUP($A38,'Data Vlaue (Cr)'!$C:$FB,66)*100</f>
        <v>-25.230000000000004</v>
      </c>
    </row>
    <row r="39" spans="1:15" x14ac:dyDescent="0.25">
      <c r="A39" s="101" t="str">
        <f>'Data Vlaue (Cr)'!C34</f>
        <v>BIOCON</v>
      </c>
      <c r="B39" s="50">
        <f>VLOOKUP($A39,'Data Vlaue (Cr)'!$C:$FB,8)</f>
        <v>386.8</v>
      </c>
      <c r="C39" s="50">
        <f>VLOOKUP($A39,'Data Vlaue (Cr)'!$C:$FB,11)*100</f>
        <v>2.23</v>
      </c>
      <c r="D39" s="50">
        <f>VLOOKUP($A39,'Data Vlaue (Cr)'!$C:$FB,143)</f>
        <v>1057.1099999999999</v>
      </c>
      <c r="E39" s="50">
        <f>VLOOKUP($A39,'Data Vlaue (Cr)'!$C:$FB,144)</f>
        <v>1350.34</v>
      </c>
      <c r="F39" s="50">
        <f>VLOOKUP($A39,'Data Vlaue (Cr)'!$C:$FB,146)*100</f>
        <v>-21.709999999999997</v>
      </c>
      <c r="G39" s="49">
        <f>VLOOKUP($A39,'Data Vlaue (Cr)'!$C:$FB,43)</f>
        <v>237</v>
      </c>
      <c r="H39" s="49">
        <f>VLOOKUP($A39,'Data Vlaue (Cr)'!$C:$FB,44)</f>
        <v>331</v>
      </c>
      <c r="I39" s="49">
        <f>VLOOKUP($A39,'Data Vlaue (Cr)'!$C:$FB,46)*100</f>
        <v>-28.27</v>
      </c>
      <c r="J39" s="51">
        <f>VLOOKUP($A39,'Data Vlaue (Cr)'!$C:$FB,59)</f>
        <v>567</v>
      </c>
      <c r="K39" s="51">
        <f>VLOOKUP($A39,'Data Vlaue (Cr)'!$C:$FB,60)</f>
        <v>735</v>
      </c>
      <c r="L39" s="51">
        <f>VLOOKUP($A39,'Data Vlaue (Cr)'!$C:$FB,62)*100</f>
        <v>-22.86</v>
      </c>
      <c r="M39" s="51">
        <f>VLOOKUP($A39,'Data Vlaue (Cr)'!$C:$FB,63)</f>
        <v>229</v>
      </c>
      <c r="N39" s="51">
        <f>VLOOKUP($A39,'Data Vlaue (Cr)'!$C:$FB,64)</f>
        <v>260</v>
      </c>
      <c r="O39" s="51">
        <f>VLOOKUP($A39,'Data Vlaue (Cr)'!$C:$FB,66)*100</f>
        <v>-11.88</v>
      </c>
    </row>
    <row r="40" spans="1:15" x14ac:dyDescent="0.25">
      <c r="A40" s="101" t="str">
        <f>'Data Vlaue (Cr)'!C35</f>
        <v>BLUESTARCO</v>
      </c>
      <c r="B40" s="50">
        <f>VLOOKUP($A40,'Data Vlaue (Cr)'!$C:$FB,8)</f>
        <v>1946.7</v>
      </c>
      <c r="C40" s="50">
        <f>VLOOKUP($A40,'Data Vlaue (Cr)'!$C:$FB,11)*100</f>
        <v>5.59</v>
      </c>
      <c r="D40" s="50">
        <f>VLOOKUP($A40,'Data Vlaue (Cr)'!$C:$FB,143)</f>
        <v>1114.24</v>
      </c>
      <c r="E40" s="50">
        <f>VLOOKUP($A40,'Data Vlaue (Cr)'!$C:$FB,144)</f>
        <v>573.46</v>
      </c>
      <c r="F40" s="50">
        <f>VLOOKUP($A40,'Data Vlaue (Cr)'!$C:$FB,146)*100</f>
        <v>94.3</v>
      </c>
      <c r="G40" s="49">
        <f>VLOOKUP($A40,'Data Vlaue (Cr)'!$C:$FB,43)</f>
        <v>303</v>
      </c>
      <c r="H40" s="49">
        <f>VLOOKUP($A40,'Data Vlaue (Cr)'!$C:$FB,44)</f>
        <v>202</v>
      </c>
      <c r="I40" s="49">
        <f>VLOOKUP($A40,'Data Vlaue (Cr)'!$C:$FB,46)*100</f>
        <v>50.029999999999994</v>
      </c>
      <c r="J40" s="51">
        <f>VLOOKUP($A40,'Data Vlaue (Cr)'!$C:$FB,59)</f>
        <v>681</v>
      </c>
      <c r="K40" s="51">
        <f>VLOOKUP($A40,'Data Vlaue (Cr)'!$C:$FB,60)</f>
        <v>237</v>
      </c>
      <c r="L40" s="51">
        <f>VLOOKUP($A40,'Data Vlaue (Cr)'!$C:$FB,62)*100</f>
        <v>187.25</v>
      </c>
      <c r="M40" s="51">
        <f>VLOOKUP($A40,'Data Vlaue (Cr)'!$C:$FB,63)</f>
        <v>103</v>
      </c>
      <c r="N40" s="51">
        <f>VLOOKUP($A40,'Data Vlaue (Cr)'!$C:$FB,64)</f>
        <v>134</v>
      </c>
      <c r="O40" s="51">
        <f>VLOOKUP($A40,'Data Vlaue (Cr)'!$C:$FB,66)*100</f>
        <v>-23.06</v>
      </c>
    </row>
    <row r="41" spans="1:15" x14ac:dyDescent="0.25">
      <c r="A41" s="101" t="str">
        <f>'Data Vlaue (Cr)'!C36</f>
        <v>BOSCHLTD</v>
      </c>
      <c r="B41" s="50">
        <f>VLOOKUP($A41,'Data Vlaue (Cr)'!$C:$FB,8)</f>
        <v>33230</v>
      </c>
      <c r="C41" s="50">
        <f>VLOOKUP($A41,'Data Vlaue (Cr)'!$C:$FB,11)*100</f>
        <v>-0.48</v>
      </c>
      <c r="D41" s="50">
        <f>VLOOKUP($A41,'Data Vlaue (Cr)'!$C:$FB,143)</f>
        <v>902.83</v>
      </c>
      <c r="E41" s="50">
        <f>VLOOKUP($A41,'Data Vlaue (Cr)'!$C:$FB,144)</f>
        <v>1873.34</v>
      </c>
      <c r="F41" s="50">
        <f>VLOOKUP($A41,'Data Vlaue (Cr)'!$C:$FB,146)*100</f>
        <v>-51.81</v>
      </c>
      <c r="G41" s="49">
        <f>VLOOKUP($A41,'Data Vlaue (Cr)'!$C:$FB,43)</f>
        <v>160</v>
      </c>
      <c r="H41" s="49">
        <f>VLOOKUP($A41,'Data Vlaue (Cr)'!$C:$FB,44)</f>
        <v>247</v>
      </c>
      <c r="I41" s="49">
        <f>VLOOKUP($A41,'Data Vlaue (Cr)'!$C:$FB,46)*100</f>
        <v>-35.099999999999994</v>
      </c>
      <c r="J41" s="51">
        <f>VLOOKUP($A41,'Data Vlaue (Cr)'!$C:$FB,59)</f>
        <v>461</v>
      </c>
      <c r="K41" s="51">
        <f>VLOOKUP($A41,'Data Vlaue (Cr)'!$C:$FB,60)</f>
        <v>785</v>
      </c>
      <c r="L41" s="51">
        <f>VLOOKUP($A41,'Data Vlaue (Cr)'!$C:$FB,62)*100</f>
        <v>-41.29</v>
      </c>
      <c r="M41" s="51">
        <f>VLOOKUP($A41,'Data Vlaue (Cr)'!$C:$FB,63)</f>
        <v>247</v>
      </c>
      <c r="N41" s="51">
        <f>VLOOKUP($A41,'Data Vlaue (Cr)'!$C:$FB,64)</f>
        <v>758</v>
      </c>
      <c r="O41" s="51">
        <f>VLOOKUP($A41,'Data Vlaue (Cr)'!$C:$FB,66)*100</f>
        <v>-67.459999999999994</v>
      </c>
    </row>
    <row r="42" spans="1:15" x14ac:dyDescent="0.25">
      <c r="A42" s="101" t="str">
        <f>'Data Vlaue (Cr)'!C37</f>
        <v>BPCL</v>
      </c>
      <c r="B42" s="50">
        <f>VLOOKUP($A42,'Data Vlaue (Cr)'!$C:$FB,8)</f>
        <v>360.35</v>
      </c>
      <c r="C42" s="50">
        <f>VLOOKUP($A42,'Data Vlaue (Cr)'!$C:$FB,11)*100</f>
        <v>1.1100000000000001</v>
      </c>
      <c r="D42" s="50">
        <f>VLOOKUP($A42,'Data Vlaue (Cr)'!$C:$FB,143)</f>
        <v>3857.86</v>
      </c>
      <c r="E42" s="50">
        <f>VLOOKUP($A42,'Data Vlaue (Cr)'!$C:$FB,144)</f>
        <v>3152.43</v>
      </c>
      <c r="F42" s="50">
        <f>VLOOKUP($A42,'Data Vlaue (Cr)'!$C:$FB,146)*100</f>
        <v>22.38</v>
      </c>
      <c r="G42" s="49">
        <f>VLOOKUP($A42,'Data Vlaue (Cr)'!$C:$FB,43)</f>
        <v>761</v>
      </c>
      <c r="H42" s="49">
        <f>VLOOKUP($A42,'Data Vlaue (Cr)'!$C:$FB,44)</f>
        <v>482</v>
      </c>
      <c r="I42" s="49">
        <f>VLOOKUP($A42,'Data Vlaue (Cr)'!$C:$FB,46)*100</f>
        <v>57.820000000000007</v>
      </c>
      <c r="J42" s="51">
        <f>VLOOKUP($A42,'Data Vlaue (Cr)'!$C:$FB,59)</f>
        <v>1526</v>
      </c>
      <c r="K42" s="51">
        <f>VLOOKUP($A42,'Data Vlaue (Cr)'!$C:$FB,60)</f>
        <v>1000</v>
      </c>
      <c r="L42" s="51">
        <f>VLOOKUP($A42,'Data Vlaue (Cr)'!$C:$FB,62)*100</f>
        <v>52.580000000000005</v>
      </c>
      <c r="M42" s="51">
        <f>VLOOKUP($A42,'Data Vlaue (Cr)'!$C:$FB,63)</f>
        <v>1531</v>
      </c>
      <c r="N42" s="51">
        <f>VLOOKUP($A42,'Data Vlaue (Cr)'!$C:$FB,64)</f>
        <v>1622</v>
      </c>
      <c r="O42" s="51">
        <f>VLOOKUP($A42,'Data Vlaue (Cr)'!$C:$FB,66)*100</f>
        <v>-5.63</v>
      </c>
    </row>
    <row r="43" spans="1:15" x14ac:dyDescent="0.25">
      <c r="A43" s="101" t="str">
        <f>'Data Vlaue (Cr)'!C38</f>
        <v>BRITANNIA</v>
      </c>
      <c r="B43" s="50">
        <f>VLOOKUP($A43,'Data Vlaue (Cr)'!$C:$FB,8)</f>
        <v>5963</v>
      </c>
      <c r="C43" s="50">
        <f>VLOOKUP($A43,'Data Vlaue (Cr)'!$C:$FB,11)*100</f>
        <v>1.25</v>
      </c>
      <c r="D43" s="50">
        <f>VLOOKUP($A43,'Data Vlaue (Cr)'!$C:$FB,143)</f>
        <v>715.84</v>
      </c>
      <c r="E43" s="50">
        <f>VLOOKUP($A43,'Data Vlaue (Cr)'!$C:$FB,144)</f>
        <v>736.12</v>
      </c>
      <c r="F43" s="50">
        <f>VLOOKUP($A43,'Data Vlaue (Cr)'!$C:$FB,146)*100</f>
        <v>-2.75</v>
      </c>
      <c r="G43" s="49">
        <f>VLOOKUP($A43,'Data Vlaue (Cr)'!$C:$FB,43)</f>
        <v>141</v>
      </c>
      <c r="H43" s="49">
        <f>VLOOKUP($A43,'Data Vlaue (Cr)'!$C:$FB,44)</f>
        <v>156</v>
      </c>
      <c r="I43" s="49">
        <f>VLOOKUP($A43,'Data Vlaue (Cr)'!$C:$FB,46)*100</f>
        <v>-9.8000000000000007</v>
      </c>
      <c r="J43" s="51">
        <f>VLOOKUP($A43,'Data Vlaue (Cr)'!$C:$FB,59)</f>
        <v>344</v>
      </c>
      <c r="K43" s="51">
        <f>VLOOKUP($A43,'Data Vlaue (Cr)'!$C:$FB,60)</f>
        <v>330</v>
      </c>
      <c r="L43" s="51">
        <f>VLOOKUP($A43,'Data Vlaue (Cr)'!$C:$FB,62)*100</f>
        <v>4.12</v>
      </c>
      <c r="M43" s="51">
        <f>VLOOKUP($A43,'Data Vlaue (Cr)'!$C:$FB,63)</f>
        <v>226</v>
      </c>
      <c r="N43" s="51">
        <f>VLOOKUP($A43,'Data Vlaue (Cr)'!$C:$FB,64)</f>
        <v>241</v>
      </c>
      <c r="O43" s="51">
        <f>VLOOKUP($A43,'Data Vlaue (Cr)'!$C:$FB,66)*100</f>
        <v>-6.2</v>
      </c>
    </row>
    <row r="44" spans="1:15" x14ac:dyDescent="0.25">
      <c r="A44" s="101" t="str">
        <f>'Data Vlaue (Cr)'!C39</f>
        <v>BSE</v>
      </c>
      <c r="B44" s="50">
        <f>VLOOKUP($A44,'Data Vlaue (Cr)'!$C:$FB,8)</f>
        <v>2761.4</v>
      </c>
      <c r="C44" s="50">
        <f>VLOOKUP($A44,'Data Vlaue (Cr)'!$C:$FB,11)*100</f>
        <v>5.12</v>
      </c>
      <c r="D44" s="50">
        <f>VLOOKUP($A44,'Data Vlaue (Cr)'!$C:$FB,143)</f>
        <v>11672.94</v>
      </c>
      <c r="E44" s="50">
        <f>VLOOKUP($A44,'Data Vlaue (Cr)'!$C:$FB,144)</f>
        <v>7635.95</v>
      </c>
      <c r="F44" s="50">
        <f>VLOOKUP($A44,'Data Vlaue (Cr)'!$C:$FB,146)*100</f>
        <v>52.87</v>
      </c>
      <c r="G44" s="49">
        <f>VLOOKUP($A44,'Data Vlaue (Cr)'!$C:$FB,43)</f>
        <v>1798</v>
      </c>
      <c r="H44" s="49">
        <f>VLOOKUP($A44,'Data Vlaue (Cr)'!$C:$FB,44)</f>
        <v>1221</v>
      </c>
      <c r="I44" s="49">
        <f>VLOOKUP($A44,'Data Vlaue (Cr)'!$C:$FB,46)*100</f>
        <v>47.23</v>
      </c>
      <c r="J44" s="51">
        <f>VLOOKUP($A44,'Data Vlaue (Cr)'!$C:$FB,59)</f>
        <v>6361</v>
      </c>
      <c r="K44" s="51">
        <f>VLOOKUP($A44,'Data Vlaue (Cr)'!$C:$FB,60)</f>
        <v>3832</v>
      </c>
      <c r="L44" s="51">
        <f>VLOOKUP($A44,'Data Vlaue (Cr)'!$C:$FB,62)*100</f>
        <v>66.010000000000005</v>
      </c>
      <c r="M44" s="51">
        <f>VLOOKUP($A44,'Data Vlaue (Cr)'!$C:$FB,63)</f>
        <v>3271</v>
      </c>
      <c r="N44" s="51">
        <f>VLOOKUP($A44,'Data Vlaue (Cr)'!$C:$FB,64)</f>
        <v>2733</v>
      </c>
      <c r="O44" s="51">
        <f>VLOOKUP($A44,'Data Vlaue (Cr)'!$C:$FB,66)*100</f>
        <v>19.66</v>
      </c>
    </row>
    <row r="45" spans="1:15" x14ac:dyDescent="0.25">
      <c r="A45" s="101" t="str">
        <f>'Data Vlaue (Cr)'!C40</f>
        <v>CAMS</v>
      </c>
      <c r="B45" s="50">
        <f>VLOOKUP($A45,'Data Vlaue (Cr)'!$C:$FB,8)</f>
        <v>652.35</v>
      </c>
      <c r="C45" s="50">
        <f>VLOOKUP($A45,'Data Vlaue (Cr)'!$C:$FB,11)*100</f>
        <v>3.56</v>
      </c>
      <c r="D45" s="50">
        <f>VLOOKUP($A45,'Data Vlaue (Cr)'!$C:$FB,143)</f>
        <v>516.01</v>
      </c>
      <c r="E45" s="50">
        <f>VLOOKUP($A45,'Data Vlaue (Cr)'!$C:$FB,144)</f>
        <v>569.58000000000004</v>
      </c>
      <c r="F45" s="50">
        <f>VLOOKUP($A45,'Data Vlaue (Cr)'!$C:$FB,146)*100</f>
        <v>-9.4</v>
      </c>
      <c r="G45" s="49">
        <f>VLOOKUP($A45,'Data Vlaue (Cr)'!$C:$FB,43)</f>
        <v>196</v>
      </c>
      <c r="H45" s="49">
        <f>VLOOKUP($A45,'Data Vlaue (Cr)'!$C:$FB,44)</f>
        <v>211</v>
      </c>
      <c r="I45" s="49">
        <f>VLOOKUP($A45,'Data Vlaue (Cr)'!$C:$FB,46)*100</f>
        <v>-7.28</v>
      </c>
      <c r="J45" s="51">
        <f>VLOOKUP($A45,'Data Vlaue (Cr)'!$C:$FB,59)</f>
        <v>199</v>
      </c>
      <c r="K45" s="51">
        <f>VLOOKUP($A45,'Data Vlaue (Cr)'!$C:$FB,60)</f>
        <v>198</v>
      </c>
      <c r="L45" s="51">
        <f>VLOOKUP($A45,'Data Vlaue (Cr)'!$C:$FB,62)*100</f>
        <v>0.44999999999999996</v>
      </c>
      <c r="M45" s="51">
        <f>VLOOKUP($A45,'Data Vlaue (Cr)'!$C:$FB,63)</f>
        <v>114</v>
      </c>
      <c r="N45" s="51">
        <f>VLOOKUP($A45,'Data Vlaue (Cr)'!$C:$FB,64)</f>
        <v>157</v>
      </c>
      <c r="O45" s="51">
        <f>VLOOKUP($A45,'Data Vlaue (Cr)'!$C:$FB,66)*100</f>
        <v>-27.36</v>
      </c>
    </row>
    <row r="46" spans="1:15" x14ac:dyDescent="0.25">
      <c r="A46" s="101" t="str">
        <f>'Data Vlaue (Cr)'!C41</f>
        <v>CANBK</v>
      </c>
      <c r="B46" s="50">
        <f>VLOOKUP($A46,'Data Vlaue (Cr)'!$C:$FB,8)</f>
        <v>148.51</v>
      </c>
      <c r="C46" s="50">
        <f>VLOOKUP($A46,'Data Vlaue (Cr)'!$C:$FB,11)*100</f>
        <v>1.08</v>
      </c>
      <c r="D46" s="50">
        <f>VLOOKUP($A46,'Data Vlaue (Cr)'!$C:$FB,143)</f>
        <v>3600.92</v>
      </c>
      <c r="E46" s="50">
        <f>VLOOKUP($A46,'Data Vlaue (Cr)'!$C:$FB,144)</f>
        <v>4174.87</v>
      </c>
      <c r="F46" s="50">
        <f>VLOOKUP($A46,'Data Vlaue (Cr)'!$C:$FB,146)*100</f>
        <v>-13.750000000000002</v>
      </c>
      <c r="G46" s="49">
        <f>VLOOKUP($A46,'Data Vlaue (Cr)'!$C:$FB,43)</f>
        <v>973</v>
      </c>
      <c r="H46" s="49">
        <f>VLOOKUP($A46,'Data Vlaue (Cr)'!$C:$FB,44)</f>
        <v>1127</v>
      </c>
      <c r="I46" s="49">
        <f>VLOOKUP($A46,'Data Vlaue (Cr)'!$C:$FB,46)*100</f>
        <v>-13.700000000000001</v>
      </c>
      <c r="J46" s="51">
        <f>VLOOKUP($A46,'Data Vlaue (Cr)'!$C:$FB,59)</f>
        <v>1577</v>
      </c>
      <c r="K46" s="51">
        <f>VLOOKUP($A46,'Data Vlaue (Cr)'!$C:$FB,60)</f>
        <v>1593</v>
      </c>
      <c r="L46" s="51">
        <f>VLOOKUP($A46,'Data Vlaue (Cr)'!$C:$FB,62)*100</f>
        <v>-1</v>
      </c>
      <c r="M46" s="51">
        <f>VLOOKUP($A46,'Data Vlaue (Cr)'!$C:$FB,63)</f>
        <v>960</v>
      </c>
      <c r="N46" s="51">
        <f>VLOOKUP($A46,'Data Vlaue (Cr)'!$C:$FB,64)</f>
        <v>1347</v>
      </c>
      <c r="O46" s="51">
        <f>VLOOKUP($A46,'Data Vlaue (Cr)'!$C:$FB,66)*100</f>
        <v>-28.689999999999998</v>
      </c>
    </row>
    <row r="47" spans="1:15" x14ac:dyDescent="0.25">
      <c r="A47" s="101" t="str">
        <f>'Data Vlaue (Cr)'!C42</f>
        <v>CDSL</v>
      </c>
      <c r="B47" s="50">
        <f>VLOOKUP($A47,'Data Vlaue (Cr)'!$C:$FB,8)</f>
        <v>1239.5999999999999</v>
      </c>
      <c r="C47" s="50">
        <f>VLOOKUP($A47,'Data Vlaue (Cr)'!$C:$FB,11)*100</f>
        <v>2.5</v>
      </c>
      <c r="D47" s="50">
        <f>VLOOKUP($A47,'Data Vlaue (Cr)'!$C:$FB,143)</f>
        <v>1236.6500000000001</v>
      </c>
      <c r="E47" s="50">
        <f>VLOOKUP($A47,'Data Vlaue (Cr)'!$C:$FB,144)</f>
        <v>1726.01</v>
      </c>
      <c r="F47" s="50">
        <f>VLOOKUP($A47,'Data Vlaue (Cr)'!$C:$FB,146)*100</f>
        <v>-28.349999999999998</v>
      </c>
      <c r="G47" s="49">
        <f>VLOOKUP($A47,'Data Vlaue (Cr)'!$C:$FB,43)</f>
        <v>236</v>
      </c>
      <c r="H47" s="49">
        <f>VLOOKUP($A47,'Data Vlaue (Cr)'!$C:$FB,44)</f>
        <v>315</v>
      </c>
      <c r="I47" s="49">
        <f>VLOOKUP($A47,'Data Vlaue (Cr)'!$C:$FB,46)*100</f>
        <v>-25.34</v>
      </c>
      <c r="J47" s="51">
        <f>VLOOKUP($A47,'Data Vlaue (Cr)'!$C:$FB,59)</f>
        <v>688</v>
      </c>
      <c r="K47" s="51">
        <f>VLOOKUP($A47,'Data Vlaue (Cr)'!$C:$FB,60)</f>
        <v>880</v>
      </c>
      <c r="L47" s="51">
        <f>VLOOKUP($A47,'Data Vlaue (Cr)'!$C:$FB,62)*100</f>
        <v>-21.88</v>
      </c>
      <c r="M47" s="51">
        <f>VLOOKUP($A47,'Data Vlaue (Cr)'!$C:$FB,63)</f>
        <v>279</v>
      </c>
      <c r="N47" s="51">
        <f>VLOOKUP($A47,'Data Vlaue (Cr)'!$C:$FB,64)</f>
        <v>497</v>
      </c>
      <c r="O47" s="51">
        <f>VLOOKUP($A47,'Data Vlaue (Cr)'!$C:$FB,66)*100</f>
        <v>-43.89</v>
      </c>
    </row>
    <row r="48" spans="1:15" x14ac:dyDescent="0.25">
      <c r="A48" s="101" t="str">
        <f>'Data Vlaue (Cr)'!C43</f>
        <v>CGPOWER</v>
      </c>
      <c r="B48" s="50">
        <f>VLOOKUP($A48,'Data Vlaue (Cr)'!$C:$FB,8)</f>
        <v>701.1</v>
      </c>
      <c r="C48" s="50">
        <f>VLOOKUP($A48,'Data Vlaue (Cr)'!$C:$FB,11)*100</f>
        <v>2.37</v>
      </c>
      <c r="D48" s="50">
        <f>VLOOKUP($A48,'Data Vlaue (Cr)'!$C:$FB,143)</f>
        <v>448.7</v>
      </c>
      <c r="E48" s="50">
        <f>VLOOKUP($A48,'Data Vlaue (Cr)'!$C:$FB,144)</f>
        <v>936.86</v>
      </c>
      <c r="F48" s="50">
        <f>VLOOKUP($A48,'Data Vlaue (Cr)'!$C:$FB,146)*100</f>
        <v>-52.11</v>
      </c>
      <c r="G48" s="49">
        <f>VLOOKUP($A48,'Data Vlaue (Cr)'!$C:$FB,43)</f>
        <v>108</v>
      </c>
      <c r="H48" s="49">
        <f>VLOOKUP($A48,'Data Vlaue (Cr)'!$C:$FB,44)</f>
        <v>272</v>
      </c>
      <c r="I48" s="49">
        <f>VLOOKUP($A48,'Data Vlaue (Cr)'!$C:$FB,46)*100</f>
        <v>-60.319999999999993</v>
      </c>
      <c r="J48" s="51">
        <f>VLOOKUP($A48,'Data Vlaue (Cr)'!$C:$FB,59)</f>
        <v>231</v>
      </c>
      <c r="K48" s="51">
        <f>VLOOKUP($A48,'Data Vlaue (Cr)'!$C:$FB,60)</f>
        <v>388</v>
      </c>
      <c r="L48" s="51">
        <f>VLOOKUP($A48,'Data Vlaue (Cr)'!$C:$FB,62)*100</f>
        <v>-40.5</v>
      </c>
      <c r="M48" s="51">
        <f>VLOOKUP($A48,'Data Vlaue (Cr)'!$C:$FB,63)</f>
        <v>103</v>
      </c>
      <c r="N48" s="51">
        <f>VLOOKUP($A48,'Data Vlaue (Cr)'!$C:$FB,64)</f>
        <v>268</v>
      </c>
      <c r="O48" s="51">
        <f>VLOOKUP($A48,'Data Vlaue (Cr)'!$C:$FB,66)*100</f>
        <v>-61.51</v>
      </c>
    </row>
    <row r="49" spans="1:15" x14ac:dyDescent="0.25">
      <c r="A49" s="101" t="str">
        <f>'Data Vlaue (Cr)'!C44</f>
        <v>CHOLAFIN</v>
      </c>
      <c r="B49" s="50">
        <f>VLOOKUP($A49,'Data Vlaue (Cr)'!$C:$FB,8)</f>
        <v>1669</v>
      </c>
      <c r="C49" s="50">
        <f>VLOOKUP($A49,'Data Vlaue (Cr)'!$C:$FB,11)*100</f>
        <v>0.92999999999999994</v>
      </c>
      <c r="D49" s="50">
        <f>VLOOKUP($A49,'Data Vlaue (Cr)'!$C:$FB,143)</f>
        <v>1334.14</v>
      </c>
      <c r="E49" s="50">
        <f>VLOOKUP($A49,'Data Vlaue (Cr)'!$C:$FB,144)</f>
        <v>1537.83</v>
      </c>
      <c r="F49" s="50">
        <f>VLOOKUP($A49,'Data Vlaue (Cr)'!$C:$FB,146)*100</f>
        <v>-13.25</v>
      </c>
      <c r="G49" s="49">
        <f>VLOOKUP($A49,'Data Vlaue (Cr)'!$C:$FB,43)</f>
        <v>354</v>
      </c>
      <c r="H49" s="49">
        <f>VLOOKUP($A49,'Data Vlaue (Cr)'!$C:$FB,44)</f>
        <v>367</v>
      </c>
      <c r="I49" s="49">
        <f>VLOOKUP($A49,'Data Vlaue (Cr)'!$C:$FB,46)*100</f>
        <v>-3.63</v>
      </c>
      <c r="J49" s="51">
        <f>VLOOKUP($A49,'Data Vlaue (Cr)'!$C:$FB,59)</f>
        <v>522</v>
      </c>
      <c r="K49" s="51">
        <f>VLOOKUP($A49,'Data Vlaue (Cr)'!$C:$FB,60)</f>
        <v>547</v>
      </c>
      <c r="L49" s="51">
        <f>VLOOKUP($A49,'Data Vlaue (Cr)'!$C:$FB,62)*100</f>
        <v>-4.47</v>
      </c>
      <c r="M49" s="51">
        <f>VLOOKUP($A49,'Data Vlaue (Cr)'!$C:$FB,63)</f>
        <v>433</v>
      </c>
      <c r="N49" s="51">
        <f>VLOOKUP($A49,'Data Vlaue (Cr)'!$C:$FB,64)</f>
        <v>613</v>
      </c>
      <c r="O49" s="51">
        <f>VLOOKUP($A49,'Data Vlaue (Cr)'!$C:$FB,66)*100</f>
        <v>-29.37</v>
      </c>
    </row>
    <row r="50" spans="1:15" x14ac:dyDescent="0.25">
      <c r="A50" s="101" t="str">
        <f>'Data Vlaue (Cr)'!C45</f>
        <v>CIPLA</v>
      </c>
      <c r="B50" s="50">
        <f>VLOOKUP($A50,'Data Vlaue (Cr)'!$C:$FB,8)</f>
        <v>1326.4</v>
      </c>
      <c r="C50" s="50">
        <f>VLOOKUP($A50,'Data Vlaue (Cr)'!$C:$FB,11)*100</f>
        <v>1.01</v>
      </c>
      <c r="D50" s="50">
        <f>VLOOKUP($A50,'Data Vlaue (Cr)'!$C:$FB,143)</f>
        <v>755.76</v>
      </c>
      <c r="E50" s="50">
        <f>VLOOKUP($A50,'Data Vlaue (Cr)'!$C:$FB,144)</f>
        <v>1464.56</v>
      </c>
      <c r="F50" s="50">
        <f>VLOOKUP($A50,'Data Vlaue (Cr)'!$C:$FB,146)*100</f>
        <v>-48.4</v>
      </c>
      <c r="G50" s="49">
        <f>VLOOKUP($A50,'Data Vlaue (Cr)'!$C:$FB,43)</f>
        <v>172</v>
      </c>
      <c r="H50" s="49">
        <f>VLOOKUP($A50,'Data Vlaue (Cr)'!$C:$FB,44)</f>
        <v>268</v>
      </c>
      <c r="I50" s="49">
        <f>VLOOKUP($A50,'Data Vlaue (Cr)'!$C:$FB,46)*100</f>
        <v>-35.56</v>
      </c>
      <c r="J50" s="51">
        <f>VLOOKUP($A50,'Data Vlaue (Cr)'!$C:$FB,59)</f>
        <v>387</v>
      </c>
      <c r="K50" s="51">
        <f>VLOOKUP($A50,'Data Vlaue (Cr)'!$C:$FB,60)</f>
        <v>791</v>
      </c>
      <c r="L50" s="51">
        <f>VLOOKUP($A50,'Data Vlaue (Cr)'!$C:$FB,62)*100</f>
        <v>-51.139999999999993</v>
      </c>
      <c r="M50" s="51">
        <f>VLOOKUP($A50,'Data Vlaue (Cr)'!$C:$FB,63)</f>
        <v>183</v>
      </c>
      <c r="N50" s="51">
        <f>VLOOKUP($A50,'Data Vlaue (Cr)'!$C:$FB,64)</f>
        <v>369</v>
      </c>
      <c r="O50" s="51">
        <f>VLOOKUP($A50,'Data Vlaue (Cr)'!$C:$FB,66)*100</f>
        <v>-50.370000000000005</v>
      </c>
    </row>
    <row r="51" spans="1:15" x14ac:dyDescent="0.25">
      <c r="A51" s="101" t="str">
        <f>'Data Vlaue (Cr)'!C46</f>
        <v>COALINDIA</v>
      </c>
      <c r="B51" s="50">
        <f>VLOOKUP($A51,'Data Vlaue (Cr)'!$C:$FB,8)</f>
        <v>449.4</v>
      </c>
      <c r="C51" s="50">
        <f>VLOOKUP($A51,'Data Vlaue (Cr)'!$C:$FB,11)*100</f>
        <v>3.27</v>
      </c>
      <c r="D51" s="50">
        <f>VLOOKUP($A51,'Data Vlaue (Cr)'!$C:$FB,143)</f>
        <v>13412.31</v>
      </c>
      <c r="E51" s="50">
        <f>VLOOKUP($A51,'Data Vlaue (Cr)'!$C:$FB,144)</f>
        <v>7219.41</v>
      </c>
      <c r="F51" s="50">
        <f>VLOOKUP($A51,'Data Vlaue (Cr)'!$C:$FB,146)*100</f>
        <v>85.78</v>
      </c>
      <c r="G51" s="49">
        <f>VLOOKUP($A51,'Data Vlaue (Cr)'!$C:$FB,43)</f>
        <v>1366</v>
      </c>
      <c r="H51" s="49">
        <f>VLOOKUP($A51,'Data Vlaue (Cr)'!$C:$FB,44)</f>
        <v>1006</v>
      </c>
      <c r="I51" s="49">
        <f>VLOOKUP($A51,'Data Vlaue (Cr)'!$C:$FB,46)*100</f>
        <v>35.85</v>
      </c>
      <c r="J51" s="51">
        <f>VLOOKUP($A51,'Data Vlaue (Cr)'!$C:$FB,59)</f>
        <v>8122</v>
      </c>
      <c r="K51" s="51">
        <f>VLOOKUP($A51,'Data Vlaue (Cr)'!$C:$FB,60)</f>
        <v>4478</v>
      </c>
      <c r="L51" s="51">
        <f>VLOOKUP($A51,'Data Vlaue (Cr)'!$C:$FB,62)*100</f>
        <v>81.37</v>
      </c>
      <c r="M51" s="51">
        <f>VLOOKUP($A51,'Data Vlaue (Cr)'!$C:$FB,63)</f>
        <v>3509</v>
      </c>
      <c r="N51" s="51">
        <f>VLOOKUP($A51,'Data Vlaue (Cr)'!$C:$FB,64)</f>
        <v>1752</v>
      </c>
      <c r="O51" s="51">
        <f>VLOOKUP($A51,'Data Vlaue (Cr)'!$C:$FB,66)*100</f>
        <v>100.2</v>
      </c>
    </row>
    <row r="52" spans="1:15" x14ac:dyDescent="0.25">
      <c r="A52" s="101" t="str">
        <f>'Data Vlaue (Cr)'!C47</f>
        <v>COFORGE</v>
      </c>
      <c r="B52" s="50">
        <f>VLOOKUP($A52,'Data Vlaue (Cr)'!$C:$FB,8)</f>
        <v>1152.7</v>
      </c>
      <c r="C52" s="50">
        <f>VLOOKUP($A52,'Data Vlaue (Cr)'!$C:$FB,11)*100</f>
        <v>-1.48</v>
      </c>
      <c r="D52" s="50">
        <f>VLOOKUP($A52,'Data Vlaue (Cr)'!$C:$FB,143)</f>
        <v>2299.36</v>
      </c>
      <c r="E52" s="50">
        <f>VLOOKUP($A52,'Data Vlaue (Cr)'!$C:$FB,144)</f>
        <v>2048.12</v>
      </c>
      <c r="F52" s="50">
        <f>VLOOKUP($A52,'Data Vlaue (Cr)'!$C:$FB,146)*100</f>
        <v>12.27</v>
      </c>
      <c r="G52" s="49">
        <f>VLOOKUP($A52,'Data Vlaue (Cr)'!$C:$FB,43)</f>
        <v>538</v>
      </c>
      <c r="H52" s="49">
        <f>VLOOKUP($A52,'Data Vlaue (Cr)'!$C:$FB,44)</f>
        <v>507</v>
      </c>
      <c r="I52" s="49">
        <f>VLOOKUP($A52,'Data Vlaue (Cr)'!$C:$FB,46)*100</f>
        <v>6.15</v>
      </c>
      <c r="J52" s="51">
        <f>VLOOKUP($A52,'Data Vlaue (Cr)'!$C:$FB,59)</f>
        <v>1111</v>
      </c>
      <c r="K52" s="51">
        <f>VLOOKUP($A52,'Data Vlaue (Cr)'!$C:$FB,60)</f>
        <v>1003</v>
      </c>
      <c r="L52" s="51">
        <f>VLOOKUP($A52,'Data Vlaue (Cr)'!$C:$FB,62)*100</f>
        <v>10.780000000000001</v>
      </c>
      <c r="M52" s="51">
        <f>VLOOKUP($A52,'Data Vlaue (Cr)'!$C:$FB,63)</f>
        <v>524</v>
      </c>
      <c r="N52" s="51">
        <f>VLOOKUP($A52,'Data Vlaue (Cr)'!$C:$FB,64)</f>
        <v>418</v>
      </c>
      <c r="O52" s="51">
        <f>VLOOKUP($A52,'Data Vlaue (Cr)'!$C:$FB,66)*100</f>
        <v>25.45</v>
      </c>
    </row>
    <row r="53" spans="1:15" x14ac:dyDescent="0.25">
      <c r="A53" s="101" t="str">
        <f>'Data Vlaue (Cr)'!C48</f>
        <v>COLPAL</v>
      </c>
      <c r="B53" s="50">
        <f>VLOOKUP($A53,'Data Vlaue (Cr)'!$C:$FB,8)</f>
        <v>2200.6</v>
      </c>
      <c r="C53" s="50">
        <f>VLOOKUP($A53,'Data Vlaue (Cr)'!$C:$FB,11)*100</f>
        <v>0.77</v>
      </c>
      <c r="D53" s="50">
        <f>VLOOKUP($A53,'Data Vlaue (Cr)'!$C:$FB,143)</f>
        <v>482.58</v>
      </c>
      <c r="E53" s="50">
        <f>VLOOKUP($A53,'Data Vlaue (Cr)'!$C:$FB,144)</f>
        <v>483.05</v>
      </c>
      <c r="F53" s="50">
        <f>VLOOKUP($A53,'Data Vlaue (Cr)'!$C:$FB,146)*100</f>
        <v>-0.1</v>
      </c>
      <c r="G53" s="49">
        <f>VLOOKUP($A53,'Data Vlaue (Cr)'!$C:$FB,43)</f>
        <v>87</v>
      </c>
      <c r="H53" s="49">
        <f>VLOOKUP($A53,'Data Vlaue (Cr)'!$C:$FB,44)</f>
        <v>113</v>
      </c>
      <c r="I53" s="49">
        <f>VLOOKUP($A53,'Data Vlaue (Cr)'!$C:$FB,46)*100</f>
        <v>-23.06</v>
      </c>
      <c r="J53" s="51">
        <f>VLOOKUP($A53,'Data Vlaue (Cr)'!$C:$FB,59)</f>
        <v>281</v>
      </c>
      <c r="K53" s="51">
        <f>VLOOKUP($A53,'Data Vlaue (Cr)'!$C:$FB,60)</f>
        <v>249</v>
      </c>
      <c r="L53" s="51">
        <f>VLOOKUP($A53,'Data Vlaue (Cr)'!$C:$FB,62)*100</f>
        <v>13.100000000000001</v>
      </c>
      <c r="M53" s="51">
        <f>VLOOKUP($A53,'Data Vlaue (Cr)'!$C:$FB,63)</f>
        <v>104</v>
      </c>
      <c r="N53" s="51">
        <f>VLOOKUP($A53,'Data Vlaue (Cr)'!$C:$FB,64)</f>
        <v>108</v>
      </c>
      <c r="O53" s="51">
        <f>VLOOKUP($A53,'Data Vlaue (Cr)'!$C:$FB,66)*100</f>
        <v>-3.2300000000000004</v>
      </c>
    </row>
    <row r="54" spans="1:15" x14ac:dyDescent="0.25">
      <c r="A54" s="101" t="str">
        <f>'Data Vlaue (Cr)'!C49</f>
        <v>CONCOR</v>
      </c>
      <c r="B54" s="50">
        <f>VLOOKUP($A54,'Data Vlaue (Cr)'!$C:$FB,8)</f>
        <v>479.95</v>
      </c>
      <c r="C54" s="50">
        <f>VLOOKUP($A54,'Data Vlaue (Cr)'!$C:$FB,11)*100</f>
        <v>3.84</v>
      </c>
      <c r="D54" s="50">
        <f>VLOOKUP($A54,'Data Vlaue (Cr)'!$C:$FB,143)</f>
        <v>881.91</v>
      </c>
      <c r="E54" s="50">
        <f>VLOOKUP($A54,'Data Vlaue (Cr)'!$C:$FB,144)</f>
        <v>1042.3900000000001</v>
      </c>
      <c r="F54" s="50">
        <f>VLOOKUP($A54,'Data Vlaue (Cr)'!$C:$FB,146)*100</f>
        <v>-15.4</v>
      </c>
      <c r="G54" s="49">
        <f>VLOOKUP($A54,'Data Vlaue (Cr)'!$C:$FB,43)</f>
        <v>223</v>
      </c>
      <c r="H54" s="49">
        <f>VLOOKUP($A54,'Data Vlaue (Cr)'!$C:$FB,44)</f>
        <v>286</v>
      </c>
      <c r="I54" s="49">
        <f>VLOOKUP($A54,'Data Vlaue (Cr)'!$C:$FB,46)*100</f>
        <v>-22.02</v>
      </c>
      <c r="J54" s="51">
        <f>VLOOKUP($A54,'Data Vlaue (Cr)'!$C:$FB,59)</f>
        <v>427</v>
      </c>
      <c r="K54" s="51">
        <f>VLOOKUP($A54,'Data Vlaue (Cr)'!$C:$FB,60)</f>
        <v>454</v>
      </c>
      <c r="L54" s="51">
        <f>VLOOKUP($A54,'Data Vlaue (Cr)'!$C:$FB,62)*100</f>
        <v>-5.86</v>
      </c>
      <c r="M54" s="51">
        <f>VLOOKUP($A54,'Data Vlaue (Cr)'!$C:$FB,63)</f>
        <v>222</v>
      </c>
      <c r="N54" s="51">
        <f>VLOOKUP($A54,'Data Vlaue (Cr)'!$C:$FB,64)</f>
        <v>293</v>
      </c>
      <c r="O54" s="51">
        <f>VLOOKUP($A54,'Data Vlaue (Cr)'!$C:$FB,66)*100</f>
        <v>-24.13</v>
      </c>
    </row>
    <row r="55" spans="1:15" x14ac:dyDescent="0.25">
      <c r="A55" s="101" t="str">
        <f>'Data Vlaue (Cr)'!C50</f>
        <v>CROMPTON</v>
      </c>
      <c r="B55" s="50">
        <f>VLOOKUP($A55,'Data Vlaue (Cr)'!$C:$FB,8)</f>
        <v>250.1</v>
      </c>
      <c r="C55" s="50">
        <f>VLOOKUP($A55,'Data Vlaue (Cr)'!$C:$FB,11)*100</f>
        <v>1.94</v>
      </c>
      <c r="D55" s="50">
        <f>VLOOKUP($A55,'Data Vlaue (Cr)'!$C:$FB,143)</f>
        <v>389.64</v>
      </c>
      <c r="E55" s="50">
        <f>VLOOKUP($A55,'Data Vlaue (Cr)'!$C:$FB,144)</f>
        <v>361.3</v>
      </c>
      <c r="F55" s="50">
        <f>VLOOKUP($A55,'Data Vlaue (Cr)'!$C:$FB,146)*100</f>
        <v>7.84</v>
      </c>
      <c r="G55" s="49">
        <f>VLOOKUP($A55,'Data Vlaue (Cr)'!$C:$FB,43)</f>
        <v>104</v>
      </c>
      <c r="H55" s="49">
        <f>VLOOKUP($A55,'Data Vlaue (Cr)'!$C:$FB,44)</f>
        <v>131</v>
      </c>
      <c r="I55" s="49">
        <f>VLOOKUP($A55,'Data Vlaue (Cr)'!$C:$FB,46)*100</f>
        <v>-20.239999999999998</v>
      </c>
      <c r="J55" s="51">
        <f>VLOOKUP($A55,'Data Vlaue (Cr)'!$C:$FB,59)</f>
        <v>203</v>
      </c>
      <c r="K55" s="51">
        <f>VLOOKUP($A55,'Data Vlaue (Cr)'!$C:$FB,60)</f>
        <v>152</v>
      </c>
      <c r="L55" s="51">
        <f>VLOOKUP($A55,'Data Vlaue (Cr)'!$C:$FB,62)*100</f>
        <v>33.4</v>
      </c>
      <c r="M55" s="51">
        <f>VLOOKUP($A55,'Data Vlaue (Cr)'!$C:$FB,63)</f>
        <v>74</v>
      </c>
      <c r="N55" s="51">
        <f>VLOOKUP($A55,'Data Vlaue (Cr)'!$C:$FB,64)</f>
        <v>71</v>
      </c>
      <c r="O55" s="51">
        <f>VLOOKUP($A55,'Data Vlaue (Cr)'!$C:$FB,66)*100</f>
        <v>4.22</v>
      </c>
    </row>
    <row r="56" spans="1:15" x14ac:dyDescent="0.25">
      <c r="A56" s="101" t="str">
        <f>'Data Vlaue (Cr)'!C51</f>
        <v>CUMMINSIND</v>
      </c>
      <c r="B56" s="50">
        <f>VLOOKUP($A56,'Data Vlaue (Cr)'!$C:$FB,8)</f>
        <v>4791.3999999999996</v>
      </c>
      <c r="C56" s="50">
        <f>VLOOKUP($A56,'Data Vlaue (Cr)'!$C:$FB,11)*100</f>
        <v>4.51</v>
      </c>
      <c r="D56" s="50">
        <f>VLOOKUP($A56,'Data Vlaue (Cr)'!$C:$FB,143)</f>
        <v>1795.04</v>
      </c>
      <c r="E56" s="50">
        <f>VLOOKUP($A56,'Data Vlaue (Cr)'!$C:$FB,144)</f>
        <v>2022.45</v>
      </c>
      <c r="F56" s="50">
        <f>VLOOKUP($A56,'Data Vlaue (Cr)'!$C:$FB,146)*100</f>
        <v>-11.24</v>
      </c>
      <c r="G56" s="49">
        <f>VLOOKUP($A56,'Data Vlaue (Cr)'!$C:$FB,43)</f>
        <v>445</v>
      </c>
      <c r="H56" s="49">
        <f>VLOOKUP($A56,'Data Vlaue (Cr)'!$C:$FB,44)</f>
        <v>532</v>
      </c>
      <c r="I56" s="49">
        <f>VLOOKUP($A56,'Data Vlaue (Cr)'!$C:$FB,46)*100</f>
        <v>-16.400000000000002</v>
      </c>
      <c r="J56" s="51">
        <f>VLOOKUP($A56,'Data Vlaue (Cr)'!$C:$FB,59)</f>
        <v>957</v>
      </c>
      <c r="K56" s="51">
        <f>VLOOKUP($A56,'Data Vlaue (Cr)'!$C:$FB,60)</f>
        <v>667</v>
      </c>
      <c r="L56" s="51">
        <f>VLOOKUP($A56,'Data Vlaue (Cr)'!$C:$FB,62)*100</f>
        <v>43.39</v>
      </c>
      <c r="M56" s="51">
        <f>VLOOKUP($A56,'Data Vlaue (Cr)'!$C:$FB,63)</f>
        <v>376</v>
      </c>
      <c r="N56" s="51">
        <f>VLOOKUP($A56,'Data Vlaue (Cr)'!$C:$FB,64)</f>
        <v>845</v>
      </c>
      <c r="O56" s="51">
        <f>VLOOKUP($A56,'Data Vlaue (Cr)'!$C:$FB,66)*100</f>
        <v>-55.500000000000007</v>
      </c>
    </row>
    <row r="57" spans="1:15" x14ac:dyDescent="0.25">
      <c r="A57" s="101" t="str">
        <f>'Data Vlaue (Cr)'!C52</f>
        <v>DABUR</v>
      </c>
      <c r="B57" s="50">
        <f>VLOOKUP($A57,'Data Vlaue (Cr)'!$C:$FB,8)</f>
        <v>487.9</v>
      </c>
      <c r="C57" s="50">
        <f>VLOOKUP($A57,'Data Vlaue (Cr)'!$C:$FB,11)*100</f>
        <v>0.1</v>
      </c>
      <c r="D57" s="50">
        <f>VLOOKUP($A57,'Data Vlaue (Cr)'!$C:$FB,143)</f>
        <v>776.64</v>
      </c>
      <c r="E57" s="50">
        <f>VLOOKUP($A57,'Data Vlaue (Cr)'!$C:$FB,144)</f>
        <v>847.64</v>
      </c>
      <c r="F57" s="50">
        <f>VLOOKUP($A57,'Data Vlaue (Cr)'!$C:$FB,146)*100</f>
        <v>-8.3800000000000008</v>
      </c>
      <c r="G57" s="49">
        <f>VLOOKUP($A57,'Data Vlaue (Cr)'!$C:$FB,43)</f>
        <v>146</v>
      </c>
      <c r="H57" s="49">
        <f>VLOOKUP($A57,'Data Vlaue (Cr)'!$C:$FB,44)</f>
        <v>191</v>
      </c>
      <c r="I57" s="49">
        <f>VLOOKUP($A57,'Data Vlaue (Cr)'!$C:$FB,46)*100</f>
        <v>-23.73</v>
      </c>
      <c r="J57" s="51">
        <f>VLOOKUP($A57,'Data Vlaue (Cr)'!$C:$FB,59)</f>
        <v>386</v>
      </c>
      <c r="K57" s="51">
        <f>VLOOKUP($A57,'Data Vlaue (Cr)'!$C:$FB,60)</f>
        <v>377</v>
      </c>
      <c r="L57" s="51">
        <f>VLOOKUP($A57,'Data Vlaue (Cr)'!$C:$FB,62)*100</f>
        <v>2.29</v>
      </c>
      <c r="M57" s="51">
        <f>VLOOKUP($A57,'Data Vlaue (Cr)'!$C:$FB,63)</f>
        <v>222</v>
      </c>
      <c r="N57" s="51">
        <f>VLOOKUP($A57,'Data Vlaue (Cr)'!$C:$FB,64)</f>
        <v>250</v>
      </c>
      <c r="O57" s="51">
        <f>VLOOKUP($A57,'Data Vlaue (Cr)'!$C:$FB,66)*100</f>
        <v>-11.360000000000001</v>
      </c>
    </row>
    <row r="58" spans="1:15" x14ac:dyDescent="0.25">
      <c r="A58" s="101" t="str">
        <f>'Data Vlaue (Cr)'!C53</f>
        <v>DALBHARAT</v>
      </c>
      <c r="B58" s="50">
        <f>VLOOKUP($A58,'Data Vlaue (Cr)'!$C:$FB,8)</f>
        <v>1928.7</v>
      </c>
      <c r="C58" s="50">
        <f>VLOOKUP($A58,'Data Vlaue (Cr)'!$C:$FB,11)*100</f>
        <v>1.7399999999999998</v>
      </c>
      <c r="D58" s="50">
        <f>VLOOKUP($A58,'Data Vlaue (Cr)'!$C:$FB,143)</f>
        <v>248.22</v>
      </c>
      <c r="E58" s="50">
        <f>VLOOKUP($A58,'Data Vlaue (Cr)'!$C:$FB,144)</f>
        <v>338.62</v>
      </c>
      <c r="F58" s="50">
        <f>VLOOKUP($A58,'Data Vlaue (Cr)'!$C:$FB,146)*100</f>
        <v>-26.700000000000003</v>
      </c>
      <c r="G58" s="49">
        <f>VLOOKUP($A58,'Data Vlaue (Cr)'!$C:$FB,43)</f>
        <v>63</v>
      </c>
      <c r="H58" s="49">
        <f>VLOOKUP($A58,'Data Vlaue (Cr)'!$C:$FB,44)</f>
        <v>92</v>
      </c>
      <c r="I58" s="49">
        <f>VLOOKUP($A58,'Data Vlaue (Cr)'!$C:$FB,46)*100</f>
        <v>-31.95</v>
      </c>
      <c r="J58" s="51">
        <f>VLOOKUP($A58,'Data Vlaue (Cr)'!$C:$FB,59)</f>
        <v>76</v>
      </c>
      <c r="K58" s="51">
        <f>VLOOKUP($A58,'Data Vlaue (Cr)'!$C:$FB,60)</f>
        <v>90</v>
      </c>
      <c r="L58" s="51">
        <f>VLOOKUP($A58,'Data Vlaue (Cr)'!$C:$FB,62)*100</f>
        <v>-15.58</v>
      </c>
      <c r="M58" s="51">
        <f>VLOOKUP($A58,'Data Vlaue (Cr)'!$C:$FB,63)</f>
        <v>107</v>
      </c>
      <c r="N58" s="51">
        <f>VLOOKUP($A58,'Data Vlaue (Cr)'!$C:$FB,64)</f>
        <v>150</v>
      </c>
      <c r="O58" s="51">
        <f>VLOOKUP($A58,'Data Vlaue (Cr)'!$C:$FB,66)*100</f>
        <v>-28.89</v>
      </c>
    </row>
    <row r="59" spans="1:15" x14ac:dyDescent="0.25">
      <c r="A59" s="101" t="str">
        <f>'Data Vlaue (Cr)'!C54</f>
        <v>DELHIVERY</v>
      </c>
      <c r="B59" s="50">
        <f>VLOOKUP($A59,'Data Vlaue (Cr)'!$C:$FB,8)</f>
        <v>428.1</v>
      </c>
      <c r="C59" s="50">
        <f>VLOOKUP($A59,'Data Vlaue (Cr)'!$C:$FB,11)*100</f>
        <v>2.74</v>
      </c>
      <c r="D59" s="50">
        <f>VLOOKUP($A59,'Data Vlaue (Cr)'!$C:$FB,143)</f>
        <v>597.46</v>
      </c>
      <c r="E59" s="50">
        <f>VLOOKUP($A59,'Data Vlaue (Cr)'!$C:$FB,144)</f>
        <v>509.9</v>
      </c>
      <c r="F59" s="50">
        <f>VLOOKUP($A59,'Data Vlaue (Cr)'!$C:$FB,146)*100</f>
        <v>17.169999999999998</v>
      </c>
      <c r="G59" s="49">
        <f>VLOOKUP($A59,'Data Vlaue (Cr)'!$C:$FB,43)</f>
        <v>152</v>
      </c>
      <c r="H59" s="49">
        <f>VLOOKUP($A59,'Data Vlaue (Cr)'!$C:$FB,44)</f>
        <v>192</v>
      </c>
      <c r="I59" s="49">
        <f>VLOOKUP($A59,'Data Vlaue (Cr)'!$C:$FB,46)*100</f>
        <v>-20.630000000000003</v>
      </c>
      <c r="J59" s="51">
        <f>VLOOKUP($A59,'Data Vlaue (Cr)'!$C:$FB,59)</f>
        <v>349</v>
      </c>
      <c r="K59" s="51">
        <f>VLOOKUP($A59,'Data Vlaue (Cr)'!$C:$FB,60)</f>
        <v>194</v>
      </c>
      <c r="L59" s="51">
        <f>VLOOKUP($A59,'Data Vlaue (Cr)'!$C:$FB,62)*100</f>
        <v>79.73</v>
      </c>
      <c r="M59" s="51">
        <f>VLOOKUP($A59,'Data Vlaue (Cr)'!$C:$FB,63)</f>
        <v>83</v>
      </c>
      <c r="N59" s="51">
        <f>VLOOKUP($A59,'Data Vlaue (Cr)'!$C:$FB,64)</f>
        <v>120</v>
      </c>
      <c r="O59" s="51">
        <f>VLOOKUP($A59,'Data Vlaue (Cr)'!$C:$FB,66)*100</f>
        <v>-31.009999999999998</v>
      </c>
    </row>
    <row r="60" spans="1:15" x14ac:dyDescent="0.25">
      <c r="A60" s="101" t="str">
        <f>'Data Vlaue (Cr)'!C55</f>
        <v>DIVISLAB</v>
      </c>
      <c r="B60" s="50">
        <f>VLOOKUP($A60,'Data Vlaue (Cr)'!$C:$FB,8)</f>
        <v>6364.5</v>
      </c>
      <c r="C60" s="50">
        <f>VLOOKUP($A60,'Data Vlaue (Cr)'!$C:$FB,11)*100</f>
        <v>0.77</v>
      </c>
      <c r="D60" s="50">
        <f>VLOOKUP($A60,'Data Vlaue (Cr)'!$C:$FB,143)</f>
        <v>757.67</v>
      </c>
      <c r="E60" s="50">
        <f>VLOOKUP($A60,'Data Vlaue (Cr)'!$C:$FB,144)</f>
        <v>1006.84</v>
      </c>
      <c r="F60" s="50">
        <f>VLOOKUP($A60,'Data Vlaue (Cr)'!$C:$FB,146)*100</f>
        <v>-24.75</v>
      </c>
      <c r="G60" s="49">
        <f>VLOOKUP($A60,'Data Vlaue (Cr)'!$C:$FB,43)</f>
        <v>175</v>
      </c>
      <c r="H60" s="49">
        <f>VLOOKUP($A60,'Data Vlaue (Cr)'!$C:$FB,44)</f>
        <v>127</v>
      </c>
      <c r="I60" s="49">
        <f>VLOOKUP($A60,'Data Vlaue (Cr)'!$C:$FB,46)*100</f>
        <v>37.47</v>
      </c>
      <c r="J60" s="51">
        <f>VLOOKUP($A60,'Data Vlaue (Cr)'!$C:$FB,59)</f>
        <v>442</v>
      </c>
      <c r="K60" s="51">
        <f>VLOOKUP($A60,'Data Vlaue (Cr)'!$C:$FB,60)</f>
        <v>507</v>
      </c>
      <c r="L60" s="51">
        <f>VLOOKUP($A60,'Data Vlaue (Cr)'!$C:$FB,62)*100</f>
        <v>-12.8</v>
      </c>
      <c r="M60" s="51">
        <f>VLOOKUP($A60,'Data Vlaue (Cr)'!$C:$FB,63)</f>
        <v>121</v>
      </c>
      <c r="N60" s="51">
        <f>VLOOKUP($A60,'Data Vlaue (Cr)'!$C:$FB,64)</f>
        <v>357</v>
      </c>
      <c r="O60" s="51">
        <f>VLOOKUP($A60,'Data Vlaue (Cr)'!$C:$FB,66)*100</f>
        <v>-66.05</v>
      </c>
    </row>
    <row r="61" spans="1:15" x14ac:dyDescent="0.25">
      <c r="A61" s="101" t="str">
        <f>'Data Vlaue (Cr)'!C56</f>
        <v>DIXON</v>
      </c>
      <c r="B61" s="50">
        <f>VLOOKUP($A61,'Data Vlaue (Cr)'!$C:$FB,8)</f>
        <v>10224</v>
      </c>
      <c r="C61" s="50">
        <f>VLOOKUP($A61,'Data Vlaue (Cr)'!$C:$FB,11)*100</f>
        <v>0.86999999999999988</v>
      </c>
      <c r="D61" s="50">
        <f>VLOOKUP($A61,'Data Vlaue (Cr)'!$C:$FB,143)</f>
        <v>4243.9399999999996</v>
      </c>
      <c r="E61" s="50">
        <f>VLOOKUP($A61,'Data Vlaue (Cr)'!$C:$FB,144)</f>
        <v>5618.73</v>
      </c>
      <c r="F61" s="50">
        <f>VLOOKUP($A61,'Data Vlaue (Cr)'!$C:$FB,146)*100</f>
        <v>-24.47</v>
      </c>
      <c r="G61" s="49">
        <f>VLOOKUP($A61,'Data Vlaue (Cr)'!$C:$FB,43)</f>
        <v>630</v>
      </c>
      <c r="H61" s="49">
        <f>VLOOKUP($A61,'Data Vlaue (Cr)'!$C:$FB,44)</f>
        <v>803</v>
      </c>
      <c r="I61" s="49">
        <f>VLOOKUP($A61,'Data Vlaue (Cr)'!$C:$FB,46)*100</f>
        <v>-21.61</v>
      </c>
      <c r="J61" s="51">
        <f>VLOOKUP($A61,'Data Vlaue (Cr)'!$C:$FB,59)</f>
        <v>2322</v>
      </c>
      <c r="K61" s="51">
        <f>VLOOKUP($A61,'Data Vlaue (Cr)'!$C:$FB,60)</f>
        <v>2911</v>
      </c>
      <c r="L61" s="51">
        <f>VLOOKUP($A61,'Data Vlaue (Cr)'!$C:$FB,62)*100</f>
        <v>-20.21</v>
      </c>
      <c r="M61" s="51">
        <f>VLOOKUP($A61,'Data Vlaue (Cr)'!$C:$FB,63)</f>
        <v>1104</v>
      </c>
      <c r="N61" s="51">
        <f>VLOOKUP($A61,'Data Vlaue (Cr)'!$C:$FB,64)</f>
        <v>1710</v>
      </c>
      <c r="O61" s="51">
        <f>VLOOKUP($A61,'Data Vlaue (Cr)'!$C:$FB,66)*100</f>
        <v>-35.44</v>
      </c>
    </row>
    <row r="62" spans="1:15" x14ac:dyDescent="0.25">
      <c r="A62" s="101" t="str">
        <f>'Data Vlaue (Cr)'!C57</f>
        <v>DLF</v>
      </c>
      <c r="B62" s="50">
        <f>VLOOKUP($A62,'Data Vlaue (Cr)'!$C:$FB,8)</f>
        <v>585.15</v>
      </c>
      <c r="C62" s="50">
        <f>VLOOKUP($A62,'Data Vlaue (Cr)'!$C:$FB,11)*100</f>
        <v>2.83</v>
      </c>
      <c r="D62" s="50">
        <f>VLOOKUP($A62,'Data Vlaue (Cr)'!$C:$FB,143)</f>
        <v>1592.52</v>
      </c>
      <c r="E62" s="50">
        <f>VLOOKUP($A62,'Data Vlaue (Cr)'!$C:$FB,144)</f>
        <v>2748.41</v>
      </c>
      <c r="F62" s="50">
        <f>VLOOKUP($A62,'Data Vlaue (Cr)'!$C:$FB,146)*100</f>
        <v>-42.059999999999995</v>
      </c>
      <c r="G62" s="49">
        <f>VLOOKUP($A62,'Data Vlaue (Cr)'!$C:$FB,43)</f>
        <v>371</v>
      </c>
      <c r="H62" s="49">
        <f>VLOOKUP($A62,'Data Vlaue (Cr)'!$C:$FB,44)</f>
        <v>728</v>
      </c>
      <c r="I62" s="49">
        <f>VLOOKUP($A62,'Data Vlaue (Cr)'!$C:$FB,46)*100</f>
        <v>-49.05</v>
      </c>
      <c r="J62" s="51">
        <f>VLOOKUP($A62,'Data Vlaue (Cr)'!$C:$FB,59)</f>
        <v>777</v>
      </c>
      <c r="K62" s="51">
        <f>VLOOKUP($A62,'Data Vlaue (Cr)'!$C:$FB,60)</f>
        <v>1082</v>
      </c>
      <c r="L62" s="51">
        <f>VLOOKUP($A62,'Data Vlaue (Cr)'!$C:$FB,62)*100</f>
        <v>-28.21</v>
      </c>
      <c r="M62" s="51">
        <f>VLOOKUP($A62,'Data Vlaue (Cr)'!$C:$FB,63)</f>
        <v>404</v>
      </c>
      <c r="N62" s="51">
        <f>VLOOKUP($A62,'Data Vlaue (Cr)'!$C:$FB,64)</f>
        <v>911</v>
      </c>
      <c r="O62" s="51">
        <f>VLOOKUP($A62,'Data Vlaue (Cr)'!$C:$FB,66)*100</f>
        <v>-55.63</v>
      </c>
    </row>
    <row r="63" spans="1:15" x14ac:dyDescent="0.25">
      <c r="A63" s="101" t="str">
        <f>'Data Vlaue (Cr)'!C58</f>
        <v>DMART</v>
      </c>
      <c r="B63" s="50">
        <f>VLOOKUP($A63,'Data Vlaue (Cr)'!$C:$FB,8)</f>
        <v>3835.4</v>
      </c>
      <c r="C63" s="50">
        <f>VLOOKUP($A63,'Data Vlaue (Cr)'!$C:$FB,11)*100</f>
        <v>1.9800000000000002</v>
      </c>
      <c r="D63" s="50">
        <f>VLOOKUP($A63,'Data Vlaue (Cr)'!$C:$FB,143)</f>
        <v>1038.75</v>
      </c>
      <c r="E63" s="50">
        <f>VLOOKUP($A63,'Data Vlaue (Cr)'!$C:$FB,144)</f>
        <v>711.38</v>
      </c>
      <c r="F63" s="50">
        <f>VLOOKUP($A63,'Data Vlaue (Cr)'!$C:$FB,146)*100</f>
        <v>46.02</v>
      </c>
      <c r="G63" s="49">
        <f>VLOOKUP($A63,'Data Vlaue (Cr)'!$C:$FB,43)</f>
        <v>296</v>
      </c>
      <c r="H63" s="49">
        <f>VLOOKUP($A63,'Data Vlaue (Cr)'!$C:$FB,44)</f>
        <v>185</v>
      </c>
      <c r="I63" s="49">
        <f>VLOOKUP($A63,'Data Vlaue (Cr)'!$C:$FB,46)*100</f>
        <v>59.69</v>
      </c>
      <c r="J63" s="51">
        <f>VLOOKUP($A63,'Data Vlaue (Cr)'!$C:$FB,59)</f>
        <v>515</v>
      </c>
      <c r="K63" s="51">
        <f>VLOOKUP($A63,'Data Vlaue (Cr)'!$C:$FB,60)</f>
        <v>274</v>
      </c>
      <c r="L63" s="51">
        <f>VLOOKUP($A63,'Data Vlaue (Cr)'!$C:$FB,62)*100</f>
        <v>88.3</v>
      </c>
      <c r="M63" s="51">
        <f>VLOOKUP($A63,'Data Vlaue (Cr)'!$C:$FB,63)</f>
        <v>205</v>
      </c>
      <c r="N63" s="51">
        <f>VLOOKUP($A63,'Data Vlaue (Cr)'!$C:$FB,64)</f>
        <v>253</v>
      </c>
      <c r="O63" s="51">
        <f>VLOOKUP($A63,'Data Vlaue (Cr)'!$C:$FB,66)*100</f>
        <v>-18.96</v>
      </c>
    </row>
    <row r="64" spans="1:15" x14ac:dyDescent="0.25">
      <c r="A64" s="101" t="str">
        <f>'Data Vlaue (Cr)'!C59</f>
        <v>DRREDDY</v>
      </c>
      <c r="B64" s="50">
        <f>VLOOKUP($A64,'Data Vlaue (Cr)'!$C:$FB,8)</f>
        <v>1313.5</v>
      </c>
      <c r="C64" s="50">
        <f>VLOOKUP($A64,'Data Vlaue (Cr)'!$C:$FB,11)*100</f>
        <v>1.73</v>
      </c>
      <c r="D64" s="50">
        <f>VLOOKUP($A64,'Data Vlaue (Cr)'!$C:$FB,143)</f>
        <v>1648.23</v>
      </c>
      <c r="E64" s="50">
        <f>VLOOKUP($A64,'Data Vlaue (Cr)'!$C:$FB,144)</f>
        <v>1575.27</v>
      </c>
      <c r="F64" s="50">
        <f>VLOOKUP($A64,'Data Vlaue (Cr)'!$C:$FB,146)*100</f>
        <v>4.63</v>
      </c>
      <c r="G64" s="49">
        <f>VLOOKUP($A64,'Data Vlaue (Cr)'!$C:$FB,43)</f>
        <v>268</v>
      </c>
      <c r="H64" s="49">
        <f>VLOOKUP($A64,'Data Vlaue (Cr)'!$C:$FB,44)</f>
        <v>261</v>
      </c>
      <c r="I64" s="49">
        <f>VLOOKUP($A64,'Data Vlaue (Cr)'!$C:$FB,46)*100</f>
        <v>2.59</v>
      </c>
      <c r="J64" s="51">
        <f>VLOOKUP($A64,'Data Vlaue (Cr)'!$C:$FB,59)</f>
        <v>999</v>
      </c>
      <c r="K64" s="51">
        <f>VLOOKUP($A64,'Data Vlaue (Cr)'!$C:$FB,60)</f>
        <v>849</v>
      </c>
      <c r="L64" s="51">
        <f>VLOOKUP($A64,'Data Vlaue (Cr)'!$C:$FB,62)*100</f>
        <v>17.599999999999998</v>
      </c>
      <c r="M64" s="51">
        <f>VLOOKUP($A64,'Data Vlaue (Cr)'!$C:$FB,63)</f>
        <v>358</v>
      </c>
      <c r="N64" s="51">
        <f>VLOOKUP($A64,'Data Vlaue (Cr)'!$C:$FB,64)</f>
        <v>469</v>
      </c>
      <c r="O64" s="51">
        <f>VLOOKUP($A64,'Data Vlaue (Cr)'!$C:$FB,66)*100</f>
        <v>-23.69</v>
      </c>
    </row>
    <row r="65" spans="1:15" x14ac:dyDescent="0.25">
      <c r="A65" s="101" t="str">
        <f>'Data Vlaue (Cr)'!C60</f>
        <v>EICHERMOT</v>
      </c>
      <c r="B65" s="50">
        <f>VLOOKUP($A65,'Data Vlaue (Cr)'!$C:$FB,8)</f>
        <v>7755</v>
      </c>
      <c r="C65" s="50">
        <f>VLOOKUP($A65,'Data Vlaue (Cr)'!$C:$FB,11)*100</f>
        <v>1.68</v>
      </c>
      <c r="D65" s="50">
        <f>VLOOKUP($A65,'Data Vlaue (Cr)'!$C:$FB,143)</f>
        <v>2401.11</v>
      </c>
      <c r="E65" s="50">
        <f>VLOOKUP($A65,'Data Vlaue (Cr)'!$C:$FB,144)</f>
        <v>2737.18</v>
      </c>
      <c r="F65" s="50">
        <f>VLOOKUP($A65,'Data Vlaue (Cr)'!$C:$FB,146)*100</f>
        <v>-12.280000000000001</v>
      </c>
      <c r="G65" s="49">
        <f>VLOOKUP($A65,'Data Vlaue (Cr)'!$C:$FB,43)</f>
        <v>370</v>
      </c>
      <c r="H65" s="49">
        <f>VLOOKUP($A65,'Data Vlaue (Cr)'!$C:$FB,44)</f>
        <v>423</v>
      </c>
      <c r="I65" s="49">
        <f>VLOOKUP($A65,'Data Vlaue (Cr)'!$C:$FB,46)*100</f>
        <v>-12.6</v>
      </c>
      <c r="J65" s="51">
        <f>VLOOKUP($A65,'Data Vlaue (Cr)'!$C:$FB,59)</f>
        <v>1341</v>
      </c>
      <c r="K65" s="51">
        <f>VLOOKUP($A65,'Data Vlaue (Cr)'!$C:$FB,60)</f>
        <v>1186</v>
      </c>
      <c r="L65" s="51">
        <f>VLOOKUP($A65,'Data Vlaue (Cr)'!$C:$FB,62)*100</f>
        <v>13.04</v>
      </c>
      <c r="M65" s="51">
        <f>VLOOKUP($A65,'Data Vlaue (Cr)'!$C:$FB,63)</f>
        <v>627</v>
      </c>
      <c r="N65" s="51">
        <f>VLOOKUP($A65,'Data Vlaue (Cr)'!$C:$FB,64)</f>
        <v>1134</v>
      </c>
      <c r="O65" s="51">
        <f>VLOOKUP($A65,'Data Vlaue (Cr)'!$C:$FB,66)*100</f>
        <v>-44.71</v>
      </c>
    </row>
    <row r="66" spans="1:15" x14ac:dyDescent="0.25">
      <c r="A66" s="101" t="str">
        <f>'Data Vlaue (Cr)'!C61</f>
        <v>ETERNAL</v>
      </c>
      <c r="B66" s="50">
        <f>VLOOKUP($A66,'Data Vlaue (Cr)'!$C:$FB,8)</f>
        <v>240.14</v>
      </c>
      <c r="C66" s="50">
        <f>VLOOKUP($A66,'Data Vlaue (Cr)'!$C:$FB,11)*100</f>
        <v>-0.25</v>
      </c>
      <c r="D66" s="50">
        <f>VLOOKUP($A66,'Data Vlaue (Cr)'!$C:$FB,143)</f>
        <v>4966.38</v>
      </c>
      <c r="E66" s="50">
        <f>VLOOKUP($A66,'Data Vlaue (Cr)'!$C:$FB,144)</f>
        <v>3856.32</v>
      </c>
      <c r="F66" s="50">
        <f>VLOOKUP($A66,'Data Vlaue (Cr)'!$C:$FB,146)*100</f>
        <v>28.79</v>
      </c>
      <c r="G66" s="49">
        <f>VLOOKUP($A66,'Data Vlaue (Cr)'!$C:$FB,43)</f>
        <v>1077</v>
      </c>
      <c r="H66" s="49">
        <f>VLOOKUP($A66,'Data Vlaue (Cr)'!$C:$FB,44)</f>
        <v>982</v>
      </c>
      <c r="I66" s="49">
        <f>VLOOKUP($A66,'Data Vlaue (Cr)'!$C:$FB,46)*100</f>
        <v>9.66</v>
      </c>
      <c r="J66" s="51">
        <f>VLOOKUP($A66,'Data Vlaue (Cr)'!$C:$FB,59)</f>
        <v>2494</v>
      </c>
      <c r="K66" s="51">
        <f>VLOOKUP($A66,'Data Vlaue (Cr)'!$C:$FB,60)</f>
        <v>1817</v>
      </c>
      <c r="L66" s="51">
        <f>VLOOKUP($A66,'Data Vlaue (Cr)'!$C:$FB,62)*100</f>
        <v>37.31</v>
      </c>
      <c r="M66" s="51">
        <f>VLOOKUP($A66,'Data Vlaue (Cr)'!$C:$FB,63)</f>
        <v>1172</v>
      </c>
      <c r="N66" s="51">
        <f>VLOOKUP($A66,'Data Vlaue (Cr)'!$C:$FB,64)</f>
        <v>877</v>
      </c>
      <c r="O66" s="51">
        <f>VLOOKUP($A66,'Data Vlaue (Cr)'!$C:$FB,66)*100</f>
        <v>33.64</v>
      </c>
    </row>
    <row r="67" spans="1:15" x14ac:dyDescent="0.25">
      <c r="A67" s="101" t="str">
        <f>'Data Vlaue (Cr)'!C62</f>
        <v>EXIDEIND</v>
      </c>
      <c r="B67" s="50">
        <f>VLOOKUP($A67,'Data Vlaue (Cr)'!$C:$FB,8)</f>
        <v>319.64999999999998</v>
      </c>
      <c r="C67" s="50">
        <f>VLOOKUP($A67,'Data Vlaue (Cr)'!$C:$FB,11)*100</f>
        <v>1.82</v>
      </c>
      <c r="D67" s="50">
        <f>VLOOKUP($A67,'Data Vlaue (Cr)'!$C:$FB,143)</f>
        <v>424.77</v>
      </c>
      <c r="E67" s="50">
        <f>VLOOKUP($A67,'Data Vlaue (Cr)'!$C:$FB,144)</f>
        <v>405.39</v>
      </c>
      <c r="F67" s="50">
        <f>VLOOKUP($A67,'Data Vlaue (Cr)'!$C:$FB,146)*100</f>
        <v>4.78</v>
      </c>
      <c r="G67" s="49">
        <f>VLOOKUP($A67,'Data Vlaue (Cr)'!$C:$FB,43)</f>
        <v>101</v>
      </c>
      <c r="H67" s="49">
        <f>VLOOKUP($A67,'Data Vlaue (Cr)'!$C:$FB,44)</f>
        <v>106</v>
      </c>
      <c r="I67" s="49">
        <f>VLOOKUP($A67,'Data Vlaue (Cr)'!$C:$FB,46)*100</f>
        <v>-4.7300000000000004</v>
      </c>
      <c r="J67" s="51">
        <f>VLOOKUP($A67,'Data Vlaue (Cr)'!$C:$FB,59)</f>
        <v>199</v>
      </c>
      <c r="K67" s="51">
        <f>VLOOKUP($A67,'Data Vlaue (Cr)'!$C:$FB,60)</f>
        <v>204</v>
      </c>
      <c r="L67" s="51">
        <f>VLOOKUP($A67,'Data Vlaue (Cr)'!$C:$FB,62)*100</f>
        <v>-2.6</v>
      </c>
      <c r="M67" s="51">
        <f>VLOOKUP($A67,'Data Vlaue (Cr)'!$C:$FB,63)</f>
        <v>110</v>
      </c>
      <c r="N67" s="51">
        <f>VLOOKUP($A67,'Data Vlaue (Cr)'!$C:$FB,64)</f>
        <v>80</v>
      </c>
      <c r="O67" s="51">
        <f>VLOOKUP($A67,'Data Vlaue (Cr)'!$C:$FB,66)*100</f>
        <v>36.840000000000003</v>
      </c>
    </row>
    <row r="68" spans="1:15" x14ac:dyDescent="0.25">
      <c r="A68" s="101" t="str">
        <f>'Data Vlaue (Cr)'!C63</f>
        <v>FEDERALBNK</v>
      </c>
      <c r="B68" s="50">
        <f>VLOOKUP($A68,'Data Vlaue (Cr)'!$C:$FB,8)</f>
        <v>289.7</v>
      </c>
      <c r="C68" s="50">
        <f>VLOOKUP($A68,'Data Vlaue (Cr)'!$C:$FB,11)*100</f>
        <v>1.1299999999999999</v>
      </c>
      <c r="D68" s="50">
        <f>VLOOKUP($A68,'Data Vlaue (Cr)'!$C:$FB,143)</f>
        <v>2943.53</v>
      </c>
      <c r="E68" s="50">
        <f>VLOOKUP($A68,'Data Vlaue (Cr)'!$C:$FB,144)</f>
        <v>3937.63</v>
      </c>
      <c r="F68" s="50">
        <f>VLOOKUP($A68,'Data Vlaue (Cr)'!$C:$FB,146)*100</f>
        <v>-25.25</v>
      </c>
      <c r="G68" s="49">
        <f>VLOOKUP($A68,'Data Vlaue (Cr)'!$C:$FB,43)</f>
        <v>536</v>
      </c>
      <c r="H68" s="49">
        <f>VLOOKUP($A68,'Data Vlaue (Cr)'!$C:$FB,44)</f>
        <v>994</v>
      </c>
      <c r="I68" s="49">
        <f>VLOOKUP($A68,'Data Vlaue (Cr)'!$C:$FB,46)*100</f>
        <v>-46.1</v>
      </c>
      <c r="J68" s="51">
        <f>VLOOKUP($A68,'Data Vlaue (Cr)'!$C:$FB,59)</f>
        <v>1386</v>
      </c>
      <c r="K68" s="51">
        <f>VLOOKUP($A68,'Data Vlaue (Cr)'!$C:$FB,60)</f>
        <v>1477</v>
      </c>
      <c r="L68" s="51">
        <f>VLOOKUP($A68,'Data Vlaue (Cr)'!$C:$FB,62)*100</f>
        <v>-6.13</v>
      </c>
      <c r="M68" s="51">
        <f>VLOOKUP($A68,'Data Vlaue (Cr)'!$C:$FB,63)</f>
        <v>971</v>
      </c>
      <c r="N68" s="51">
        <f>VLOOKUP($A68,'Data Vlaue (Cr)'!$C:$FB,64)</f>
        <v>1424</v>
      </c>
      <c r="O68" s="51">
        <f>VLOOKUP($A68,'Data Vlaue (Cr)'!$C:$FB,66)*100</f>
        <v>-31.840000000000003</v>
      </c>
    </row>
    <row r="69" spans="1:15" x14ac:dyDescent="0.25">
      <c r="A69" s="101" t="str">
        <f>'Data Vlaue (Cr)'!C64</f>
        <v>FINNIFTY</v>
      </c>
      <c r="B69" s="50">
        <f>VLOOKUP($A69,'Data Vlaue (Cr)'!$C:$FB,8)</f>
        <v>27235.8</v>
      </c>
      <c r="C69" s="50">
        <f>VLOOKUP($A69,'Data Vlaue (Cr)'!$C:$FB,11)*100</f>
        <v>0.8</v>
      </c>
      <c r="D69" s="50">
        <f>VLOOKUP($A69,'Data Vlaue (Cr)'!$C:$FB,143)</f>
        <v>7168.33</v>
      </c>
      <c r="E69" s="50">
        <f>VLOOKUP($A69,'Data Vlaue (Cr)'!$C:$FB,144)</f>
        <v>7115.75</v>
      </c>
      <c r="F69" s="50">
        <f>VLOOKUP($A69,'Data Vlaue (Cr)'!$C:$FB,146)*100</f>
        <v>0.74</v>
      </c>
      <c r="G69" s="49">
        <f>VLOOKUP($A69,'Data Vlaue (Cr)'!$C:$FB,43)</f>
        <v>97</v>
      </c>
      <c r="H69" s="49">
        <f>VLOOKUP($A69,'Data Vlaue (Cr)'!$C:$FB,44)</f>
        <v>133</v>
      </c>
      <c r="I69" s="49">
        <f>VLOOKUP($A69,'Data Vlaue (Cr)'!$C:$FB,46)*100</f>
        <v>-27.41</v>
      </c>
      <c r="J69" s="51">
        <f>VLOOKUP($A69,'Data Vlaue (Cr)'!$C:$FB,59)</f>
        <v>3399</v>
      </c>
      <c r="K69" s="51">
        <f>VLOOKUP($A69,'Data Vlaue (Cr)'!$C:$FB,60)</f>
        <v>3052</v>
      </c>
      <c r="L69" s="51">
        <f>VLOOKUP($A69,'Data Vlaue (Cr)'!$C:$FB,62)*100</f>
        <v>11.35</v>
      </c>
      <c r="M69" s="51">
        <f>VLOOKUP($A69,'Data Vlaue (Cr)'!$C:$FB,63)</f>
        <v>3662</v>
      </c>
      <c r="N69" s="51">
        <f>VLOOKUP($A69,'Data Vlaue (Cr)'!$C:$FB,64)</f>
        <v>3938</v>
      </c>
      <c r="O69" s="51">
        <f>VLOOKUP($A69,'Data Vlaue (Cr)'!$C:$FB,66)*100</f>
        <v>-7.02</v>
      </c>
    </row>
    <row r="70" spans="1:15" x14ac:dyDescent="0.25">
      <c r="A70" s="101" t="str">
        <f>'Data Vlaue (Cr)'!C65</f>
        <v>FORTIS</v>
      </c>
      <c r="B70" s="50">
        <f>VLOOKUP($A70,'Data Vlaue (Cr)'!$C:$FB,8)</f>
        <v>920.95</v>
      </c>
      <c r="C70" s="50">
        <f>VLOOKUP($A70,'Data Vlaue (Cr)'!$C:$FB,11)*100</f>
        <v>1.0999999999999999</v>
      </c>
      <c r="D70" s="50">
        <f>VLOOKUP($A70,'Data Vlaue (Cr)'!$C:$FB,143)</f>
        <v>488.51</v>
      </c>
      <c r="E70" s="50">
        <f>VLOOKUP($A70,'Data Vlaue (Cr)'!$C:$FB,144)</f>
        <v>666.64</v>
      </c>
      <c r="F70" s="50">
        <f>VLOOKUP($A70,'Data Vlaue (Cr)'!$C:$FB,146)*100</f>
        <v>-26.72</v>
      </c>
      <c r="G70" s="49">
        <f>VLOOKUP($A70,'Data Vlaue (Cr)'!$C:$FB,43)</f>
        <v>89</v>
      </c>
      <c r="H70" s="49">
        <f>VLOOKUP($A70,'Data Vlaue (Cr)'!$C:$FB,44)</f>
        <v>146</v>
      </c>
      <c r="I70" s="49">
        <f>VLOOKUP($A70,'Data Vlaue (Cr)'!$C:$FB,46)*100</f>
        <v>-38.81</v>
      </c>
      <c r="J70" s="51">
        <f>VLOOKUP($A70,'Data Vlaue (Cr)'!$C:$FB,59)</f>
        <v>260</v>
      </c>
      <c r="K70" s="51">
        <f>VLOOKUP($A70,'Data Vlaue (Cr)'!$C:$FB,60)</f>
        <v>345</v>
      </c>
      <c r="L70" s="51">
        <f>VLOOKUP($A70,'Data Vlaue (Cr)'!$C:$FB,62)*100</f>
        <v>-24.82</v>
      </c>
      <c r="M70" s="51">
        <f>VLOOKUP($A70,'Data Vlaue (Cr)'!$C:$FB,63)</f>
        <v>129</v>
      </c>
      <c r="N70" s="51">
        <f>VLOOKUP($A70,'Data Vlaue (Cr)'!$C:$FB,64)</f>
        <v>160</v>
      </c>
      <c r="O70" s="51">
        <f>VLOOKUP($A70,'Data Vlaue (Cr)'!$C:$FB,66)*100</f>
        <v>-19.41</v>
      </c>
    </row>
    <row r="71" spans="1:15" x14ac:dyDescent="0.25">
      <c r="A71" s="101" t="str">
        <f>'Data Vlaue (Cr)'!C66</f>
        <v>GAIL</v>
      </c>
      <c r="B71" s="50">
        <f>VLOOKUP($A71,'Data Vlaue (Cr)'!$C:$FB,8)</f>
        <v>156.72999999999999</v>
      </c>
      <c r="C71" s="50">
        <f>VLOOKUP($A71,'Data Vlaue (Cr)'!$C:$FB,11)*100</f>
        <v>1.37</v>
      </c>
      <c r="D71" s="50">
        <f>VLOOKUP($A71,'Data Vlaue (Cr)'!$C:$FB,143)</f>
        <v>1776.78</v>
      </c>
      <c r="E71" s="50">
        <f>VLOOKUP($A71,'Data Vlaue (Cr)'!$C:$FB,144)</f>
        <v>3595.08</v>
      </c>
      <c r="F71" s="50">
        <f>VLOOKUP($A71,'Data Vlaue (Cr)'!$C:$FB,146)*100</f>
        <v>-50.580000000000005</v>
      </c>
      <c r="G71" s="49">
        <f>VLOOKUP($A71,'Data Vlaue (Cr)'!$C:$FB,43)</f>
        <v>532</v>
      </c>
      <c r="H71" s="49">
        <f>VLOOKUP($A71,'Data Vlaue (Cr)'!$C:$FB,44)</f>
        <v>689</v>
      </c>
      <c r="I71" s="49">
        <f>VLOOKUP($A71,'Data Vlaue (Cr)'!$C:$FB,46)*100</f>
        <v>-22.79</v>
      </c>
      <c r="J71" s="51">
        <f>VLOOKUP($A71,'Data Vlaue (Cr)'!$C:$FB,59)</f>
        <v>630</v>
      </c>
      <c r="K71" s="51">
        <f>VLOOKUP($A71,'Data Vlaue (Cr)'!$C:$FB,60)</f>
        <v>1150</v>
      </c>
      <c r="L71" s="51">
        <f>VLOOKUP($A71,'Data Vlaue (Cr)'!$C:$FB,62)*100</f>
        <v>-45.16</v>
      </c>
      <c r="M71" s="51">
        <f>VLOOKUP($A71,'Data Vlaue (Cr)'!$C:$FB,63)</f>
        <v>586</v>
      </c>
      <c r="N71" s="51">
        <f>VLOOKUP($A71,'Data Vlaue (Cr)'!$C:$FB,64)</f>
        <v>1678</v>
      </c>
      <c r="O71" s="51">
        <f>VLOOKUP($A71,'Data Vlaue (Cr)'!$C:$FB,66)*100</f>
        <v>-65.100000000000009</v>
      </c>
    </row>
    <row r="72" spans="1:15" x14ac:dyDescent="0.25">
      <c r="A72" s="101" t="str">
        <f>'Data Vlaue (Cr)'!C67</f>
        <v>GLENMARK</v>
      </c>
      <c r="B72" s="50">
        <f>VLOOKUP($A72,'Data Vlaue (Cr)'!$C:$FB,8)</f>
        <v>2108.9</v>
      </c>
      <c r="C72" s="50">
        <f>VLOOKUP($A72,'Data Vlaue (Cr)'!$C:$FB,11)*100</f>
        <v>3.39</v>
      </c>
      <c r="D72" s="50">
        <f>VLOOKUP($A72,'Data Vlaue (Cr)'!$C:$FB,143)</f>
        <v>868.75</v>
      </c>
      <c r="E72" s="50">
        <f>VLOOKUP($A72,'Data Vlaue (Cr)'!$C:$FB,144)</f>
        <v>995.75</v>
      </c>
      <c r="F72" s="50">
        <f>VLOOKUP($A72,'Data Vlaue (Cr)'!$C:$FB,146)*100</f>
        <v>-12.75</v>
      </c>
      <c r="G72" s="49">
        <f>VLOOKUP($A72,'Data Vlaue (Cr)'!$C:$FB,43)</f>
        <v>263</v>
      </c>
      <c r="H72" s="49">
        <f>VLOOKUP($A72,'Data Vlaue (Cr)'!$C:$FB,44)</f>
        <v>237</v>
      </c>
      <c r="I72" s="49">
        <f>VLOOKUP($A72,'Data Vlaue (Cr)'!$C:$FB,46)*100</f>
        <v>11.07</v>
      </c>
      <c r="J72" s="51">
        <f>VLOOKUP($A72,'Data Vlaue (Cr)'!$C:$FB,59)</f>
        <v>449</v>
      </c>
      <c r="K72" s="51">
        <f>VLOOKUP($A72,'Data Vlaue (Cr)'!$C:$FB,60)</f>
        <v>498</v>
      </c>
      <c r="L72" s="51">
        <f>VLOOKUP($A72,'Data Vlaue (Cr)'!$C:$FB,62)*100</f>
        <v>-9.83</v>
      </c>
      <c r="M72" s="51">
        <f>VLOOKUP($A72,'Data Vlaue (Cr)'!$C:$FB,63)</f>
        <v>144</v>
      </c>
      <c r="N72" s="51">
        <f>VLOOKUP($A72,'Data Vlaue (Cr)'!$C:$FB,64)</f>
        <v>250</v>
      </c>
      <c r="O72" s="51">
        <f>VLOOKUP($A72,'Data Vlaue (Cr)'!$C:$FB,66)*100</f>
        <v>-42.6</v>
      </c>
    </row>
    <row r="73" spans="1:15" x14ac:dyDescent="0.25">
      <c r="A73" s="101" t="str">
        <f>'Data Vlaue (Cr)'!C68</f>
        <v>GMRAIRPORT</v>
      </c>
      <c r="B73" s="50">
        <f>VLOOKUP($A73,'Data Vlaue (Cr)'!$C:$FB,8)</f>
        <v>97.98</v>
      </c>
      <c r="C73" s="50">
        <f>VLOOKUP($A73,'Data Vlaue (Cr)'!$C:$FB,11)*100</f>
        <v>2.92</v>
      </c>
      <c r="D73" s="50">
        <f>VLOOKUP($A73,'Data Vlaue (Cr)'!$C:$FB,143)</f>
        <v>682.95</v>
      </c>
      <c r="E73" s="50">
        <f>VLOOKUP($A73,'Data Vlaue (Cr)'!$C:$FB,144)</f>
        <v>1004.36</v>
      </c>
      <c r="F73" s="50">
        <f>VLOOKUP($A73,'Data Vlaue (Cr)'!$C:$FB,146)*100</f>
        <v>-32</v>
      </c>
      <c r="G73" s="49">
        <f>VLOOKUP($A73,'Data Vlaue (Cr)'!$C:$FB,43)</f>
        <v>227</v>
      </c>
      <c r="H73" s="49">
        <f>VLOOKUP($A73,'Data Vlaue (Cr)'!$C:$FB,44)</f>
        <v>268</v>
      </c>
      <c r="I73" s="49">
        <f>VLOOKUP($A73,'Data Vlaue (Cr)'!$C:$FB,46)*100</f>
        <v>-15.15</v>
      </c>
      <c r="J73" s="51">
        <f>VLOOKUP($A73,'Data Vlaue (Cr)'!$C:$FB,59)</f>
        <v>267</v>
      </c>
      <c r="K73" s="51">
        <f>VLOOKUP($A73,'Data Vlaue (Cr)'!$C:$FB,60)</f>
        <v>350</v>
      </c>
      <c r="L73" s="51">
        <f>VLOOKUP($A73,'Data Vlaue (Cr)'!$C:$FB,62)*100</f>
        <v>-23.66</v>
      </c>
      <c r="M73" s="51">
        <f>VLOOKUP($A73,'Data Vlaue (Cr)'!$C:$FB,63)</f>
        <v>184</v>
      </c>
      <c r="N73" s="51">
        <f>VLOOKUP($A73,'Data Vlaue (Cr)'!$C:$FB,64)</f>
        <v>402</v>
      </c>
      <c r="O73" s="51">
        <f>VLOOKUP($A73,'Data Vlaue (Cr)'!$C:$FB,66)*100</f>
        <v>-54.33</v>
      </c>
    </row>
    <row r="74" spans="1:15" x14ac:dyDescent="0.25">
      <c r="A74" s="101" t="str">
        <f>'Data Vlaue (Cr)'!C69</f>
        <v>GODREJCP</v>
      </c>
      <c r="B74" s="50">
        <f>VLOOKUP($A74,'Data Vlaue (Cr)'!$C:$FB,8)</f>
        <v>1132.4000000000001</v>
      </c>
      <c r="C74" s="50">
        <f>VLOOKUP($A74,'Data Vlaue (Cr)'!$C:$FB,11)*100</f>
        <v>-0.44999999999999996</v>
      </c>
      <c r="D74" s="50">
        <f>VLOOKUP($A74,'Data Vlaue (Cr)'!$C:$FB,143)</f>
        <v>334.63</v>
      </c>
      <c r="E74" s="50">
        <f>VLOOKUP($A74,'Data Vlaue (Cr)'!$C:$FB,144)</f>
        <v>719.36</v>
      </c>
      <c r="F74" s="50">
        <f>VLOOKUP($A74,'Data Vlaue (Cr)'!$C:$FB,146)*100</f>
        <v>-53.480000000000004</v>
      </c>
      <c r="G74" s="49">
        <f>VLOOKUP($A74,'Data Vlaue (Cr)'!$C:$FB,43)</f>
        <v>150</v>
      </c>
      <c r="H74" s="49">
        <f>VLOOKUP($A74,'Data Vlaue (Cr)'!$C:$FB,44)</f>
        <v>264</v>
      </c>
      <c r="I74" s="49">
        <f>VLOOKUP($A74,'Data Vlaue (Cr)'!$C:$FB,46)*100</f>
        <v>-43.2</v>
      </c>
      <c r="J74" s="51">
        <f>VLOOKUP($A74,'Data Vlaue (Cr)'!$C:$FB,59)</f>
        <v>103</v>
      </c>
      <c r="K74" s="51">
        <f>VLOOKUP($A74,'Data Vlaue (Cr)'!$C:$FB,60)</f>
        <v>243</v>
      </c>
      <c r="L74" s="51">
        <f>VLOOKUP($A74,'Data Vlaue (Cr)'!$C:$FB,62)*100</f>
        <v>-57.769999999999996</v>
      </c>
      <c r="M74" s="51">
        <f>VLOOKUP($A74,'Data Vlaue (Cr)'!$C:$FB,63)</f>
        <v>74</v>
      </c>
      <c r="N74" s="51">
        <f>VLOOKUP($A74,'Data Vlaue (Cr)'!$C:$FB,64)</f>
        <v>189</v>
      </c>
      <c r="O74" s="51">
        <f>VLOOKUP($A74,'Data Vlaue (Cr)'!$C:$FB,66)*100</f>
        <v>-61.11</v>
      </c>
    </row>
    <row r="75" spans="1:15" x14ac:dyDescent="0.25">
      <c r="A75" s="101" t="str">
        <f>'Data Vlaue (Cr)'!C70</f>
        <v>GODREJPROP</v>
      </c>
      <c r="B75" s="50">
        <f>VLOOKUP($A75,'Data Vlaue (Cr)'!$C:$FB,8)</f>
        <v>1743.8</v>
      </c>
      <c r="C75" s="50">
        <f>VLOOKUP($A75,'Data Vlaue (Cr)'!$C:$FB,11)*100</f>
        <v>2.96</v>
      </c>
      <c r="D75" s="50">
        <f>VLOOKUP($A75,'Data Vlaue (Cr)'!$C:$FB,143)</f>
        <v>1113.29</v>
      </c>
      <c r="E75" s="50">
        <f>VLOOKUP($A75,'Data Vlaue (Cr)'!$C:$FB,144)</f>
        <v>1410.11</v>
      </c>
      <c r="F75" s="50">
        <f>VLOOKUP($A75,'Data Vlaue (Cr)'!$C:$FB,146)*100</f>
        <v>-21.05</v>
      </c>
      <c r="G75" s="49">
        <f>VLOOKUP($A75,'Data Vlaue (Cr)'!$C:$FB,43)</f>
        <v>343</v>
      </c>
      <c r="H75" s="49">
        <f>VLOOKUP($A75,'Data Vlaue (Cr)'!$C:$FB,44)</f>
        <v>349</v>
      </c>
      <c r="I75" s="49">
        <f>VLOOKUP($A75,'Data Vlaue (Cr)'!$C:$FB,46)*100</f>
        <v>-1.5</v>
      </c>
      <c r="J75" s="51">
        <f>VLOOKUP($A75,'Data Vlaue (Cr)'!$C:$FB,59)</f>
        <v>471</v>
      </c>
      <c r="K75" s="51">
        <f>VLOOKUP($A75,'Data Vlaue (Cr)'!$C:$FB,60)</f>
        <v>582</v>
      </c>
      <c r="L75" s="51">
        <f>VLOOKUP($A75,'Data Vlaue (Cr)'!$C:$FB,62)*100</f>
        <v>-18.990000000000002</v>
      </c>
      <c r="M75" s="51">
        <f>VLOOKUP($A75,'Data Vlaue (Cr)'!$C:$FB,63)</f>
        <v>283</v>
      </c>
      <c r="N75" s="51">
        <f>VLOOKUP($A75,'Data Vlaue (Cr)'!$C:$FB,64)</f>
        <v>480</v>
      </c>
      <c r="O75" s="51">
        <f>VLOOKUP($A75,'Data Vlaue (Cr)'!$C:$FB,66)*100</f>
        <v>-40.98</v>
      </c>
    </row>
    <row r="76" spans="1:15" x14ac:dyDescent="0.25">
      <c r="A76" s="101" t="str">
        <f>'Data Vlaue (Cr)'!C71</f>
        <v>GRASIM</v>
      </c>
      <c r="B76" s="50">
        <f>VLOOKUP($A76,'Data Vlaue (Cr)'!$C:$FB,8)</f>
        <v>2724.1</v>
      </c>
      <c r="C76" s="50">
        <f>VLOOKUP($A76,'Data Vlaue (Cr)'!$C:$FB,11)*100</f>
        <v>1.52</v>
      </c>
      <c r="D76" s="50">
        <f>VLOOKUP($A76,'Data Vlaue (Cr)'!$C:$FB,143)</f>
        <v>1507.63</v>
      </c>
      <c r="E76" s="50">
        <f>VLOOKUP($A76,'Data Vlaue (Cr)'!$C:$FB,144)</f>
        <v>1926.41</v>
      </c>
      <c r="F76" s="50">
        <f>VLOOKUP($A76,'Data Vlaue (Cr)'!$C:$FB,146)*100</f>
        <v>-21.740000000000002</v>
      </c>
      <c r="G76" s="49">
        <f>VLOOKUP($A76,'Data Vlaue (Cr)'!$C:$FB,43)</f>
        <v>501</v>
      </c>
      <c r="H76" s="49">
        <f>VLOOKUP($A76,'Data Vlaue (Cr)'!$C:$FB,44)</f>
        <v>413</v>
      </c>
      <c r="I76" s="49">
        <f>VLOOKUP($A76,'Data Vlaue (Cr)'!$C:$FB,46)*100</f>
        <v>21.529999999999998</v>
      </c>
      <c r="J76" s="51">
        <f>VLOOKUP($A76,'Data Vlaue (Cr)'!$C:$FB,59)</f>
        <v>692</v>
      </c>
      <c r="K76" s="51">
        <f>VLOOKUP($A76,'Data Vlaue (Cr)'!$C:$FB,60)</f>
        <v>858</v>
      </c>
      <c r="L76" s="51">
        <f>VLOOKUP($A76,'Data Vlaue (Cr)'!$C:$FB,62)*100</f>
        <v>-19.329999999999998</v>
      </c>
      <c r="M76" s="51">
        <f>VLOOKUP($A76,'Data Vlaue (Cr)'!$C:$FB,63)</f>
        <v>288</v>
      </c>
      <c r="N76" s="51">
        <f>VLOOKUP($A76,'Data Vlaue (Cr)'!$C:$FB,64)</f>
        <v>626</v>
      </c>
      <c r="O76" s="51">
        <f>VLOOKUP($A76,'Data Vlaue (Cr)'!$C:$FB,66)*100</f>
        <v>-53.900000000000006</v>
      </c>
    </row>
    <row r="77" spans="1:15" x14ac:dyDescent="0.25">
      <c r="A77" s="101" t="str">
        <f>'Data Vlaue (Cr)'!C72</f>
        <v>HAL</v>
      </c>
      <c r="B77" s="50">
        <f>VLOOKUP($A77,'Data Vlaue (Cr)'!$C:$FB,8)</f>
        <v>3891.8</v>
      </c>
      <c r="C77" s="50">
        <f>VLOOKUP($A77,'Data Vlaue (Cr)'!$C:$FB,11)*100</f>
        <v>0.38999999999999996</v>
      </c>
      <c r="D77" s="50">
        <f>VLOOKUP($A77,'Data Vlaue (Cr)'!$C:$FB,143)</f>
        <v>6554.19</v>
      </c>
      <c r="E77" s="50">
        <f>VLOOKUP($A77,'Data Vlaue (Cr)'!$C:$FB,144)</f>
        <v>4923.21</v>
      </c>
      <c r="F77" s="50">
        <f>VLOOKUP($A77,'Data Vlaue (Cr)'!$C:$FB,146)*100</f>
        <v>33.129999999999995</v>
      </c>
      <c r="G77" s="49">
        <f>VLOOKUP($A77,'Data Vlaue (Cr)'!$C:$FB,43)</f>
        <v>1028</v>
      </c>
      <c r="H77" s="49">
        <f>VLOOKUP($A77,'Data Vlaue (Cr)'!$C:$FB,44)</f>
        <v>694</v>
      </c>
      <c r="I77" s="49">
        <f>VLOOKUP($A77,'Data Vlaue (Cr)'!$C:$FB,46)*100</f>
        <v>48.19</v>
      </c>
      <c r="J77" s="51">
        <f>VLOOKUP($A77,'Data Vlaue (Cr)'!$C:$FB,59)</f>
        <v>3864</v>
      </c>
      <c r="K77" s="51">
        <f>VLOOKUP($A77,'Data Vlaue (Cr)'!$C:$FB,60)</f>
        <v>2851</v>
      </c>
      <c r="L77" s="51">
        <f>VLOOKUP($A77,'Data Vlaue (Cr)'!$C:$FB,62)*100</f>
        <v>35.510000000000005</v>
      </c>
      <c r="M77" s="51">
        <f>VLOOKUP($A77,'Data Vlaue (Cr)'!$C:$FB,63)</f>
        <v>1351</v>
      </c>
      <c r="N77" s="51">
        <f>VLOOKUP($A77,'Data Vlaue (Cr)'!$C:$FB,64)</f>
        <v>1139</v>
      </c>
      <c r="O77" s="51">
        <f>VLOOKUP($A77,'Data Vlaue (Cr)'!$C:$FB,66)*100</f>
        <v>18.63</v>
      </c>
    </row>
    <row r="78" spans="1:15" x14ac:dyDescent="0.25">
      <c r="A78" s="101" t="str">
        <f>'Data Vlaue (Cr)'!C73</f>
        <v>HAVELLS</v>
      </c>
      <c r="B78" s="50">
        <f>VLOOKUP($A78,'Data Vlaue (Cr)'!$C:$FB,8)</f>
        <v>1352.5</v>
      </c>
      <c r="C78" s="50">
        <f>VLOOKUP($A78,'Data Vlaue (Cr)'!$C:$FB,11)*100</f>
        <v>2.56</v>
      </c>
      <c r="D78" s="50">
        <f>VLOOKUP($A78,'Data Vlaue (Cr)'!$C:$FB,143)</f>
        <v>549.19000000000005</v>
      </c>
      <c r="E78" s="50">
        <f>VLOOKUP($A78,'Data Vlaue (Cr)'!$C:$FB,144)</f>
        <v>779.77</v>
      </c>
      <c r="F78" s="50">
        <f>VLOOKUP($A78,'Data Vlaue (Cr)'!$C:$FB,146)*100</f>
        <v>-29.57</v>
      </c>
      <c r="G78" s="49">
        <f>VLOOKUP($A78,'Data Vlaue (Cr)'!$C:$FB,43)</f>
        <v>128</v>
      </c>
      <c r="H78" s="49">
        <f>VLOOKUP($A78,'Data Vlaue (Cr)'!$C:$FB,44)</f>
        <v>180</v>
      </c>
      <c r="I78" s="49">
        <f>VLOOKUP($A78,'Data Vlaue (Cr)'!$C:$FB,46)*100</f>
        <v>-28.88</v>
      </c>
      <c r="J78" s="51">
        <f>VLOOKUP($A78,'Data Vlaue (Cr)'!$C:$FB,59)</f>
        <v>306</v>
      </c>
      <c r="K78" s="51">
        <f>VLOOKUP($A78,'Data Vlaue (Cr)'!$C:$FB,60)</f>
        <v>312</v>
      </c>
      <c r="L78" s="51">
        <f>VLOOKUP($A78,'Data Vlaue (Cr)'!$C:$FB,62)*100</f>
        <v>-2.08</v>
      </c>
      <c r="M78" s="51">
        <f>VLOOKUP($A78,'Data Vlaue (Cr)'!$C:$FB,63)</f>
        <v>97</v>
      </c>
      <c r="N78" s="51">
        <f>VLOOKUP($A78,'Data Vlaue (Cr)'!$C:$FB,64)</f>
        <v>284</v>
      </c>
      <c r="O78" s="51">
        <f>VLOOKUP($A78,'Data Vlaue (Cr)'!$C:$FB,66)*100</f>
        <v>-65.66</v>
      </c>
    </row>
    <row r="79" spans="1:15" x14ac:dyDescent="0.25">
      <c r="A79" s="101" t="str">
        <f>'Data Vlaue (Cr)'!C74</f>
        <v>HCLTECH</v>
      </c>
      <c r="B79" s="50">
        <f>VLOOKUP($A79,'Data Vlaue (Cr)'!$C:$FB,8)</f>
        <v>1354.1</v>
      </c>
      <c r="C79" s="50">
        <f>VLOOKUP($A79,'Data Vlaue (Cr)'!$C:$FB,11)*100</f>
        <v>-0.73</v>
      </c>
      <c r="D79" s="50">
        <f>VLOOKUP($A79,'Data Vlaue (Cr)'!$C:$FB,143)</f>
        <v>1926.65</v>
      </c>
      <c r="E79" s="50">
        <f>VLOOKUP($A79,'Data Vlaue (Cr)'!$C:$FB,144)</f>
        <v>1440.81</v>
      </c>
      <c r="F79" s="50">
        <f>VLOOKUP($A79,'Data Vlaue (Cr)'!$C:$FB,146)*100</f>
        <v>33.72</v>
      </c>
      <c r="G79" s="49">
        <f>VLOOKUP($A79,'Data Vlaue (Cr)'!$C:$FB,43)</f>
        <v>376</v>
      </c>
      <c r="H79" s="49">
        <f>VLOOKUP($A79,'Data Vlaue (Cr)'!$C:$FB,44)</f>
        <v>352</v>
      </c>
      <c r="I79" s="49">
        <f>VLOOKUP($A79,'Data Vlaue (Cr)'!$C:$FB,46)*100</f>
        <v>6.8900000000000006</v>
      </c>
      <c r="J79" s="51">
        <f>VLOOKUP($A79,'Data Vlaue (Cr)'!$C:$FB,59)</f>
        <v>844</v>
      </c>
      <c r="K79" s="51">
        <f>VLOOKUP($A79,'Data Vlaue (Cr)'!$C:$FB,60)</f>
        <v>654</v>
      </c>
      <c r="L79" s="51">
        <f>VLOOKUP($A79,'Data Vlaue (Cr)'!$C:$FB,62)*100</f>
        <v>29.09</v>
      </c>
      <c r="M79" s="51">
        <f>VLOOKUP($A79,'Data Vlaue (Cr)'!$C:$FB,63)</f>
        <v>650</v>
      </c>
      <c r="N79" s="51">
        <f>VLOOKUP($A79,'Data Vlaue (Cr)'!$C:$FB,64)</f>
        <v>376</v>
      </c>
      <c r="O79" s="51">
        <f>VLOOKUP($A79,'Data Vlaue (Cr)'!$C:$FB,66)*100</f>
        <v>72.94</v>
      </c>
    </row>
    <row r="80" spans="1:15" x14ac:dyDescent="0.25">
      <c r="A80" s="101" t="str">
        <f>'Data Vlaue (Cr)'!C75</f>
        <v>HDFCAMC</v>
      </c>
      <c r="B80" s="50">
        <f>VLOOKUP($A80,'Data Vlaue (Cr)'!$C:$FB,8)</f>
        <v>2559</v>
      </c>
      <c r="C80" s="50">
        <f>VLOOKUP($A80,'Data Vlaue (Cr)'!$C:$FB,11)*100</f>
        <v>0.45999999999999996</v>
      </c>
      <c r="D80" s="50">
        <f>VLOOKUP($A80,'Data Vlaue (Cr)'!$C:$FB,143)</f>
        <v>597.15</v>
      </c>
      <c r="E80" s="50">
        <f>VLOOKUP($A80,'Data Vlaue (Cr)'!$C:$FB,144)</f>
        <v>795.42</v>
      </c>
      <c r="F80" s="50">
        <f>VLOOKUP($A80,'Data Vlaue (Cr)'!$C:$FB,146)*100</f>
        <v>-24.93</v>
      </c>
      <c r="G80" s="49">
        <f>VLOOKUP($A80,'Data Vlaue (Cr)'!$C:$FB,43)</f>
        <v>221</v>
      </c>
      <c r="H80" s="49">
        <f>VLOOKUP($A80,'Data Vlaue (Cr)'!$C:$FB,44)</f>
        <v>259</v>
      </c>
      <c r="I80" s="49">
        <f>VLOOKUP($A80,'Data Vlaue (Cr)'!$C:$FB,46)*100</f>
        <v>-14.829999999999998</v>
      </c>
      <c r="J80" s="51">
        <f>VLOOKUP($A80,'Data Vlaue (Cr)'!$C:$FB,59)</f>
        <v>231</v>
      </c>
      <c r="K80" s="51">
        <f>VLOOKUP($A80,'Data Vlaue (Cr)'!$C:$FB,60)</f>
        <v>307</v>
      </c>
      <c r="L80" s="51">
        <f>VLOOKUP($A80,'Data Vlaue (Cr)'!$C:$FB,62)*100</f>
        <v>-24.67</v>
      </c>
      <c r="M80" s="51">
        <f>VLOOKUP($A80,'Data Vlaue (Cr)'!$C:$FB,63)</f>
        <v>130</v>
      </c>
      <c r="N80" s="51">
        <f>VLOOKUP($A80,'Data Vlaue (Cr)'!$C:$FB,64)</f>
        <v>205</v>
      </c>
      <c r="O80" s="51">
        <f>VLOOKUP($A80,'Data Vlaue (Cr)'!$C:$FB,66)*100</f>
        <v>-36.9</v>
      </c>
    </row>
    <row r="81" spans="1:15" x14ac:dyDescent="0.25">
      <c r="A81" s="101" t="str">
        <f>'Data Vlaue (Cr)'!C76</f>
        <v>HDFCBANK</v>
      </c>
      <c r="B81" s="50">
        <f>VLOOKUP($A81,'Data Vlaue (Cr)'!$C:$FB,8)</f>
        <v>877.75</v>
      </c>
      <c r="C81" s="50">
        <f>VLOOKUP($A81,'Data Vlaue (Cr)'!$C:$FB,11)*100</f>
        <v>1.05</v>
      </c>
      <c r="D81" s="50">
        <f>VLOOKUP($A81,'Data Vlaue (Cr)'!$C:$FB,143)</f>
        <v>13207.26</v>
      </c>
      <c r="E81" s="50">
        <f>VLOOKUP($A81,'Data Vlaue (Cr)'!$C:$FB,144)</f>
        <v>17796.509999999998</v>
      </c>
      <c r="F81" s="50">
        <f>VLOOKUP($A81,'Data Vlaue (Cr)'!$C:$FB,146)*100</f>
        <v>-25.790000000000003</v>
      </c>
      <c r="G81" s="49">
        <f>VLOOKUP($A81,'Data Vlaue (Cr)'!$C:$FB,43)</f>
        <v>4175</v>
      </c>
      <c r="H81" s="49">
        <f>VLOOKUP($A81,'Data Vlaue (Cr)'!$C:$FB,44)</f>
        <v>3651</v>
      </c>
      <c r="I81" s="49">
        <f>VLOOKUP($A81,'Data Vlaue (Cr)'!$C:$FB,46)*100</f>
        <v>14.360000000000001</v>
      </c>
      <c r="J81" s="51">
        <f>VLOOKUP($A81,'Data Vlaue (Cr)'!$C:$FB,59)</f>
        <v>5419</v>
      </c>
      <c r="K81" s="51">
        <f>VLOOKUP($A81,'Data Vlaue (Cr)'!$C:$FB,60)</f>
        <v>7375</v>
      </c>
      <c r="L81" s="51">
        <f>VLOOKUP($A81,'Data Vlaue (Cr)'!$C:$FB,62)*100</f>
        <v>-26.52</v>
      </c>
      <c r="M81" s="51">
        <f>VLOOKUP($A81,'Data Vlaue (Cr)'!$C:$FB,63)</f>
        <v>3501</v>
      </c>
      <c r="N81" s="51">
        <f>VLOOKUP($A81,'Data Vlaue (Cr)'!$C:$FB,64)</f>
        <v>6599</v>
      </c>
      <c r="O81" s="51">
        <f>VLOOKUP($A81,'Data Vlaue (Cr)'!$C:$FB,66)*100</f>
        <v>-46.94</v>
      </c>
    </row>
    <row r="82" spans="1:15" x14ac:dyDescent="0.25">
      <c r="A82" s="101" t="str">
        <f>'Data Vlaue (Cr)'!C77</f>
        <v>HDFCLIFE</v>
      </c>
      <c r="B82" s="50">
        <f>VLOOKUP($A82,'Data Vlaue (Cr)'!$C:$FB,8)</f>
        <v>684.3</v>
      </c>
      <c r="C82" s="50">
        <f>VLOOKUP($A82,'Data Vlaue (Cr)'!$C:$FB,11)*100</f>
        <v>-0.04</v>
      </c>
      <c r="D82" s="50">
        <f>VLOOKUP($A82,'Data Vlaue (Cr)'!$C:$FB,143)</f>
        <v>2187.85</v>
      </c>
      <c r="E82" s="50">
        <f>VLOOKUP($A82,'Data Vlaue (Cr)'!$C:$FB,144)</f>
        <v>1970.3</v>
      </c>
      <c r="F82" s="50">
        <f>VLOOKUP($A82,'Data Vlaue (Cr)'!$C:$FB,146)*100</f>
        <v>11.04</v>
      </c>
      <c r="G82" s="49">
        <f>VLOOKUP($A82,'Data Vlaue (Cr)'!$C:$FB,43)</f>
        <v>440</v>
      </c>
      <c r="H82" s="49">
        <f>VLOOKUP($A82,'Data Vlaue (Cr)'!$C:$FB,44)</f>
        <v>421</v>
      </c>
      <c r="I82" s="49">
        <f>VLOOKUP($A82,'Data Vlaue (Cr)'!$C:$FB,46)*100</f>
        <v>4.67</v>
      </c>
      <c r="J82" s="51">
        <f>VLOOKUP($A82,'Data Vlaue (Cr)'!$C:$FB,59)</f>
        <v>1011</v>
      </c>
      <c r="K82" s="51">
        <f>VLOOKUP($A82,'Data Vlaue (Cr)'!$C:$FB,60)</f>
        <v>940</v>
      </c>
      <c r="L82" s="51">
        <f>VLOOKUP($A82,'Data Vlaue (Cr)'!$C:$FB,62)*100</f>
        <v>7.4899999999999993</v>
      </c>
      <c r="M82" s="51">
        <f>VLOOKUP($A82,'Data Vlaue (Cr)'!$C:$FB,63)</f>
        <v>684</v>
      </c>
      <c r="N82" s="51">
        <f>VLOOKUP($A82,'Data Vlaue (Cr)'!$C:$FB,64)</f>
        <v>521</v>
      </c>
      <c r="O82" s="51">
        <f>VLOOKUP($A82,'Data Vlaue (Cr)'!$C:$FB,66)*100</f>
        <v>31.28</v>
      </c>
    </row>
    <row r="83" spans="1:15" x14ac:dyDescent="0.25">
      <c r="A83" s="101" t="str">
        <f>'Data Vlaue (Cr)'!C78</f>
        <v>HEROMOTOCO</v>
      </c>
      <c r="B83" s="50">
        <f>VLOOKUP($A83,'Data Vlaue (Cr)'!$C:$FB,8)</f>
        <v>5588.5</v>
      </c>
      <c r="C83" s="50">
        <f>VLOOKUP($A83,'Data Vlaue (Cr)'!$C:$FB,11)*100</f>
        <v>1.6099999999999999</v>
      </c>
      <c r="D83" s="50">
        <f>VLOOKUP($A83,'Data Vlaue (Cr)'!$C:$FB,143)</f>
        <v>2420.35</v>
      </c>
      <c r="E83" s="50">
        <f>VLOOKUP($A83,'Data Vlaue (Cr)'!$C:$FB,144)</f>
        <v>2326.56</v>
      </c>
      <c r="F83" s="50">
        <f>VLOOKUP($A83,'Data Vlaue (Cr)'!$C:$FB,146)*100</f>
        <v>4.03</v>
      </c>
      <c r="G83" s="49">
        <f>VLOOKUP($A83,'Data Vlaue (Cr)'!$C:$FB,43)</f>
        <v>359</v>
      </c>
      <c r="H83" s="49">
        <f>VLOOKUP($A83,'Data Vlaue (Cr)'!$C:$FB,44)</f>
        <v>387</v>
      </c>
      <c r="I83" s="49">
        <f>VLOOKUP($A83,'Data Vlaue (Cr)'!$C:$FB,46)*100</f>
        <v>-7.16</v>
      </c>
      <c r="J83" s="51">
        <f>VLOOKUP($A83,'Data Vlaue (Cr)'!$C:$FB,59)</f>
        <v>1349</v>
      </c>
      <c r="K83" s="51">
        <f>VLOOKUP($A83,'Data Vlaue (Cr)'!$C:$FB,60)</f>
        <v>1062</v>
      </c>
      <c r="L83" s="51">
        <f>VLOOKUP($A83,'Data Vlaue (Cr)'!$C:$FB,62)*100</f>
        <v>27.01</v>
      </c>
      <c r="M83" s="51">
        <f>VLOOKUP($A83,'Data Vlaue (Cr)'!$C:$FB,63)</f>
        <v>670</v>
      </c>
      <c r="N83" s="51">
        <f>VLOOKUP($A83,'Data Vlaue (Cr)'!$C:$FB,64)</f>
        <v>867</v>
      </c>
      <c r="O83" s="51">
        <f>VLOOKUP($A83,'Data Vlaue (Cr)'!$C:$FB,66)*100</f>
        <v>-22.689999999999998</v>
      </c>
    </row>
    <row r="84" spans="1:15" x14ac:dyDescent="0.25">
      <c r="A84" s="101" t="str">
        <f>'Data Vlaue (Cr)'!C79</f>
        <v>HINDALCO</v>
      </c>
      <c r="B84" s="50">
        <f>VLOOKUP($A84,'Data Vlaue (Cr)'!$C:$FB,8)</f>
        <v>954.95</v>
      </c>
      <c r="C84" s="50">
        <f>VLOOKUP($A84,'Data Vlaue (Cr)'!$C:$FB,11)*100</f>
        <v>3.5999999999999996</v>
      </c>
      <c r="D84" s="50">
        <f>VLOOKUP($A84,'Data Vlaue (Cr)'!$C:$FB,143)</f>
        <v>15088.03</v>
      </c>
      <c r="E84" s="50">
        <f>VLOOKUP($A84,'Data Vlaue (Cr)'!$C:$FB,144)</f>
        <v>4599.1400000000003</v>
      </c>
      <c r="F84" s="50">
        <f>VLOOKUP($A84,'Data Vlaue (Cr)'!$C:$FB,146)*100</f>
        <v>228.06000000000003</v>
      </c>
      <c r="G84" s="49">
        <f>VLOOKUP($A84,'Data Vlaue (Cr)'!$C:$FB,43)</f>
        <v>2510</v>
      </c>
      <c r="H84" s="49">
        <f>VLOOKUP($A84,'Data Vlaue (Cr)'!$C:$FB,44)</f>
        <v>1091</v>
      </c>
      <c r="I84" s="49">
        <f>VLOOKUP($A84,'Data Vlaue (Cr)'!$C:$FB,46)*100</f>
        <v>130</v>
      </c>
      <c r="J84" s="51">
        <f>VLOOKUP($A84,'Data Vlaue (Cr)'!$C:$FB,59)</f>
        <v>8132</v>
      </c>
      <c r="K84" s="51">
        <f>VLOOKUP($A84,'Data Vlaue (Cr)'!$C:$FB,60)</f>
        <v>1805</v>
      </c>
      <c r="L84" s="51">
        <f>VLOOKUP($A84,'Data Vlaue (Cr)'!$C:$FB,62)*100</f>
        <v>350.47</v>
      </c>
      <c r="M84" s="51">
        <f>VLOOKUP($A84,'Data Vlaue (Cr)'!$C:$FB,63)</f>
        <v>3812</v>
      </c>
      <c r="N84" s="51">
        <f>VLOOKUP($A84,'Data Vlaue (Cr)'!$C:$FB,64)</f>
        <v>1777</v>
      </c>
      <c r="O84" s="51">
        <f>VLOOKUP($A84,'Data Vlaue (Cr)'!$C:$FB,66)*100</f>
        <v>114.45</v>
      </c>
    </row>
    <row r="85" spans="1:15" x14ac:dyDescent="0.25">
      <c r="A85" s="101" t="str">
        <f>'Data Vlaue (Cr)'!C80</f>
        <v>HINDPETRO</v>
      </c>
      <c r="B85" s="50">
        <f>VLOOKUP($A85,'Data Vlaue (Cr)'!$C:$FB,8)</f>
        <v>418.4</v>
      </c>
      <c r="C85" s="50">
        <f>VLOOKUP($A85,'Data Vlaue (Cr)'!$C:$FB,11)*100</f>
        <v>4.22</v>
      </c>
      <c r="D85" s="50">
        <f>VLOOKUP($A85,'Data Vlaue (Cr)'!$C:$FB,143)</f>
        <v>4138.6099999999997</v>
      </c>
      <c r="E85" s="50">
        <f>VLOOKUP($A85,'Data Vlaue (Cr)'!$C:$FB,144)</f>
        <v>2779.77</v>
      </c>
      <c r="F85" s="50">
        <f>VLOOKUP($A85,'Data Vlaue (Cr)'!$C:$FB,146)*100</f>
        <v>48.88</v>
      </c>
      <c r="G85" s="49">
        <f>VLOOKUP($A85,'Data Vlaue (Cr)'!$C:$FB,43)</f>
        <v>1148</v>
      </c>
      <c r="H85" s="49">
        <f>VLOOKUP($A85,'Data Vlaue (Cr)'!$C:$FB,44)</f>
        <v>571</v>
      </c>
      <c r="I85" s="49">
        <f>VLOOKUP($A85,'Data Vlaue (Cr)'!$C:$FB,46)*100</f>
        <v>100.83</v>
      </c>
      <c r="J85" s="51">
        <f>VLOOKUP($A85,'Data Vlaue (Cr)'!$C:$FB,59)</f>
        <v>1475</v>
      </c>
      <c r="K85" s="51">
        <f>VLOOKUP($A85,'Data Vlaue (Cr)'!$C:$FB,60)</f>
        <v>932</v>
      </c>
      <c r="L85" s="51">
        <f>VLOOKUP($A85,'Data Vlaue (Cr)'!$C:$FB,62)*100</f>
        <v>58.25</v>
      </c>
      <c r="M85" s="51">
        <f>VLOOKUP($A85,'Data Vlaue (Cr)'!$C:$FB,63)</f>
        <v>1502</v>
      </c>
      <c r="N85" s="51">
        <f>VLOOKUP($A85,'Data Vlaue (Cr)'!$C:$FB,64)</f>
        <v>1252</v>
      </c>
      <c r="O85" s="51">
        <f>VLOOKUP($A85,'Data Vlaue (Cr)'!$C:$FB,66)*100</f>
        <v>19.989999999999998</v>
      </c>
    </row>
    <row r="86" spans="1:15" x14ac:dyDescent="0.25">
      <c r="A86" s="101" t="str">
        <f>'Data Vlaue (Cr)'!C81</f>
        <v>HINDUNILVR</v>
      </c>
      <c r="B86" s="50">
        <f>VLOOKUP($A86,'Data Vlaue (Cr)'!$C:$FB,8)</f>
        <v>2255</v>
      </c>
      <c r="C86" s="50">
        <f>VLOOKUP($A86,'Data Vlaue (Cr)'!$C:$FB,11)*100</f>
        <v>-0.27999999999999997</v>
      </c>
      <c r="D86" s="50">
        <f>VLOOKUP($A86,'Data Vlaue (Cr)'!$C:$FB,143)</f>
        <v>3319.2</v>
      </c>
      <c r="E86" s="50">
        <f>VLOOKUP($A86,'Data Vlaue (Cr)'!$C:$FB,144)</f>
        <v>3331.93</v>
      </c>
      <c r="F86" s="50">
        <f>VLOOKUP($A86,'Data Vlaue (Cr)'!$C:$FB,146)*100</f>
        <v>-0.38</v>
      </c>
      <c r="G86" s="49">
        <f>VLOOKUP($A86,'Data Vlaue (Cr)'!$C:$FB,43)</f>
        <v>469</v>
      </c>
      <c r="H86" s="49">
        <f>VLOOKUP($A86,'Data Vlaue (Cr)'!$C:$FB,44)</f>
        <v>444</v>
      </c>
      <c r="I86" s="49">
        <f>VLOOKUP($A86,'Data Vlaue (Cr)'!$C:$FB,46)*100</f>
        <v>5.54</v>
      </c>
      <c r="J86" s="51">
        <f>VLOOKUP($A86,'Data Vlaue (Cr)'!$C:$FB,59)</f>
        <v>1798</v>
      </c>
      <c r="K86" s="51">
        <f>VLOOKUP($A86,'Data Vlaue (Cr)'!$C:$FB,60)</f>
        <v>1610</v>
      </c>
      <c r="L86" s="51">
        <f>VLOOKUP($A86,'Data Vlaue (Cr)'!$C:$FB,62)*100</f>
        <v>11.67</v>
      </c>
      <c r="M86" s="51">
        <f>VLOOKUP($A86,'Data Vlaue (Cr)'!$C:$FB,63)</f>
        <v>972</v>
      </c>
      <c r="N86" s="51">
        <f>VLOOKUP($A86,'Data Vlaue (Cr)'!$C:$FB,64)</f>
        <v>1173</v>
      </c>
      <c r="O86" s="51">
        <f>VLOOKUP($A86,'Data Vlaue (Cr)'!$C:$FB,66)*100</f>
        <v>-17.14</v>
      </c>
    </row>
    <row r="87" spans="1:15" x14ac:dyDescent="0.25">
      <c r="A87" s="101" t="str">
        <f>'Data Vlaue (Cr)'!C82</f>
        <v>HINDZINC</v>
      </c>
      <c r="B87" s="50">
        <f>VLOOKUP($A87,'Data Vlaue (Cr)'!$C:$FB,8)</f>
        <v>595.65</v>
      </c>
      <c r="C87" s="50">
        <f>VLOOKUP($A87,'Data Vlaue (Cr)'!$C:$FB,11)*100</f>
        <v>0.74</v>
      </c>
      <c r="D87" s="50">
        <f>VLOOKUP($A87,'Data Vlaue (Cr)'!$C:$FB,143)</f>
        <v>3364.24</v>
      </c>
      <c r="E87" s="50">
        <f>VLOOKUP($A87,'Data Vlaue (Cr)'!$C:$FB,144)</f>
        <v>4058.98</v>
      </c>
      <c r="F87" s="50">
        <f>VLOOKUP($A87,'Data Vlaue (Cr)'!$C:$FB,146)*100</f>
        <v>-17.119999999999997</v>
      </c>
      <c r="G87" s="49">
        <f>VLOOKUP($A87,'Data Vlaue (Cr)'!$C:$FB,43)</f>
        <v>476</v>
      </c>
      <c r="H87" s="49">
        <f>VLOOKUP($A87,'Data Vlaue (Cr)'!$C:$FB,44)</f>
        <v>587</v>
      </c>
      <c r="I87" s="49">
        <f>VLOOKUP($A87,'Data Vlaue (Cr)'!$C:$FB,46)*100</f>
        <v>-18.89</v>
      </c>
      <c r="J87" s="51">
        <f>VLOOKUP($A87,'Data Vlaue (Cr)'!$C:$FB,59)</f>
        <v>1927</v>
      </c>
      <c r="K87" s="51">
        <f>VLOOKUP($A87,'Data Vlaue (Cr)'!$C:$FB,60)</f>
        <v>1899</v>
      </c>
      <c r="L87" s="51">
        <f>VLOOKUP($A87,'Data Vlaue (Cr)'!$C:$FB,62)*100</f>
        <v>1.47</v>
      </c>
      <c r="M87" s="51">
        <f>VLOOKUP($A87,'Data Vlaue (Cr)'!$C:$FB,63)</f>
        <v>801</v>
      </c>
      <c r="N87" s="51">
        <f>VLOOKUP($A87,'Data Vlaue (Cr)'!$C:$FB,64)</f>
        <v>1417</v>
      </c>
      <c r="O87" s="51">
        <f>VLOOKUP($A87,'Data Vlaue (Cr)'!$C:$FB,66)*100</f>
        <v>-43.44</v>
      </c>
    </row>
    <row r="88" spans="1:15" x14ac:dyDescent="0.25">
      <c r="A88" s="101" t="str">
        <f>'Data Vlaue (Cr)'!C83</f>
        <v>HUDCO</v>
      </c>
      <c r="B88" s="50">
        <f>VLOOKUP($A88,'Data Vlaue (Cr)'!$C:$FB,8)</f>
        <v>178.27</v>
      </c>
      <c r="C88" s="50">
        <f>VLOOKUP($A88,'Data Vlaue (Cr)'!$C:$FB,11)*100</f>
        <v>1.2</v>
      </c>
      <c r="D88" s="50">
        <f>VLOOKUP($A88,'Data Vlaue (Cr)'!$C:$FB,143)</f>
        <v>393.57</v>
      </c>
      <c r="E88" s="50">
        <f>VLOOKUP($A88,'Data Vlaue (Cr)'!$C:$FB,144)</f>
        <v>429.6</v>
      </c>
      <c r="F88" s="50">
        <f>VLOOKUP($A88,'Data Vlaue (Cr)'!$C:$FB,146)*100</f>
        <v>-8.39</v>
      </c>
      <c r="G88" s="49">
        <f>VLOOKUP($A88,'Data Vlaue (Cr)'!$C:$FB,43)</f>
        <v>73</v>
      </c>
      <c r="H88" s="49">
        <f>VLOOKUP($A88,'Data Vlaue (Cr)'!$C:$FB,44)</f>
        <v>116</v>
      </c>
      <c r="I88" s="49">
        <f>VLOOKUP($A88,'Data Vlaue (Cr)'!$C:$FB,46)*100</f>
        <v>-36.71</v>
      </c>
      <c r="J88" s="51">
        <f>VLOOKUP($A88,'Data Vlaue (Cr)'!$C:$FB,59)</f>
        <v>214</v>
      </c>
      <c r="K88" s="51">
        <f>VLOOKUP($A88,'Data Vlaue (Cr)'!$C:$FB,60)</f>
        <v>188</v>
      </c>
      <c r="L88" s="51">
        <f>VLOOKUP($A88,'Data Vlaue (Cr)'!$C:$FB,62)*100</f>
        <v>13.819999999999999</v>
      </c>
      <c r="M88" s="51">
        <f>VLOOKUP($A88,'Data Vlaue (Cr)'!$C:$FB,63)</f>
        <v>90</v>
      </c>
      <c r="N88" s="51">
        <f>VLOOKUP($A88,'Data Vlaue (Cr)'!$C:$FB,64)</f>
        <v>109</v>
      </c>
      <c r="O88" s="51">
        <f>VLOOKUP($A88,'Data Vlaue (Cr)'!$C:$FB,66)*100</f>
        <v>-17.849999999999998</v>
      </c>
    </row>
    <row r="89" spans="1:15" x14ac:dyDescent="0.25">
      <c r="A89" s="101" t="str">
        <f>'Data Vlaue (Cr)'!C84</f>
        <v>ICICIBANK</v>
      </c>
      <c r="B89" s="50">
        <f>VLOOKUP($A89,'Data Vlaue (Cr)'!$C:$FB,8)</f>
        <v>1357.6</v>
      </c>
      <c r="C89" s="50">
        <f>VLOOKUP($A89,'Data Vlaue (Cr)'!$C:$FB,11)*100</f>
        <v>-0.57000000000000006</v>
      </c>
      <c r="D89" s="50">
        <f>VLOOKUP($A89,'Data Vlaue (Cr)'!$C:$FB,143)</f>
        <v>9547.17</v>
      </c>
      <c r="E89" s="50">
        <f>VLOOKUP($A89,'Data Vlaue (Cr)'!$C:$FB,144)</f>
        <v>12148.55</v>
      </c>
      <c r="F89" s="50">
        <f>VLOOKUP($A89,'Data Vlaue (Cr)'!$C:$FB,146)*100</f>
        <v>-21.41</v>
      </c>
      <c r="G89" s="49">
        <f>VLOOKUP($A89,'Data Vlaue (Cr)'!$C:$FB,43)</f>
        <v>1888</v>
      </c>
      <c r="H89" s="49">
        <f>VLOOKUP($A89,'Data Vlaue (Cr)'!$C:$FB,44)</f>
        <v>2337</v>
      </c>
      <c r="I89" s="49">
        <f>VLOOKUP($A89,'Data Vlaue (Cr)'!$C:$FB,46)*100</f>
        <v>-19.21</v>
      </c>
      <c r="J89" s="51">
        <f>VLOOKUP($A89,'Data Vlaue (Cr)'!$C:$FB,59)</f>
        <v>4936</v>
      </c>
      <c r="K89" s="51">
        <f>VLOOKUP($A89,'Data Vlaue (Cr)'!$C:$FB,60)</f>
        <v>5705</v>
      </c>
      <c r="L89" s="51">
        <f>VLOOKUP($A89,'Data Vlaue (Cr)'!$C:$FB,62)*100</f>
        <v>-13.48</v>
      </c>
      <c r="M89" s="51">
        <f>VLOOKUP($A89,'Data Vlaue (Cr)'!$C:$FB,63)</f>
        <v>2577</v>
      </c>
      <c r="N89" s="51">
        <f>VLOOKUP($A89,'Data Vlaue (Cr)'!$C:$FB,64)</f>
        <v>3931</v>
      </c>
      <c r="O89" s="51">
        <f>VLOOKUP($A89,'Data Vlaue (Cr)'!$C:$FB,66)*100</f>
        <v>-34.43</v>
      </c>
    </row>
    <row r="90" spans="1:15" x14ac:dyDescent="0.25">
      <c r="A90" s="101" t="str">
        <f>'Data Vlaue (Cr)'!C85</f>
        <v>ICICIGI</v>
      </c>
      <c r="B90" s="50">
        <f>VLOOKUP($A90,'Data Vlaue (Cr)'!$C:$FB,8)</f>
        <v>1875.2</v>
      </c>
      <c r="C90" s="50">
        <f>VLOOKUP($A90,'Data Vlaue (Cr)'!$C:$FB,11)*100</f>
        <v>1.06</v>
      </c>
      <c r="D90" s="50">
        <f>VLOOKUP($A90,'Data Vlaue (Cr)'!$C:$FB,143)</f>
        <v>257.35000000000002</v>
      </c>
      <c r="E90" s="50">
        <f>VLOOKUP($A90,'Data Vlaue (Cr)'!$C:$FB,144)</f>
        <v>492.84</v>
      </c>
      <c r="F90" s="50">
        <f>VLOOKUP($A90,'Data Vlaue (Cr)'!$C:$FB,146)*100</f>
        <v>-47.78</v>
      </c>
      <c r="G90" s="49">
        <f>VLOOKUP($A90,'Data Vlaue (Cr)'!$C:$FB,43)</f>
        <v>98</v>
      </c>
      <c r="H90" s="49">
        <f>VLOOKUP($A90,'Data Vlaue (Cr)'!$C:$FB,44)</f>
        <v>175</v>
      </c>
      <c r="I90" s="49">
        <f>VLOOKUP($A90,'Data Vlaue (Cr)'!$C:$FB,46)*100</f>
        <v>-44.12</v>
      </c>
      <c r="J90" s="51">
        <f>VLOOKUP($A90,'Data Vlaue (Cr)'!$C:$FB,59)</f>
        <v>98</v>
      </c>
      <c r="K90" s="51">
        <f>VLOOKUP($A90,'Data Vlaue (Cr)'!$C:$FB,60)</f>
        <v>170</v>
      </c>
      <c r="L90" s="51">
        <f>VLOOKUP($A90,'Data Vlaue (Cr)'!$C:$FB,62)*100</f>
        <v>-42.34</v>
      </c>
      <c r="M90" s="51">
        <f>VLOOKUP($A90,'Data Vlaue (Cr)'!$C:$FB,63)</f>
        <v>59</v>
      </c>
      <c r="N90" s="51">
        <f>VLOOKUP($A90,'Data Vlaue (Cr)'!$C:$FB,64)</f>
        <v>143</v>
      </c>
      <c r="O90" s="51">
        <f>VLOOKUP($A90,'Data Vlaue (Cr)'!$C:$FB,66)*100</f>
        <v>-58.75</v>
      </c>
    </row>
    <row r="91" spans="1:15" x14ac:dyDescent="0.25">
      <c r="A91" s="101" t="str">
        <f>'Data Vlaue (Cr)'!C86</f>
        <v>ICICIPRULI</v>
      </c>
      <c r="B91" s="50">
        <f>VLOOKUP($A91,'Data Vlaue (Cr)'!$C:$FB,8)</f>
        <v>627.45000000000005</v>
      </c>
      <c r="C91" s="50">
        <f>VLOOKUP($A91,'Data Vlaue (Cr)'!$C:$FB,11)*100</f>
        <v>0.27</v>
      </c>
      <c r="D91" s="50">
        <f>VLOOKUP($A91,'Data Vlaue (Cr)'!$C:$FB,143)</f>
        <v>333.88</v>
      </c>
      <c r="E91" s="50">
        <f>VLOOKUP($A91,'Data Vlaue (Cr)'!$C:$FB,144)</f>
        <v>380.5</v>
      </c>
      <c r="F91" s="50">
        <f>VLOOKUP($A91,'Data Vlaue (Cr)'!$C:$FB,146)*100</f>
        <v>-12.25</v>
      </c>
      <c r="G91" s="49">
        <f>VLOOKUP($A91,'Data Vlaue (Cr)'!$C:$FB,43)</f>
        <v>78</v>
      </c>
      <c r="H91" s="49">
        <f>VLOOKUP($A91,'Data Vlaue (Cr)'!$C:$FB,44)</f>
        <v>123</v>
      </c>
      <c r="I91" s="49">
        <f>VLOOKUP($A91,'Data Vlaue (Cr)'!$C:$FB,46)*100</f>
        <v>-37.019999999999996</v>
      </c>
      <c r="J91" s="51">
        <f>VLOOKUP($A91,'Data Vlaue (Cr)'!$C:$FB,59)</f>
        <v>127</v>
      </c>
      <c r="K91" s="51">
        <f>VLOOKUP($A91,'Data Vlaue (Cr)'!$C:$FB,60)</f>
        <v>142</v>
      </c>
      <c r="L91" s="51">
        <f>VLOOKUP($A91,'Data Vlaue (Cr)'!$C:$FB,62)*100</f>
        <v>-10.37</v>
      </c>
      <c r="M91" s="51">
        <f>VLOOKUP($A91,'Data Vlaue (Cr)'!$C:$FB,63)</f>
        <v>122</v>
      </c>
      <c r="N91" s="51">
        <f>VLOOKUP($A91,'Data Vlaue (Cr)'!$C:$FB,64)</f>
        <v>103</v>
      </c>
      <c r="O91" s="51">
        <f>VLOOKUP($A91,'Data Vlaue (Cr)'!$C:$FB,66)*100</f>
        <v>18.11</v>
      </c>
    </row>
    <row r="92" spans="1:15" x14ac:dyDescent="0.25">
      <c r="A92" s="101" t="str">
        <f>'Data Vlaue (Cr)'!C87</f>
        <v>IDEA</v>
      </c>
      <c r="B92" s="50">
        <f>VLOOKUP($A92,'Data Vlaue (Cr)'!$C:$FB,8)</f>
        <v>10.220000000000001</v>
      </c>
      <c r="C92" s="50">
        <f>VLOOKUP($A92,'Data Vlaue (Cr)'!$C:$FB,11)*100</f>
        <v>2.2999999999999998</v>
      </c>
      <c r="D92" s="50">
        <f>VLOOKUP($A92,'Data Vlaue (Cr)'!$C:$FB,143)</f>
        <v>4182.55</v>
      </c>
      <c r="E92" s="50">
        <f>VLOOKUP($A92,'Data Vlaue (Cr)'!$C:$FB,144)</f>
        <v>2111.5700000000002</v>
      </c>
      <c r="F92" s="50">
        <f>VLOOKUP($A92,'Data Vlaue (Cr)'!$C:$FB,146)*100</f>
        <v>98.08</v>
      </c>
      <c r="G92" s="49">
        <f>VLOOKUP($A92,'Data Vlaue (Cr)'!$C:$FB,43)</f>
        <v>998</v>
      </c>
      <c r="H92" s="49">
        <f>VLOOKUP($A92,'Data Vlaue (Cr)'!$C:$FB,44)</f>
        <v>593</v>
      </c>
      <c r="I92" s="49">
        <f>VLOOKUP($A92,'Data Vlaue (Cr)'!$C:$FB,46)*100</f>
        <v>68.33</v>
      </c>
      <c r="J92" s="51">
        <f>VLOOKUP($A92,'Data Vlaue (Cr)'!$C:$FB,59)</f>
        <v>2164</v>
      </c>
      <c r="K92" s="51">
        <f>VLOOKUP($A92,'Data Vlaue (Cr)'!$C:$FB,60)</f>
        <v>889</v>
      </c>
      <c r="L92" s="51">
        <f>VLOOKUP($A92,'Data Vlaue (Cr)'!$C:$FB,62)*100</f>
        <v>143.49</v>
      </c>
      <c r="M92" s="51">
        <f>VLOOKUP($A92,'Data Vlaue (Cr)'!$C:$FB,63)</f>
        <v>722</v>
      </c>
      <c r="N92" s="51">
        <f>VLOOKUP($A92,'Data Vlaue (Cr)'!$C:$FB,64)</f>
        <v>545</v>
      </c>
      <c r="O92" s="51">
        <f>VLOOKUP($A92,'Data Vlaue (Cr)'!$C:$FB,66)*100</f>
        <v>32.369999999999997</v>
      </c>
    </row>
    <row r="93" spans="1:15" x14ac:dyDescent="0.25">
      <c r="A93" s="101" t="str">
        <f>'Data Vlaue (Cr)'!C88</f>
        <v>IDFCFIRSTB</v>
      </c>
      <c r="B93" s="50">
        <f>VLOOKUP($A93,'Data Vlaue (Cr)'!$C:$FB,8)</f>
        <v>70.400000000000006</v>
      </c>
      <c r="C93" s="50">
        <f>VLOOKUP($A93,'Data Vlaue (Cr)'!$C:$FB,11)*100</f>
        <v>0.49</v>
      </c>
      <c r="D93" s="50">
        <f>VLOOKUP($A93,'Data Vlaue (Cr)'!$C:$FB,143)</f>
        <v>2431.86</v>
      </c>
      <c r="E93" s="50">
        <f>VLOOKUP($A93,'Data Vlaue (Cr)'!$C:$FB,144)</f>
        <v>2728.37</v>
      </c>
      <c r="F93" s="50">
        <f>VLOOKUP($A93,'Data Vlaue (Cr)'!$C:$FB,146)*100</f>
        <v>-10.870000000000001</v>
      </c>
      <c r="G93" s="49">
        <f>VLOOKUP($A93,'Data Vlaue (Cr)'!$C:$FB,43)</f>
        <v>560</v>
      </c>
      <c r="H93" s="49">
        <f>VLOOKUP($A93,'Data Vlaue (Cr)'!$C:$FB,44)</f>
        <v>675</v>
      </c>
      <c r="I93" s="49">
        <f>VLOOKUP($A93,'Data Vlaue (Cr)'!$C:$FB,46)*100</f>
        <v>-17.05</v>
      </c>
      <c r="J93" s="51">
        <f>VLOOKUP($A93,'Data Vlaue (Cr)'!$C:$FB,59)</f>
        <v>1144</v>
      </c>
      <c r="K93" s="51">
        <f>VLOOKUP($A93,'Data Vlaue (Cr)'!$C:$FB,60)</f>
        <v>1118</v>
      </c>
      <c r="L93" s="51">
        <f>VLOOKUP($A93,'Data Vlaue (Cr)'!$C:$FB,62)*100</f>
        <v>2.29</v>
      </c>
      <c r="M93" s="51">
        <f>VLOOKUP($A93,'Data Vlaue (Cr)'!$C:$FB,63)</f>
        <v>631</v>
      </c>
      <c r="N93" s="51">
        <f>VLOOKUP($A93,'Data Vlaue (Cr)'!$C:$FB,64)</f>
        <v>874</v>
      </c>
      <c r="O93" s="51">
        <f>VLOOKUP($A93,'Data Vlaue (Cr)'!$C:$FB,66)*100</f>
        <v>-27.800000000000004</v>
      </c>
    </row>
    <row r="94" spans="1:15" x14ac:dyDescent="0.25">
      <c r="A94" s="101" t="str">
        <f>'Data Vlaue (Cr)'!C89</f>
        <v>IEX</v>
      </c>
      <c r="B94" s="50">
        <f>VLOOKUP($A94,'Data Vlaue (Cr)'!$C:$FB,8)</f>
        <v>121.63</v>
      </c>
      <c r="C94" s="50">
        <f>VLOOKUP($A94,'Data Vlaue (Cr)'!$C:$FB,11)*100</f>
        <v>2.56</v>
      </c>
      <c r="D94" s="50">
        <f>VLOOKUP($A94,'Data Vlaue (Cr)'!$C:$FB,143)</f>
        <v>464.26</v>
      </c>
      <c r="E94" s="50">
        <f>VLOOKUP($A94,'Data Vlaue (Cr)'!$C:$FB,144)</f>
        <v>536.39</v>
      </c>
      <c r="F94" s="50">
        <f>VLOOKUP($A94,'Data Vlaue (Cr)'!$C:$FB,146)*100</f>
        <v>-13.450000000000001</v>
      </c>
      <c r="G94" s="49">
        <f>VLOOKUP($A94,'Data Vlaue (Cr)'!$C:$FB,43)</f>
        <v>107</v>
      </c>
      <c r="H94" s="49">
        <f>VLOOKUP($A94,'Data Vlaue (Cr)'!$C:$FB,44)</f>
        <v>119</v>
      </c>
      <c r="I94" s="49">
        <f>VLOOKUP($A94,'Data Vlaue (Cr)'!$C:$FB,46)*100</f>
        <v>-10.25</v>
      </c>
      <c r="J94" s="51">
        <f>VLOOKUP($A94,'Data Vlaue (Cr)'!$C:$FB,59)</f>
        <v>231</v>
      </c>
      <c r="K94" s="51">
        <f>VLOOKUP($A94,'Data Vlaue (Cr)'!$C:$FB,60)</f>
        <v>250</v>
      </c>
      <c r="L94" s="51">
        <f>VLOOKUP($A94,'Data Vlaue (Cr)'!$C:$FB,62)*100</f>
        <v>-7.7700000000000005</v>
      </c>
      <c r="M94" s="51">
        <f>VLOOKUP($A94,'Data Vlaue (Cr)'!$C:$FB,63)</f>
        <v>115</v>
      </c>
      <c r="N94" s="51">
        <f>VLOOKUP($A94,'Data Vlaue (Cr)'!$C:$FB,64)</f>
        <v>160</v>
      </c>
      <c r="O94" s="51">
        <f>VLOOKUP($A94,'Data Vlaue (Cr)'!$C:$FB,66)*100</f>
        <v>-28.18</v>
      </c>
    </row>
    <row r="95" spans="1:15" x14ac:dyDescent="0.25">
      <c r="A95" s="101" t="str">
        <f>'Data Vlaue (Cr)'!C90</f>
        <v>INDHOTEL</v>
      </c>
      <c r="B95" s="50">
        <f>VLOOKUP($A95,'Data Vlaue (Cr)'!$C:$FB,8)</f>
        <v>629.70000000000005</v>
      </c>
      <c r="C95" s="50">
        <f>VLOOKUP($A95,'Data Vlaue (Cr)'!$C:$FB,11)*100</f>
        <v>-0.64</v>
      </c>
      <c r="D95" s="50">
        <f>VLOOKUP($A95,'Data Vlaue (Cr)'!$C:$FB,143)</f>
        <v>1583.55</v>
      </c>
      <c r="E95" s="50">
        <f>VLOOKUP($A95,'Data Vlaue (Cr)'!$C:$FB,144)</f>
        <v>955.14</v>
      </c>
      <c r="F95" s="50">
        <f>VLOOKUP($A95,'Data Vlaue (Cr)'!$C:$FB,146)*100</f>
        <v>65.790000000000006</v>
      </c>
      <c r="G95" s="49">
        <f>VLOOKUP($A95,'Data Vlaue (Cr)'!$C:$FB,43)</f>
        <v>363</v>
      </c>
      <c r="H95" s="49">
        <f>VLOOKUP($A95,'Data Vlaue (Cr)'!$C:$FB,44)</f>
        <v>288</v>
      </c>
      <c r="I95" s="49">
        <f>VLOOKUP($A95,'Data Vlaue (Cr)'!$C:$FB,46)*100</f>
        <v>26.150000000000002</v>
      </c>
      <c r="J95" s="51">
        <f>VLOOKUP($A95,'Data Vlaue (Cr)'!$C:$FB,59)</f>
        <v>665</v>
      </c>
      <c r="K95" s="51">
        <f>VLOOKUP($A95,'Data Vlaue (Cr)'!$C:$FB,60)</f>
        <v>333</v>
      </c>
      <c r="L95" s="51">
        <f>VLOOKUP($A95,'Data Vlaue (Cr)'!$C:$FB,62)*100</f>
        <v>99.56</v>
      </c>
      <c r="M95" s="51">
        <f>VLOOKUP($A95,'Data Vlaue (Cr)'!$C:$FB,63)</f>
        <v>517</v>
      </c>
      <c r="N95" s="51">
        <f>VLOOKUP($A95,'Data Vlaue (Cr)'!$C:$FB,64)</f>
        <v>299</v>
      </c>
      <c r="O95" s="51">
        <f>VLOOKUP($A95,'Data Vlaue (Cr)'!$C:$FB,66)*100</f>
        <v>73.22</v>
      </c>
    </row>
    <row r="96" spans="1:15" x14ac:dyDescent="0.25">
      <c r="A96" s="101" t="str">
        <f>'Data Vlaue (Cr)'!C91</f>
        <v>INDIANB</v>
      </c>
      <c r="B96" s="50">
        <f>VLOOKUP($A96,'Data Vlaue (Cr)'!$C:$FB,8)</f>
        <v>951.75</v>
      </c>
      <c r="C96" s="50">
        <f>VLOOKUP($A96,'Data Vlaue (Cr)'!$C:$FB,11)*100</f>
        <v>1.3599999999999999</v>
      </c>
      <c r="D96" s="50">
        <f>VLOOKUP($A96,'Data Vlaue (Cr)'!$C:$FB,143)</f>
        <v>988.35</v>
      </c>
      <c r="E96" s="50">
        <f>VLOOKUP($A96,'Data Vlaue (Cr)'!$C:$FB,144)</f>
        <v>2149.23</v>
      </c>
      <c r="F96" s="50">
        <f>VLOOKUP($A96,'Data Vlaue (Cr)'!$C:$FB,146)*100</f>
        <v>-54.010000000000005</v>
      </c>
      <c r="G96" s="49">
        <f>VLOOKUP($A96,'Data Vlaue (Cr)'!$C:$FB,43)</f>
        <v>327</v>
      </c>
      <c r="H96" s="49">
        <f>VLOOKUP($A96,'Data Vlaue (Cr)'!$C:$FB,44)</f>
        <v>542</v>
      </c>
      <c r="I96" s="49">
        <f>VLOOKUP($A96,'Data Vlaue (Cr)'!$C:$FB,46)*100</f>
        <v>-39.71</v>
      </c>
      <c r="J96" s="51">
        <f>VLOOKUP($A96,'Data Vlaue (Cr)'!$C:$FB,59)</f>
        <v>406</v>
      </c>
      <c r="K96" s="51">
        <f>VLOOKUP($A96,'Data Vlaue (Cr)'!$C:$FB,60)</f>
        <v>860</v>
      </c>
      <c r="L96" s="51">
        <f>VLOOKUP($A96,'Data Vlaue (Cr)'!$C:$FB,62)*100</f>
        <v>-52.76</v>
      </c>
      <c r="M96" s="51">
        <f>VLOOKUP($A96,'Data Vlaue (Cr)'!$C:$FB,63)</f>
        <v>234</v>
      </c>
      <c r="N96" s="51">
        <f>VLOOKUP($A96,'Data Vlaue (Cr)'!$C:$FB,64)</f>
        <v>705</v>
      </c>
      <c r="O96" s="51">
        <f>VLOOKUP($A96,'Data Vlaue (Cr)'!$C:$FB,66)*100</f>
        <v>-66.739999999999995</v>
      </c>
    </row>
    <row r="97" spans="1:15" x14ac:dyDescent="0.25">
      <c r="A97" s="101" t="str">
        <f>'Data Vlaue (Cr)'!C92</f>
        <v>INDIAVIX</v>
      </c>
      <c r="B97" s="50">
        <f>VLOOKUP($A97,'Data Vlaue (Cr)'!$C:$FB,8)</f>
        <v>17.86</v>
      </c>
      <c r="C97" s="50">
        <f>VLOOKUP($A97,'Data Vlaue (Cr)'!$C:$FB,11)*100</f>
        <v>-15.53</v>
      </c>
      <c r="D97" s="50">
        <f>VLOOKUP($A97,'Data Vlaue (Cr)'!$C:$FB,143)</f>
        <v>0</v>
      </c>
      <c r="E97" s="50">
        <f>VLOOKUP($A97,'Data Vlaue (Cr)'!$C:$FB,144)</f>
        <v>0</v>
      </c>
      <c r="F97" s="50">
        <f>VLOOKUP($A97,'Data Vlaue (Cr)'!$C:$FB,146)*100</f>
        <v>0</v>
      </c>
      <c r="G97" s="49">
        <f>VLOOKUP($A97,'Data Vlaue (Cr)'!$C:$FB,43)</f>
        <v>0</v>
      </c>
      <c r="H97" s="49">
        <f>VLOOKUP($A97,'Data Vlaue (Cr)'!$C:$FB,44)</f>
        <v>0</v>
      </c>
      <c r="I97" s="49">
        <f>VLOOKUP($A97,'Data Vlaue (Cr)'!$C:$FB,46)*100</f>
        <v>0</v>
      </c>
      <c r="J97" s="51">
        <f>VLOOKUP($A97,'Data Vlaue (Cr)'!$C:$FB,59)</f>
        <v>0</v>
      </c>
      <c r="K97" s="51">
        <f>VLOOKUP($A97,'Data Vlaue (Cr)'!$C:$FB,60)</f>
        <v>0</v>
      </c>
      <c r="L97" s="51">
        <f>VLOOKUP($A97,'Data Vlaue (Cr)'!$C:$FB,62)*100</f>
        <v>0</v>
      </c>
      <c r="M97" s="51">
        <f>VLOOKUP($A97,'Data Vlaue (Cr)'!$C:$FB,63)</f>
        <v>0</v>
      </c>
      <c r="N97" s="51">
        <f>VLOOKUP($A97,'Data Vlaue (Cr)'!$C:$FB,64)</f>
        <v>0</v>
      </c>
      <c r="O97" s="51">
        <f>VLOOKUP($A97,'Data Vlaue (Cr)'!$C:$FB,66)*100</f>
        <v>0</v>
      </c>
    </row>
    <row r="98" spans="1:15" x14ac:dyDescent="0.25">
      <c r="A98" s="101" t="str">
        <f>'Data Vlaue (Cr)'!C93</f>
        <v>INDIGO</v>
      </c>
      <c r="B98" s="50">
        <f>VLOOKUP($A98,'Data Vlaue (Cr)'!$C:$FB,8)</f>
        <v>4512.8</v>
      </c>
      <c r="C98" s="50">
        <f>VLOOKUP($A98,'Data Vlaue (Cr)'!$C:$FB,11)*100</f>
        <v>2.73</v>
      </c>
      <c r="D98" s="50">
        <f>VLOOKUP($A98,'Data Vlaue (Cr)'!$C:$FB,143)</f>
        <v>10479.75</v>
      </c>
      <c r="E98" s="50">
        <f>VLOOKUP($A98,'Data Vlaue (Cr)'!$C:$FB,144)</f>
        <v>11419.65</v>
      </c>
      <c r="F98" s="50">
        <f>VLOOKUP($A98,'Data Vlaue (Cr)'!$C:$FB,146)*100</f>
        <v>-8.23</v>
      </c>
      <c r="G98" s="49">
        <f>VLOOKUP($A98,'Data Vlaue (Cr)'!$C:$FB,43)</f>
        <v>1891</v>
      </c>
      <c r="H98" s="49">
        <f>VLOOKUP($A98,'Data Vlaue (Cr)'!$C:$FB,44)</f>
        <v>1589</v>
      </c>
      <c r="I98" s="49">
        <f>VLOOKUP($A98,'Data Vlaue (Cr)'!$C:$FB,46)*100</f>
        <v>19.009999999999998</v>
      </c>
      <c r="J98" s="51">
        <f>VLOOKUP($A98,'Data Vlaue (Cr)'!$C:$FB,59)</f>
        <v>4352</v>
      </c>
      <c r="K98" s="51">
        <f>VLOOKUP($A98,'Data Vlaue (Cr)'!$C:$FB,60)</f>
        <v>4339</v>
      </c>
      <c r="L98" s="51">
        <f>VLOOKUP($A98,'Data Vlaue (Cr)'!$C:$FB,62)*100</f>
        <v>0.28999999999999998</v>
      </c>
      <c r="M98" s="51">
        <f>VLOOKUP($A98,'Data Vlaue (Cr)'!$C:$FB,63)</f>
        <v>4218</v>
      </c>
      <c r="N98" s="51">
        <f>VLOOKUP($A98,'Data Vlaue (Cr)'!$C:$FB,64)</f>
        <v>5511</v>
      </c>
      <c r="O98" s="51">
        <f>VLOOKUP($A98,'Data Vlaue (Cr)'!$C:$FB,66)*100</f>
        <v>-23.46</v>
      </c>
    </row>
    <row r="99" spans="1:15" x14ac:dyDescent="0.25">
      <c r="A99" s="101" t="str">
        <f>'Data Vlaue (Cr)'!C94</f>
        <v>INDUSINDBK</v>
      </c>
      <c r="B99" s="50">
        <f>VLOOKUP($A99,'Data Vlaue (Cr)'!$C:$FB,8)</f>
        <v>937.2</v>
      </c>
      <c r="C99" s="50">
        <f>VLOOKUP($A99,'Data Vlaue (Cr)'!$C:$FB,11)*100</f>
        <v>1.04</v>
      </c>
      <c r="D99" s="50">
        <f>VLOOKUP($A99,'Data Vlaue (Cr)'!$C:$FB,143)</f>
        <v>1789.65</v>
      </c>
      <c r="E99" s="50">
        <f>VLOOKUP($A99,'Data Vlaue (Cr)'!$C:$FB,144)</f>
        <v>2083.46</v>
      </c>
      <c r="F99" s="50">
        <f>VLOOKUP($A99,'Data Vlaue (Cr)'!$C:$FB,146)*100</f>
        <v>-14.099999999999998</v>
      </c>
      <c r="G99" s="49">
        <f>VLOOKUP($A99,'Data Vlaue (Cr)'!$C:$FB,43)</f>
        <v>566</v>
      </c>
      <c r="H99" s="49">
        <f>VLOOKUP($A99,'Data Vlaue (Cr)'!$C:$FB,44)</f>
        <v>876</v>
      </c>
      <c r="I99" s="49">
        <f>VLOOKUP($A99,'Data Vlaue (Cr)'!$C:$FB,46)*100</f>
        <v>-35.36</v>
      </c>
      <c r="J99" s="51">
        <f>VLOOKUP($A99,'Data Vlaue (Cr)'!$C:$FB,59)</f>
        <v>671</v>
      </c>
      <c r="K99" s="51">
        <f>VLOOKUP($A99,'Data Vlaue (Cr)'!$C:$FB,60)</f>
        <v>651</v>
      </c>
      <c r="L99" s="51">
        <f>VLOOKUP($A99,'Data Vlaue (Cr)'!$C:$FB,62)*100</f>
        <v>3.0300000000000002</v>
      </c>
      <c r="M99" s="51">
        <f>VLOOKUP($A99,'Data Vlaue (Cr)'!$C:$FB,63)</f>
        <v>516</v>
      </c>
      <c r="N99" s="51">
        <f>VLOOKUP($A99,'Data Vlaue (Cr)'!$C:$FB,64)</f>
        <v>539</v>
      </c>
      <c r="O99" s="51">
        <f>VLOOKUP($A99,'Data Vlaue (Cr)'!$C:$FB,66)*100</f>
        <v>-4.2299999999999995</v>
      </c>
    </row>
    <row r="100" spans="1:15" x14ac:dyDescent="0.25">
      <c r="A100" s="101" t="str">
        <f>'Data Vlaue (Cr)'!C95</f>
        <v>INDUSTOWER</v>
      </c>
      <c r="B100" s="50">
        <f>VLOOKUP($A100,'Data Vlaue (Cr)'!$C:$FB,8)</f>
        <v>451.4</v>
      </c>
      <c r="C100" s="50">
        <f>VLOOKUP($A100,'Data Vlaue (Cr)'!$C:$FB,11)*100</f>
        <v>2.06</v>
      </c>
      <c r="D100" s="50">
        <f>VLOOKUP($A100,'Data Vlaue (Cr)'!$C:$FB,143)</f>
        <v>1157.3900000000001</v>
      </c>
      <c r="E100" s="50">
        <f>VLOOKUP($A100,'Data Vlaue (Cr)'!$C:$FB,144)</f>
        <v>1134.1300000000001</v>
      </c>
      <c r="F100" s="50">
        <f>VLOOKUP($A100,'Data Vlaue (Cr)'!$C:$FB,146)*100</f>
        <v>2.0500000000000003</v>
      </c>
      <c r="G100" s="49">
        <f>VLOOKUP($A100,'Data Vlaue (Cr)'!$C:$FB,43)</f>
        <v>349</v>
      </c>
      <c r="H100" s="49">
        <f>VLOOKUP($A100,'Data Vlaue (Cr)'!$C:$FB,44)</f>
        <v>407</v>
      </c>
      <c r="I100" s="49">
        <f>VLOOKUP($A100,'Data Vlaue (Cr)'!$C:$FB,46)*100</f>
        <v>-14.35</v>
      </c>
      <c r="J100" s="51">
        <f>VLOOKUP($A100,'Data Vlaue (Cr)'!$C:$FB,59)</f>
        <v>563</v>
      </c>
      <c r="K100" s="51">
        <f>VLOOKUP($A100,'Data Vlaue (Cr)'!$C:$FB,60)</f>
        <v>488</v>
      </c>
      <c r="L100" s="51">
        <f>VLOOKUP($A100,'Data Vlaue (Cr)'!$C:$FB,62)*100</f>
        <v>15.479999999999999</v>
      </c>
      <c r="M100" s="51">
        <f>VLOOKUP($A100,'Data Vlaue (Cr)'!$C:$FB,63)</f>
        <v>221</v>
      </c>
      <c r="N100" s="51">
        <f>VLOOKUP($A100,'Data Vlaue (Cr)'!$C:$FB,64)</f>
        <v>233</v>
      </c>
      <c r="O100" s="51">
        <f>VLOOKUP($A100,'Data Vlaue (Cr)'!$C:$FB,66)*100</f>
        <v>-5.2200000000000006</v>
      </c>
    </row>
    <row r="101" spans="1:15" x14ac:dyDescent="0.25">
      <c r="A101" s="101" t="str">
        <f>'Data Vlaue (Cr)'!C96</f>
        <v>INFY</v>
      </c>
      <c r="B101" s="50">
        <f>VLOOKUP($A101,'Data Vlaue (Cr)'!$C:$FB,8)</f>
        <v>1305.8</v>
      </c>
      <c r="C101" s="50">
        <f>VLOOKUP($A101,'Data Vlaue (Cr)'!$C:$FB,11)*100</f>
        <v>-0.12</v>
      </c>
      <c r="D101" s="50">
        <f>VLOOKUP($A101,'Data Vlaue (Cr)'!$C:$FB,143)</f>
        <v>7060.97</v>
      </c>
      <c r="E101" s="50">
        <f>VLOOKUP($A101,'Data Vlaue (Cr)'!$C:$FB,144)</f>
        <v>11616.64</v>
      </c>
      <c r="F101" s="50">
        <f>VLOOKUP($A101,'Data Vlaue (Cr)'!$C:$FB,146)*100</f>
        <v>-39.22</v>
      </c>
      <c r="G101" s="49">
        <f>VLOOKUP($A101,'Data Vlaue (Cr)'!$C:$FB,43)</f>
        <v>1240</v>
      </c>
      <c r="H101" s="49">
        <f>VLOOKUP($A101,'Data Vlaue (Cr)'!$C:$FB,44)</f>
        <v>1818</v>
      </c>
      <c r="I101" s="49">
        <f>VLOOKUP($A101,'Data Vlaue (Cr)'!$C:$FB,46)*100</f>
        <v>-31.790000000000003</v>
      </c>
      <c r="J101" s="51">
        <f>VLOOKUP($A101,'Data Vlaue (Cr)'!$C:$FB,59)</f>
        <v>3328</v>
      </c>
      <c r="K101" s="51">
        <f>VLOOKUP($A101,'Data Vlaue (Cr)'!$C:$FB,60)</f>
        <v>5977</v>
      </c>
      <c r="L101" s="51">
        <f>VLOOKUP($A101,'Data Vlaue (Cr)'!$C:$FB,62)*100</f>
        <v>-44.32</v>
      </c>
      <c r="M101" s="51">
        <f>VLOOKUP($A101,'Data Vlaue (Cr)'!$C:$FB,63)</f>
        <v>2295</v>
      </c>
      <c r="N101" s="51">
        <f>VLOOKUP($A101,'Data Vlaue (Cr)'!$C:$FB,64)</f>
        <v>3448</v>
      </c>
      <c r="O101" s="51">
        <f>VLOOKUP($A101,'Data Vlaue (Cr)'!$C:$FB,66)*100</f>
        <v>-33.44</v>
      </c>
    </row>
    <row r="102" spans="1:15" x14ac:dyDescent="0.25">
      <c r="A102" s="101" t="str">
        <f>'Data Vlaue (Cr)'!C97</f>
        <v>INOXWIND</v>
      </c>
      <c r="B102" s="50">
        <f>VLOOKUP($A102,'Data Vlaue (Cr)'!$C:$FB,8)</f>
        <v>86.32</v>
      </c>
      <c r="C102" s="50">
        <f>VLOOKUP($A102,'Data Vlaue (Cr)'!$C:$FB,11)*100</f>
        <v>0.54999999999999993</v>
      </c>
      <c r="D102" s="50">
        <f>VLOOKUP($A102,'Data Vlaue (Cr)'!$C:$FB,143)</f>
        <v>702.35</v>
      </c>
      <c r="E102" s="50">
        <f>VLOOKUP($A102,'Data Vlaue (Cr)'!$C:$FB,144)</f>
        <v>456.4</v>
      </c>
      <c r="F102" s="50">
        <f>VLOOKUP($A102,'Data Vlaue (Cr)'!$C:$FB,146)*100</f>
        <v>53.890000000000008</v>
      </c>
      <c r="G102" s="49">
        <f>VLOOKUP($A102,'Data Vlaue (Cr)'!$C:$FB,43)</f>
        <v>158</v>
      </c>
      <c r="H102" s="49">
        <f>VLOOKUP($A102,'Data Vlaue (Cr)'!$C:$FB,44)</f>
        <v>125</v>
      </c>
      <c r="I102" s="49">
        <f>VLOOKUP($A102,'Data Vlaue (Cr)'!$C:$FB,46)*100</f>
        <v>26.77</v>
      </c>
      <c r="J102" s="51">
        <f>VLOOKUP($A102,'Data Vlaue (Cr)'!$C:$FB,59)</f>
        <v>329</v>
      </c>
      <c r="K102" s="51">
        <f>VLOOKUP($A102,'Data Vlaue (Cr)'!$C:$FB,60)</f>
        <v>206</v>
      </c>
      <c r="L102" s="51">
        <f>VLOOKUP($A102,'Data Vlaue (Cr)'!$C:$FB,62)*100</f>
        <v>59.62</v>
      </c>
      <c r="M102" s="51">
        <f>VLOOKUP($A102,'Data Vlaue (Cr)'!$C:$FB,63)</f>
        <v>181</v>
      </c>
      <c r="N102" s="51">
        <f>VLOOKUP($A102,'Data Vlaue (Cr)'!$C:$FB,64)</f>
        <v>99</v>
      </c>
      <c r="O102" s="51">
        <f>VLOOKUP($A102,'Data Vlaue (Cr)'!$C:$FB,66)*100</f>
        <v>83.38</v>
      </c>
    </row>
    <row r="103" spans="1:15" x14ac:dyDescent="0.25">
      <c r="A103" s="101" t="str">
        <f>'Data Vlaue (Cr)'!C98</f>
        <v>IOC</v>
      </c>
      <c r="B103" s="50">
        <f>VLOOKUP($A103,'Data Vlaue (Cr)'!$C:$FB,8)</f>
        <v>171.54</v>
      </c>
      <c r="C103" s="50">
        <f>VLOOKUP($A103,'Data Vlaue (Cr)'!$C:$FB,11)*100</f>
        <v>0.65</v>
      </c>
      <c r="D103" s="50">
        <f>VLOOKUP($A103,'Data Vlaue (Cr)'!$C:$FB,143)</f>
        <v>4524.95</v>
      </c>
      <c r="E103" s="50">
        <f>VLOOKUP($A103,'Data Vlaue (Cr)'!$C:$FB,144)</f>
        <v>3459.07</v>
      </c>
      <c r="F103" s="50">
        <f>VLOOKUP($A103,'Data Vlaue (Cr)'!$C:$FB,146)*100</f>
        <v>30.81</v>
      </c>
      <c r="G103" s="49">
        <f>VLOOKUP($A103,'Data Vlaue (Cr)'!$C:$FB,43)</f>
        <v>1007</v>
      </c>
      <c r="H103" s="49">
        <f>VLOOKUP($A103,'Data Vlaue (Cr)'!$C:$FB,44)</f>
        <v>518</v>
      </c>
      <c r="I103" s="49">
        <f>VLOOKUP($A103,'Data Vlaue (Cr)'!$C:$FB,46)*100</f>
        <v>94.179999999999993</v>
      </c>
      <c r="J103" s="51">
        <f>VLOOKUP($A103,'Data Vlaue (Cr)'!$C:$FB,59)</f>
        <v>1742</v>
      </c>
      <c r="K103" s="51">
        <f>VLOOKUP($A103,'Data Vlaue (Cr)'!$C:$FB,60)</f>
        <v>992</v>
      </c>
      <c r="L103" s="51">
        <f>VLOOKUP($A103,'Data Vlaue (Cr)'!$C:$FB,62)*100</f>
        <v>75.61</v>
      </c>
      <c r="M103" s="51">
        <f>VLOOKUP($A103,'Data Vlaue (Cr)'!$C:$FB,63)</f>
        <v>1682</v>
      </c>
      <c r="N103" s="51">
        <f>VLOOKUP($A103,'Data Vlaue (Cr)'!$C:$FB,64)</f>
        <v>1862</v>
      </c>
      <c r="O103" s="51">
        <f>VLOOKUP($A103,'Data Vlaue (Cr)'!$C:$FB,66)*100</f>
        <v>-9.66</v>
      </c>
    </row>
    <row r="104" spans="1:15" x14ac:dyDescent="0.25">
      <c r="A104" s="101" t="str">
        <f>'Data Vlaue (Cr)'!C99</f>
        <v>IREDA</v>
      </c>
      <c r="B104" s="50">
        <f>VLOOKUP($A104,'Data Vlaue (Cr)'!$C:$FB,8)</f>
        <v>115.65</v>
      </c>
      <c r="C104" s="50">
        <f>VLOOKUP($A104,'Data Vlaue (Cr)'!$C:$FB,11)*100</f>
        <v>1.8800000000000001</v>
      </c>
      <c r="D104" s="50">
        <f>VLOOKUP($A104,'Data Vlaue (Cr)'!$C:$FB,143)</f>
        <v>380.83</v>
      </c>
      <c r="E104" s="50">
        <f>VLOOKUP($A104,'Data Vlaue (Cr)'!$C:$FB,144)</f>
        <v>480.38</v>
      </c>
      <c r="F104" s="50">
        <f>VLOOKUP($A104,'Data Vlaue (Cr)'!$C:$FB,146)*100</f>
        <v>-20.72</v>
      </c>
      <c r="G104" s="49">
        <f>VLOOKUP($A104,'Data Vlaue (Cr)'!$C:$FB,43)</f>
        <v>131</v>
      </c>
      <c r="H104" s="49">
        <f>VLOOKUP($A104,'Data Vlaue (Cr)'!$C:$FB,44)</f>
        <v>149</v>
      </c>
      <c r="I104" s="49">
        <f>VLOOKUP($A104,'Data Vlaue (Cr)'!$C:$FB,46)*100</f>
        <v>-11.97</v>
      </c>
      <c r="J104" s="51">
        <f>VLOOKUP($A104,'Data Vlaue (Cr)'!$C:$FB,59)</f>
        <v>178</v>
      </c>
      <c r="K104" s="51">
        <f>VLOOKUP($A104,'Data Vlaue (Cr)'!$C:$FB,60)</f>
        <v>211</v>
      </c>
      <c r="L104" s="51">
        <f>VLOOKUP($A104,'Data Vlaue (Cr)'!$C:$FB,62)*100</f>
        <v>-15.590000000000002</v>
      </c>
      <c r="M104" s="51">
        <f>VLOOKUP($A104,'Data Vlaue (Cr)'!$C:$FB,63)</f>
        <v>60</v>
      </c>
      <c r="N104" s="51">
        <f>VLOOKUP($A104,'Data Vlaue (Cr)'!$C:$FB,64)</f>
        <v>97</v>
      </c>
      <c r="O104" s="51">
        <f>VLOOKUP($A104,'Data Vlaue (Cr)'!$C:$FB,66)*100</f>
        <v>-37.68</v>
      </c>
    </row>
    <row r="105" spans="1:15" x14ac:dyDescent="0.25">
      <c r="A105" s="101" t="str">
        <f>'Data Vlaue (Cr)'!C100</f>
        <v>IRFC</v>
      </c>
      <c r="B105" s="50">
        <f>VLOOKUP($A105,'Data Vlaue (Cr)'!$C:$FB,8)</f>
        <v>98.85</v>
      </c>
      <c r="C105" s="50">
        <f>VLOOKUP($A105,'Data Vlaue (Cr)'!$C:$FB,11)*100</f>
        <v>1.1400000000000001</v>
      </c>
      <c r="D105" s="50">
        <f>VLOOKUP($A105,'Data Vlaue (Cr)'!$C:$FB,143)</f>
        <v>830.87</v>
      </c>
      <c r="E105" s="50">
        <f>VLOOKUP($A105,'Data Vlaue (Cr)'!$C:$FB,144)</f>
        <v>1115.53</v>
      </c>
      <c r="F105" s="50">
        <f>VLOOKUP($A105,'Data Vlaue (Cr)'!$C:$FB,146)*100</f>
        <v>-25.52</v>
      </c>
      <c r="G105" s="49">
        <f>VLOOKUP($A105,'Data Vlaue (Cr)'!$C:$FB,43)</f>
        <v>153</v>
      </c>
      <c r="H105" s="49">
        <f>VLOOKUP($A105,'Data Vlaue (Cr)'!$C:$FB,44)</f>
        <v>224</v>
      </c>
      <c r="I105" s="49">
        <f>VLOOKUP($A105,'Data Vlaue (Cr)'!$C:$FB,46)*100</f>
        <v>-31.680000000000003</v>
      </c>
      <c r="J105" s="51">
        <f>VLOOKUP($A105,'Data Vlaue (Cr)'!$C:$FB,59)</f>
        <v>501</v>
      </c>
      <c r="K105" s="51">
        <f>VLOOKUP($A105,'Data Vlaue (Cr)'!$C:$FB,60)</f>
        <v>590</v>
      </c>
      <c r="L105" s="51">
        <f>VLOOKUP($A105,'Data Vlaue (Cr)'!$C:$FB,62)*100</f>
        <v>-15.09</v>
      </c>
      <c r="M105" s="51">
        <f>VLOOKUP($A105,'Data Vlaue (Cr)'!$C:$FB,63)</f>
        <v>143</v>
      </c>
      <c r="N105" s="51">
        <f>VLOOKUP($A105,'Data Vlaue (Cr)'!$C:$FB,64)</f>
        <v>262</v>
      </c>
      <c r="O105" s="51">
        <f>VLOOKUP($A105,'Data Vlaue (Cr)'!$C:$FB,66)*100</f>
        <v>-45.22</v>
      </c>
    </row>
    <row r="106" spans="1:15" x14ac:dyDescent="0.25">
      <c r="A106" s="101" t="str">
        <f>'Data Vlaue (Cr)'!C101</f>
        <v>ITC</v>
      </c>
      <c r="B106" s="50">
        <f>VLOOKUP($A106,'Data Vlaue (Cr)'!$C:$FB,8)</f>
        <v>311.5</v>
      </c>
      <c r="C106" s="50">
        <f>VLOOKUP($A106,'Data Vlaue (Cr)'!$C:$FB,11)*100</f>
        <v>-0.13999999999999999</v>
      </c>
      <c r="D106" s="50">
        <f>VLOOKUP($A106,'Data Vlaue (Cr)'!$C:$FB,143)</f>
        <v>4653.9799999999996</v>
      </c>
      <c r="E106" s="50">
        <f>VLOOKUP($A106,'Data Vlaue (Cr)'!$C:$FB,144)</f>
        <v>4709.82</v>
      </c>
      <c r="F106" s="50">
        <f>VLOOKUP($A106,'Data Vlaue (Cr)'!$C:$FB,146)*100</f>
        <v>-1.1900000000000002</v>
      </c>
      <c r="G106" s="49">
        <f>VLOOKUP($A106,'Data Vlaue (Cr)'!$C:$FB,43)</f>
        <v>475</v>
      </c>
      <c r="H106" s="49">
        <f>VLOOKUP($A106,'Data Vlaue (Cr)'!$C:$FB,44)</f>
        <v>553</v>
      </c>
      <c r="I106" s="49">
        <f>VLOOKUP($A106,'Data Vlaue (Cr)'!$C:$FB,46)*100</f>
        <v>-14.030000000000001</v>
      </c>
      <c r="J106" s="51">
        <f>VLOOKUP($A106,'Data Vlaue (Cr)'!$C:$FB,59)</f>
        <v>3097</v>
      </c>
      <c r="K106" s="51">
        <f>VLOOKUP($A106,'Data Vlaue (Cr)'!$C:$FB,60)</f>
        <v>2807</v>
      </c>
      <c r="L106" s="51">
        <f>VLOOKUP($A106,'Data Vlaue (Cr)'!$C:$FB,62)*100</f>
        <v>10.32</v>
      </c>
      <c r="M106" s="51">
        <f>VLOOKUP($A106,'Data Vlaue (Cr)'!$C:$FB,63)</f>
        <v>890</v>
      </c>
      <c r="N106" s="51">
        <f>VLOOKUP($A106,'Data Vlaue (Cr)'!$C:$FB,64)</f>
        <v>1196</v>
      </c>
      <c r="O106" s="51">
        <f>VLOOKUP($A106,'Data Vlaue (Cr)'!$C:$FB,66)*100</f>
        <v>-25.569999999999997</v>
      </c>
    </row>
    <row r="107" spans="1:15" x14ac:dyDescent="0.25">
      <c r="A107" s="101" t="str">
        <f>'Data Vlaue (Cr)'!C102</f>
        <v>JINDALSTEL</v>
      </c>
      <c r="B107" s="50">
        <f>VLOOKUP($A107,'Data Vlaue (Cr)'!$C:$FB,8)</f>
        <v>1184</v>
      </c>
      <c r="C107" s="50">
        <f>VLOOKUP($A107,'Data Vlaue (Cr)'!$C:$FB,11)*100</f>
        <v>1.34</v>
      </c>
      <c r="D107" s="50">
        <f>VLOOKUP($A107,'Data Vlaue (Cr)'!$C:$FB,143)</f>
        <v>1185.29</v>
      </c>
      <c r="E107" s="50">
        <f>VLOOKUP($A107,'Data Vlaue (Cr)'!$C:$FB,144)</f>
        <v>2278.61</v>
      </c>
      <c r="F107" s="50">
        <f>VLOOKUP($A107,'Data Vlaue (Cr)'!$C:$FB,146)*100</f>
        <v>-47.980000000000004</v>
      </c>
      <c r="G107" s="49">
        <f>VLOOKUP($A107,'Data Vlaue (Cr)'!$C:$FB,43)</f>
        <v>327</v>
      </c>
      <c r="H107" s="49">
        <f>VLOOKUP($A107,'Data Vlaue (Cr)'!$C:$FB,44)</f>
        <v>541</v>
      </c>
      <c r="I107" s="49">
        <f>VLOOKUP($A107,'Data Vlaue (Cr)'!$C:$FB,46)*100</f>
        <v>-39.43</v>
      </c>
      <c r="J107" s="51">
        <f>VLOOKUP($A107,'Data Vlaue (Cr)'!$C:$FB,59)</f>
        <v>596</v>
      </c>
      <c r="K107" s="51">
        <f>VLOOKUP($A107,'Data Vlaue (Cr)'!$C:$FB,60)</f>
        <v>758</v>
      </c>
      <c r="L107" s="51">
        <f>VLOOKUP($A107,'Data Vlaue (Cr)'!$C:$FB,62)*100</f>
        <v>-21.349999999999998</v>
      </c>
      <c r="M107" s="51">
        <f>VLOOKUP($A107,'Data Vlaue (Cr)'!$C:$FB,63)</f>
        <v>235</v>
      </c>
      <c r="N107" s="51">
        <f>VLOOKUP($A107,'Data Vlaue (Cr)'!$C:$FB,64)</f>
        <v>931</v>
      </c>
      <c r="O107" s="51">
        <f>VLOOKUP($A107,'Data Vlaue (Cr)'!$C:$FB,66)*100</f>
        <v>-74.77000000000001</v>
      </c>
    </row>
    <row r="108" spans="1:15" x14ac:dyDescent="0.25">
      <c r="A108" s="101" t="str">
        <f>'Data Vlaue (Cr)'!C103</f>
        <v>JIOFIN</v>
      </c>
      <c r="B108" s="50">
        <f>VLOOKUP($A108,'Data Vlaue (Cr)'!$C:$FB,8)</f>
        <v>243.1</v>
      </c>
      <c r="C108" s="50">
        <f>VLOOKUP($A108,'Data Vlaue (Cr)'!$C:$FB,11)*100</f>
        <v>0.75</v>
      </c>
      <c r="D108" s="50">
        <f>VLOOKUP($A108,'Data Vlaue (Cr)'!$C:$FB,143)</f>
        <v>2227.1</v>
      </c>
      <c r="E108" s="50">
        <f>VLOOKUP($A108,'Data Vlaue (Cr)'!$C:$FB,144)</f>
        <v>2197.9899999999998</v>
      </c>
      <c r="F108" s="50">
        <f>VLOOKUP($A108,'Data Vlaue (Cr)'!$C:$FB,146)*100</f>
        <v>1.32</v>
      </c>
      <c r="G108" s="49">
        <f>VLOOKUP($A108,'Data Vlaue (Cr)'!$C:$FB,43)</f>
        <v>525</v>
      </c>
      <c r="H108" s="49">
        <f>VLOOKUP($A108,'Data Vlaue (Cr)'!$C:$FB,44)</f>
        <v>457</v>
      </c>
      <c r="I108" s="49">
        <f>VLOOKUP($A108,'Data Vlaue (Cr)'!$C:$FB,46)*100</f>
        <v>14.879999999999999</v>
      </c>
      <c r="J108" s="51">
        <f>VLOOKUP($A108,'Data Vlaue (Cr)'!$C:$FB,59)</f>
        <v>1106</v>
      </c>
      <c r="K108" s="51">
        <f>VLOOKUP($A108,'Data Vlaue (Cr)'!$C:$FB,60)</f>
        <v>1014</v>
      </c>
      <c r="L108" s="51">
        <f>VLOOKUP($A108,'Data Vlaue (Cr)'!$C:$FB,62)*100</f>
        <v>9.09</v>
      </c>
      <c r="M108" s="51">
        <f>VLOOKUP($A108,'Data Vlaue (Cr)'!$C:$FB,63)</f>
        <v>526</v>
      </c>
      <c r="N108" s="51">
        <f>VLOOKUP($A108,'Data Vlaue (Cr)'!$C:$FB,64)</f>
        <v>651</v>
      </c>
      <c r="O108" s="51">
        <f>VLOOKUP($A108,'Data Vlaue (Cr)'!$C:$FB,66)*100</f>
        <v>-19.239999999999998</v>
      </c>
    </row>
    <row r="109" spans="1:15" x14ac:dyDescent="0.25">
      <c r="A109" s="101" t="str">
        <f>'Data Vlaue (Cr)'!C104</f>
        <v>JSWENERGY</v>
      </c>
      <c r="B109" s="50">
        <f>VLOOKUP($A109,'Data Vlaue (Cr)'!$C:$FB,8)</f>
        <v>479.5</v>
      </c>
      <c r="C109" s="50">
        <f>VLOOKUP($A109,'Data Vlaue (Cr)'!$C:$FB,11)*100</f>
        <v>2.4500000000000002</v>
      </c>
      <c r="D109" s="50">
        <f>VLOOKUP($A109,'Data Vlaue (Cr)'!$C:$FB,143)</f>
        <v>337.37</v>
      </c>
      <c r="E109" s="50">
        <f>VLOOKUP($A109,'Data Vlaue (Cr)'!$C:$FB,144)</f>
        <v>448.5</v>
      </c>
      <c r="F109" s="50">
        <f>VLOOKUP($A109,'Data Vlaue (Cr)'!$C:$FB,146)*100</f>
        <v>-24.779999999999998</v>
      </c>
      <c r="G109" s="49">
        <f>VLOOKUP($A109,'Data Vlaue (Cr)'!$C:$FB,43)</f>
        <v>133</v>
      </c>
      <c r="H109" s="49">
        <f>VLOOKUP($A109,'Data Vlaue (Cr)'!$C:$FB,44)</f>
        <v>114</v>
      </c>
      <c r="I109" s="49">
        <f>VLOOKUP($A109,'Data Vlaue (Cr)'!$C:$FB,46)*100</f>
        <v>16.27</v>
      </c>
      <c r="J109" s="51">
        <f>VLOOKUP($A109,'Data Vlaue (Cr)'!$C:$FB,59)</f>
        <v>149</v>
      </c>
      <c r="K109" s="51">
        <f>VLOOKUP($A109,'Data Vlaue (Cr)'!$C:$FB,60)</f>
        <v>205</v>
      </c>
      <c r="L109" s="51">
        <f>VLOOKUP($A109,'Data Vlaue (Cr)'!$C:$FB,62)*100</f>
        <v>-27.05</v>
      </c>
      <c r="M109" s="51">
        <f>VLOOKUP($A109,'Data Vlaue (Cr)'!$C:$FB,63)</f>
        <v>49</v>
      </c>
      <c r="N109" s="51">
        <f>VLOOKUP($A109,'Data Vlaue (Cr)'!$C:$FB,64)</f>
        <v>122</v>
      </c>
      <c r="O109" s="51">
        <f>VLOOKUP($A109,'Data Vlaue (Cr)'!$C:$FB,66)*100</f>
        <v>-59.68</v>
      </c>
    </row>
    <row r="110" spans="1:15" x14ac:dyDescent="0.25">
      <c r="A110" s="101" t="str">
        <f>'Data Vlaue (Cr)'!C105</f>
        <v>JSWSTEEL</v>
      </c>
      <c r="B110" s="50">
        <f>VLOOKUP($A110,'Data Vlaue (Cr)'!$C:$FB,8)</f>
        <v>1248.0999999999999</v>
      </c>
      <c r="C110" s="50">
        <f>VLOOKUP($A110,'Data Vlaue (Cr)'!$C:$FB,11)*100</f>
        <v>2.8899999999999997</v>
      </c>
      <c r="D110" s="50">
        <f>VLOOKUP($A110,'Data Vlaue (Cr)'!$C:$FB,143)</f>
        <v>2653.84</v>
      </c>
      <c r="E110" s="50">
        <f>VLOOKUP($A110,'Data Vlaue (Cr)'!$C:$FB,144)</f>
        <v>3084.38</v>
      </c>
      <c r="F110" s="50">
        <f>VLOOKUP($A110,'Data Vlaue (Cr)'!$C:$FB,146)*100</f>
        <v>-13.96</v>
      </c>
      <c r="G110" s="49">
        <f>VLOOKUP($A110,'Data Vlaue (Cr)'!$C:$FB,43)</f>
        <v>857</v>
      </c>
      <c r="H110" s="49">
        <f>VLOOKUP($A110,'Data Vlaue (Cr)'!$C:$FB,44)</f>
        <v>756</v>
      </c>
      <c r="I110" s="49">
        <f>VLOOKUP($A110,'Data Vlaue (Cr)'!$C:$FB,46)*100</f>
        <v>13.38</v>
      </c>
      <c r="J110" s="51">
        <f>VLOOKUP($A110,'Data Vlaue (Cr)'!$C:$FB,59)</f>
        <v>1143</v>
      </c>
      <c r="K110" s="51">
        <f>VLOOKUP($A110,'Data Vlaue (Cr)'!$C:$FB,60)</f>
        <v>1136</v>
      </c>
      <c r="L110" s="51">
        <f>VLOOKUP($A110,'Data Vlaue (Cr)'!$C:$FB,62)*100</f>
        <v>0.54</v>
      </c>
      <c r="M110" s="51">
        <f>VLOOKUP($A110,'Data Vlaue (Cr)'!$C:$FB,63)</f>
        <v>626</v>
      </c>
      <c r="N110" s="51">
        <f>VLOOKUP($A110,'Data Vlaue (Cr)'!$C:$FB,64)</f>
        <v>1191</v>
      </c>
      <c r="O110" s="51">
        <f>VLOOKUP($A110,'Data Vlaue (Cr)'!$C:$FB,66)*100</f>
        <v>-47.4</v>
      </c>
    </row>
    <row r="111" spans="1:15" x14ac:dyDescent="0.25">
      <c r="A111" s="101" t="str">
        <f>'Data Vlaue (Cr)'!C106</f>
        <v>JUBLFOOD</v>
      </c>
      <c r="B111" s="50">
        <f>VLOOKUP($A111,'Data Vlaue (Cr)'!$C:$FB,8)</f>
        <v>500.5</v>
      </c>
      <c r="C111" s="50">
        <f>VLOOKUP($A111,'Data Vlaue (Cr)'!$C:$FB,11)*100</f>
        <v>0.2</v>
      </c>
      <c r="D111" s="50">
        <f>VLOOKUP($A111,'Data Vlaue (Cr)'!$C:$FB,143)</f>
        <v>490.04</v>
      </c>
      <c r="E111" s="50">
        <f>VLOOKUP($A111,'Data Vlaue (Cr)'!$C:$FB,144)</f>
        <v>802.93</v>
      </c>
      <c r="F111" s="50">
        <f>VLOOKUP($A111,'Data Vlaue (Cr)'!$C:$FB,146)*100</f>
        <v>-38.97</v>
      </c>
      <c r="G111" s="49">
        <f>VLOOKUP($A111,'Data Vlaue (Cr)'!$C:$FB,43)</f>
        <v>174</v>
      </c>
      <c r="H111" s="49">
        <f>VLOOKUP($A111,'Data Vlaue (Cr)'!$C:$FB,44)</f>
        <v>306</v>
      </c>
      <c r="I111" s="49">
        <f>VLOOKUP($A111,'Data Vlaue (Cr)'!$C:$FB,46)*100</f>
        <v>-43.1</v>
      </c>
      <c r="J111" s="51">
        <f>VLOOKUP($A111,'Data Vlaue (Cr)'!$C:$FB,59)</f>
        <v>236</v>
      </c>
      <c r="K111" s="51">
        <f>VLOOKUP($A111,'Data Vlaue (Cr)'!$C:$FB,60)</f>
        <v>330</v>
      </c>
      <c r="L111" s="51">
        <f>VLOOKUP($A111,'Data Vlaue (Cr)'!$C:$FB,62)*100</f>
        <v>-28.42</v>
      </c>
      <c r="M111" s="51">
        <f>VLOOKUP($A111,'Data Vlaue (Cr)'!$C:$FB,63)</f>
        <v>66</v>
      </c>
      <c r="N111" s="51">
        <f>VLOOKUP($A111,'Data Vlaue (Cr)'!$C:$FB,64)</f>
        <v>141</v>
      </c>
      <c r="O111" s="51">
        <f>VLOOKUP($A111,'Data Vlaue (Cr)'!$C:$FB,66)*100</f>
        <v>-53.33</v>
      </c>
    </row>
    <row r="112" spans="1:15" x14ac:dyDescent="0.25">
      <c r="A112" s="101" t="str">
        <f>'Data Vlaue (Cr)'!C107</f>
        <v>KALYANKJIL</v>
      </c>
      <c r="B112" s="50">
        <f>VLOOKUP($A112,'Data Vlaue (Cr)'!$C:$FB,8)</f>
        <v>399.8</v>
      </c>
      <c r="C112" s="50">
        <f>VLOOKUP($A112,'Data Vlaue (Cr)'!$C:$FB,11)*100</f>
        <v>1.52</v>
      </c>
      <c r="D112" s="50">
        <f>VLOOKUP($A112,'Data Vlaue (Cr)'!$C:$FB,143)</f>
        <v>581</v>
      </c>
      <c r="E112" s="50">
        <f>VLOOKUP($A112,'Data Vlaue (Cr)'!$C:$FB,144)</f>
        <v>771.57</v>
      </c>
      <c r="F112" s="50">
        <f>VLOOKUP($A112,'Data Vlaue (Cr)'!$C:$FB,146)*100</f>
        <v>-24.7</v>
      </c>
      <c r="G112" s="49">
        <f>VLOOKUP($A112,'Data Vlaue (Cr)'!$C:$FB,43)</f>
        <v>154</v>
      </c>
      <c r="H112" s="49">
        <f>VLOOKUP($A112,'Data Vlaue (Cr)'!$C:$FB,44)</f>
        <v>135</v>
      </c>
      <c r="I112" s="49">
        <f>VLOOKUP($A112,'Data Vlaue (Cr)'!$C:$FB,46)*100</f>
        <v>13.84</v>
      </c>
      <c r="J112" s="51">
        <f>VLOOKUP($A112,'Data Vlaue (Cr)'!$C:$FB,59)</f>
        <v>281</v>
      </c>
      <c r="K112" s="51">
        <f>VLOOKUP($A112,'Data Vlaue (Cr)'!$C:$FB,60)</f>
        <v>313</v>
      </c>
      <c r="L112" s="51">
        <f>VLOOKUP($A112,'Data Vlaue (Cr)'!$C:$FB,62)*100</f>
        <v>-10.18</v>
      </c>
      <c r="M112" s="51">
        <f>VLOOKUP($A112,'Data Vlaue (Cr)'!$C:$FB,63)</f>
        <v>135</v>
      </c>
      <c r="N112" s="51">
        <f>VLOOKUP($A112,'Data Vlaue (Cr)'!$C:$FB,64)</f>
        <v>321</v>
      </c>
      <c r="O112" s="51">
        <f>VLOOKUP($A112,'Data Vlaue (Cr)'!$C:$FB,66)*100</f>
        <v>-57.930000000000007</v>
      </c>
    </row>
    <row r="113" spans="1:15" x14ac:dyDescent="0.25">
      <c r="A113" s="101" t="str">
        <f>'Data Vlaue (Cr)'!C108</f>
        <v>KAYNES</v>
      </c>
      <c r="B113" s="50">
        <f>VLOOKUP($A113,'Data Vlaue (Cr)'!$C:$FB,8)</f>
        <v>3814.5</v>
      </c>
      <c r="C113" s="50">
        <f>VLOOKUP($A113,'Data Vlaue (Cr)'!$C:$FB,11)*100</f>
        <v>3.08</v>
      </c>
      <c r="D113" s="50">
        <f>VLOOKUP($A113,'Data Vlaue (Cr)'!$C:$FB,143)</f>
        <v>2161.0500000000002</v>
      </c>
      <c r="E113" s="50">
        <f>VLOOKUP($A113,'Data Vlaue (Cr)'!$C:$FB,144)</f>
        <v>1465.56</v>
      </c>
      <c r="F113" s="50">
        <f>VLOOKUP($A113,'Data Vlaue (Cr)'!$C:$FB,146)*100</f>
        <v>47.449999999999996</v>
      </c>
      <c r="G113" s="49">
        <f>VLOOKUP($A113,'Data Vlaue (Cr)'!$C:$FB,43)</f>
        <v>515</v>
      </c>
      <c r="H113" s="49">
        <f>VLOOKUP($A113,'Data Vlaue (Cr)'!$C:$FB,44)</f>
        <v>319</v>
      </c>
      <c r="I113" s="49">
        <f>VLOOKUP($A113,'Data Vlaue (Cr)'!$C:$FB,46)*100</f>
        <v>61.51</v>
      </c>
      <c r="J113" s="51">
        <f>VLOOKUP($A113,'Data Vlaue (Cr)'!$C:$FB,59)</f>
        <v>1022</v>
      </c>
      <c r="K113" s="51">
        <f>VLOOKUP($A113,'Data Vlaue (Cr)'!$C:$FB,60)</f>
        <v>720</v>
      </c>
      <c r="L113" s="51">
        <f>VLOOKUP($A113,'Data Vlaue (Cr)'!$C:$FB,62)*100</f>
        <v>41.82</v>
      </c>
      <c r="M113" s="51">
        <f>VLOOKUP($A113,'Data Vlaue (Cr)'!$C:$FB,63)</f>
        <v>601</v>
      </c>
      <c r="N113" s="51">
        <f>VLOOKUP($A113,'Data Vlaue (Cr)'!$C:$FB,64)</f>
        <v>413</v>
      </c>
      <c r="O113" s="51">
        <f>VLOOKUP($A113,'Data Vlaue (Cr)'!$C:$FB,66)*100</f>
        <v>45.59</v>
      </c>
    </row>
    <row r="114" spans="1:15" x14ac:dyDescent="0.25">
      <c r="A114" s="101" t="str">
        <f>'Data Vlaue (Cr)'!C109</f>
        <v>KEI</v>
      </c>
      <c r="B114" s="50">
        <f>VLOOKUP($A114,'Data Vlaue (Cr)'!$C:$FB,8)</f>
        <v>4920.5</v>
      </c>
      <c r="C114" s="50">
        <f>VLOOKUP($A114,'Data Vlaue (Cr)'!$C:$FB,11)*100</f>
        <v>-1.17</v>
      </c>
      <c r="D114" s="50">
        <f>VLOOKUP($A114,'Data Vlaue (Cr)'!$C:$FB,143)</f>
        <v>1134.5</v>
      </c>
      <c r="E114" s="50">
        <f>VLOOKUP($A114,'Data Vlaue (Cr)'!$C:$FB,144)</f>
        <v>1550.55</v>
      </c>
      <c r="F114" s="50">
        <f>VLOOKUP($A114,'Data Vlaue (Cr)'!$C:$FB,146)*100</f>
        <v>-26.83</v>
      </c>
      <c r="G114" s="49">
        <f>VLOOKUP($A114,'Data Vlaue (Cr)'!$C:$FB,43)</f>
        <v>399</v>
      </c>
      <c r="H114" s="49">
        <f>VLOOKUP($A114,'Data Vlaue (Cr)'!$C:$FB,44)</f>
        <v>421</v>
      </c>
      <c r="I114" s="49">
        <f>VLOOKUP($A114,'Data Vlaue (Cr)'!$C:$FB,46)*100</f>
        <v>-5.29</v>
      </c>
      <c r="J114" s="51">
        <f>VLOOKUP($A114,'Data Vlaue (Cr)'!$C:$FB,59)</f>
        <v>388</v>
      </c>
      <c r="K114" s="51">
        <f>VLOOKUP($A114,'Data Vlaue (Cr)'!$C:$FB,60)</f>
        <v>591</v>
      </c>
      <c r="L114" s="51">
        <f>VLOOKUP($A114,'Data Vlaue (Cr)'!$C:$FB,62)*100</f>
        <v>-34.31</v>
      </c>
      <c r="M114" s="51">
        <f>VLOOKUP($A114,'Data Vlaue (Cr)'!$C:$FB,63)</f>
        <v>331</v>
      </c>
      <c r="N114" s="51">
        <f>VLOOKUP($A114,'Data Vlaue (Cr)'!$C:$FB,64)</f>
        <v>473</v>
      </c>
      <c r="O114" s="51">
        <f>VLOOKUP($A114,'Data Vlaue (Cr)'!$C:$FB,66)*100</f>
        <v>-30.009999999999998</v>
      </c>
    </row>
    <row r="115" spans="1:15" x14ac:dyDescent="0.25">
      <c r="A115" s="101" t="str">
        <f>'Data Vlaue (Cr)'!C110</f>
        <v>KFINTECH</v>
      </c>
      <c r="B115" s="50">
        <f>VLOOKUP($A115,'Data Vlaue (Cr)'!$C:$FB,8)</f>
        <v>927.9</v>
      </c>
      <c r="C115" s="50">
        <f>VLOOKUP($A115,'Data Vlaue (Cr)'!$C:$FB,11)*100</f>
        <v>2.0500000000000003</v>
      </c>
      <c r="D115" s="50">
        <f>VLOOKUP($A115,'Data Vlaue (Cr)'!$C:$FB,143)</f>
        <v>285.95</v>
      </c>
      <c r="E115" s="50">
        <f>VLOOKUP($A115,'Data Vlaue (Cr)'!$C:$FB,144)</f>
        <v>177.49</v>
      </c>
      <c r="F115" s="50">
        <f>VLOOKUP($A115,'Data Vlaue (Cr)'!$C:$FB,146)*100</f>
        <v>61.11</v>
      </c>
      <c r="G115" s="49">
        <f>VLOOKUP($A115,'Data Vlaue (Cr)'!$C:$FB,43)</f>
        <v>79</v>
      </c>
      <c r="H115" s="49">
        <f>VLOOKUP($A115,'Data Vlaue (Cr)'!$C:$FB,44)</f>
        <v>70</v>
      </c>
      <c r="I115" s="49">
        <f>VLOOKUP($A115,'Data Vlaue (Cr)'!$C:$FB,46)*100</f>
        <v>12.989999999999998</v>
      </c>
      <c r="J115" s="51">
        <f>VLOOKUP($A115,'Data Vlaue (Cr)'!$C:$FB,59)</f>
        <v>132</v>
      </c>
      <c r="K115" s="51">
        <f>VLOOKUP($A115,'Data Vlaue (Cr)'!$C:$FB,60)</f>
        <v>64</v>
      </c>
      <c r="L115" s="51">
        <f>VLOOKUP($A115,'Data Vlaue (Cr)'!$C:$FB,62)*100</f>
        <v>105.18</v>
      </c>
      <c r="M115" s="51">
        <f>VLOOKUP($A115,'Data Vlaue (Cr)'!$C:$FB,63)</f>
        <v>67</v>
      </c>
      <c r="N115" s="51">
        <f>VLOOKUP($A115,'Data Vlaue (Cr)'!$C:$FB,64)</f>
        <v>41</v>
      </c>
      <c r="O115" s="51">
        <f>VLOOKUP($A115,'Data Vlaue (Cr)'!$C:$FB,66)*100</f>
        <v>64.67</v>
      </c>
    </row>
    <row r="116" spans="1:15" x14ac:dyDescent="0.25">
      <c r="A116" s="101" t="str">
        <f>'Data Vlaue (Cr)'!C111</f>
        <v>KOTAKBANK</v>
      </c>
      <c r="B116" s="50">
        <f>VLOOKUP($A116,'Data Vlaue (Cr)'!$C:$FB,8)</f>
        <v>407.3</v>
      </c>
      <c r="C116" s="50">
        <f>VLOOKUP($A116,'Data Vlaue (Cr)'!$C:$FB,11)*100</f>
        <v>0.98</v>
      </c>
      <c r="D116" s="50">
        <f>VLOOKUP($A116,'Data Vlaue (Cr)'!$C:$FB,143)</f>
        <v>2453.1799999999998</v>
      </c>
      <c r="E116" s="50">
        <f>VLOOKUP($A116,'Data Vlaue (Cr)'!$C:$FB,144)</f>
        <v>3333.41</v>
      </c>
      <c r="F116" s="50">
        <f>VLOOKUP($A116,'Data Vlaue (Cr)'!$C:$FB,146)*100</f>
        <v>-26.41</v>
      </c>
      <c r="G116" s="49">
        <f>VLOOKUP($A116,'Data Vlaue (Cr)'!$C:$FB,43)</f>
        <v>926</v>
      </c>
      <c r="H116" s="49">
        <f>VLOOKUP($A116,'Data Vlaue (Cr)'!$C:$FB,44)</f>
        <v>1131</v>
      </c>
      <c r="I116" s="49">
        <f>VLOOKUP($A116,'Data Vlaue (Cr)'!$C:$FB,46)*100</f>
        <v>-18.170000000000002</v>
      </c>
      <c r="J116" s="51">
        <f>VLOOKUP($A116,'Data Vlaue (Cr)'!$C:$FB,59)</f>
        <v>912</v>
      </c>
      <c r="K116" s="51">
        <f>VLOOKUP($A116,'Data Vlaue (Cr)'!$C:$FB,60)</f>
        <v>1329</v>
      </c>
      <c r="L116" s="51">
        <f>VLOOKUP($A116,'Data Vlaue (Cr)'!$C:$FB,62)*100</f>
        <v>-31.369999999999997</v>
      </c>
      <c r="M116" s="51">
        <f>VLOOKUP($A116,'Data Vlaue (Cr)'!$C:$FB,63)</f>
        <v>587</v>
      </c>
      <c r="N116" s="51">
        <f>VLOOKUP($A116,'Data Vlaue (Cr)'!$C:$FB,64)</f>
        <v>814</v>
      </c>
      <c r="O116" s="51">
        <f>VLOOKUP($A116,'Data Vlaue (Cr)'!$C:$FB,66)*100</f>
        <v>-27.87</v>
      </c>
    </row>
    <row r="117" spans="1:15" x14ac:dyDescent="0.25">
      <c r="A117" s="101" t="str">
        <f>'Data Vlaue (Cr)'!C112</f>
        <v>KPITTECH</v>
      </c>
      <c r="B117" s="50">
        <f>VLOOKUP($A117,'Data Vlaue (Cr)'!$C:$FB,8)</f>
        <v>717.5</v>
      </c>
      <c r="C117" s="50">
        <f>VLOOKUP($A117,'Data Vlaue (Cr)'!$C:$FB,11)*100</f>
        <v>-2.5299999999999998</v>
      </c>
      <c r="D117" s="50">
        <f>VLOOKUP($A117,'Data Vlaue (Cr)'!$C:$FB,143)</f>
        <v>545.1</v>
      </c>
      <c r="E117" s="50">
        <f>VLOOKUP($A117,'Data Vlaue (Cr)'!$C:$FB,144)</f>
        <v>499.11</v>
      </c>
      <c r="F117" s="50">
        <f>VLOOKUP($A117,'Data Vlaue (Cr)'!$C:$FB,146)*100</f>
        <v>9.2100000000000009</v>
      </c>
      <c r="G117" s="49">
        <f>VLOOKUP($A117,'Data Vlaue (Cr)'!$C:$FB,43)</f>
        <v>128</v>
      </c>
      <c r="H117" s="49">
        <f>VLOOKUP($A117,'Data Vlaue (Cr)'!$C:$FB,44)</f>
        <v>98</v>
      </c>
      <c r="I117" s="49">
        <f>VLOOKUP($A117,'Data Vlaue (Cr)'!$C:$FB,46)*100</f>
        <v>30.25</v>
      </c>
      <c r="J117" s="51">
        <f>VLOOKUP($A117,'Data Vlaue (Cr)'!$C:$FB,59)</f>
        <v>270</v>
      </c>
      <c r="K117" s="51">
        <f>VLOOKUP($A117,'Data Vlaue (Cr)'!$C:$FB,60)</f>
        <v>228</v>
      </c>
      <c r="L117" s="51">
        <f>VLOOKUP($A117,'Data Vlaue (Cr)'!$C:$FB,62)*100</f>
        <v>18.38</v>
      </c>
      <c r="M117" s="51">
        <f>VLOOKUP($A117,'Data Vlaue (Cr)'!$C:$FB,63)</f>
        <v>107</v>
      </c>
      <c r="N117" s="51">
        <f>VLOOKUP($A117,'Data Vlaue (Cr)'!$C:$FB,64)</f>
        <v>132</v>
      </c>
      <c r="O117" s="51">
        <f>VLOOKUP($A117,'Data Vlaue (Cr)'!$C:$FB,66)*100</f>
        <v>-18.829999999999998</v>
      </c>
    </row>
    <row r="118" spans="1:15" x14ac:dyDescent="0.25">
      <c r="A118" s="101" t="str">
        <f>'Data Vlaue (Cr)'!C113</f>
        <v>LAURUSLABS</v>
      </c>
      <c r="B118" s="50">
        <f>VLOOKUP($A118,'Data Vlaue (Cr)'!$C:$FB,8)</f>
        <v>1045.9000000000001</v>
      </c>
      <c r="C118" s="50">
        <f>VLOOKUP($A118,'Data Vlaue (Cr)'!$C:$FB,11)*100</f>
        <v>1.48</v>
      </c>
      <c r="D118" s="50">
        <f>VLOOKUP($A118,'Data Vlaue (Cr)'!$C:$FB,143)</f>
        <v>1323.11</v>
      </c>
      <c r="E118" s="50">
        <f>VLOOKUP($A118,'Data Vlaue (Cr)'!$C:$FB,144)</f>
        <v>1501.03</v>
      </c>
      <c r="F118" s="50">
        <f>VLOOKUP($A118,'Data Vlaue (Cr)'!$C:$FB,146)*100</f>
        <v>-11.85</v>
      </c>
      <c r="G118" s="49">
        <f>VLOOKUP($A118,'Data Vlaue (Cr)'!$C:$FB,43)</f>
        <v>331</v>
      </c>
      <c r="H118" s="49">
        <f>VLOOKUP($A118,'Data Vlaue (Cr)'!$C:$FB,44)</f>
        <v>366</v>
      </c>
      <c r="I118" s="49">
        <f>VLOOKUP($A118,'Data Vlaue (Cr)'!$C:$FB,46)*100</f>
        <v>-9.56</v>
      </c>
      <c r="J118" s="51">
        <f>VLOOKUP($A118,'Data Vlaue (Cr)'!$C:$FB,59)</f>
        <v>744</v>
      </c>
      <c r="K118" s="51">
        <f>VLOOKUP($A118,'Data Vlaue (Cr)'!$C:$FB,60)</f>
        <v>714</v>
      </c>
      <c r="L118" s="51">
        <f>VLOOKUP($A118,'Data Vlaue (Cr)'!$C:$FB,62)*100</f>
        <v>4.2799999999999994</v>
      </c>
      <c r="M118" s="51">
        <f>VLOOKUP($A118,'Data Vlaue (Cr)'!$C:$FB,63)</f>
        <v>208</v>
      </c>
      <c r="N118" s="51">
        <f>VLOOKUP($A118,'Data Vlaue (Cr)'!$C:$FB,64)</f>
        <v>383</v>
      </c>
      <c r="O118" s="51">
        <f>VLOOKUP($A118,'Data Vlaue (Cr)'!$C:$FB,66)*100</f>
        <v>-45.69</v>
      </c>
    </row>
    <row r="119" spans="1:15" x14ac:dyDescent="0.25">
      <c r="A119" s="101" t="str">
        <f>'Data Vlaue (Cr)'!C114</f>
        <v>LICHSGFIN</v>
      </c>
      <c r="B119" s="50">
        <f>VLOOKUP($A119,'Data Vlaue (Cr)'!$C:$FB,8)</f>
        <v>521.4</v>
      </c>
      <c r="C119" s="50">
        <f>VLOOKUP($A119,'Data Vlaue (Cr)'!$C:$FB,11)*100</f>
        <v>0.66</v>
      </c>
      <c r="D119" s="50">
        <f>VLOOKUP($A119,'Data Vlaue (Cr)'!$C:$FB,143)</f>
        <v>815.83</v>
      </c>
      <c r="E119" s="50">
        <f>VLOOKUP($A119,'Data Vlaue (Cr)'!$C:$FB,144)</f>
        <v>696.08</v>
      </c>
      <c r="F119" s="50">
        <f>VLOOKUP($A119,'Data Vlaue (Cr)'!$C:$FB,146)*100</f>
        <v>17.2</v>
      </c>
      <c r="G119" s="49">
        <f>VLOOKUP($A119,'Data Vlaue (Cr)'!$C:$FB,43)</f>
        <v>523</v>
      </c>
      <c r="H119" s="49">
        <f>VLOOKUP($A119,'Data Vlaue (Cr)'!$C:$FB,44)</f>
        <v>173</v>
      </c>
      <c r="I119" s="49">
        <f>VLOOKUP($A119,'Data Vlaue (Cr)'!$C:$FB,46)*100</f>
        <v>202.67</v>
      </c>
      <c r="J119" s="51">
        <f>VLOOKUP($A119,'Data Vlaue (Cr)'!$C:$FB,59)</f>
        <v>178</v>
      </c>
      <c r="K119" s="51">
        <f>VLOOKUP($A119,'Data Vlaue (Cr)'!$C:$FB,60)</f>
        <v>318</v>
      </c>
      <c r="L119" s="51">
        <f>VLOOKUP($A119,'Data Vlaue (Cr)'!$C:$FB,62)*100</f>
        <v>-44.22</v>
      </c>
      <c r="M119" s="51">
        <f>VLOOKUP($A119,'Data Vlaue (Cr)'!$C:$FB,63)</f>
        <v>112</v>
      </c>
      <c r="N119" s="51">
        <f>VLOOKUP($A119,'Data Vlaue (Cr)'!$C:$FB,64)</f>
        <v>195</v>
      </c>
      <c r="O119" s="51">
        <f>VLOOKUP($A119,'Data Vlaue (Cr)'!$C:$FB,66)*100</f>
        <v>-42.63</v>
      </c>
    </row>
    <row r="120" spans="1:15" x14ac:dyDescent="0.25">
      <c r="A120" s="101" t="str">
        <f>'Data Vlaue (Cr)'!C115</f>
        <v>LICI</v>
      </c>
      <c r="B120" s="50">
        <f>VLOOKUP($A120,'Data Vlaue (Cr)'!$C:$FB,8)</f>
        <v>832.95</v>
      </c>
      <c r="C120" s="50">
        <f>VLOOKUP($A120,'Data Vlaue (Cr)'!$C:$FB,11)*100</f>
        <v>0.59</v>
      </c>
      <c r="D120" s="50">
        <f>VLOOKUP($A120,'Data Vlaue (Cr)'!$C:$FB,143)</f>
        <v>395.13</v>
      </c>
      <c r="E120" s="50">
        <f>VLOOKUP($A120,'Data Vlaue (Cr)'!$C:$FB,144)</f>
        <v>552.30999999999995</v>
      </c>
      <c r="F120" s="50">
        <f>VLOOKUP($A120,'Data Vlaue (Cr)'!$C:$FB,146)*100</f>
        <v>-28.46</v>
      </c>
      <c r="G120" s="49">
        <f>VLOOKUP($A120,'Data Vlaue (Cr)'!$C:$FB,43)</f>
        <v>131</v>
      </c>
      <c r="H120" s="49">
        <f>VLOOKUP($A120,'Data Vlaue (Cr)'!$C:$FB,44)</f>
        <v>150</v>
      </c>
      <c r="I120" s="49">
        <f>VLOOKUP($A120,'Data Vlaue (Cr)'!$C:$FB,46)*100</f>
        <v>-12.65</v>
      </c>
      <c r="J120" s="51">
        <f>VLOOKUP($A120,'Data Vlaue (Cr)'!$C:$FB,59)</f>
        <v>177</v>
      </c>
      <c r="K120" s="51">
        <f>VLOOKUP($A120,'Data Vlaue (Cr)'!$C:$FB,60)</f>
        <v>237</v>
      </c>
      <c r="L120" s="51">
        <f>VLOOKUP($A120,'Data Vlaue (Cr)'!$C:$FB,62)*100</f>
        <v>-25.21</v>
      </c>
      <c r="M120" s="51">
        <f>VLOOKUP($A120,'Data Vlaue (Cr)'!$C:$FB,63)</f>
        <v>74</v>
      </c>
      <c r="N120" s="51">
        <f>VLOOKUP($A120,'Data Vlaue (Cr)'!$C:$FB,64)</f>
        <v>150</v>
      </c>
      <c r="O120" s="51">
        <f>VLOOKUP($A120,'Data Vlaue (Cr)'!$C:$FB,66)*100</f>
        <v>-50.78</v>
      </c>
    </row>
    <row r="121" spans="1:15" x14ac:dyDescent="0.25">
      <c r="A121" s="101" t="str">
        <f>'Data Vlaue (Cr)'!C116</f>
        <v>LODHA</v>
      </c>
      <c r="B121" s="50">
        <f>VLOOKUP($A121,'Data Vlaue (Cr)'!$C:$FB,8)</f>
        <v>916.25</v>
      </c>
      <c r="C121" s="50">
        <f>VLOOKUP($A121,'Data Vlaue (Cr)'!$C:$FB,11)*100</f>
        <v>0.37</v>
      </c>
      <c r="D121" s="50">
        <f>VLOOKUP($A121,'Data Vlaue (Cr)'!$C:$FB,143)</f>
        <v>506.84</v>
      </c>
      <c r="E121" s="50">
        <f>VLOOKUP($A121,'Data Vlaue (Cr)'!$C:$FB,144)</f>
        <v>1016.59</v>
      </c>
      <c r="F121" s="50">
        <f>VLOOKUP($A121,'Data Vlaue (Cr)'!$C:$FB,146)*100</f>
        <v>-50.139999999999993</v>
      </c>
      <c r="G121" s="49">
        <f>VLOOKUP($A121,'Data Vlaue (Cr)'!$C:$FB,43)</f>
        <v>170</v>
      </c>
      <c r="H121" s="49">
        <f>VLOOKUP($A121,'Data Vlaue (Cr)'!$C:$FB,44)</f>
        <v>306</v>
      </c>
      <c r="I121" s="49">
        <f>VLOOKUP($A121,'Data Vlaue (Cr)'!$C:$FB,46)*100</f>
        <v>-44.47</v>
      </c>
      <c r="J121" s="51">
        <f>VLOOKUP($A121,'Data Vlaue (Cr)'!$C:$FB,59)</f>
        <v>147</v>
      </c>
      <c r="K121" s="51">
        <f>VLOOKUP($A121,'Data Vlaue (Cr)'!$C:$FB,60)</f>
        <v>279</v>
      </c>
      <c r="L121" s="51">
        <f>VLOOKUP($A121,'Data Vlaue (Cr)'!$C:$FB,62)*100</f>
        <v>-47.14</v>
      </c>
      <c r="M121" s="51">
        <f>VLOOKUP($A121,'Data Vlaue (Cr)'!$C:$FB,63)</f>
        <v>176</v>
      </c>
      <c r="N121" s="51">
        <f>VLOOKUP($A121,'Data Vlaue (Cr)'!$C:$FB,64)</f>
        <v>400</v>
      </c>
      <c r="O121" s="51">
        <f>VLOOKUP($A121,'Data Vlaue (Cr)'!$C:$FB,66)*100</f>
        <v>-55.93</v>
      </c>
    </row>
    <row r="122" spans="1:15" x14ac:dyDescent="0.25">
      <c r="A122" s="101" t="str">
        <f>'Data Vlaue (Cr)'!C117</f>
        <v>LT</v>
      </c>
      <c r="B122" s="50">
        <f>VLOOKUP($A122,'Data Vlaue (Cr)'!$C:$FB,8)</f>
        <v>4038.7</v>
      </c>
      <c r="C122" s="50">
        <f>VLOOKUP($A122,'Data Vlaue (Cr)'!$C:$FB,11)*100</f>
        <v>4.0199999999999996</v>
      </c>
      <c r="D122" s="50">
        <f>VLOOKUP($A122,'Data Vlaue (Cr)'!$C:$FB,143)</f>
        <v>17500.2</v>
      </c>
      <c r="E122" s="50">
        <f>VLOOKUP($A122,'Data Vlaue (Cr)'!$C:$FB,144)</f>
        <v>19441.37</v>
      </c>
      <c r="F122" s="50">
        <f>VLOOKUP($A122,'Data Vlaue (Cr)'!$C:$FB,146)*100</f>
        <v>-9.98</v>
      </c>
      <c r="G122" s="49">
        <f>VLOOKUP($A122,'Data Vlaue (Cr)'!$C:$FB,43)</f>
        <v>2569</v>
      </c>
      <c r="H122" s="49">
        <f>VLOOKUP($A122,'Data Vlaue (Cr)'!$C:$FB,44)</f>
        <v>2346</v>
      </c>
      <c r="I122" s="49">
        <f>VLOOKUP($A122,'Data Vlaue (Cr)'!$C:$FB,46)*100</f>
        <v>9.49</v>
      </c>
      <c r="J122" s="51">
        <f>VLOOKUP($A122,'Data Vlaue (Cr)'!$C:$FB,59)</f>
        <v>9216</v>
      </c>
      <c r="K122" s="51">
        <f>VLOOKUP($A122,'Data Vlaue (Cr)'!$C:$FB,60)</f>
        <v>10119</v>
      </c>
      <c r="L122" s="51">
        <f>VLOOKUP($A122,'Data Vlaue (Cr)'!$C:$FB,62)*100</f>
        <v>-8.92</v>
      </c>
      <c r="M122" s="51">
        <f>VLOOKUP($A122,'Data Vlaue (Cr)'!$C:$FB,63)</f>
        <v>5653</v>
      </c>
      <c r="N122" s="51">
        <f>VLOOKUP($A122,'Data Vlaue (Cr)'!$C:$FB,64)</f>
        <v>7232</v>
      </c>
      <c r="O122" s="51">
        <f>VLOOKUP($A122,'Data Vlaue (Cr)'!$C:$FB,66)*100</f>
        <v>-21.84</v>
      </c>
    </row>
    <row r="123" spans="1:15" x14ac:dyDescent="0.25">
      <c r="A123" s="101" t="str">
        <f>'Data Vlaue (Cr)'!C118</f>
        <v>LTF</v>
      </c>
      <c r="B123" s="50">
        <f>VLOOKUP($A123,'Data Vlaue (Cr)'!$C:$FB,8)</f>
        <v>275.5</v>
      </c>
      <c r="C123" s="50">
        <f>VLOOKUP($A123,'Data Vlaue (Cr)'!$C:$FB,11)*100</f>
        <v>1.6400000000000001</v>
      </c>
      <c r="D123" s="50">
        <f>VLOOKUP($A123,'Data Vlaue (Cr)'!$C:$FB,143)</f>
        <v>1517.69</v>
      </c>
      <c r="E123" s="50">
        <f>VLOOKUP($A123,'Data Vlaue (Cr)'!$C:$FB,144)</f>
        <v>1949.63</v>
      </c>
      <c r="F123" s="50">
        <f>VLOOKUP($A123,'Data Vlaue (Cr)'!$C:$FB,146)*100</f>
        <v>-22.15</v>
      </c>
      <c r="G123" s="49">
        <f>VLOOKUP($A123,'Data Vlaue (Cr)'!$C:$FB,43)</f>
        <v>300</v>
      </c>
      <c r="H123" s="49">
        <f>VLOOKUP($A123,'Data Vlaue (Cr)'!$C:$FB,44)</f>
        <v>451</v>
      </c>
      <c r="I123" s="49">
        <f>VLOOKUP($A123,'Data Vlaue (Cr)'!$C:$FB,46)*100</f>
        <v>-33.42</v>
      </c>
      <c r="J123" s="51">
        <f>VLOOKUP($A123,'Data Vlaue (Cr)'!$C:$FB,59)</f>
        <v>876</v>
      </c>
      <c r="K123" s="51">
        <f>VLOOKUP($A123,'Data Vlaue (Cr)'!$C:$FB,60)</f>
        <v>987</v>
      </c>
      <c r="L123" s="51">
        <f>VLOOKUP($A123,'Data Vlaue (Cr)'!$C:$FB,62)*100</f>
        <v>-11.219999999999999</v>
      </c>
      <c r="M123" s="51">
        <f>VLOOKUP($A123,'Data Vlaue (Cr)'!$C:$FB,63)</f>
        <v>250</v>
      </c>
      <c r="N123" s="51">
        <f>VLOOKUP($A123,'Data Vlaue (Cr)'!$C:$FB,64)</f>
        <v>433</v>
      </c>
      <c r="O123" s="51">
        <f>VLOOKUP($A123,'Data Vlaue (Cr)'!$C:$FB,66)*100</f>
        <v>-42.24</v>
      </c>
    </row>
    <row r="124" spans="1:15" x14ac:dyDescent="0.25">
      <c r="A124" s="101" t="str">
        <f>'Data Vlaue (Cr)'!C119</f>
        <v>LTM</v>
      </c>
      <c r="B124" s="50">
        <f>VLOOKUP($A124,'Data Vlaue (Cr)'!$C:$FB,8)</f>
        <v>4306.3999999999996</v>
      </c>
      <c r="C124" s="50">
        <f>VLOOKUP($A124,'Data Vlaue (Cr)'!$C:$FB,11)*100</f>
        <v>-0.9900000000000001</v>
      </c>
      <c r="D124" s="50">
        <f>VLOOKUP($A124,'Data Vlaue (Cr)'!$C:$FB,143)</f>
        <v>1120.96</v>
      </c>
      <c r="E124" s="50">
        <f>VLOOKUP($A124,'Data Vlaue (Cr)'!$C:$FB,144)</f>
        <v>805.66</v>
      </c>
      <c r="F124" s="50">
        <f>VLOOKUP($A124,'Data Vlaue (Cr)'!$C:$FB,146)*100</f>
        <v>39.14</v>
      </c>
      <c r="G124" s="49">
        <f>VLOOKUP($A124,'Data Vlaue (Cr)'!$C:$FB,43)</f>
        <v>173</v>
      </c>
      <c r="H124" s="49">
        <f>VLOOKUP($A124,'Data Vlaue (Cr)'!$C:$FB,44)</f>
        <v>201</v>
      </c>
      <c r="I124" s="49">
        <f>VLOOKUP($A124,'Data Vlaue (Cr)'!$C:$FB,46)*100</f>
        <v>-13.930000000000001</v>
      </c>
      <c r="J124" s="51">
        <f>VLOOKUP($A124,'Data Vlaue (Cr)'!$C:$FB,59)</f>
        <v>473</v>
      </c>
      <c r="K124" s="51">
        <f>VLOOKUP($A124,'Data Vlaue (Cr)'!$C:$FB,60)</f>
        <v>332</v>
      </c>
      <c r="L124" s="51">
        <f>VLOOKUP($A124,'Data Vlaue (Cr)'!$C:$FB,62)*100</f>
        <v>42.77</v>
      </c>
      <c r="M124" s="51">
        <f>VLOOKUP($A124,'Data Vlaue (Cr)'!$C:$FB,63)</f>
        <v>423</v>
      </c>
      <c r="N124" s="51">
        <f>VLOOKUP($A124,'Data Vlaue (Cr)'!$C:$FB,64)</f>
        <v>224</v>
      </c>
      <c r="O124" s="51">
        <f>VLOOKUP($A124,'Data Vlaue (Cr)'!$C:$FB,66)*100</f>
        <v>88.429999999999993</v>
      </c>
    </row>
    <row r="125" spans="1:15" x14ac:dyDescent="0.25">
      <c r="A125" s="101" t="str">
        <f>'Data Vlaue (Cr)'!C120</f>
        <v>LUPIN</v>
      </c>
      <c r="B125" s="50">
        <f>VLOOKUP($A125,'Data Vlaue (Cr)'!$C:$FB,8)</f>
        <v>2332.9</v>
      </c>
      <c r="C125" s="50">
        <f>VLOOKUP($A125,'Data Vlaue (Cr)'!$C:$FB,11)*100</f>
        <v>1.21</v>
      </c>
      <c r="D125" s="50">
        <f>VLOOKUP($A125,'Data Vlaue (Cr)'!$C:$FB,143)</f>
        <v>2958.79</v>
      </c>
      <c r="E125" s="50">
        <f>VLOOKUP($A125,'Data Vlaue (Cr)'!$C:$FB,144)</f>
        <v>1628.82</v>
      </c>
      <c r="F125" s="50">
        <f>VLOOKUP($A125,'Data Vlaue (Cr)'!$C:$FB,146)*100</f>
        <v>81.650000000000006</v>
      </c>
      <c r="G125" s="49">
        <f>VLOOKUP($A125,'Data Vlaue (Cr)'!$C:$FB,43)</f>
        <v>465</v>
      </c>
      <c r="H125" s="49">
        <f>VLOOKUP($A125,'Data Vlaue (Cr)'!$C:$FB,44)</f>
        <v>386</v>
      </c>
      <c r="I125" s="49">
        <f>VLOOKUP($A125,'Data Vlaue (Cr)'!$C:$FB,46)*100</f>
        <v>20.309999999999999</v>
      </c>
      <c r="J125" s="51">
        <f>VLOOKUP($A125,'Data Vlaue (Cr)'!$C:$FB,59)</f>
        <v>1729</v>
      </c>
      <c r="K125" s="51">
        <f>VLOOKUP($A125,'Data Vlaue (Cr)'!$C:$FB,60)</f>
        <v>670</v>
      </c>
      <c r="L125" s="51">
        <f>VLOOKUP($A125,'Data Vlaue (Cr)'!$C:$FB,62)*100</f>
        <v>157.88999999999999</v>
      </c>
      <c r="M125" s="51">
        <f>VLOOKUP($A125,'Data Vlaue (Cr)'!$C:$FB,63)</f>
        <v>702</v>
      </c>
      <c r="N125" s="51">
        <f>VLOOKUP($A125,'Data Vlaue (Cr)'!$C:$FB,64)</f>
        <v>582</v>
      </c>
      <c r="O125" s="51">
        <f>VLOOKUP($A125,'Data Vlaue (Cr)'!$C:$FB,66)*100</f>
        <v>20.52</v>
      </c>
    </row>
    <row r="126" spans="1:15" x14ac:dyDescent="0.25">
      <c r="A126" s="101" t="str">
        <f>'Data Vlaue (Cr)'!C121</f>
        <v>M&amp;M</v>
      </c>
      <c r="B126" s="50">
        <f>VLOOKUP($A126,'Data Vlaue (Cr)'!$C:$FB,8)</f>
        <v>3348</v>
      </c>
      <c r="C126" s="50">
        <f>VLOOKUP($A126,'Data Vlaue (Cr)'!$C:$FB,11)*100</f>
        <v>2.56</v>
      </c>
      <c r="D126" s="50">
        <f>VLOOKUP($A126,'Data Vlaue (Cr)'!$C:$FB,143)</f>
        <v>4046.24</v>
      </c>
      <c r="E126" s="50">
        <f>VLOOKUP($A126,'Data Vlaue (Cr)'!$C:$FB,144)</f>
        <v>4254.2299999999996</v>
      </c>
      <c r="F126" s="50">
        <f>VLOOKUP($A126,'Data Vlaue (Cr)'!$C:$FB,146)*100</f>
        <v>-4.8899999999999997</v>
      </c>
      <c r="G126" s="49">
        <f>VLOOKUP($A126,'Data Vlaue (Cr)'!$C:$FB,43)</f>
        <v>779</v>
      </c>
      <c r="H126" s="49">
        <f>VLOOKUP($A126,'Data Vlaue (Cr)'!$C:$FB,44)</f>
        <v>835</v>
      </c>
      <c r="I126" s="49">
        <f>VLOOKUP($A126,'Data Vlaue (Cr)'!$C:$FB,46)*100</f>
        <v>-6.67</v>
      </c>
      <c r="J126" s="51">
        <f>VLOOKUP($A126,'Data Vlaue (Cr)'!$C:$FB,59)</f>
        <v>1946</v>
      </c>
      <c r="K126" s="51">
        <f>VLOOKUP($A126,'Data Vlaue (Cr)'!$C:$FB,60)</f>
        <v>1882</v>
      </c>
      <c r="L126" s="51">
        <f>VLOOKUP($A126,'Data Vlaue (Cr)'!$C:$FB,62)*100</f>
        <v>3.36</v>
      </c>
      <c r="M126" s="51">
        <f>VLOOKUP($A126,'Data Vlaue (Cr)'!$C:$FB,63)</f>
        <v>1271</v>
      </c>
      <c r="N126" s="51">
        <f>VLOOKUP($A126,'Data Vlaue (Cr)'!$C:$FB,64)</f>
        <v>1523</v>
      </c>
      <c r="O126" s="51">
        <f>VLOOKUP($A126,'Data Vlaue (Cr)'!$C:$FB,66)*100</f>
        <v>-16.54</v>
      </c>
    </row>
    <row r="127" spans="1:15" x14ac:dyDescent="0.25">
      <c r="A127" s="101" t="str">
        <f>'Data Vlaue (Cr)'!C122</f>
        <v>MANAPPURAM</v>
      </c>
      <c r="B127" s="50">
        <f>VLOOKUP($A127,'Data Vlaue (Cr)'!$C:$FB,8)</f>
        <v>267.3</v>
      </c>
      <c r="C127" s="50">
        <f>VLOOKUP($A127,'Data Vlaue (Cr)'!$C:$FB,11)*100</f>
        <v>-0.72</v>
      </c>
      <c r="D127" s="50">
        <f>VLOOKUP($A127,'Data Vlaue (Cr)'!$C:$FB,143)</f>
        <v>640.58000000000004</v>
      </c>
      <c r="E127" s="50">
        <f>VLOOKUP($A127,'Data Vlaue (Cr)'!$C:$FB,144)</f>
        <v>1203.5999999999999</v>
      </c>
      <c r="F127" s="50">
        <f>VLOOKUP($A127,'Data Vlaue (Cr)'!$C:$FB,146)*100</f>
        <v>-46.78</v>
      </c>
      <c r="G127" s="49">
        <f>VLOOKUP($A127,'Data Vlaue (Cr)'!$C:$FB,43)</f>
        <v>173</v>
      </c>
      <c r="H127" s="49">
        <f>VLOOKUP($A127,'Data Vlaue (Cr)'!$C:$FB,44)</f>
        <v>329</v>
      </c>
      <c r="I127" s="49">
        <f>VLOOKUP($A127,'Data Vlaue (Cr)'!$C:$FB,46)*100</f>
        <v>-47.57</v>
      </c>
      <c r="J127" s="51">
        <f>VLOOKUP($A127,'Data Vlaue (Cr)'!$C:$FB,59)</f>
        <v>304</v>
      </c>
      <c r="K127" s="51">
        <f>VLOOKUP($A127,'Data Vlaue (Cr)'!$C:$FB,60)</f>
        <v>477</v>
      </c>
      <c r="L127" s="51">
        <f>VLOOKUP($A127,'Data Vlaue (Cr)'!$C:$FB,62)*100</f>
        <v>-36.19</v>
      </c>
      <c r="M127" s="51">
        <f>VLOOKUP($A127,'Data Vlaue (Cr)'!$C:$FB,63)</f>
        <v>129</v>
      </c>
      <c r="N127" s="51">
        <f>VLOOKUP($A127,'Data Vlaue (Cr)'!$C:$FB,64)</f>
        <v>326</v>
      </c>
      <c r="O127" s="51">
        <f>VLOOKUP($A127,'Data Vlaue (Cr)'!$C:$FB,66)*100</f>
        <v>-60.62</v>
      </c>
    </row>
    <row r="128" spans="1:15" x14ac:dyDescent="0.25">
      <c r="A128" s="101" t="str">
        <f>'Data Vlaue (Cr)'!C123</f>
        <v>MANKIND</v>
      </c>
      <c r="B128" s="50">
        <f>VLOOKUP($A128,'Data Vlaue (Cr)'!$C:$FB,8)</f>
        <v>2226.4</v>
      </c>
      <c r="C128" s="50">
        <f>VLOOKUP($A128,'Data Vlaue (Cr)'!$C:$FB,11)*100</f>
        <v>0.86999999999999988</v>
      </c>
      <c r="D128" s="50">
        <f>VLOOKUP($A128,'Data Vlaue (Cr)'!$C:$FB,143)</f>
        <v>333.17</v>
      </c>
      <c r="E128" s="50">
        <f>VLOOKUP($A128,'Data Vlaue (Cr)'!$C:$FB,144)</f>
        <v>266.93</v>
      </c>
      <c r="F128" s="50">
        <f>VLOOKUP($A128,'Data Vlaue (Cr)'!$C:$FB,146)*100</f>
        <v>24.82</v>
      </c>
      <c r="G128" s="49">
        <f>VLOOKUP($A128,'Data Vlaue (Cr)'!$C:$FB,43)</f>
        <v>81</v>
      </c>
      <c r="H128" s="49">
        <f>VLOOKUP($A128,'Data Vlaue (Cr)'!$C:$FB,44)</f>
        <v>85</v>
      </c>
      <c r="I128" s="49">
        <f>VLOOKUP($A128,'Data Vlaue (Cr)'!$C:$FB,46)*100</f>
        <v>-4.83</v>
      </c>
      <c r="J128" s="51">
        <f>VLOOKUP($A128,'Data Vlaue (Cr)'!$C:$FB,59)</f>
        <v>206</v>
      </c>
      <c r="K128" s="51">
        <f>VLOOKUP($A128,'Data Vlaue (Cr)'!$C:$FB,60)</f>
        <v>111</v>
      </c>
      <c r="L128" s="51">
        <f>VLOOKUP($A128,'Data Vlaue (Cr)'!$C:$FB,62)*100</f>
        <v>86.06</v>
      </c>
      <c r="M128" s="51">
        <f>VLOOKUP($A128,'Data Vlaue (Cr)'!$C:$FB,63)</f>
        <v>35</v>
      </c>
      <c r="N128" s="51">
        <f>VLOOKUP($A128,'Data Vlaue (Cr)'!$C:$FB,64)</f>
        <v>66</v>
      </c>
      <c r="O128" s="51">
        <f>VLOOKUP($A128,'Data Vlaue (Cr)'!$C:$FB,66)*100</f>
        <v>-46.72</v>
      </c>
    </row>
    <row r="129" spans="1:15" x14ac:dyDescent="0.25">
      <c r="A129" s="101" t="str">
        <f>'Data Vlaue (Cr)'!C124</f>
        <v>MARICO</v>
      </c>
      <c r="B129" s="50">
        <f>VLOOKUP($A129,'Data Vlaue (Cr)'!$C:$FB,8)</f>
        <v>778.85</v>
      </c>
      <c r="C129" s="50">
        <f>VLOOKUP($A129,'Data Vlaue (Cr)'!$C:$FB,11)*100</f>
        <v>0.91</v>
      </c>
      <c r="D129" s="50">
        <f>VLOOKUP($A129,'Data Vlaue (Cr)'!$C:$FB,143)</f>
        <v>406.27</v>
      </c>
      <c r="E129" s="50">
        <f>VLOOKUP($A129,'Data Vlaue (Cr)'!$C:$FB,144)</f>
        <v>672.97</v>
      </c>
      <c r="F129" s="50">
        <f>VLOOKUP($A129,'Data Vlaue (Cr)'!$C:$FB,146)*100</f>
        <v>-39.629999999999995</v>
      </c>
      <c r="G129" s="49">
        <f>VLOOKUP($A129,'Data Vlaue (Cr)'!$C:$FB,43)</f>
        <v>110</v>
      </c>
      <c r="H129" s="49">
        <f>VLOOKUP($A129,'Data Vlaue (Cr)'!$C:$FB,44)</f>
        <v>181</v>
      </c>
      <c r="I129" s="49">
        <f>VLOOKUP($A129,'Data Vlaue (Cr)'!$C:$FB,46)*100</f>
        <v>-39.489999999999995</v>
      </c>
      <c r="J129" s="51">
        <f>VLOOKUP($A129,'Data Vlaue (Cr)'!$C:$FB,59)</f>
        <v>204</v>
      </c>
      <c r="K129" s="51">
        <f>VLOOKUP($A129,'Data Vlaue (Cr)'!$C:$FB,60)</f>
        <v>262</v>
      </c>
      <c r="L129" s="51">
        <f>VLOOKUP($A129,'Data Vlaue (Cr)'!$C:$FB,62)*100</f>
        <v>-22.13</v>
      </c>
      <c r="M129" s="51">
        <f>VLOOKUP($A129,'Data Vlaue (Cr)'!$C:$FB,63)</f>
        <v>83</v>
      </c>
      <c r="N129" s="51">
        <f>VLOOKUP($A129,'Data Vlaue (Cr)'!$C:$FB,64)</f>
        <v>218</v>
      </c>
      <c r="O129" s="51">
        <f>VLOOKUP($A129,'Data Vlaue (Cr)'!$C:$FB,66)*100</f>
        <v>-61.69</v>
      </c>
    </row>
    <row r="130" spans="1:15" x14ac:dyDescent="0.25">
      <c r="A130" s="101" t="str">
        <f>'Data Vlaue (Cr)'!C125</f>
        <v>MARUTI</v>
      </c>
      <c r="B130" s="50">
        <f>VLOOKUP($A130,'Data Vlaue (Cr)'!$C:$FB,8)</f>
        <v>14415</v>
      </c>
      <c r="C130" s="50">
        <f>VLOOKUP($A130,'Data Vlaue (Cr)'!$C:$FB,11)*100</f>
        <v>1.82</v>
      </c>
      <c r="D130" s="50">
        <f>VLOOKUP($A130,'Data Vlaue (Cr)'!$C:$FB,143)</f>
        <v>5977.01</v>
      </c>
      <c r="E130" s="50">
        <f>VLOOKUP($A130,'Data Vlaue (Cr)'!$C:$FB,144)</f>
        <v>10005.66</v>
      </c>
      <c r="F130" s="50">
        <f>VLOOKUP($A130,'Data Vlaue (Cr)'!$C:$FB,146)*100</f>
        <v>-40.26</v>
      </c>
      <c r="G130" s="49">
        <f>VLOOKUP($A130,'Data Vlaue (Cr)'!$C:$FB,43)</f>
        <v>617</v>
      </c>
      <c r="H130" s="49">
        <f>VLOOKUP($A130,'Data Vlaue (Cr)'!$C:$FB,44)</f>
        <v>880</v>
      </c>
      <c r="I130" s="49">
        <f>VLOOKUP($A130,'Data Vlaue (Cr)'!$C:$FB,46)*100</f>
        <v>-29.95</v>
      </c>
      <c r="J130" s="51">
        <f>VLOOKUP($A130,'Data Vlaue (Cr)'!$C:$FB,59)</f>
        <v>3290</v>
      </c>
      <c r="K130" s="51">
        <f>VLOOKUP($A130,'Data Vlaue (Cr)'!$C:$FB,60)</f>
        <v>5059</v>
      </c>
      <c r="L130" s="51">
        <f>VLOOKUP($A130,'Data Vlaue (Cr)'!$C:$FB,62)*100</f>
        <v>-34.96</v>
      </c>
      <c r="M130" s="51">
        <f>VLOOKUP($A130,'Data Vlaue (Cr)'!$C:$FB,63)</f>
        <v>1993</v>
      </c>
      <c r="N130" s="51">
        <f>VLOOKUP($A130,'Data Vlaue (Cr)'!$C:$FB,64)</f>
        <v>4044</v>
      </c>
      <c r="O130" s="51">
        <f>VLOOKUP($A130,'Data Vlaue (Cr)'!$C:$FB,66)*100</f>
        <v>-50.71</v>
      </c>
    </row>
    <row r="131" spans="1:15" x14ac:dyDescent="0.25">
      <c r="A131" s="101" t="str">
        <f>'Data Vlaue (Cr)'!C126</f>
        <v>MAXHEALTH</v>
      </c>
      <c r="B131" s="50">
        <f>VLOOKUP($A131,'Data Vlaue (Cr)'!$C:$FB,8)</f>
        <v>1058.2</v>
      </c>
      <c r="C131" s="50">
        <f>VLOOKUP($A131,'Data Vlaue (Cr)'!$C:$FB,11)*100</f>
        <v>0.43</v>
      </c>
      <c r="D131" s="50">
        <f>VLOOKUP($A131,'Data Vlaue (Cr)'!$C:$FB,143)</f>
        <v>983.74</v>
      </c>
      <c r="E131" s="50">
        <f>VLOOKUP($A131,'Data Vlaue (Cr)'!$C:$FB,144)</f>
        <v>719.15</v>
      </c>
      <c r="F131" s="50">
        <f>VLOOKUP($A131,'Data Vlaue (Cr)'!$C:$FB,146)*100</f>
        <v>36.79</v>
      </c>
      <c r="G131" s="49">
        <f>VLOOKUP($A131,'Data Vlaue (Cr)'!$C:$FB,43)</f>
        <v>200</v>
      </c>
      <c r="H131" s="49">
        <f>VLOOKUP($A131,'Data Vlaue (Cr)'!$C:$FB,44)</f>
        <v>221</v>
      </c>
      <c r="I131" s="49">
        <f>VLOOKUP($A131,'Data Vlaue (Cr)'!$C:$FB,46)*100</f>
        <v>-9.7100000000000009</v>
      </c>
      <c r="J131" s="51">
        <f>VLOOKUP($A131,'Data Vlaue (Cr)'!$C:$FB,59)</f>
        <v>361</v>
      </c>
      <c r="K131" s="51">
        <f>VLOOKUP($A131,'Data Vlaue (Cr)'!$C:$FB,60)</f>
        <v>283</v>
      </c>
      <c r="L131" s="51">
        <f>VLOOKUP($A131,'Data Vlaue (Cr)'!$C:$FB,62)*100</f>
        <v>27.650000000000002</v>
      </c>
      <c r="M131" s="51">
        <f>VLOOKUP($A131,'Data Vlaue (Cr)'!$C:$FB,63)</f>
        <v>416</v>
      </c>
      <c r="N131" s="51">
        <f>VLOOKUP($A131,'Data Vlaue (Cr)'!$C:$FB,64)</f>
        <v>201</v>
      </c>
      <c r="O131" s="51">
        <f>VLOOKUP($A131,'Data Vlaue (Cr)'!$C:$FB,66)*100</f>
        <v>106.86</v>
      </c>
    </row>
    <row r="132" spans="1:15" x14ac:dyDescent="0.25">
      <c r="A132" s="101" t="str">
        <f>'Data Vlaue (Cr)'!C127</f>
        <v>MAZDOCK</v>
      </c>
      <c r="B132" s="50">
        <f>VLOOKUP($A132,'Data Vlaue (Cr)'!$C:$FB,8)</f>
        <v>2352.5</v>
      </c>
      <c r="C132" s="50">
        <f>VLOOKUP($A132,'Data Vlaue (Cr)'!$C:$FB,11)*100</f>
        <v>8.64</v>
      </c>
      <c r="D132" s="50">
        <f>VLOOKUP($A132,'Data Vlaue (Cr)'!$C:$FB,143)</f>
        <v>12168.49</v>
      </c>
      <c r="E132" s="50">
        <f>VLOOKUP($A132,'Data Vlaue (Cr)'!$C:$FB,144)</f>
        <v>1061.5899999999999</v>
      </c>
      <c r="F132" s="50">
        <f>VLOOKUP($A132,'Data Vlaue (Cr)'!$C:$FB,146)*100</f>
        <v>1046.25</v>
      </c>
      <c r="G132" s="49">
        <f>VLOOKUP($A132,'Data Vlaue (Cr)'!$C:$FB,43)</f>
        <v>1259</v>
      </c>
      <c r="H132" s="49">
        <f>VLOOKUP($A132,'Data Vlaue (Cr)'!$C:$FB,44)</f>
        <v>218</v>
      </c>
      <c r="I132" s="49">
        <f>VLOOKUP($A132,'Data Vlaue (Cr)'!$C:$FB,46)*100</f>
        <v>478.01</v>
      </c>
      <c r="J132" s="51">
        <f>VLOOKUP($A132,'Data Vlaue (Cr)'!$C:$FB,59)</f>
        <v>8491</v>
      </c>
      <c r="K132" s="51">
        <f>VLOOKUP($A132,'Data Vlaue (Cr)'!$C:$FB,60)</f>
        <v>568</v>
      </c>
      <c r="L132" s="51">
        <f>VLOOKUP($A132,'Data Vlaue (Cr)'!$C:$FB,62)*100</f>
        <v>1393.85</v>
      </c>
      <c r="M132" s="51">
        <f>VLOOKUP($A132,'Data Vlaue (Cr)'!$C:$FB,63)</f>
        <v>1978</v>
      </c>
      <c r="N132" s="51">
        <f>VLOOKUP($A132,'Data Vlaue (Cr)'!$C:$FB,64)</f>
        <v>308</v>
      </c>
      <c r="O132" s="51">
        <f>VLOOKUP($A132,'Data Vlaue (Cr)'!$C:$FB,66)*100</f>
        <v>542</v>
      </c>
    </row>
    <row r="133" spans="1:15" x14ac:dyDescent="0.25">
      <c r="A133" s="101" t="str">
        <f>'Data Vlaue (Cr)'!C128</f>
        <v>MCX</v>
      </c>
      <c r="B133" s="50">
        <f>VLOOKUP($A133,'Data Vlaue (Cr)'!$C:$FB,8)</f>
        <v>2553.5</v>
      </c>
      <c r="C133" s="50">
        <f>VLOOKUP($A133,'Data Vlaue (Cr)'!$C:$FB,11)*100</f>
        <v>3.0300000000000002</v>
      </c>
      <c r="D133" s="50">
        <f>VLOOKUP($A133,'Data Vlaue (Cr)'!$C:$FB,143)</f>
        <v>8040.07</v>
      </c>
      <c r="E133" s="50">
        <f>VLOOKUP($A133,'Data Vlaue (Cr)'!$C:$FB,144)</f>
        <v>6478.83</v>
      </c>
      <c r="F133" s="50">
        <f>VLOOKUP($A133,'Data Vlaue (Cr)'!$C:$FB,146)*100</f>
        <v>24.099999999999998</v>
      </c>
      <c r="G133" s="49">
        <f>VLOOKUP($A133,'Data Vlaue (Cr)'!$C:$FB,43)</f>
        <v>1528</v>
      </c>
      <c r="H133" s="49">
        <f>VLOOKUP($A133,'Data Vlaue (Cr)'!$C:$FB,44)</f>
        <v>1381</v>
      </c>
      <c r="I133" s="49">
        <f>VLOOKUP($A133,'Data Vlaue (Cr)'!$C:$FB,46)*100</f>
        <v>10.6</v>
      </c>
      <c r="J133" s="51">
        <f>VLOOKUP($A133,'Data Vlaue (Cr)'!$C:$FB,59)</f>
        <v>4445</v>
      </c>
      <c r="K133" s="51">
        <f>VLOOKUP($A133,'Data Vlaue (Cr)'!$C:$FB,60)</f>
        <v>2911</v>
      </c>
      <c r="L133" s="51">
        <f>VLOOKUP($A133,'Data Vlaue (Cr)'!$C:$FB,62)*100</f>
        <v>52.71</v>
      </c>
      <c r="M133" s="51">
        <f>VLOOKUP($A133,'Data Vlaue (Cr)'!$C:$FB,63)</f>
        <v>1869</v>
      </c>
      <c r="N133" s="51">
        <f>VLOOKUP($A133,'Data Vlaue (Cr)'!$C:$FB,64)</f>
        <v>2219</v>
      </c>
      <c r="O133" s="51">
        <f>VLOOKUP($A133,'Data Vlaue (Cr)'!$C:$FB,66)*100</f>
        <v>-15.790000000000001</v>
      </c>
    </row>
    <row r="134" spans="1:15" x14ac:dyDescent="0.25">
      <c r="A134" s="101" t="str">
        <f>'Data Vlaue (Cr)'!C129</f>
        <v>MFSL</v>
      </c>
      <c r="B134" s="50">
        <f>VLOOKUP($A134,'Data Vlaue (Cr)'!$C:$FB,8)</f>
        <v>1748.6</v>
      </c>
      <c r="C134" s="50">
        <f>VLOOKUP($A134,'Data Vlaue (Cr)'!$C:$FB,11)*100</f>
        <v>0.05</v>
      </c>
      <c r="D134" s="50">
        <f>VLOOKUP($A134,'Data Vlaue (Cr)'!$C:$FB,143)</f>
        <v>350.66</v>
      </c>
      <c r="E134" s="50">
        <f>VLOOKUP($A134,'Data Vlaue (Cr)'!$C:$FB,144)</f>
        <v>421.65</v>
      </c>
      <c r="F134" s="50">
        <f>VLOOKUP($A134,'Data Vlaue (Cr)'!$C:$FB,146)*100</f>
        <v>-16.84</v>
      </c>
      <c r="G134" s="49">
        <f>VLOOKUP($A134,'Data Vlaue (Cr)'!$C:$FB,43)</f>
        <v>180</v>
      </c>
      <c r="H134" s="49">
        <f>VLOOKUP($A134,'Data Vlaue (Cr)'!$C:$FB,44)</f>
        <v>172</v>
      </c>
      <c r="I134" s="49">
        <f>VLOOKUP($A134,'Data Vlaue (Cr)'!$C:$FB,46)*100</f>
        <v>5.07</v>
      </c>
      <c r="J134" s="51">
        <f>VLOOKUP($A134,'Data Vlaue (Cr)'!$C:$FB,59)</f>
        <v>108</v>
      </c>
      <c r="K134" s="51">
        <f>VLOOKUP($A134,'Data Vlaue (Cr)'!$C:$FB,60)</f>
        <v>127</v>
      </c>
      <c r="L134" s="51">
        <f>VLOOKUP($A134,'Data Vlaue (Cr)'!$C:$FB,62)*100</f>
        <v>-15.24</v>
      </c>
      <c r="M134" s="51">
        <f>VLOOKUP($A134,'Data Vlaue (Cr)'!$C:$FB,63)</f>
        <v>56</v>
      </c>
      <c r="N134" s="51">
        <f>VLOOKUP($A134,'Data Vlaue (Cr)'!$C:$FB,64)</f>
        <v>113</v>
      </c>
      <c r="O134" s="51">
        <f>VLOOKUP($A134,'Data Vlaue (Cr)'!$C:$FB,66)*100</f>
        <v>-50.470000000000006</v>
      </c>
    </row>
    <row r="135" spans="1:15" x14ac:dyDescent="0.25">
      <c r="A135" s="101" t="str">
        <f>'Data Vlaue (Cr)'!C130</f>
        <v>MIDCPNIFTY</v>
      </c>
      <c r="B135" s="50">
        <f>VLOOKUP($A135,'Data Vlaue (Cr)'!$C:$FB,8)</f>
        <v>13260.5</v>
      </c>
      <c r="C135" s="50">
        <f>VLOOKUP($A135,'Data Vlaue (Cr)'!$C:$FB,11)*100</f>
        <v>1.7399999999999998</v>
      </c>
      <c r="D135" s="50">
        <f>VLOOKUP($A135,'Data Vlaue (Cr)'!$C:$FB,143)</f>
        <v>32706.33</v>
      </c>
      <c r="E135" s="50">
        <f>VLOOKUP($A135,'Data Vlaue (Cr)'!$C:$FB,144)</f>
        <v>42335.99</v>
      </c>
      <c r="F135" s="50">
        <f>VLOOKUP($A135,'Data Vlaue (Cr)'!$C:$FB,146)*100</f>
        <v>-22.75</v>
      </c>
      <c r="G135" s="49">
        <f>VLOOKUP($A135,'Data Vlaue (Cr)'!$C:$FB,43)</f>
        <v>1225</v>
      </c>
      <c r="H135" s="49">
        <f>VLOOKUP($A135,'Data Vlaue (Cr)'!$C:$FB,44)</f>
        <v>1362</v>
      </c>
      <c r="I135" s="49">
        <f>VLOOKUP($A135,'Data Vlaue (Cr)'!$C:$FB,46)*100</f>
        <v>-10.040000000000001</v>
      </c>
      <c r="J135" s="51">
        <f>VLOOKUP($A135,'Data Vlaue (Cr)'!$C:$FB,59)</f>
        <v>15640</v>
      </c>
      <c r="K135" s="51">
        <f>VLOOKUP($A135,'Data Vlaue (Cr)'!$C:$FB,60)</f>
        <v>20535</v>
      </c>
      <c r="L135" s="51">
        <f>VLOOKUP($A135,'Data Vlaue (Cr)'!$C:$FB,62)*100</f>
        <v>-23.84</v>
      </c>
      <c r="M135" s="51">
        <f>VLOOKUP($A135,'Data Vlaue (Cr)'!$C:$FB,63)</f>
        <v>15602</v>
      </c>
      <c r="N135" s="51">
        <f>VLOOKUP($A135,'Data Vlaue (Cr)'!$C:$FB,64)</f>
        <v>20190</v>
      </c>
      <c r="O135" s="51">
        <f>VLOOKUP($A135,'Data Vlaue (Cr)'!$C:$FB,66)*100</f>
        <v>-22.720000000000002</v>
      </c>
    </row>
    <row r="136" spans="1:15" x14ac:dyDescent="0.25">
      <c r="A136" s="101" t="str">
        <f>'Data Vlaue (Cr)'!C131</f>
        <v>MOTHERSON</v>
      </c>
      <c r="B136" s="50">
        <f>VLOOKUP($A136,'Data Vlaue (Cr)'!$C:$FB,8)</f>
        <v>126.34</v>
      </c>
      <c r="C136" s="50">
        <f>VLOOKUP($A136,'Data Vlaue (Cr)'!$C:$FB,11)*100</f>
        <v>2.82</v>
      </c>
      <c r="D136" s="50">
        <f>VLOOKUP($A136,'Data Vlaue (Cr)'!$C:$FB,143)</f>
        <v>1337.76</v>
      </c>
      <c r="E136" s="50">
        <f>VLOOKUP($A136,'Data Vlaue (Cr)'!$C:$FB,144)</f>
        <v>1226.8399999999999</v>
      </c>
      <c r="F136" s="50">
        <f>VLOOKUP($A136,'Data Vlaue (Cr)'!$C:$FB,146)*100</f>
        <v>9.0399999999999991</v>
      </c>
      <c r="G136" s="49">
        <f>VLOOKUP($A136,'Data Vlaue (Cr)'!$C:$FB,43)</f>
        <v>445</v>
      </c>
      <c r="H136" s="49">
        <f>VLOOKUP($A136,'Data Vlaue (Cr)'!$C:$FB,44)</f>
        <v>344</v>
      </c>
      <c r="I136" s="49">
        <f>VLOOKUP($A136,'Data Vlaue (Cr)'!$C:$FB,46)*100</f>
        <v>29.4</v>
      </c>
      <c r="J136" s="51">
        <f>VLOOKUP($A136,'Data Vlaue (Cr)'!$C:$FB,59)</f>
        <v>659</v>
      </c>
      <c r="K136" s="51">
        <f>VLOOKUP($A136,'Data Vlaue (Cr)'!$C:$FB,60)</f>
        <v>489</v>
      </c>
      <c r="L136" s="51">
        <f>VLOOKUP($A136,'Data Vlaue (Cr)'!$C:$FB,62)*100</f>
        <v>34.74</v>
      </c>
      <c r="M136" s="51">
        <f>VLOOKUP($A136,'Data Vlaue (Cr)'!$C:$FB,63)</f>
        <v>196</v>
      </c>
      <c r="N136" s="51">
        <f>VLOOKUP($A136,'Data Vlaue (Cr)'!$C:$FB,64)</f>
        <v>382</v>
      </c>
      <c r="O136" s="51">
        <f>VLOOKUP($A136,'Data Vlaue (Cr)'!$C:$FB,66)*100</f>
        <v>-48.75</v>
      </c>
    </row>
    <row r="137" spans="1:15" x14ac:dyDescent="0.25">
      <c r="A137" s="101" t="str">
        <f>'Data Vlaue (Cr)'!C132</f>
        <v>MPHASIS</v>
      </c>
      <c r="B137" s="50">
        <f>VLOOKUP($A137,'Data Vlaue (Cr)'!$C:$FB,8)</f>
        <v>2231.6</v>
      </c>
      <c r="C137" s="50">
        <f>VLOOKUP($A137,'Data Vlaue (Cr)'!$C:$FB,11)*100</f>
        <v>-1.5699999999999998</v>
      </c>
      <c r="D137" s="50">
        <f>VLOOKUP($A137,'Data Vlaue (Cr)'!$C:$FB,143)</f>
        <v>561.49</v>
      </c>
      <c r="E137" s="50">
        <f>VLOOKUP($A137,'Data Vlaue (Cr)'!$C:$FB,144)</f>
        <v>683.32</v>
      </c>
      <c r="F137" s="50">
        <f>VLOOKUP($A137,'Data Vlaue (Cr)'!$C:$FB,146)*100</f>
        <v>-17.829999999999998</v>
      </c>
      <c r="G137" s="49">
        <f>VLOOKUP($A137,'Data Vlaue (Cr)'!$C:$FB,43)</f>
        <v>201</v>
      </c>
      <c r="H137" s="49">
        <f>VLOOKUP($A137,'Data Vlaue (Cr)'!$C:$FB,44)</f>
        <v>176</v>
      </c>
      <c r="I137" s="49">
        <f>VLOOKUP($A137,'Data Vlaue (Cr)'!$C:$FB,46)*100</f>
        <v>13.99</v>
      </c>
      <c r="J137" s="51">
        <f>VLOOKUP($A137,'Data Vlaue (Cr)'!$C:$FB,59)</f>
        <v>219</v>
      </c>
      <c r="K137" s="51">
        <f>VLOOKUP($A137,'Data Vlaue (Cr)'!$C:$FB,60)</f>
        <v>328</v>
      </c>
      <c r="L137" s="51">
        <f>VLOOKUP($A137,'Data Vlaue (Cr)'!$C:$FB,62)*100</f>
        <v>-33.36</v>
      </c>
      <c r="M137" s="51">
        <f>VLOOKUP($A137,'Data Vlaue (Cr)'!$C:$FB,63)</f>
        <v>124</v>
      </c>
      <c r="N137" s="51">
        <f>VLOOKUP($A137,'Data Vlaue (Cr)'!$C:$FB,64)</f>
        <v>148</v>
      </c>
      <c r="O137" s="51">
        <f>VLOOKUP($A137,'Data Vlaue (Cr)'!$C:$FB,66)*100</f>
        <v>-15.75</v>
      </c>
    </row>
    <row r="138" spans="1:15" x14ac:dyDescent="0.25">
      <c r="A138" s="101" t="str">
        <f>'Data Vlaue (Cr)'!C133</f>
        <v>MUTHOOTFIN</v>
      </c>
      <c r="B138" s="50">
        <f>VLOOKUP($A138,'Data Vlaue (Cr)'!$C:$FB,8)</f>
        <v>3306.4</v>
      </c>
      <c r="C138" s="50">
        <f>VLOOKUP($A138,'Data Vlaue (Cr)'!$C:$FB,11)*100</f>
        <v>-1</v>
      </c>
      <c r="D138" s="50">
        <f>VLOOKUP($A138,'Data Vlaue (Cr)'!$C:$FB,143)</f>
        <v>3040.35</v>
      </c>
      <c r="E138" s="50">
        <f>VLOOKUP($A138,'Data Vlaue (Cr)'!$C:$FB,144)</f>
        <v>2901.65</v>
      </c>
      <c r="F138" s="50">
        <f>VLOOKUP($A138,'Data Vlaue (Cr)'!$C:$FB,146)*100</f>
        <v>4.78</v>
      </c>
      <c r="G138" s="49">
        <f>VLOOKUP($A138,'Data Vlaue (Cr)'!$C:$FB,43)</f>
        <v>550</v>
      </c>
      <c r="H138" s="49">
        <f>VLOOKUP($A138,'Data Vlaue (Cr)'!$C:$FB,44)</f>
        <v>506</v>
      </c>
      <c r="I138" s="49">
        <f>VLOOKUP($A138,'Data Vlaue (Cr)'!$C:$FB,46)*100</f>
        <v>8.73</v>
      </c>
      <c r="J138" s="51">
        <f>VLOOKUP($A138,'Data Vlaue (Cr)'!$C:$FB,59)</f>
        <v>1510</v>
      </c>
      <c r="K138" s="51">
        <f>VLOOKUP($A138,'Data Vlaue (Cr)'!$C:$FB,60)</f>
        <v>1374</v>
      </c>
      <c r="L138" s="51">
        <f>VLOOKUP($A138,'Data Vlaue (Cr)'!$C:$FB,62)*100</f>
        <v>9.85</v>
      </c>
      <c r="M138" s="51">
        <f>VLOOKUP($A138,'Data Vlaue (Cr)'!$C:$FB,63)</f>
        <v>855</v>
      </c>
      <c r="N138" s="51">
        <f>VLOOKUP($A138,'Data Vlaue (Cr)'!$C:$FB,64)</f>
        <v>842</v>
      </c>
      <c r="O138" s="51">
        <f>VLOOKUP($A138,'Data Vlaue (Cr)'!$C:$FB,66)*100</f>
        <v>1.48</v>
      </c>
    </row>
    <row r="139" spans="1:15" x14ac:dyDescent="0.25">
      <c r="A139" s="101" t="str">
        <f>'Data Vlaue (Cr)'!C134</f>
        <v>NATIONALUM</v>
      </c>
      <c r="B139" s="50">
        <f>VLOOKUP($A139,'Data Vlaue (Cr)'!$C:$FB,8)</f>
        <v>395.95</v>
      </c>
      <c r="C139" s="50">
        <f>VLOOKUP($A139,'Data Vlaue (Cr)'!$C:$FB,11)*100</f>
        <v>6.01</v>
      </c>
      <c r="D139" s="50">
        <f>VLOOKUP($A139,'Data Vlaue (Cr)'!$C:$FB,143)</f>
        <v>15440.65</v>
      </c>
      <c r="E139" s="50">
        <f>VLOOKUP($A139,'Data Vlaue (Cr)'!$C:$FB,144)</f>
        <v>6211.31</v>
      </c>
      <c r="F139" s="50">
        <f>VLOOKUP($A139,'Data Vlaue (Cr)'!$C:$FB,146)*100</f>
        <v>148.59</v>
      </c>
      <c r="G139" s="49">
        <f>VLOOKUP($A139,'Data Vlaue (Cr)'!$C:$FB,43)</f>
        <v>3030</v>
      </c>
      <c r="H139" s="49">
        <f>VLOOKUP($A139,'Data Vlaue (Cr)'!$C:$FB,44)</f>
        <v>1604</v>
      </c>
      <c r="I139" s="49">
        <f>VLOOKUP($A139,'Data Vlaue (Cr)'!$C:$FB,46)*100</f>
        <v>88.86</v>
      </c>
      <c r="J139" s="51">
        <f>VLOOKUP($A139,'Data Vlaue (Cr)'!$C:$FB,59)</f>
        <v>8502</v>
      </c>
      <c r="K139" s="51">
        <f>VLOOKUP($A139,'Data Vlaue (Cr)'!$C:$FB,60)</f>
        <v>3240</v>
      </c>
      <c r="L139" s="51">
        <f>VLOOKUP($A139,'Data Vlaue (Cr)'!$C:$FB,62)*100</f>
        <v>162.38</v>
      </c>
      <c r="M139" s="51">
        <f>VLOOKUP($A139,'Data Vlaue (Cr)'!$C:$FB,63)</f>
        <v>3422</v>
      </c>
      <c r="N139" s="51">
        <f>VLOOKUP($A139,'Data Vlaue (Cr)'!$C:$FB,64)</f>
        <v>1654</v>
      </c>
      <c r="O139" s="51">
        <f>VLOOKUP($A139,'Data Vlaue (Cr)'!$C:$FB,66)*100</f>
        <v>106.91</v>
      </c>
    </row>
    <row r="140" spans="1:15" x14ac:dyDescent="0.25">
      <c r="A140" s="101" t="str">
        <f>'Data Vlaue (Cr)'!C135</f>
        <v>NAUKRI</v>
      </c>
      <c r="B140" s="50">
        <f>VLOOKUP($A140,'Data Vlaue (Cr)'!$C:$FB,8)</f>
        <v>1015.3</v>
      </c>
      <c r="C140" s="50">
        <f>VLOOKUP($A140,'Data Vlaue (Cr)'!$C:$FB,11)*100</f>
        <v>1.5599999999999998</v>
      </c>
      <c r="D140" s="50">
        <f>VLOOKUP($A140,'Data Vlaue (Cr)'!$C:$FB,143)</f>
        <v>389.32</v>
      </c>
      <c r="E140" s="50">
        <f>VLOOKUP($A140,'Data Vlaue (Cr)'!$C:$FB,144)</f>
        <v>496.53</v>
      </c>
      <c r="F140" s="50">
        <f>VLOOKUP($A140,'Data Vlaue (Cr)'!$C:$FB,146)*100</f>
        <v>-21.59</v>
      </c>
      <c r="G140" s="49">
        <f>VLOOKUP($A140,'Data Vlaue (Cr)'!$C:$FB,43)</f>
        <v>159</v>
      </c>
      <c r="H140" s="49">
        <f>VLOOKUP($A140,'Data Vlaue (Cr)'!$C:$FB,44)</f>
        <v>148</v>
      </c>
      <c r="I140" s="49">
        <f>VLOOKUP($A140,'Data Vlaue (Cr)'!$C:$FB,46)*100</f>
        <v>7.68</v>
      </c>
      <c r="J140" s="51">
        <f>VLOOKUP($A140,'Data Vlaue (Cr)'!$C:$FB,59)</f>
        <v>181</v>
      </c>
      <c r="K140" s="51">
        <f>VLOOKUP($A140,'Data Vlaue (Cr)'!$C:$FB,60)</f>
        <v>224</v>
      </c>
      <c r="L140" s="51">
        <f>VLOOKUP($A140,'Data Vlaue (Cr)'!$C:$FB,62)*100</f>
        <v>-19.43</v>
      </c>
      <c r="M140" s="51">
        <f>VLOOKUP($A140,'Data Vlaue (Cr)'!$C:$FB,63)</f>
        <v>38</v>
      </c>
      <c r="N140" s="51">
        <f>VLOOKUP($A140,'Data Vlaue (Cr)'!$C:$FB,64)</f>
        <v>107</v>
      </c>
      <c r="O140" s="51">
        <f>VLOOKUP($A140,'Data Vlaue (Cr)'!$C:$FB,66)*100</f>
        <v>-64.649999999999991</v>
      </c>
    </row>
    <row r="141" spans="1:15" x14ac:dyDescent="0.25">
      <c r="A141" s="101" t="str">
        <f>'Data Vlaue (Cr)'!C136</f>
        <v>NBCC</v>
      </c>
      <c r="B141" s="50">
        <f>VLOOKUP($A141,'Data Vlaue (Cr)'!$C:$FB,8)</f>
        <v>86.85</v>
      </c>
      <c r="C141" s="50">
        <f>VLOOKUP($A141,'Data Vlaue (Cr)'!$C:$FB,11)*100</f>
        <v>1.4200000000000002</v>
      </c>
      <c r="D141" s="50">
        <f>VLOOKUP($A141,'Data Vlaue (Cr)'!$C:$FB,143)</f>
        <v>316.14</v>
      </c>
      <c r="E141" s="50">
        <f>VLOOKUP($A141,'Data Vlaue (Cr)'!$C:$FB,144)</f>
        <v>414.12</v>
      </c>
      <c r="F141" s="50">
        <f>VLOOKUP($A141,'Data Vlaue (Cr)'!$C:$FB,146)*100</f>
        <v>-23.66</v>
      </c>
      <c r="G141" s="49">
        <f>VLOOKUP($A141,'Data Vlaue (Cr)'!$C:$FB,43)</f>
        <v>104</v>
      </c>
      <c r="H141" s="49">
        <f>VLOOKUP($A141,'Data Vlaue (Cr)'!$C:$FB,44)</f>
        <v>144</v>
      </c>
      <c r="I141" s="49">
        <f>VLOOKUP($A141,'Data Vlaue (Cr)'!$C:$FB,46)*100</f>
        <v>-27.560000000000002</v>
      </c>
      <c r="J141" s="51">
        <f>VLOOKUP($A141,'Data Vlaue (Cr)'!$C:$FB,59)</f>
        <v>127</v>
      </c>
      <c r="K141" s="51">
        <f>VLOOKUP($A141,'Data Vlaue (Cr)'!$C:$FB,60)</f>
        <v>154</v>
      </c>
      <c r="L141" s="51">
        <f>VLOOKUP($A141,'Data Vlaue (Cr)'!$C:$FB,62)*100</f>
        <v>-17.52</v>
      </c>
      <c r="M141" s="51">
        <f>VLOOKUP($A141,'Data Vlaue (Cr)'!$C:$FB,63)</f>
        <v>76</v>
      </c>
      <c r="N141" s="51">
        <f>VLOOKUP($A141,'Data Vlaue (Cr)'!$C:$FB,64)</f>
        <v>101</v>
      </c>
      <c r="O141" s="51">
        <f>VLOOKUP($A141,'Data Vlaue (Cr)'!$C:$FB,66)*100</f>
        <v>-24.92</v>
      </c>
    </row>
    <row r="142" spans="1:15" x14ac:dyDescent="0.25">
      <c r="A142" s="101" t="str">
        <f>'Data Vlaue (Cr)'!C137</f>
        <v>NESTLEIND</v>
      </c>
      <c r="B142" s="50">
        <f>VLOOKUP($A142,'Data Vlaue (Cr)'!$C:$FB,8)</f>
        <v>1250.9000000000001</v>
      </c>
      <c r="C142" s="50">
        <f>VLOOKUP($A142,'Data Vlaue (Cr)'!$C:$FB,11)*100</f>
        <v>0.44999999999999996</v>
      </c>
      <c r="D142" s="50">
        <f>VLOOKUP($A142,'Data Vlaue (Cr)'!$C:$FB,143)</f>
        <v>705.3</v>
      </c>
      <c r="E142" s="50">
        <f>VLOOKUP($A142,'Data Vlaue (Cr)'!$C:$FB,144)</f>
        <v>745.61</v>
      </c>
      <c r="F142" s="50">
        <f>VLOOKUP($A142,'Data Vlaue (Cr)'!$C:$FB,146)*100</f>
        <v>-5.41</v>
      </c>
      <c r="G142" s="49">
        <f>VLOOKUP($A142,'Data Vlaue (Cr)'!$C:$FB,43)</f>
        <v>169</v>
      </c>
      <c r="H142" s="49">
        <f>VLOOKUP($A142,'Data Vlaue (Cr)'!$C:$FB,44)</f>
        <v>204</v>
      </c>
      <c r="I142" s="49">
        <f>VLOOKUP($A142,'Data Vlaue (Cr)'!$C:$FB,46)*100</f>
        <v>-17.04</v>
      </c>
      <c r="J142" s="51">
        <f>VLOOKUP($A142,'Data Vlaue (Cr)'!$C:$FB,59)</f>
        <v>325</v>
      </c>
      <c r="K142" s="51">
        <f>VLOOKUP($A142,'Data Vlaue (Cr)'!$C:$FB,60)</f>
        <v>356</v>
      </c>
      <c r="L142" s="51">
        <f>VLOOKUP($A142,'Data Vlaue (Cr)'!$C:$FB,62)*100</f>
        <v>-8.61</v>
      </c>
      <c r="M142" s="51">
        <f>VLOOKUP($A142,'Data Vlaue (Cr)'!$C:$FB,63)</f>
        <v>200</v>
      </c>
      <c r="N142" s="51">
        <f>VLOOKUP($A142,'Data Vlaue (Cr)'!$C:$FB,64)</f>
        <v>168</v>
      </c>
      <c r="O142" s="51">
        <f>VLOOKUP($A142,'Data Vlaue (Cr)'!$C:$FB,66)*100</f>
        <v>19.16</v>
      </c>
    </row>
    <row r="143" spans="1:15" x14ac:dyDescent="0.25">
      <c r="A143" s="101" t="str">
        <f>'Data Vlaue (Cr)'!C138</f>
        <v>NHPC</v>
      </c>
      <c r="B143" s="50">
        <f>VLOOKUP($A143,'Data Vlaue (Cr)'!$C:$FB,8)</f>
        <v>74.150000000000006</v>
      </c>
      <c r="C143" s="50">
        <f>VLOOKUP($A143,'Data Vlaue (Cr)'!$C:$FB,11)*100</f>
        <v>2.6599999999999997</v>
      </c>
      <c r="D143" s="50">
        <f>VLOOKUP($A143,'Data Vlaue (Cr)'!$C:$FB,143)</f>
        <v>369.79</v>
      </c>
      <c r="E143" s="50">
        <f>VLOOKUP($A143,'Data Vlaue (Cr)'!$C:$FB,144)</f>
        <v>414.93</v>
      </c>
      <c r="F143" s="50">
        <f>VLOOKUP($A143,'Data Vlaue (Cr)'!$C:$FB,146)*100</f>
        <v>-10.879999999999999</v>
      </c>
      <c r="G143" s="49">
        <f>VLOOKUP($A143,'Data Vlaue (Cr)'!$C:$FB,43)</f>
        <v>113</v>
      </c>
      <c r="H143" s="49">
        <f>VLOOKUP($A143,'Data Vlaue (Cr)'!$C:$FB,44)</f>
        <v>96</v>
      </c>
      <c r="I143" s="49">
        <f>VLOOKUP($A143,'Data Vlaue (Cr)'!$C:$FB,46)*100</f>
        <v>17.48</v>
      </c>
      <c r="J143" s="51">
        <f>VLOOKUP($A143,'Data Vlaue (Cr)'!$C:$FB,59)</f>
        <v>152</v>
      </c>
      <c r="K143" s="51">
        <f>VLOOKUP($A143,'Data Vlaue (Cr)'!$C:$FB,60)</f>
        <v>184</v>
      </c>
      <c r="L143" s="51">
        <f>VLOOKUP($A143,'Data Vlaue (Cr)'!$C:$FB,62)*100</f>
        <v>-17.11</v>
      </c>
      <c r="M143" s="51">
        <f>VLOOKUP($A143,'Data Vlaue (Cr)'!$C:$FB,63)</f>
        <v>99</v>
      </c>
      <c r="N143" s="51">
        <f>VLOOKUP($A143,'Data Vlaue (Cr)'!$C:$FB,64)</f>
        <v>134</v>
      </c>
      <c r="O143" s="51">
        <f>VLOOKUP($A143,'Data Vlaue (Cr)'!$C:$FB,66)*100</f>
        <v>-25.86</v>
      </c>
    </row>
    <row r="144" spans="1:15" x14ac:dyDescent="0.25">
      <c r="A144" s="101" t="str">
        <f>'Data Vlaue (Cr)'!C139</f>
        <v>NIFTY</v>
      </c>
      <c r="B144" s="50">
        <f>VLOOKUP($A144,'Data Vlaue (Cr)'!$C:$FB,8)</f>
        <v>24765.9</v>
      </c>
      <c r="C144" s="50">
        <f>VLOOKUP($A144,'Data Vlaue (Cr)'!$C:$FB,11)*100</f>
        <v>1.17</v>
      </c>
      <c r="D144" s="50">
        <f>VLOOKUP($A144,'Data Vlaue (Cr)'!$C:$FB,143)</f>
        <v>9879529.3300000001</v>
      </c>
      <c r="E144" s="50">
        <f>VLOOKUP($A144,'Data Vlaue (Cr)'!$C:$FB,144)</f>
        <v>8511723.5199999996</v>
      </c>
      <c r="F144" s="50">
        <f>VLOOKUP($A144,'Data Vlaue (Cr)'!$C:$FB,146)*100</f>
        <v>16.07</v>
      </c>
      <c r="G144" s="49">
        <f>VLOOKUP($A144,'Data Vlaue (Cr)'!$C:$FB,43)</f>
        <v>21531</v>
      </c>
      <c r="H144" s="49">
        <f>VLOOKUP($A144,'Data Vlaue (Cr)'!$C:$FB,44)</f>
        <v>30784</v>
      </c>
      <c r="I144" s="49">
        <f>VLOOKUP($A144,'Data Vlaue (Cr)'!$C:$FB,46)*100</f>
        <v>-30.06</v>
      </c>
      <c r="J144" s="51">
        <f>VLOOKUP($A144,'Data Vlaue (Cr)'!$C:$FB,59)</f>
        <v>5480706</v>
      </c>
      <c r="K144" s="51">
        <f>VLOOKUP($A144,'Data Vlaue (Cr)'!$C:$FB,60)</f>
        <v>4802319</v>
      </c>
      <c r="L144" s="51">
        <f>VLOOKUP($A144,'Data Vlaue (Cr)'!$C:$FB,62)*100</f>
        <v>14.13</v>
      </c>
      <c r="M144" s="51">
        <f>VLOOKUP($A144,'Data Vlaue (Cr)'!$C:$FB,63)</f>
        <v>4383157</v>
      </c>
      <c r="N144" s="51">
        <f>VLOOKUP($A144,'Data Vlaue (Cr)'!$C:$FB,64)</f>
        <v>3670112</v>
      </c>
      <c r="O144" s="51">
        <f>VLOOKUP($A144,'Data Vlaue (Cr)'!$C:$FB,66)*100</f>
        <v>19.43</v>
      </c>
    </row>
    <row r="145" spans="1:15" x14ac:dyDescent="0.25">
      <c r="A145" s="101" t="str">
        <f>'Data Vlaue (Cr)'!C140</f>
        <v>NIFTYNXT50</v>
      </c>
      <c r="B145" s="50">
        <f>VLOOKUP($A145,'Data Vlaue (Cr)'!$C:$FB,8)</f>
        <v>67722.2</v>
      </c>
      <c r="C145" s="50">
        <f>VLOOKUP($A145,'Data Vlaue (Cr)'!$C:$FB,11)*100</f>
        <v>1.38</v>
      </c>
      <c r="D145" s="50">
        <f>VLOOKUP($A145,'Data Vlaue (Cr)'!$C:$FB,143)</f>
        <v>125.07</v>
      </c>
      <c r="E145" s="50">
        <f>VLOOKUP($A145,'Data Vlaue (Cr)'!$C:$FB,144)</f>
        <v>173.87</v>
      </c>
      <c r="F145" s="50">
        <f>VLOOKUP($A145,'Data Vlaue (Cr)'!$C:$FB,146)*100</f>
        <v>-28.07</v>
      </c>
      <c r="G145" s="49">
        <f>VLOOKUP($A145,'Data Vlaue (Cr)'!$C:$FB,43)</f>
        <v>68</v>
      </c>
      <c r="H145" s="49">
        <f>VLOOKUP($A145,'Data Vlaue (Cr)'!$C:$FB,44)</f>
        <v>81</v>
      </c>
      <c r="I145" s="49">
        <f>VLOOKUP($A145,'Data Vlaue (Cr)'!$C:$FB,46)*100</f>
        <v>-15.93</v>
      </c>
      <c r="J145" s="51">
        <f>VLOOKUP($A145,'Data Vlaue (Cr)'!$C:$FB,59)</f>
        <v>39</v>
      </c>
      <c r="K145" s="51">
        <f>VLOOKUP($A145,'Data Vlaue (Cr)'!$C:$FB,60)</f>
        <v>87</v>
      </c>
      <c r="L145" s="51">
        <f>VLOOKUP($A145,'Data Vlaue (Cr)'!$C:$FB,62)*100</f>
        <v>-54.790000000000006</v>
      </c>
      <c r="M145" s="51">
        <f>VLOOKUP($A145,'Data Vlaue (Cr)'!$C:$FB,63)</f>
        <v>17</v>
      </c>
      <c r="N145" s="51">
        <f>VLOOKUP($A145,'Data Vlaue (Cr)'!$C:$FB,64)</f>
        <v>5</v>
      </c>
      <c r="O145" s="51">
        <f>VLOOKUP($A145,'Data Vlaue (Cr)'!$C:$FB,66)*100</f>
        <v>260.70999999999998</v>
      </c>
    </row>
    <row r="146" spans="1:15" x14ac:dyDescent="0.25">
      <c r="A146" s="101" t="str">
        <f>'Data Vlaue (Cr)'!C141</f>
        <v>NMDC</v>
      </c>
      <c r="B146" s="50">
        <f>VLOOKUP($A146,'Data Vlaue (Cr)'!$C:$FB,8)</f>
        <v>78.44</v>
      </c>
      <c r="C146" s="50">
        <f>VLOOKUP($A146,'Data Vlaue (Cr)'!$C:$FB,11)*100</f>
        <v>2.2599999999999998</v>
      </c>
      <c r="D146" s="50">
        <f>VLOOKUP($A146,'Data Vlaue (Cr)'!$C:$FB,143)</f>
        <v>992.1</v>
      </c>
      <c r="E146" s="50">
        <f>VLOOKUP($A146,'Data Vlaue (Cr)'!$C:$FB,144)</f>
        <v>1093.98</v>
      </c>
      <c r="F146" s="50">
        <f>VLOOKUP($A146,'Data Vlaue (Cr)'!$C:$FB,146)*100</f>
        <v>-9.31</v>
      </c>
      <c r="G146" s="49">
        <f>VLOOKUP($A146,'Data Vlaue (Cr)'!$C:$FB,43)</f>
        <v>260</v>
      </c>
      <c r="H146" s="49">
        <f>VLOOKUP($A146,'Data Vlaue (Cr)'!$C:$FB,44)</f>
        <v>280</v>
      </c>
      <c r="I146" s="49">
        <f>VLOOKUP($A146,'Data Vlaue (Cr)'!$C:$FB,46)*100</f>
        <v>-6.94</v>
      </c>
      <c r="J146" s="51">
        <f>VLOOKUP($A146,'Data Vlaue (Cr)'!$C:$FB,59)</f>
        <v>517</v>
      </c>
      <c r="K146" s="51">
        <f>VLOOKUP($A146,'Data Vlaue (Cr)'!$C:$FB,60)</f>
        <v>532</v>
      </c>
      <c r="L146" s="51">
        <f>VLOOKUP($A146,'Data Vlaue (Cr)'!$C:$FB,62)*100</f>
        <v>-2.74</v>
      </c>
      <c r="M146" s="51">
        <f>VLOOKUP($A146,'Data Vlaue (Cr)'!$C:$FB,63)</f>
        <v>185</v>
      </c>
      <c r="N146" s="51">
        <f>VLOOKUP($A146,'Data Vlaue (Cr)'!$C:$FB,64)</f>
        <v>253</v>
      </c>
      <c r="O146" s="51">
        <f>VLOOKUP($A146,'Data Vlaue (Cr)'!$C:$FB,66)*100</f>
        <v>-26.87</v>
      </c>
    </row>
    <row r="147" spans="1:15" x14ac:dyDescent="0.25">
      <c r="A147" s="101" t="str">
        <f>'Data Vlaue (Cr)'!C142</f>
        <v>NTPC</v>
      </c>
      <c r="B147" s="50">
        <f>VLOOKUP($A147,'Data Vlaue (Cr)'!$C:$FB,8)</f>
        <v>378.05</v>
      </c>
      <c r="C147" s="50">
        <f>VLOOKUP($A147,'Data Vlaue (Cr)'!$C:$FB,11)*100</f>
        <v>3.35</v>
      </c>
      <c r="D147" s="50">
        <f>VLOOKUP($A147,'Data Vlaue (Cr)'!$C:$FB,143)</f>
        <v>4749.78</v>
      </c>
      <c r="E147" s="50">
        <f>VLOOKUP($A147,'Data Vlaue (Cr)'!$C:$FB,144)</f>
        <v>3816.25</v>
      </c>
      <c r="F147" s="50">
        <f>VLOOKUP($A147,'Data Vlaue (Cr)'!$C:$FB,146)*100</f>
        <v>24.46</v>
      </c>
      <c r="G147" s="49">
        <f>VLOOKUP($A147,'Data Vlaue (Cr)'!$C:$FB,43)</f>
        <v>651</v>
      </c>
      <c r="H147" s="49">
        <f>VLOOKUP($A147,'Data Vlaue (Cr)'!$C:$FB,44)</f>
        <v>514</v>
      </c>
      <c r="I147" s="49">
        <f>VLOOKUP($A147,'Data Vlaue (Cr)'!$C:$FB,46)*100</f>
        <v>26.57</v>
      </c>
      <c r="J147" s="51">
        <f>VLOOKUP($A147,'Data Vlaue (Cr)'!$C:$FB,59)</f>
        <v>2755</v>
      </c>
      <c r="K147" s="51">
        <f>VLOOKUP($A147,'Data Vlaue (Cr)'!$C:$FB,60)</f>
        <v>2355</v>
      </c>
      <c r="L147" s="51">
        <f>VLOOKUP($A147,'Data Vlaue (Cr)'!$C:$FB,62)*100</f>
        <v>17.03</v>
      </c>
      <c r="M147" s="51">
        <f>VLOOKUP($A147,'Data Vlaue (Cr)'!$C:$FB,63)</f>
        <v>1278</v>
      </c>
      <c r="N147" s="51">
        <f>VLOOKUP($A147,'Data Vlaue (Cr)'!$C:$FB,64)</f>
        <v>951</v>
      </c>
      <c r="O147" s="51">
        <f>VLOOKUP($A147,'Data Vlaue (Cr)'!$C:$FB,66)*100</f>
        <v>34.449999999999996</v>
      </c>
    </row>
    <row r="148" spans="1:15" x14ac:dyDescent="0.25">
      <c r="A148" s="101" t="str">
        <f>'Data Vlaue (Cr)'!C143</f>
        <v>NUVAMA</v>
      </c>
      <c r="B148" s="50">
        <f>VLOOKUP($A148,'Data Vlaue (Cr)'!$C:$FB,8)</f>
        <v>1238.0999999999999</v>
      </c>
      <c r="C148" s="50">
        <f>VLOOKUP($A148,'Data Vlaue (Cr)'!$C:$FB,11)*100</f>
        <v>3.4799999999999995</v>
      </c>
      <c r="D148" s="50">
        <f>VLOOKUP($A148,'Data Vlaue (Cr)'!$C:$FB,143)</f>
        <v>249.17</v>
      </c>
      <c r="E148" s="50">
        <f>VLOOKUP($A148,'Data Vlaue (Cr)'!$C:$FB,144)</f>
        <v>311.32</v>
      </c>
      <c r="F148" s="50">
        <f>VLOOKUP($A148,'Data Vlaue (Cr)'!$C:$FB,146)*100</f>
        <v>-19.96</v>
      </c>
      <c r="G148" s="49">
        <f>VLOOKUP($A148,'Data Vlaue (Cr)'!$C:$FB,43)</f>
        <v>101</v>
      </c>
      <c r="H148" s="49">
        <f>VLOOKUP($A148,'Data Vlaue (Cr)'!$C:$FB,44)</f>
        <v>161</v>
      </c>
      <c r="I148" s="49">
        <f>VLOOKUP($A148,'Data Vlaue (Cr)'!$C:$FB,46)*100</f>
        <v>-37.08</v>
      </c>
      <c r="J148" s="51">
        <f>VLOOKUP($A148,'Data Vlaue (Cr)'!$C:$FB,59)</f>
        <v>117</v>
      </c>
      <c r="K148" s="51">
        <f>VLOOKUP($A148,'Data Vlaue (Cr)'!$C:$FB,60)</f>
        <v>91</v>
      </c>
      <c r="L148" s="51">
        <f>VLOOKUP($A148,'Data Vlaue (Cr)'!$C:$FB,62)*100</f>
        <v>29.659999999999997</v>
      </c>
      <c r="M148" s="51">
        <f>VLOOKUP($A148,'Data Vlaue (Cr)'!$C:$FB,63)</f>
        <v>25</v>
      </c>
      <c r="N148" s="51">
        <f>VLOOKUP($A148,'Data Vlaue (Cr)'!$C:$FB,64)</f>
        <v>62</v>
      </c>
      <c r="O148" s="51">
        <f>VLOOKUP($A148,'Data Vlaue (Cr)'!$C:$FB,66)*100</f>
        <v>-60.140000000000008</v>
      </c>
    </row>
    <row r="149" spans="1:15" x14ac:dyDescent="0.25">
      <c r="A149" s="101" t="str">
        <f>'Data Vlaue (Cr)'!C144</f>
        <v>NYKAA</v>
      </c>
      <c r="B149" s="50">
        <f>VLOOKUP($A149,'Data Vlaue (Cr)'!$C:$FB,8)</f>
        <v>260.8</v>
      </c>
      <c r="C149" s="50">
        <f>VLOOKUP($A149,'Data Vlaue (Cr)'!$C:$FB,11)*100</f>
        <v>1.9900000000000002</v>
      </c>
      <c r="D149" s="50">
        <f>VLOOKUP($A149,'Data Vlaue (Cr)'!$C:$FB,143)</f>
        <v>270.13</v>
      </c>
      <c r="E149" s="50">
        <f>VLOOKUP($A149,'Data Vlaue (Cr)'!$C:$FB,144)</f>
        <v>428.09</v>
      </c>
      <c r="F149" s="50">
        <f>VLOOKUP($A149,'Data Vlaue (Cr)'!$C:$FB,146)*100</f>
        <v>-36.9</v>
      </c>
      <c r="G149" s="49">
        <f>VLOOKUP($A149,'Data Vlaue (Cr)'!$C:$FB,43)</f>
        <v>115</v>
      </c>
      <c r="H149" s="49">
        <f>VLOOKUP($A149,'Data Vlaue (Cr)'!$C:$FB,44)</f>
        <v>147</v>
      </c>
      <c r="I149" s="49">
        <f>VLOOKUP($A149,'Data Vlaue (Cr)'!$C:$FB,46)*100</f>
        <v>-21.740000000000002</v>
      </c>
      <c r="J149" s="51">
        <f>VLOOKUP($A149,'Data Vlaue (Cr)'!$C:$FB,59)</f>
        <v>113</v>
      </c>
      <c r="K149" s="51">
        <f>VLOOKUP($A149,'Data Vlaue (Cr)'!$C:$FB,60)</f>
        <v>172</v>
      </c>
      <c r="L149" s="51">
        <f>VLOOKUP($A149,'Data Vlaue (Cr)'!$C:$FB,62)*100</f>
        <v>-34.47</v>
      </c>
      <c r="M149" s="51">
        <f>VLOOKUP($A149,'Data Vlaue (Cr)'!$C:$FB,63)</f>
        <v>38</v>
      </c>
      <c r="N149" s="51">
        <f>VLOOKUP($A149,'Data Vlaue (Cr)'!$C:$FB,64)</f>
        <v>108</v>
      </c>
      <c r="O149" s="51">
        <f>VLOOKUP($A149,'Data Vlaue (Cr)'!$C:$FB,66)*100</f>
        <v>-64.429999999999993</v>
      </c>
    </row>
    <row r="150" spans="1:15" x14ac:dyDescent="0.25">
      <c r="A150" s="101" t="str">
        <f>'Data Vlaue (Cr)'!C145</f>
        <v>OBEROIRLTY</v>
      </c>
      <c r="B150" s="50">
        <f>VLOOKUP($A150,'Data Vlaue (Cr)'!$C:$FB,8)</f>
        <v>1482.1</v>
      </c>
      <c r="C150" s="50">
        <f>VLOOKUP($A150,'Data Vlaue (Cr)'!$C:$FB,11)*100</f>
        <v>1.9</v>
      </c>
      <c r="D150" s="50">
        <f>VLOOKUP($A150,'Data Vlaue (Cr)'!$C:$FB,143)</f>
        <v>417.32</v>
      </c>
      <c r="E150" s="50">
        <f>VLOOKUP($A150,'Data Vlaue (Cr)'!$C:$FB,144)</f>
        <v>791.21</v>
      </c>
      <c r="F150" s="50">
        <f>VLOOKUP($A150,'Data Vlaue (Cr)'!$C:$FB,146)*100</f>
        <v>-47.260000000000005</v>
      </c>
      <c r="G150" s="49">
        <f>VLOOKUP($A150,'Data Vlaue (Cr)'!$C:$FB,43)</f>
        <v>171</v>
      </c>
      <c r="H150" s="49">
        <f>VLOOKUP($A150,'Data Vlaue (Cr)'!$C:$FB,44)</f>
        <v>186</v>
      </c>
      <c r="I150" s="49">
        <f>VLOOKUP($A150,'Data Vlaue (Cr)'!$C:$FB,46)*100</f>
        <v>-7.8299999999999992</v>
      </c>
      <c r="J150" s="51">
        <f>VLOOKUP($A150,'Data Vlaue (Cr)'!$C:$FB,59)</f>
        <v>146</v>
      </c>
      <c r="K150" s="51">
        <f>VLOOKUP($A150,'Data Vlaue (Cr)'!$C:$FB,60)</f>
        <v>240</v>
      </c>
      <c r="L150" s="51">
        <f>VLOOKUP($A150,'Data Vlaue (Cr)'!$C:$FB,62)*100</f>
        <v>-39.08</v>
      </c>
      <c r="M150" s="51">
        <f>VLOOKUP($A150,'Data Vlaue (Cr)'!$C:$FB,63)</f>
        <v>96</v>
      </c>
      <c r="N150" s="51">
        <f>VLOOKUP($A150,'Data Vlaue (Cr)'!$C:$FB,64)</f>
        <v>369</v>
      </c>
      <c r="O150" s="51">
        <f>VLOOKUP($A150,'Data Vlaue (Cr)'!$C:$FB,66)*100</f>
        <v>-73.989999999999995</v>
      </c>
    </row>
    <row r="151" spans="1:15" x14ac:dyDescent="0.25">
      <c r="A151" s="101" t="str">
        <f>'Data Vlaue (Cr)'!C146</f>
        <v>OFSS</v>
      </c>
      <c r="B151" s="50">
        <f>VLOOKUP($A151,'Data Vlaue (Cr)'!$C:$FB,8)</f>
        <v>6789.5</v>
      </c>
      <c r="C151" s="50">
        <f>VLOOKUP($A151,'Data Vlaue (Cr)'!$C:$FB,11)*100</f>
        <v>-0.62</v>
      </c>
      <c r="D151" s="50">
        <f>VLOOKUP($A151,'Data Vlaue (Cr)'!$C:$FB,143)</f>
        <v>1444.33</v>
      </c>
      <c r="E151" s="50">
        <f>VLOOKUP($A151,'Data Vlaue (Cr)'!$C:$FB,144)</f>
        <v>769.87</v>
      </c>
      <c r="F151" s="50">
        <f>VLOOKUP($A151,'Data Vlaue (Cr)'!$C:$FB,146)*100</f>
        <v>87.61</v>
      </c>
      <c r="G151" s="49">
        <f>VLOOKUP($A151,'Data Vlaue (Cr)'!$C:$FB,43)</f>
        <v>120</v>
      </c>
      <c r="H151" s="49">
        <f>VLOOKUP($A151,'Data Vlaue (Cr)'!$C:$FB,44)</f>
        <v>158</v>
      </c>
      <c r="I151" s="49">
        <f>VLOOKUP($A151,'Data Vlaue (Cr)'!$C:$FB,46)*100</f>
        <v>-24.16</v>
      </c>
      <c r="J151" s="51">
        <f>VLOOKUP($A151,'Data Vlaue (Cr)'!$C:$FB,59)</f>
        <v>762</v>
      </c>
      <c r="K151" s="51">
        <f>VLOOKUP($A151,'Data Vlaue (Cr)'!$C:$FB,60)</f>
        <v>296</v>
      </c>
      <c r="L151" s="51">
        <f>VLOOKUP($A151,'Data Vlaue (Cr)'!$C:$FB,62)*100</f>
        <v>157.12</v>
      </c>
      <c r="M151" s="51">
        <f>VLOOKUP($A151,'Data Vlaue (Cr)'!$C:$FB,63)</f>
        <v>427</v>
      </c>
      <c r="N151" s="51">
        <f>VLOOKUP($A151,'Data Vlaue (Cr)'!$C:$FB,64)</f>
        <v>300</v>
      </c>
      <c r="O151" s="51">
        <f>VLOOKUP($A151,'Data Vlaue (Cr)'!$C:$FB,66)*100</f>
        <v>41.980000000000004</v>
      </c>
    </row>
    <row r="152" spans="1:15" x14ac:dyDescent="0.25">
      <c r="A152" s="101" t="str">
        <f>'Data Vlaue (Cr)'!C147</f>
        <v>OIL</v>
      </c>
      <c r="B152" s="50">
        <f>VLOOKUP($A152,'Data Vlaue (Cr)'!$C:$FB,8)</f>
        <v>479.1</v>
      </c>
      <c r="C152" s="50">
        <f>VLOOKUP($A152,'Data Vlaue (Cr)'!$C:$FB,11)*100</f>
        <v>-2.64</v>
      </c>
      <c r="D152" s="50">
        <f>VLOOKUP($A152,'Data Vlaue (Cr)'!$C:$FB,143)</f>
        <v>2452.42</v>
      </c>
      <c r="E152" s="50">
        <f>VLOOKUP($A152,'Data Vlaue (Cr)'!$C:$FB,144)</f>
        <v>5623.78</v>
      </c>
      <c r="F152" s="50">
        <f>VLOOKUP($A152,'Data Vlaue (Cr)'!$C:$FB,146)*100</f>
        <v>-56.389999999999993</v>
      </c>
      <c r="G152" s="49">
        <f>VLOOKUP($A152,'Data Vlaue (Cr)'!$C:$FB,43)</f>
        <v>485</v>
      </c>
      <c r="H152" s="49">
        <f>VLOOKUP($A152,'Data Vlaue (Cr)'!$C:$FB,44)</f>
        <v>805</v>
      </c>
      <c r="I152" s="49">
        <f>VLOOKUP($A152,'Data Vlaue (Cr)'!$C:$FB,46)*100</f>
        <v>-39.72</v>
      </c>
      <c r="J152" s="51">
        <f>VLOOKUP($A152,'Data Vlaue (Cr)'!$C:$FB,59)</f>
        <v>1383</v>
      </c>
      <c r="K152" s="51">
        <f>VLOOKUP($A152,'Data Vlaue (Cr)'!$C:$FB,60)</f>
        <v>3584</v>
      </c>
      <c r="L152" s="51">
        <f>VLOOKUP($A152,'Data Vlaue (Cr)'!$C:$FB,62)*100</f>
        <v>-61.4</v>
      </c>
      <c r="M152" s="51">
        <f>VLOOKUP($A152,'Data Vlaue (Cr)'!$C:$FB,63)</f>
        <v>432</v>
      </c>
      <c r="N152" s="51">
        <f>VLOOKUP($A152,'Data Vlaue (Cr)'!$C:$FB,64)</f>
        <v>810</v>
      </c>
      <c r="O152" s="51">
        <f>VLOOKUP($A152,'Data Vlaue (Cr)'!$C:$FB,66)*100</f>
        <v>-46.62</v>
      </c>
    </row>
    <row r="153" spans="1:15" x14ac:dyDescent="0.25">
      <c r="A153" s="101" t="str">
        <f>'Data Vlaue (Cr)'!C148</f>
        <v>ONGC</v>
      </c>
      <c r="B153" s="50">
        <f>VLOOKUP($A153,'Data Vlaue (Cr)'!$C:$FB,8)</f>
        <v>276.35000000000002</v>
      </c>
      <c r="C153" s="50">
        <f>VLOOKUP($A153,'Data Vlaue (Cr)'!$C:$FB,11)*100</f>
        <v>-0.22</v>
      </c>
      <c r="D153" s="50">
        <f>VLOOKUP($A153,'Data Vlaue (Cr)'!$C:$FB,143)</f>
        <v>6381.11</v>
      </c>
      <c r="E153" s="50">
        <f>VLOOKUP($A153,'Data Vlaue (Cr)'!$C:$FB,144)</f>
        <v>7177.57</v>
      </c>
      <c r="F153" s="50">
        <f>VLOOKUP($A153,'Data Vlaue (Cr)'!$C:$FB,146)*100</f>
        <v>-11.1</v>
      </c>
      <c r="G153" s="49">
        <f>VLOOKUP($A153,'Data Vlaue (Cr)'!$C:$FB,43)</f>
        <v>1207</v>
      </c>
      <c r="H153" s="49">
        <f>VLOOKUP($A153,'Data Vlaue (Cr)'!$C:$FB,44)</f>
        <v>1312</v>
      </c>
      <c r="I153" s="49">
        <f>VLOOKUP($A153,'Data Vlaue (Cr)'!$C:$FB,46)*100</f>
        <v>-8.0399999999999991</v>
      </c>
      <c r="J153" s="51">
        <f>VLOOKUP($A153,'Data Vlaue (Cr)'!$C:$FB,59)</f>
        <v>3407</v>
      </c>
      <c r="K153" s="51">
        <f>VLOOKUP($A153,'Data Vlaue (Cr)'!$C:$FB,60)</f>
        <v>3925</v>
      </c>
      <c r="L153" s="51">
        <f>VLOOKUP($A153,'Data Vlaue (Cr)'!$C:$FB,62)*100</f>
        <v>-13.18</v>
      </c>
      <c r="M153" s="51">
        <f>VLOOKUP($A153,'Data Vlaue (Cr)'!$C:$FB,63)</f>
        <v>1508</v>
      </c>
      <c r="N153" s="51">
        <f>VLOOKUP($A153,'Data Vlaue (Cr)'!$C:$FB,64)</f>
        <v>1633</v>
      </c>
      <c r="O153" s="51">
        <f>VLOOKUP($A153,'Data Vlaue (Cr)'!$C:$FB,66)*100</f>
        <v>-7.6700000000000008</v>
      </c>
    </row>
    <row r="154" spans="1:15" x14ac:dyDescent="0.25">
      <c r="A154" s="101" t="str">
        <f>'Data Vlaue (Cr)'!C149</f>
        <v>PAGEIND</v>
      </c>
      <c r="B154" s="50">
        <f>VLOOKUP($A154,'Data Vlaue (Cr)'!$C:$FB,8)</f>
        <v>31525</v>
      </c>
      <c r="C154" s="50">
        <f>VLOOKUP($A154,'Data Vlaue (Cr)'!$C:$FB,11)*100</f>
        <v>1.76</v>
      </c>
      <c r="D154" s="50">
        <f>VLOOKUP($A154,'Data Vlaue (Cr)'!$C:$FB,143)</f>
        <v>472.7</v>
      </c>
      <c r="E154" s="50">
        <f>VLOOKUP($A154,'Data Vlaue (Cr)'!$C:$FB,144)</f>
        <v>733.18</v>
      </c>
      <c r="F154" s="50">
        <f>VLOOKUP($A154,'Data Vlaue (Cr)'!$C:$FB,146)*100</f>
        <v>-35.53</v>
      </c>
      <c r="G154" s="49">
        <f>VLOOKUP($A154,'Data Vlaue (Cr)'!$C:$FB,43)</f>
        <v>161</v>
      </c>
      <c r="H154" s="49">
        <f>VLOOKUP($A154,'Data Vlaue (Cr)'!$C:$FB,44)</f>
        <v>99</v>
      </c>
      <c r="I154" s="49">
        <f>VLOOKUP($A154,'Data Vlaue (Cr)'!$C:$FB,46)*100</f>
        <v>63.360000000000007</v>
      </c>
      <c r="J154" s="51">
        <f>VLOOKUP($A154,'Data Vlaue (Cr)'!$C:$FB,59)</f>
        <v>217</v>
      </c>
      <c r="K154" s="51">
        <f>VLOOKUP($A154,'Data Vlaue (Cr)'!$C:$FB,60)</f>
        <v>471</v>
      </c>
      <c r="L154" s="51">
        <f>VLOOKUP($A154,'Data Vlaue (Cr)'!$C:$FB,62)*100</f>
        <v>-54.08</v>
      </c>
      <c r="M154" s="51">
        <f>VLOOKUP($A154,'Data Vlaue (Cr)'!$C:$FB,63)</f>
        <v>82</v>
      </c>
      <c r="N154" s="51">
        <f>VLOOKUP($A154,'Data Vlaue (Cr)'!$C:$FB,64)</f>
        <v>79</v>
      </c>
      <c r="O154" s="51">
        <f>VLOOKUP($A154,'Data Vlaue (Cr)'!$C:$FB,66)*100</f>
        <v>3.61</v>
      </c>
    </row>
    <row r="155" spans="1:15" x14ac:dyDescent="0.25">
      <c r="A155" s="101" t="str">
        <f>'Data Vlaue (Cr)'!C150</f>
        <v>PATANJALI</v>
      </c>
      <c r="B155" s="50">
        <f>VLOOKUP($A155,'Data Vlaue (Cr)'!$C:$FB,8)</f>
        <v>499.8</v>
      </c>
      <c r="C155" s="50">
        <f>VLOOKUP($A155,'Data Vlaue (Cr)'!$C:$FB,11)*100</f>
        <v>-0.72</v>
      </c>
      <c r="D155" s="50">
        <f>VLOOKUP($A155,'Data Vlaue (Cr)'!$C:$FB,143)</f>
        <v>228.59</v>
      </c>
      <c r="E155" s="50">
        <f>VLOOKUP($A155,'Data Vlaue (Cr)'!$C:$FB,144)</f>
        <v>403.77</v>
      </c>
      <c r="F155" s="50">
        <f>VLOOKUP($A155,'Data Vlaue (Cr)'!$C:$FB,146)*100</f>
        <v>-43.39</v>
      </c>
      <c r="G155" s="49">
        <f>VLOOKUP($A155,'Data Vlaue (Cr)'!$C:$FB,43)</f>
        <v>124</v>
      </c>
      <c r="H155" s="49">
        <f>VLOOKUP($A155,'Data Vlaue (Cr)'!$C:$FB,44)</f>
        <v>226</v>
      </c>
      <c r="I155" s="49">
        <f>VLOOKUP($A155,'Data Vlaue (Cr)'!$C:$FB,46)*100</f>
        <v>-45.25</v>
      </c>
      <c r="J155" s="51">
        <f>VLOOKUP($A155,'Data Vlaue (Cr)'!$C:$FB,59)</f>
        <v>75</v>
      </c>
      <c r="K155" s="51">
        <f>VLOOKUP($A155,'Data Vlaue (Cr)'!$C:$FB,60)</f>
        <v>97</v>
      </c>
      <c r="L155" s="51">
        <f>VLOOKUP($A155,'Data Vlaue (Cr)'!$C:$FB,62)*100</f>
        <v>-23.09</v>
      </c>
      <c r="M155" s="51">
        <f>VLOOKUP($A155,'Data Vlaue (Cr)'!$C:$FB,63)</f>
        <v>25</v>
      </c>
      <c r="N155" s="51">
        <f>VLOOKUP($A155,'Data Vlaue (Cr)'!$C:$FB,64)</f>
        <v>71</v>
      </c>
      <c r="O155" s="51">
        <f>VLOOKUP($A155,'Data Vlaue (Cr)'!$C:$FB,66)*100</f>
        <v>-64.67</v>
      </c>
    </row>
    <row r="156" spans="1:15" x14ac:dyDescent="0.25">
      <c r="A156" s="101" t="str">
        <f>'Data Vlaue (Cr)'!C151</f>
        <v>PAYTM</v>
      </c>
      <c r="B156" s="50">
        <f>VLOOKUP($A156,'Data Vlaue (Cr)'!$C:$FB,8)</f>
        <v>1052.9000000000001</v>
      </c>
      <c r="C156" s="50">
        <f>VLOOKUP($A156,'Data Vlaue (Cr)'!$C:$FB,11)*100</f>
        <v>0.71000000000000008</v>
      </c>
      <c r="D156" s="50">
        <f>VLOOKUP($A156,'Data Vlaue (Cr)'!$C:$FB,143)</f>
        <v>1998.95</v>
      </c>
      <c r="E156" s="50">
        <f>VLOOKUP($A156,'Data Vlaue (Cr)'!$C:$FB,144)</f>
        <v>2398</v>
      </c>
      <c r="F156" s="50">
        <f>VLOOKUP($A156,'Data Vlaue (Cr)'!$C:$FB,146)*100</f>
        <v>-16.64</v>
      </c>
      <c r="G156" s="49">
        <f>VLOOKUP($A156,'Data Vlaue (Cr)'!$C:$FB,43)</f>
        <v>485</v>
      </c>
      <c r="H156" s="49">
        <f>VLOOKUP($A156,'Data Vlaue (Cr)'!$C:$FB,44)</f>
        <v>647</v>
      </c>
      <c r="I156" s="49">
        <f>VLOOKUP($A156,'Data Vlaue (Cr)'!$C:$FB,46)*100</f>
        <v>-25.019999999999996</v>
      </c>
      <c r="J156" s="51">
        <f>VLOOKUP($A156,'Data Vlaue (Cr)'!$C:$FB,59)</f>
        <v>985</v>
      </c>
      <c r="K156" s="51">
        <f>VLOOKUP($A156,'Data Vlaue (Cr)'!$C:$FB,60)</f>
        <v>985</v>
      </c>
      <c r="L156" s="51">
        <f>VLOOKUP($A156,'Data Vlaue (Cr)'!$C:$FB,62)*100</f>
        <v>0.04</v>
      </c>
      <c r="M156" s="51">
        <f>VLOOKUP($A156,'Data Vlaue (Cr)'!$C:$FB,63)</f>
        <v>449</v>
      </c>
      <c r="N156" s="51">
        <f>VLOOKUP($A156,'Data Vlaue (Cr)'!$C:$FB,64)</f>
        <v>706</v>
      </c>
      <c r="O156" s="51">
        <f>VLOOKUP($A156,'Data Vlaue (Cr)'!$C:$FB,66)*100</f>
        <v>-36.409999999999997</v>
      </c>
    </row>
    <row r="157" spans="1:15" x14ac:dyDescent="0.25">
      <c r="A157" s="101" t="str">
        <f>'Data Vlaue (Cr)'!C152</f>
        <v>PERSISTENT</v>
      </c>
      <c r="B157" s="50">
        <f>VLOOKUP($A157,'Data Vlaue (Cr)'!$C:$FB,8)</f>
        <v>4641.7</v>
      </c>
      <c r="C157" s="50">
        <f>VLOOKUP($A157,'Data Vlaue (Cr)'!$C:$FB,11)*100</f>
        <v>-1.43</v>
      </c>
      <c r="D157" s="50">
        <f>VLOOKUP($A157,'Data Vlaue (Cr)'!$C:$FB,143)</f>
        <v>2540.09</v>
      </c>
      <c r="E157" s="50">
        <f>VLOOKUP($A157,'Data Vlaue (Cr)'!$C:$FB,144)</f>
        <v>2505.98</v>
      </c>
      <c r="F157" s="50">
        <f>VLOOKUP($A157,'Data Vlaue (Cr)'!$C:$FB,146)*100</f>
        <v>1.3599999999999999</v>
      </c>
      <c r="G157" s="49">
        <f>VLOOKUP($A157,'Data Vlaue (Cr)'!$C:$FB,43)</f>
        <v>424</v>
      </c>
      <c r="H157" s="49">
        <f>VLOOKUP($A157,'Data Vlaue (Cr)'!$C:$FB,44)</f>
        <v>483</v>
      </c>
      <c r="I157" s="49">
        <f>VLOOKUP($A157,'Data Vlaue (Cr)'!$C:$FB,46)*100</f>
        <v>-12.21</v>
      </c>
      <c r="J157" s="51">
        <f>VLOOKUP($A157,'Data Vlaue (Cr)'!$C:$FB,59)</f>
        <v>1102</v>
      </c>
      <c r="K157" s="51">
        <f>VLOOKUP($A157,'Data Vlaue (Cr)'!$C:$FB,60)</f>
        <v>1167</v>
      </c>
      <c r="L157" s="51">
        <f>VLOOKUP($A157,'Data Vlaue (Cr)'!$C:$FB,62)*100</f>
        <v>-5.55</v>
      </c>
      <c r="M157" s="51">
        <f>VLOOKUP($A157,'Data Vlaue (Cr)'!$C:$FB,63)</f>
        <v>902</v>
      </c>
      <c r="N157" s="51">
        <f>VLOOKUP($A157,'Data Vlaue (Cr)'!$C:$FB,64)</f>
        <v>710</v>
      </c>
      <c r="O157" s="51">
        <f>VLOOKUP($A157,'Data Vlaue (Cr)'!$C:$FB,66)*100</f>
        <v>27.11</v>
      </c>
    </row>
    <row r="158" spans="1:15" x14ac:dyDescent="0.25">
      <c r="A158" s="101" t="str">
        <f>'Data Vlaue (Cr)'!C153</f>
        <v>PETRONET</v>
      </c>
      <c r="B158" s="50">
        <f>VLOOKUP($A158,'Data Vlaue (Cr)'!$C:$FB,8)</f>
        <v>293.05</v>
      </c>
      <c r="C158" s="50">
        <f>VLOOKUP($A158,'Data Vlaue (Cr)'!$C:$FB,11)*100</f>
        <v>4.66</v>
      </c>
      <c r="D158" s="50">
        <f>VLOOKUP($A158,'Data Vlaue (Cr)'!$C:$FB,143)</f>
        <v>3078.75</v>
      </c>
      <c r="E158" s="50">
        <f>VLOOKUP($A158,'Data Vlaue (Cr)'!$C:$FB,144)</f>
        <v>5233.2</v>
      </c>
      <c r="F158" s="50">
        <f>VLOOKUP($A158,'Data Vlaue (Cr)'!$C:$FB,146)*100</f>
        <v>-41.17</v>
      </c>
      <c r="G158" s="49">
        <f>VLOOKUP($A158,'Data Vlaue (Cr)'!$C:$FB,43)</f>
        <v>604</v>
      </c>
      <c r="H158" s="49">
        <f>VLOOKUP($A158,'Data Vlaue (Cr)'!$C:$FB,44)</f>
        <v>1131</v>
      </c>
      <c r="I158" s="49">
        <f>VLOOKUP($A158,'Data Vlaue (Cr)'!$C:$FB,46)*100</f>
        <v>-46.589999999999996</v>
      </c>
      <c r="J158" s="51">
        <f>VLOOKUP($A158,'Data Vlaue (Cr)'!$C:$FB,59)</f>
        <v>1283</v>
      </c>
      <c r="K158" s="51">
        <f>VLOOKUP($A158,'Data Vlaue (Cr)'!$C:$FB,60)</f>
        <v>1536</v>
      </c>
      <c r="L158" s="51">
        <f>VLOOKUP($A158,'Data Vlaue (Cr)'!$C:$FB,62)*100</f>
        <v>-16.489999999999998</v>
      </c>
      <c r="M158" s="51">
        <f>VLOOKUP($A158,'Data Vlaue (Cr)'!$C:$FB,63)</f>
        <v>1172</v>
      </c>
      <c r="N158" s="51">
        <f>VLOOKUP($A158,'Data Vlaue (Cr)'!$C:$FB,64)</f>
        <v>2549</v>
      </c>
      <c r="O158" s="51">
        <f>VLOOKUP($A158,'Data Vlaue (Cr)'!$C:$FB,66)*100</f>
        <v>-54.04</v>
      </c>
    </row>
    <row r="159" spans="1:15" x14ac:dyDescent="0.25">
      <c r="A159" s="101" t="str">
        <f>'Data Vlaue (Cr)'!C154</f>
        <v>PFC</v>
      </c>
      <c r="B159" s="50">
        <f>VLOOKUP($A159,'Data Vlaue (Cr)'!$C:$FB,8)</f>
        <v>413.65</v>
      </c>
      <c r="C159" s="50">
        <f>VLOOKUP($A159,'Data Vlaue (Cr)'!$C:$FB,11)*100</f>
        <v>4.3099999999999996</v>
      </c>
      <c r="D159" s="50">
        <f>VLOOKUP($A159,'Data Vlaue (Cr)'!$C:$FB,143)</f>
        <v>3054.84</v>
      </c>
      <c r="E159" s="50">
        <f>VLOOKUP($A159,'Data Vlaue (Cr)'!$C:$FB,144)</f>
        <v>1862.41</v>
      </c>
      <c r="F159" s="50">
        <f>VLOOKUP($A159,'Data Vlaue (Cr)'!$C:$FB,146)*100</f>
        <v>64.03</v>
      </c>
      <c r="G159" s="49">
        <f>VLOOKUP($A159,'Data Vlaue (Cr)'!$C:$FB,43)</f>
        <v>605</v>
      </c>
      <c r="H159" s="49">
        <f>VLOOKUP($A159,'Data Vlaue (Cr)'!$C:$FB,44)</f>
        <v>611</v>
      </c>
      <c r="I159" s="49">
        <f>VLOOKUP($A159,'Data Vlaue (Cr)'!$C:$FB,46)*100</f>
        <v>-0.92999999999999994</v>
      </c>
      <c r="J159" s="51">
        <f>VLOOKUP($A159,'Data Vlaue (Cr)'!$C:$FB,59)</f>
        <v>1599</v>
      </c>
      <c r="K159" s="51">
        <f>VLOOKUP($A159,'Data Vlaue (Cr)'!$C:$FB,60)</f>
        <v>798</v>
      </c>
      <c r="L159" s="51">
        <f>VLOOKUP($A159,'Data Vlaue (Cr)'!$C:$FB,62)*100</f>
        <v>100.35000000000001</v>
      </c>
      <c r="M159" s="51">
        <f>VLOOKUP($A159,'Data Vlaue (Cr)'!$C:$FB,63)</f>
        <v>814</v>
      </c>
      <c r="N159" s="51">
        <f>VLOOKUP($A159,'Data Vlaue (Cr)'!$C:$FB,64)</f>
        <v>490</v>
      </c>
      <c r="O159" s="51">
        <f>VLOOKUP($A159,'Data Vlaue (Cr)'!$C:$FB,66)*100</f>
        <v>66.33</v>
      </c>
    </row>
    <row r="160" spans="1:15" x14ac:dyDescent="0.25">
      <c r="A160" s="101" t="str">
        <f>'Data Vlaue (Cr)'!C155</f>
        <v>PGEL</v>
      </c>
      <c r="B160" s="50">
        <f>VLOOKUP($A160,'Data Vlaue (Cr)'!$C:$FB,8)</f>
        <v>614.45000000000005</v>
      </c>
      <c r="C160" s="50">
        <f>VLOOKUP($A160,'Data Vlaue (Cr)'!$C:$FB,11)*100</f>
        <v>3.63</v>
      </c>
      <c r="D160" s="50">
        <f>VLOOKUP($A160,'Data Vlaue (Cr)'!$C:$FB,143)</f>
        <v>1080.26</v>
      </c>
      <c r="E160" s="50">
        <f>VLOOKUP($A160,'Data Vlaue (Cr)'!$C:$FB,144)</f>
        <v>983.26</v>
      </c>
      <c r="F160" s="50">
        <f>VLOOKUP($A160,'Data Vlaue (Cr)'!$C:$FB,146)*100</f>
        <v>9.86</v>
      </c>
      <c r="G160" s="49">
        <f>VLOOKUP($A160,'Data Vlaue (Cr)'!$C:$FB,43)</f>
        <v>297</v>
      </c>
      <c r="H160" s="49">
        <f>VLOOKUP($A160,'Data Vlaue (Cr)'!$C:$FB,44)</f>
        <v>236</v>
      </c>
      <c r="I160" s="49">
        <f>VLOOKUP($A160,'Data Vlaue (Cr)'!$C:$FB,46)*100</f>
        <v>25.47</v>
      </c>
      <c r="J160" s="51">
        <f>VLOOKUP($A160,'Data Vlaue (Cr)'!$C:$FB,59)</f>
        <v>533</v>
      </c>
      <c r="K160" s="51">
        <f>VLOOKUP($A160,'Data Vlaue (Cr)'!$C:$FB,60)</f>
        <v>381</v>
      </c>
      <c r="L160" s="51">
        <f>VLOOKUP($A160,'Data Vlaue (Cr)'!$C:$FB,62)*100</f>
        <v>39.89</v>
      </c>
      <c r="M160" s="51">
        <f>VLOOKUP($A160,'Data Vlaue (Cr)'!$C:$FB,63)</f>
        <v>240</v>
      </c>
      <c r="N160" s="51">
        <f>VLOOKUP($A160,'Data Vlaue (Cr)'!$C:$FB,64)</f>
        <v>373</v>
      </c>
      <c r="O160" s="51">
        <f>VLOOKUP($A160,'Data Vlaue (Cr)'!$C:$FB,66)*100</f>
        <v>-35.75</v>
      </c>
    </row>
    <row r="161" spans="1:15" x14ac:dyDescent="0.25">
      <c r="A161" s="101" t="str">
        <f>'Data Vlaue (Cr)'!C156</f>
        <v>PHOENIXLTD</v>
      </c>
      <c r="B161" s="50">
        <f>VLOOKUP($A161,'Data Vlaue (Cr)'!$C:$FB,8)</f>
        <v>1633.6</v>
      </c>
      <c r="C161" s="50">
        <f>VLOOKUP($A161,'Data Vlaue (Cr)'!$C:$FB,11)*100</f>
        <v>1.4000000000000001</v>
      </c>
      <c r="D161" s="50">
        <f>VLOOKUP($A161,'Data Vlaue (Cr)'!$C:$FB,143)</f>
        <v>1085.71</v>
      </c>
      <c r="E161" s="50">
        <f>VLOOKUP($A161,'Data Vlaue (Cr)'!$C:$FB,144)</f>
        <v>258.31</v>
      </c>
      <c r="F161" s="50">
        <f>VLOOKUP($A161,'Data Vlaue (Cr)'!$C:$FB,146)*100</f>
        <v>320.31</v>
      </c>
      <c r="G161" s="49">
        <f>VLOOKUP($A161,'Data Vlaue (Cr)'!$C:$FB,43)</f>
        <v>249</v>
      </c>
      <c r="H161" s="49">
        <f>VLOOKUP($A161,'Data Vlaue (Cr)'!$C:$FB,44)</f>
        <v>67</v>
      </c>
      <c r="I161" s="49">
        <f>VLOOKUP($A161,'Data Vlaue (Cr)'!$C:$FB,46)*100</f>
        <v>273.60000000000002</v>
      </c>
      <c r="J161" s="51">
        <f>VLOOKUP($A161,'Data Vlaue (Cr)'!$C:$FB,59)</f>
        <v>518</v>
      </c>
      <c r="K161" s="51">
        <f>VLOOKUP($A161,'Data Vlaue (Cr)'!$C:$FB,60)</f>
        <v>112</v>
      </c>
      <c r="L161" s="51">
        <f>VLOOKUP($A161,'Data Vlaue (Cr)'!$C:$FB,62)*100</f>
        <v>363.13</v>
      </c>
      <c r="M161" s="51">
        <f>VLOOKUP($A161,'Data Vlaue (Cr)'!$C:$FB,63)</f>
        <v>291</v>
      </c>
      <c r="N161" s="51">
        <f>VLOOKUP($A161,'Data Vlaue (Cr)'!$C:$FB,64)</f>
        <v>74</v>
      </c>
      <c r="O161" s="51">
        <f>VLOOKUP($A161,'Data Vlaue (Cr)'!$C:$FB,66)*100</f>
        <v>294.02</v>
      </c>
    </row>
    <row r="162" spans="1:15" x14ac:dyDescent="0.25">
      <c r="A162" s="101" t="str">
        <f>'Data Vlaue (Cr)'!C157</f>
        <v>PIDILITIND</v>
      </c>
      <c r="B162" s="50">
        <f>VLOOKUP($A162,'Data Vlaue (Cr)'!$C:$FB,8)</f>
        <v>1445.9</v>
      </c>
      <c r="C162" s="50">
        <f>VLOOKUP($A162,'Data Vlaue (Cr)'!$C:$FB,11)*100</f>
        <v>0.47000000000000003</v>
      </c>
      <c r="D162" s="50">
        <f>VLOOKUP($A162,'Data Vlaue (Cr)'!$C:$FB,143)</f>
        <v>410.05</v>
      </c>
      <c r="E162" s="50">
        <f>VLOOKUP($A162,'Data Vlaue (Cr)'!$C:$FB,144)</f>
        <v>535.53</v>
      </c>
      <c r="F162" s="50">
        <f>VLOOKUP($A162,'Data Vlaue (Cr)'!$C:$FB,146)*100</f>
        <v>-23.43</v>
      </c>
      <c r="G162" s="49">
        <f>VLOOKUP($A162,'Data Vlaue (Cr)'!$C:$FB,43)</f>
        <v>153</v>
      </c>
      <c r="H162" s="49">
        <f>VLOOKUP($A162,'Data Vlaue (Cr)'!$C:$FB,44)</f>
        <v>184</v>
      </c>
      <c r="I162" s="49">
        <f>VLOOKUP($A162,'Data Vlaue (Cr)'!$C:$FB,46)*100</f>
        <v>-16.5</v>
      </c>
      <c r="J162" s="51">
        <f>VLOOKUP($A162,'Data Vlaue (Cr)'!$C:$FB,59)</f>
        <v>174</v>
      </c>
      <c r="K162" s="51">
        <f>VLOOKUP($A162,'Data Vlaue (Cr)'!$C:$FB,60)</f>
        <v>213</v>
      </c>
      <c r="L162" s="51">
        <f>VLOOKUP($A162,'Data Vlaue (Cr)'!$C:$FB,62)*100</f>
        <v>-18.600000000000001</v>
      </c>
      <c r="M162" s="51">
        <f>VLOOKUP($A162,'Data Vlaue (Cr)'!$C:$FB,63)</f>
        <v>77</v>
      </c>
      <c r="N162" s="51">
        <f>VLOOKUP($A162,'Data Vlaue (Cr)'!$C:$FB,64)</f>
        <v>130</v>
      </c>
      <c r="O162" s="51">
        <f>VLOOKUP($A162,'Data Vlaue (Cr)'!$C:$FB,66)*100</f>
        <v>-40.300000000000004</v>
      </c>
    </row>
    <row r="163" spans="1:15" x14ac:dyDescent="0.25">
      <c r="A163" s="101" t="str">
        <f>'Data Vlaue (Cr)'!C158</f>
        <v>PIIND</v>
      </c>
      <c r="B163" s="50">
        <f>VLOOKUP($A163,'Data Vlaue (Cr)'!$C:$FB,8)</f>
        <v>3089</v>
      </c>
      <c r="C163" s="50">
        <f>VLOOKUP($A163,'Data Vlaue (Cr)'!$C:$FB,11)*100</f>
        <v>0.83</v>
      </c>
      <c r="D163" s="50">
        <f>VLOOKUP($A163,'Data Vlaue (Cr)'!$C:$FB,143)</f>
        <v>325.70999999999998</v>
      </c>
      <c r="E163" s="50">
        <f>VLOOKUP($A163,'Data Vlaue (Cr)'!$C:$FB,144)</f>
        <v>437.67</v>
      </c>
      <c r="F163" s="50">
        <f>VLOOKUP($A163,'Data Vlaue (Cr)'!$C:$FB,146)*100</f>
        <v>-25.580000000000002</v>
      </c>
      <c r="G163" s="49">
        <f>VLOOKUP($A163,'Data Vlaue (Cr)'!$C:$FB,43)</f>
        <v>114</v>
      </c>
      <c r="H163" s="49">
        <f>VLOOKUP($A163,'Data Vlaue (Cr)'!$C:$FB,44)</f>
        <v>136</v>
      </c>
      <c r="I163" s="49">
        <f>VLOOKUP($A163,'Data Vlaue (Cr)'!$C:$FB,46)*100</f>
        <v>-16.21</v>
      </c>
      <c r="J163" s="51">
        <f>VLOOKUP($A163,'Data Vlaue (Cr)'!$C:$FB,59)</f>
        <v>150</v>
      </c>
      <c r="K163" s="51">
        <f>VLOOKUP($A163,'Data Vlaue (Cr)'!$C:$FB,60)</f>
        <v>179</v>
      </c>
      <c r="L163" s="51">
        <f>VLOOKUP($A163,'Data Vlaue (Cr)'!$C:$FB,62)*100</f>
        <v>-16.38</v>
      </c>
      <c r="M163" s="51">
        <f>VLOOKUP($A163,'Data Vlaue (Cr)'!$C:$FB,63)</f>
        <v>58</v>
      </c>
      <c r="N163" s="51">
        <f>VLOOKUP($A163,'Data Vlaue (Cr)'!$C:$FB,64)</f>
        <v>121</v>
      </c>
      <c r="O163" s="51">
        <f>VLOOKUP($A163,'Data Vlaue (Cr)'!$C:$FB,66)*100</f>
        <v>-52.019999999999996</v>
      </c>
    </row>
    <row r="164" spans="1:15" x14ac:dyDescent="0.25">
      <c r="A164" s="101" t="str">
        <f>'Data Vlaue (Cr)'!C159</f>
        <v>PNB</v>
      </c>
      <c r="B164" s="50">
        <f>VLOOKUP($A164,'Data Vlaue (Cr)'!$C:$FB,8)</f>
        <v>122.2</v>
      </c>
      <c r="C164" s="50">
        <f>VLOOKUP($A164,'Data Vlaue (Cr)'!$C:$FB,11)*100</f>
        <v>0.67999999999999994</v>
      </c>
      <c r="D164" s="50">
        <f>VLOOKUP($A164,'Data Vlaue (Cr)'!$C:$FB,143)</f>
        <v>2949.4</v>
      </c>
      <c r="E164" s="50">
        <f>VLOOKUP($A164,'Data Vlaue (Cr)'!$C:$FB,144)</f>
        <v>3838.8</v>
      </c>
      <c r="F164" s="50">
        <f>VLOOKUP($A164,'Data Vlaue (Cr)'!$C:$FB,146)*100</f>
        <v>-23.169999999999998</v>
      </c>
      <c r="G164" s="49">
        <f>VLOOKUP($A164,'Data Vlaue (Cr)'!$C:$FB,43)</f>
        <v>722</v>
      </c>
      <c r="H164" s="49">
        <f>VLOOKUP($A164,'Data Vlaue (Cr)'!$C:$FB,44)</f>
        <v>926</v>
      </c>
      <c r="I164" s="49">
        <f>VLOOKUP($A164,'Data Vlaue (Cr)'!$C:$FB,46)*100</f>
        <v>-22.05</v>
      </c>
      <c r="J164" s="51">
        <f>VLOOKUP($A164,'Data Vlaue (Cr)'!$C:$FB,59)</f>
        <v>1228</v>
      </c>
      <c r="K164" s="51">
        <f>VLOOKUP($A164,'Data Vlaue (Cr)'!$C:$FB,60)</f>
        <v>1533</v>
      </c>
      <c r="L164" s="51">
        <f>VLOOKUP($A164,'Data Vlaue (Cr)'!$C:$FB,62)*100</f>
        <v>-19.91</v>
      </c>
      <c r="M164" s="51">
        <f>VLOOKUP($A164,'Data Vlaue (Cr)'!$C:$FB,63)</f>
        <v>930</v>
      </c>
      <c r="N164" s="51">
        <f>VLOOKUP($A164,'Data Vlaue (Cr)'!$C:$FB,64)</f>
        <v>1242</v>
      </c>
      <c r="O164" s="51">
        <f>VLOOKUP($A164,'Data Vlaue (Cr)'!$C:$FB,66)*100</f>
        <v>-25.1</v>
      </c>
    </row>
    <row r="165" spans="1:15" x14ac:dyDescent="0.25">
      <c r="A165" s="101" t="str">
        <f>'Data Vlaue (Cr)'!C160</f>
        <v>PNBHOUSING</v>
      </c>
      <c r="B165" s="50">
        <f>VLOOKUP($A165,'Data Vlaue (Cr)'!$C:$FB,8)</f>
        <v>790.65</v>
      </c>
      <c r="C165" s="50">
        <f>VLOOKUP($A165,'Data Vlaue (Cr)'!$C:$FB,11)*100</f>
        <v>0.96</v>
      </c>
      <c r="D165" s="50">
        <f>VLOOKUP($A165,'Data Vlaue (Cr)'!$C:$FB,143)</f>
        <v>306.2</v>
      </c>
      <c r="E165" s="50">
        <f>VLOOKUP($A165,'Data Vlaue (Cr)'!$C:$FB,144)</f>
        <v>491.78</v>
      </c>
      <c r="F165" s="50">
        <f>VLOOKUP($A165,'Data Vlaue (Cr)'!$C:$FB,146)*100</f>
        <v>-37.74</v>
      </c>
      <c r="G165" s="49">
        <f>VLOOKUP($A165,'Data Vlaue (Cr)'!$C:$FB,43)</f>
        <v>140</v>
      </c>
      <c r="H165" s="49">
        <f>VLOOKUP($A165,'Data Vlaue (Cr)'!$C:$FB,44)</f>
        <v>172</v>
      </c>
      <c r="I165" s="49">
        <f>VLOOKUP($A165,'Data Vlaue (Cr)'!$C:$FB,46)*100</f>
        <v>-18.45</v>
      </c>
      <c r="J165" s="51">
        <f>VLOOKUP($A165,'Data Vlaue (Cr)'!$C:$FB,59)</f>
        <v>92</v>
      </c>
      <c r="K165" s="51">
        <f>VLOOKUP($A165,'Data Vlaue (Cr)'!$C:$FB,60)</f>
        <v>175</v>
      </c>
      <c r="L165" s="51">
        <f>VLOOKUP($A165,'Data Vlaue (Cr)'!$C:$FB,62)*100</f>
        <v>-47.53</v>
      </c>
      <c r="M165" s="51">
        <f>VLOOKUP($A165,'Data Vlaue (Cr)'!$C:$FB,63)</f>
        <v>70</v>
      </c>
      <c r="N165" s="51">
        <f>VLOOKUP($A165,'Data Vlaue (Cr)'!$C:$FB,64)</f>
        <v>128</v>
      </c>
      <c r="O165" s="51">
        <f>VLOOKUP($A165,'Data Vlaue (Cr)'!$C:$FB,66)*100</f>
        <v>-45.410000000000004</v>
      </c>
    </row>
    <row r="166" spans="1:15" x14ac:dyDescent="0.25">
      <c r="A166" s="101" t="str">
        <f>'Data Vlaue (Cr)'!C161</f>
        <v>POLICYBZR</v>
      </c>
      <c r="B166" s="50">
        <f>VLOOKUP($A166,'Data Vlaue (Cr)'!$C:$FB,8)</f>
        <v>1472.8</v>
      </c>
      <c r="C166" s="50">
        <f>VLOOKUP($A166,'Data Vlaue (Cr)'!$C:$FB,11)*100</f>
        <v>-0.49</v>
      </c>
      <c r="D166" s="50">
        <f>VLOOKUP($A166,'Data Vlaue (Cr)'!$C:$FB,143)</f>
        <v>523.77</v>
      </c>
      <c r="E166" s="50">
        <f>VLOOKUP($A166,'Data Vlaue (Cr)'!$C:$FB,144)</f>
        <v>686.09</v>
      </c>
      <c r="F166" s="50">
        <f>VLOOKUP($A166,'Data Vlaue (Cr)'!$C:$FB,146)*100</f>
        <v>-23.66</v>
      </c>
      <c r="G166" s="49">
        <f>VLOOKUP($A166,'Data Vlaue (Cr)'!$C:$FB,43)</f>
        <v>206</v>
      </c>
      <c r="H166" s="49">
        <f>VLOOKUP($A166,'Data Vlaue (Cr)'!$C:$FB,44)</f>
        <v>239</v>
      </c>
      <c r="I166" s="49">
        <f>VLOOKUP($A166,'Data Vlaue (Cr)'!$C:$FB,46)*100</f>
        <v>-13.850000000000001</v>
      </c>
      <c r="J166" s="51">
        <f>VLOOKUP($A166,'Data Vlaue (Cr)'!$C:$FB,59)</f>
        <v>201</v>
      </c>
      <c r="K166" s="51">
        <f>VLOOKUP($A166,'Data Vlaue (Cr)'!$C:$FB,60)</f>
        <v>258</v>
      </c>
      <c r="L166" s="51">
        <f>VLOOKUP($A166,'Data Vlaue (Cr)'!$C:$FB,62)*100</f>
        <v>-22.18</v>
      </c>
      <c r="M166" s="51">
        <f>VLOOKUP($A166,'Data Vlaue (Cr)'!$C:$FB,63)</f>
        <v>102</v>
      </c>
      <c r="N166" s="51">
        <f>VLOOKUP($A166,'Data Vlaue (Cr)'!$C:$FB,64)</f>
        <v>171</v>
      </c>
      <c r="O166" s="51">
        <f>VLOOKUP($A166,'Data Vlaue (Cr)'!$C:$FB,66)*100</f>
        <v>-40.57</v>
      </c>
    </row>
    <row r="167" spans="1:15" x14ac:dyDescent="0.25">
      <c r="A167" s="101" t="str">
        <f>'Data Vlaue (Cr)'!C162</f>
        <v>POLYCAB</v>
      </c>
      <c r="B167" s="50">
        <f>VLOOKUP($A167,'Data Vlaue (Cr)'!$C:$FB,8)</f>
        <v>8564</v>
      </c>
      <c r="C167" s="50">
        <f>VLOOKUP($A167,'Data Vlaue (Cr)'!$C:$FB,11)*100</f>
        <v>3.38</v>
      </c>
      <c r="D167" s="50">
        <f>VLOOKUP($A167,'Data Vlaue (Cr)'!$C:$FB,143)</f>
        <v>4615.33</v>
      </c>
      <c r="E167" s="50">
        <f>VLOOKUP($A167,'Data Vlaue (Cr)'!$C:$FB,144)</f>
        <v>5344.92</v>
      </c>
      <c r="F167" s="50">
        <f>VLOOKUP($A167,'Data Vlaue (Cr)'!$C:$FB,146)*100</f>
        <v>-13.65</v>
      </c>
      <c r="G167" s="49">
        <f>VLOOKUP($A167,'Data Vlaue (Cr)'!$C:$FB,43)</f>
        <v>1013</v>
      </c>
      <c r="H167" s="49">
        <f>VLOOKUP($A167,'Data Vlaue (Cr)'!$C:$FB,44)</f>
        <v>784</v>
      </c>
      <c r="I167" s="49">
        <f>VLOOKUP($A167,'Data Vlaue (Cr)'!$C:$FB,46)*100</f>
        <v>29.220000000000002</v>
      </c>
      <c r="J167" s="51">
        <f>VLOOKUP($A167,'Data Vlaue (Cr)'!$C:$FB,59)</f>
        <v>1928</v>
      </c>
      <c r="K167" s="51">
        <f>VLOOKUP($A167,'Data Vlaue (Cr)'!$C:$FB,60)</f>
        <v>1576</v>
      </c>
      <c r="L167" s="51">
        <f>VLOOKUP($A167,'Data Vlaue (Cr)'!$C:$FB,62)*100</f>
        <v>22.28</v>
      </c>
      <c r="M167" s="51">
        <f>VLOOKUP($A167,'Data Vlaue (Cr)'!$C:$FB,63)</f>
        <v>1737</v>
      </c>
      <c r="N167" s="51">
        <f>VLOOKUP($A167,'Data Vlaue (Cr)'!$C:$FB,64)</f>
        <v>3205</v>
      </c>
      <c r="O167" s="51">
        <f>VLOOKUP($A167,'Data Vlaue (Cr)'!$C:$FB,66)*100</f>
        <v>-45.82</v>
      </c>
    </row>
    <row r="168" spans="1:15" x14ac:dyDescent="0.25">
      <c r="A168" s="101" t="str">
        <f>'Data Vlaue (Cr)'!C163</f>
        <v>POWERGRID</v>
      </c>
      <c r="B168" s="50">
        <f>VLOOKUP($A168,'Data Vlaue (Cr)'!$C:$FB,8)</f>
        <v>299.45</v>
      </c>
      <c r="C168" s="50">
        <f>VLOOKUP($A168,'Data Vlaue (Cr)'!$C:$FB,11)*100</f>
        <v>2.5700000000000003</v>
      </c>
      <c r="D168" s="50">
        <f>VLOOKUP($A168,'Data Vlaue (Cr)'!$C:$FB,143)</f>
        <v>1970.83</v>
      </c>
      <c r="E168" s="50">
        <f>VLOOKUP($A168,'Data Vlaue (Cr)'!$C:$FB,144)</f>
        <v>2052.2800000000002</v>
      </c>
      <c r="F168" s="50">
        <f>VLOOKUP($A168,'Data Vlaue (Cr)'!$C:$FB,146)*100</f>
        <v>-3.9699999999999998</v>
      </c>
      <c r="G168" s="49">
        <f>VLOOKUP($A168,'Data Vlaue (Cr)'!$C:$FB,43)</f>
        <v>323</v>
      </c>
      <c r="H168" s="49">
        <f>VLOOKUP($A168,'Data Vlaue (Cr)'!$C:$FB,44)</f>
        <v>310</v>
      </c>
      <c r="I168" s="49">
        <f>VLOOKUP($A168,'Data Vlaue (Cr)'!$C:$FB,46)*100</f>
        <v>4.3</v>
      </c>
      <c r="J168" s="51">
        <f>VLOOKUP($A168,'Data Vlaue (Cr)'!$C:$FB,59)</f>
        <v>1138</v>
      </c>
      <c r="K168" s="51">
        <f>VLOOKUP($A168,'Data Vlaue (Cr)'!$C:$FB,60)</f>
        <v>1063</v>
      </c>
      <c r="L168" s="51">
        <f>VLOOKUP($A168,'Data Vlaue (Cr)'!$C:$FB,62)*100</f>
        <v>7.0000000000000009</v>
      </c>
      <c r="M168" s="51">
        <f>VLOOKUP($A168,'Data Vlaue (Cr)'!$C:$FB,63)</f>
        <v>481</v>
      </c>
      <c r="N168" s="51">
        <f>VLOOKUP($A168,'Data Vlaue (Cr)'!$C:$FB,64)</f>
        <v>678</v>
      </c>
      <c r="O168" s="51">
        <f>VLOOKUP($A168,'Data Vlaue (Cr)'!$C:$FB,66)*100</f>
        <v>-29.13</v>
      </c>
    </row>
    <row r="169" spans="1:15" x14ac:dyDescent="0.25">
      <c r="A169" s="101" t="str">
        <f>'Data Vlaue (Cr)'!C164</f>
        <v>POWERINDIA</v>
      </c>
      <c r="B169" s="50">
        <f>VLOOKUP($A169,'Data Vlaue (Cr)'!$C:$FB,8)</f>
        <v>25305</v>
      </c>
      <c r="C169" s="50">
        <f>VLOOKUP($A169,'Data Vlaue (Cr)'!$C:$FB,11)*100</f>
        <v>3.29</v>
      </c>
      <c r="D169" s="50">
        <f>VLOOKUP($A169,'Data Vlaue (Cr)'!$C:$FB,143)</f>
        <v>1633.28</v>
      </c>
      <c r="E169" s="50">
        <f>VLOOKUP($A169,'Data Vlaue (Cr)'!$C:$FB,144)</f>
        <v>1366.61</v>
      </c>
      <c r="F169" s="50">
        <f>VLOOKUP($A169,'Data Vlaue (Cr)'!$C:$FB,146)*100</f>
        <v>19.509999999999998</v>
      </c>
      <c r="G169" s="49">
        <f>VLOOKUP($A169,'Data Vlaue (Cr)'!$C:$FB,43)</f>
        <v>323</v>
      </c>
      <c r="H169" s="49">
        <f>VLOOKUP($A169,'Data Vlaue (Cr)'!$C:$FB,44)</f>
        <v>360</v>
      </c>
      <c r="I169" s="49">
        <f>VLOOKUP($A169,'Data Vlaue (Cr)'!$C:$FB,46)*100</f>
        <v>-10.190000000000001</v>
      </c>
      <c r="J169" s="51">
        <f>VLOOKUP($A169,'Data Vlaue (Cr)'!$C:$FB,59)</f>
        <v>915</v>
      </c>
      <c r="K169" s="51">
        <f>VLOOKUP($A169,'Data Vlaue (Cr)'!$C:$FB,60)</f>
        <v>500</v>
      </c>
      <c r="L169" s="51">
        <f>VLOOKUP($A169,'Data Vlaue (Cr)'!$C:$FB,62)*100</f>
        <v>82.78</v>
      </c>
      <c r="M169" s="51">
        <f>VLOOKUP($A169,'Data Vlaue (Cr)'!$C:$FB,63)</f>
        <v>346</v>
      </c>
      <c r="N169" s="51">
        <f>VLOOKUP($A169,'Data Vlaue (Cr)'!$C:$FB,64)</f>
        <v>527</v>
      </c>
      <c r="O169" s="51">
        <f>VLOOKUP($A169,'Data Vlaue (Cr)'!$C:$FB,66)*100</f>
        <v>-34.33</v>
      </c>
    </row>
    <row r="170" spans="1:15" x14ac:dyDescent="0.25">
      <c r="A170" s="101" t="str">
        <f>'Data Vlaue (Cr)'!C165</f>
        <v>PPLPHARMA</v>
      </c>
      <c r="B170" s="50">
        <f>VLOOKUP($A170,'Data Vlaue (Cr)'!$C:$FB,8)</f>
        <v>153.30000000000001</v>
      </c>
      <c r="C170" s="50">
        <f>VLOOKUP($A170,'Data Vlaue (Cr)'!$C:$FB,11)*100</f>
        <v>0.65</v>
      </c>
      <c r="D170" s="50">
        <f>VLOOKUP($A170,'Data Vlaue (Cr)'!$C:$FB,143)</f>
        <v>97.85</v>
      </c>
      <c r="E170" s="50">
        <f>VLOOKUP($A170,'Data Vlaue (Cr)'!$C:$FB,144)</f>
        <v>126.1</v>
      </c>
      <c r="F170" s="50">
        <f>VLOOKUP($A170,'Data Vlaue (Cr)'!$C:$FB,146)*100</f>
        <v>-22.400000000000002</v>
      </c>
      <c r="G170" s="49">
        <f>VLOOKUP($A170,'Data Vlaue (Cr)'!$C:$FB,43)</f>
        <v>40</v>
      </c>
      <c r="H170" s="49">
        <f>VLOOKUP($A170,'Data Vlaue (Cr)'!$C:$FB,44)</f>
        <v>40</v>
      </c>
      <c r="I170" s="49">
        <f>VLOOKUP($A170,'Data Vlaue (Cr)'!$C:$FB,46)*100</f>
        <v>-0.4</v>
      </c>
      <c r="J170" s="51">
        <f>VLOOKUP($A170,'Data Vlaue (Cr)'!$C:$FB,59)</f>
        <v>43</v>
      </c>
      <c r="K170" s="51">
        <f>VLOOKUP($A170,'Data Vlaue (Cr)'!$C:$FB,60)</f>
        <v>57</v>
      </c>
      <c r="L170" s="51">
        <f>VLOOKUP($A170,'Data Vlaue (Cr)'!$C:$FB,62)*100</f>
        <v>-23.34</v>
      </c>
      <c r="M170" s="51">
        <f>VLOOKUP($A170,'Data Vlaue (Cr)'!$C:$FB,63)</f>
        <v>12</v>
      </c>
      <c r="N170" s="51">
        <f>VLOOKUP($A170,'Data Vlaue (Cr)'!$C:$FB,64)</f>
        <v>26</v>
      </c>
      <c r="O170" s="51">
        <f>VLOOKUP($A170,'Data Vlaue (Cr)'!$C:$FB,66)*100</f>
        <v>-53.800000000000004</v>
      </c>
    </row>
    <row r="171" spans="1:15" x14ac:dyDescent="0.25">
      <c r="A171" s="101" t="str">
        <f>'Data Vlaue (Cr)'!C166</f>
        <v>PREMIERENE</v>
      </c>
      <c r="B171" s="50">
        <f>VLOOKUP($A171,'Data Vlaue (Cr)'!$C:$FB,8)</f>
        <v>720.1</v>
      </c>
      <c r="C171" s="50">
        <f>VLOOKUP($A171,'Data Vlaue (Cr)'!$C:$FB,11)*100</f>
        <v>1.97</v>
      </c>
      <c r="D171" s="50">
        <f>VLOOKUP($A171,'Data Vlaue (Cr)'!$C:$FB,143)</f>
        <v>509.88</v>
      </c>
      <c r="E171" s="50">
        <f>VLOOKUP($A171,'Data Vlaue (Cr)'!$C:$FB,144)</f>
        <v>333.34</v>
      </c>
      <c r="F171" s="50">
        <f>VLOOKUP($A171,'Data Vlaue (Cr)'!$C:$FB,146)*100</f>
        <v>52.959999999999994</v>
      </c>
      <c r="G171" s="49">
        <f>VLOOKUP($A171,'Data Vlaue (Cr)'!$C:$FB,43)</f>
        <v>185</v>
      </c>
      <c r="H171" s="49">
        <f>VLOOKUP($A171,'Data Vlaue (Cr)'!$C:$FB,44)</f>
        <v>90</v>
      </c>
      <c r="I171" s="49">
        <f>VLOOKUP($A171,'Data Vlaue (Cr)'!$C:$FB,46)*100</f>
        <v>105.28</v>
      </c>
      <c r="J171" s="51">
        <f>VLOOKUP($A171,'Data Vlaue (Cr)'!$C:$FB,59)</f>
        <v>193</v>
      </c>
      <c r="K171" s="51">
        <f>VLOOKUP($A171,'Data Vlaue (Cr)'!$C:$FB,60)</f>
        <v>146</v>
      </c>
      <c r="L171" s="51">
        <f>VLOOKUP($A171,'Data Vlaue (Cr)'!$C:$FB,62)*100</f>
        <v>32.4</v>
      </c>
      <c r="M171" s="51">
        <f>VLOOKUP($A171,'Data Vlaue (Cr)'!$C:$FB,63)</f>
        <v>123</v>
      </c>
      <c r="N171" s="51">
        <f>VLOOKUP($A171,'Data Vlaue (Cr)'!$C:$FB,64)</f>
        <v>91</v>
      </c>
      <c r="O171" s="51">
        <f>VLOOKUP($A171,'Data Vlaue (Cr)'!$C:$FB,66)*100</f>
        <v>35.18</v>
      </c>
    </row>
    <row r="172" spans="1:15" x14ac:dyDescent="0.25">
      <c r="A172" s="101" t="str">
        <f>'Data Vlaue (Cr)'!C167</f>
        <v>PRESTIGE</v>
      </c>
      <c r="B172" s="50">
        <f>VLOOKUP($A172,'Data Vlaue (Cr)'!$C:$FB,8)</f>
        <v>1375.6</v>
      </c>
      <c r="C172" s="50">
        <f>VLOOKUP($A172,'Data Vlaue (Cr)'!$C:$FB,11)*100</f>
        <v>1.8399999999999999</v>
      </c>
      <c r="D172" s="50">
        <f>VLOOKUP($A172,'Data Vlaue (Cr)'!$C:$FB,143)</f>
        <v>354.9</v>
      </c>
      <c r="E172" s="50">
        <f>VLOOKUP($A172,'Data Vlaue (Cr)'!$C:$FB,144)</f>
        <v>417.83</v>
      </c>
      <c r="F172" s="50">
        <f>VLOOKUP($A172,'Data Vlaue (Cr)'!$C:$FB,146)*100</f>
        <v>-15.06</v>
      </c>
      <c r="G172" s="49">
        <f>VLOOKUP($A172,'Data Vlaue (Cr)'!$C:$FB,43)</f>
        <v>119</v>
      </c>
      <c r="H172" s="49">
        <f>VLOOKUP($A172,'Data Vlaue (Cr)'!$C:$FB,44)</f>
        <v>154</v>
      </c>
      <c r="I172" s="49">
        <f>VLOOKUP($A172,'Data Vlaue (Cr)'!$C:$FB,46)*100</f>
        <v>-22.900000000000002</v>
      </c>
      <c r="J172" s="51">
        <f>VLOOKUP($A172,'Data Vlaue (Cr)'!$C:$FB,59)</f>
        <v>158</v>
      </c>
      <c r="K172" s="51">
        <f>VLOOKUP($A172,'Data Vlaue (Cr)'!$C:$FB,60)</f>
        <v>104</v>
      </c>
      <c r="L172" s="51">
        <f>VLOOKUP($A172,'Data Vlaue (Cr)'!$C:$FB,62)*100</f>
        <v>52.27</v>
      </c>
      <c r="M172" s="51">
        <f>VLOOKUP($A172,'Data Vlaue (Cr)'!$C:$FB,63)</f>
        <v>67</v>
      </c>
      <c r="N172" s="51">
        <f>VLOOKUP($A172,'Data Vlaue (Cr)'!$C:$FB,64)</f>
        <v>159</v>
      </c>
      <c r="O172" s="51">
        <f>VLOOKUP($A172,'Data Vlaue (Cr)'!$C:$FB,66)*100</f>
        <v>-57.8</v>
      </c>
    </row>
    <row r="173" spans="1:15" x14ac:dyDescent="0.25">
      <c r="A173" s="101" t="str">
        <f>'Data Vlaue (Cr)'!C168</f>
        <v>RBLBANK</v>
      </c>
      <c r="B173" s="50">
        <f>VLOOKUP($A173,'Data Vlaue (Cr)'!$C:$FB,8)</f>
        <v>310.10000000000002</v>
      </c>
      <c r="C173" s="50">
        <f>VLOOKUP($A173,'Data Vlaue (Cr)'!$C:$FB,11)*100</f>
        <v>1.32</v>
      </c>
      <c r="D173" s="50">
        <f>VLOOKUP($A173,'Data Vlaue (Cr)'!$C:$FB,143)</f>
        <v>1389.6</v>
      </c>
      <c r="E173" s="50">
        <f>VLOOKUP($A173,'Data Vlaue (Cr)'!$C:$FB,144)</f>
        <v>2414.27</v>
      </c>
      <c r="F173" s="50">
        <f>VLOOKUP($A173,'Data Vlaue (Cr)'!$C:$FB,146)*100</f>
        <v>-42.44</v>
      </c>
      <c r="G173" s="49">
        <f>VLOOKUP($A173,'Data Vlaue (Cr)'!$C:$FB,43)</f>
        <v>481</v>
      </c>
      <c r="H173" s="49">
        <f>VLOOKUP($A173,'Data Vlaue (Cr)'!$C:$FB,44)</f>
        <v>605</v>
      </c>
      <c r="I173" s="49">
        <f>VLOOKUP($A173,'Data Vlaue (Cr)'!$C:$FB,46)*100</f>
        <v>-20.36</v>
      </c>
      <c r="J173" s="51">
        <f>VLOOKUP($A173,'Data Vlaue (Cr)'!$C:$FB,59)</f>
        <v>590</v>
      </c>
      <c r="K173" s="51">
        <f>VLOOKUP($A173,'Data Vlaue (Cr)'!$C:$FB,60)</f>
        <v>972</v>
      </c>
      <c r="L173" s="51">
        <f>VLOOKUP($A173,'Data Vlaue (Cr)'!$C:$FB,62)*100</f>
        <v>-39.24</v>
      </c>
      <c r="M173" s="51">
        <f>VLOOKUP($A173,'Data Vlaue (Cr)'!$C:$FB,63)</f>
        <v>278</v>
      </c>
      <c r="N173" s="51">
        <f>VLOOKUP($A173,'Data Vlaue (Cr)'!$C:$FB,64)</f>
        <v>796</v>
      </c>
      <c r="O173" s="51">
        <f>VLOOKUP($A173,'Data Vlaue (Cr)'!$C:$FB,66)*100</f>
        <v>-65.05</v>
      </c>
    </row>
    <row r="174" spans="1:15" x14ac:dyDescent="0.25">
      <c r="A174" s="101" t="str">
        <f>'Data Vlaue (Cr)'!C169</f>
        <v>RECLTD</v>
      </c>
      <c r="B174" s="50">
        <f>VLOOKUP($A174,'Data Vlaue (Cr)'!$C:$FB,8)</f>
        <v>341.85</v>
      </c>
      <c r="C174" s="50">
        <f>VLOOKUP($A174,'Data Vlaue (Cr)'!$C:$FB,11)*100</f>
        <v>3.9800000000000004</v>
      </c>
      <c r="D174" s="50">
        <f>VLOOKUP($A174,'Data Vlaue (Cr)'!$C:$FB,143)</f>
        <v>2956.4</v>
      </c>
      <c r="E174" s="50">
        <f>VLOOKUP($A174,'Data Vlaue (Cr)'!$C:$FB,144)</f>
        <v>2253.98</v>
      </c>
      <c r="F174" s="50">
        <f>VLOOKUP($A174,'Data Vlaue (Cr)'!$C:$FB,146)*100</f>
        <v>31.16</v>
      </c>
      <c r="G174" s="49">
        <f>VLOOKUP($A174,'Data Vlaue (Cr)'!$C:$FB,43)</f>
        <v>678</v>
      </c>
      <c r="H174" s="49">
        <f>VLOOKUP($A174,'Data Vlaue (Cr)'!$C:$FB,44)</f>
        <v>590</v>
      </c>
      <c r="I174" s="49">
        <f>VLOOKUP($A174,'Data Vlaue (Cr)'!$C:$FB,46)*100</f>
        <v>14.89</v>
      </c>
      <c r="J174" s="51">
        <f>VLOOKUP($A174,'Data Vlaue (Cr)'!$C:$FB,59)</f>
        <v>1319</v>
      </c>
      <c r="K174" s="51">
        <f>VLOOKUP($A174,'Data Vlaue (Cr)'!$C:$FB,60)</f>
        <v>1016</v>
      </c>
      <c r="L174" s="51">
        <f>VLOOKUP($A174,'Data Vlaue (Cr)'!$C:$FB,62)*100</f>
        <v>29.770000000000003</v>
      </c>
      <c r="M174" s="51">
        <f>VLOOKUP($A174,'Data Vlaue (Cr)'!$C:$FB,63)</f>
        <v>913</v>
      </c>
      <c r="N174" s="51">
        <f>VLOOKUP($A174,'Data Vlaue (Cr)'!$C:$FB,64)</f>
        <v>629</v>
      </c>
      <c r="O174" s="51">
        <f>VLOOKUP($A174,'Data Vlaue (Cr)'!$C:$FB,66)*100</f>
        <v>45.23</v>
      </c>
    </row>
    <row r="175" spans="1:15" x14ac:dyDescent="0.25">
      <c r="A175" s="101" t="str">
        <f>'Data Vlaue (Cr)'!C170</f>
        <v>RELIANCE</v>
      </c>
      <c r="B175" s="50">
        <f>VLOOKUP($A175,'Data Vlaue (Cr)'!$C:$FB,8)</f>
        <v>1389.4</v>
      </c>
      <c r="C175" s="50">
        <f>VLOOKUP($A175,'Data Vlaue (Cr)'!$C:$FB,11)*100</f>
        <v>3.3000000000000003</v>
      </c>
      <c r="D175" s="50">
        <f>VLOOKUP($A175,'Data Vlaue (Cr)'!$C:$FB,143)</f>
        <v>23681.48</v>
      </c>
      <c r="E175" s="50">
        <f>VLOOKUP($A175,'Data Vlaue (Cr)'!$C:$FB,144)</f>
        <v>23835.34</v>
      </c>
      <c r="F175" s="50">
        <f>VLOOKUP($A175,'Data Vlaue (Cr)'!$C:$FB,146)*100</f>
        <v>-0.65</v>
      </c>
      <c r="G175" s="49">
        <f>VLOOKUP($A175,'Data Vlaue (Cr)'!$C:$FB,43)</f>
        <v>2855</v>
      </c>
      <c r="H175" s="49">
        <f>VLOOKUP($A175,'Data Vlaue (Cr)'!$C:$FB,44)</f>
        <v>2854</v>
      </c>
      <c r="I175" s="49">
        <f>VLOOKUP($A175,'Data Vlaue (Cr)'!$C:$FB,46)*100</f>
        <v>0.04</v>
      </c>
      <c r="J175" s="51">
        <f>VLOOKUP($A175,'Data Vlaue (Cr)'!$C:$FB,59)</f>
        <v>11722</v>
      </c>
      <c r="K175" s="51">
        <f>VLOOKUP($A175,'Data Vlaue (Cr)'!$C:$FB,60)</f>
        <v>11904</v>
      </c>
      <c r="L175" s="51">
        <f>VLOOKUP($A175,'Data Vlaue (Cr)'!$C:$FB,62)*100</f>
        <v>-1.53</v>
      </c>
      <c r="M175" s="51">
        <f>VLOOKUP($A175,'Data Vlaue (Cr)'!$C:$FB,63)</f>
        <v>8890</v>
      </c>
      <c r="N175" s="51">
        <f>VLOOKUP($A175,'Data Vlaue (Cr)'!$C:$FB,64)</f>
        <v>9389</v>
      </c>
      <c r="O175" s="51">
        <f>VLOOKUP($A175,'Data Vlaue (Cr)'!$C:$FB,66)*100</f>
        <v>-5.3100000000000005</v>
      </c>
    </row>
    <row r="176" spans="1:15" x14ac:dyDescent="0.25">
      <c r="A176" s="101" t="str">
        <f>'Data Vlaue (Cr)'!C171</f>
        <v>RVNL</v>
      </c>
      <c r="B176" s="50">
        <f>VLOOKUP($A176,'Data Vlaue (Cr)'!$C:$FB,8)</f>
        <v>279.25</v>
      </c>
      <c r="C176" s="50">
        <f>VLOOKUP($A176,'Data Vlaue (Cr)'!$C:$FB,11)*100</f>
        <v>-0.9900000000000001</v>
      </c>
      <c r="D176" s="50">
        <f>VLOOKUP($A176,'Data Vlaue (Cr)'!$C:$FB,143)</f>
        <v>1680.66</v>
      </c>
      <c r="E176" s="50">
        <f>VLOOKUP($A176,'Data Vlaue (Cr)'!$C:$FB,144)</f>
        <v>1330.96</v>
      </c>
      <c r="F176" s="50">
        <f>VLOOKUP($A176,'Data Vlaue (Cr)'!$C:$FB,146)*100</f>
        <v>26.27</v>
      </c>
      <c r="G176" s="49">
        <f>VLOOKUP($A176,'Data Vlaue (Cr)'!$C:$FB,43)</f>
        <v>380</v>
      </c>
      <c r="H176" s="49">
        <f>VLOOKUP($A176,'Data Vlaue (Cr)'!$C:$FB,44)</f>
        <v>222</v>
      </c>
      <c r="I176" s="49">
        <f>VLOOKUP($A176,'Data Vlaue (Cr)'!$C:$FB,46)*100</f>
        <v>71.179999999999993</v>
      </c>
      <c r="J176" s="51">
        <f>VLOOKUP($A176,'Data Vlaue (Cr)'!$C:$FB,59)</f>
        <v>968</v>
      </c>
      <c r="K176" s="51">
        <f>VLOOKUP($A176,'Data Vlaue (Cr)'!$C:$FB,60)</f>
        <v>732</v>
      </c>
      <c r="L176" s="51">
        <f>VLOOKUP($A176,'Data Vlaue (Cr)'!$C:$FB,62)*100</f>
        <v>32.28</v>
      </c>
      <c r="M176" s="51">
        <f>VLOOKUP($A176,'Data Vlaue (Cr)'!$C:$FB,63)</f>
        <v>222</v>
      </c>
      <c r="N176" s="51">
        <f>VLOOKUP($A176,'Data Vlaue (Cr)'!$C:$FB,64)</f>
        <v>281</v>
      </c>
      <c r="O176" s="51">
        <f>VLOOKUP($A176,'Data Vlaue (Cr)'!$C:$FB,66)*100</f>
        <v>-20.94</v>
      </c>
    </row>
    <row r="177" spans="1:15" x14ac:dyDescent="0.25">
      <c r="A177" s="101" t="str">
        <f>'Data Vlaue (Cr)'!C172</f>
        <v>SAIL</v>
      </c>
      <c r="B177" s="50">
        <f>VLOOKUP($A177,'Data Vlaue (Cr)'!$C:$FB,8)</f>
        <v>156.15</v>
      </c>
      <c r="C177" s="50">
        <f>VLOOKUP($A177,'Data Vlaue (Cr)'!$C:$FB,11)*100</f>
        <v>0.33999999999999997</v>
      </c>
      <c r="D177" s="50">
        <f>VLOOKUP($A177,'Data Vlaue (Cr)'!$C:$FB,143)</f>
        <v>113.54</v>
      </c>
      <c r="E177" s="50">
        <f>VLOOKUP($A177,'Data Vlaue (Cr)'!$C:$FB,144)</f>
        <v>2038.07</v>
      </c>
      <c r="F177" s="50">
        <f>VLOOKUP($A177,'Data Vlaue (Cr)'!$C:$FB,146)*100</f>
        <v>-94.43</v>
      </c>
      <c r="G177" s="49">
        <f>VLOOKUP($A177,'Data Vlaue (Cr)'!$C:$FB,43)</f>
        <v>63</v>
      </c>
      <c r="H177" s="49">
        <f>VLOOKUP($A177,'Data Vlaue (Cr)'!$C:$FB,44)</f>
        <v>745</v>
      </c>
      <c r="I177" s="49">
        <f>VLOOKUP($A177,'Data Vlaue (Cr)'!$C:$FB,46)*100</f>
        <v>-91.490000000000009</v>
      </c>
      <c r="J177" s="51">
        <f>VLOOKUP($A177,'Data Vlaue (Cr)'!$C:$FB,59)</f>
        <v>34</v>
      </c>
      <c r="K177" s="51">
        <f>VLOOKUP($A177,'Data Vlaue (Cr)'!$C:$FB,60)</f>
        <v>631</v>
      </c>
      <c r="L177" s="51">
        <f>VLOOKUP($A177,'Data Vlaue (Cr)'!$C:$FB,62)*100</f>
        <v>-94.54</v>
      </c>
      <c r="M177" s="51">
        <f>VLOOKUP($A177,'Data Vlaue (Cr)'!$C:$FB,63)</f>
        <v>13</v>
      </c>
      <c r="N177" s="51">
        <f>VLOOKUP($A177,'Data Vlaue (Cr)'!$C:$FB,64)</f>
        <v>628</v>
      </c>
      <c r="O177" s="51">
        <f>VLOOKUP($A177,'Data Vlaue (Cr)'!$C:$FB,66)*100</f>
        <v>-97.97</v>
      </c>
    </row>
    <row r="178" spans="1:15" x14ac:dyDescent="0.25">
      <c r="A178" s="101" t="str">
        <f>'Data Vlaue (Cr)'!C173</f>
        <v>SAMMAANCAP</v>
      </c>
      <c r="B178" s="50">
        <f>VLOOKUP($A178,'Data Vlaue (Cr)'!$C:$FB,8)</f>
        <v>145.21</v>
      </c>
      <c r="C178" s="50">
        <f>VLOOKUP($A178,'Data Vlaue (Cr)'!$C:$FB,11)*100</f>
        <v>2.08</v>
      </c>
      <c r="D178" s="50">
        <f>VLOOKUP($A178,'Data Vlaue (Cr)'!$C:$FB,143)</f>
        <v>6.68</v>
      </c>
      <c r="E178" s="50">
        <f>VLOOKUP($A178,'Data Vlaue (Cr)'!$C:$FB,144)</f>
        <v>40.94</v>
      </c>
      <c r="F178" s="50">
        <f>VLOOKUP($A178,'Data Vlaue (Cr)'!$C:$FB,146)*100</f>
        <v>-83.679999999999993</v>
      </c>
      <c r="G178" s="49">
        <f>VLOOKUP($A178,'Data Vlaue (Cr)'!$C:$FB,43)</f>
        <v>4</v>
      </c>
      <c r="H178" s="49">
        <f>VLOOKUP($A178,'Data Vlaue (Cr)'!$C:$FB,44)</f>
        <v>36</v>
      </c>
      <c r="I178" s="49">
        <f>VLOOKUP($A178,'Data Vlaue (Cr)'!$C:$FB,46)*100</f>
        <v>-89.429999999999993</v>
      </c>
      <c r="J178" s="51">
        <f>VLOOKUP($A178,'Data Vlaue (Cr)'!$C:$FB,59)</f>
        <v>3</v>
      </c>
      <c r="K178" s="51">
        <f>VLOOKUP($A178,'Data Vlaue (Cr)'!$C:$FB,60)</f>
        <v>4</v>
      </c>
      <c r="L178" s="51">
        <f>VLOOKUP($A178,'Data Vlaue (Cr)'!$C:$FB,62)*100</f>
        <v>-33.33</v>
      </c>
      <c r="M178" s="51">
        <f>VLOOKUP($A178,'Data Vlaue (Cr)'!$C:$FB,63)</f>
        <v>0</v>
      </c>
      <c r="N178" s="51">
        <f>VLOOKUP($A178,'Data Vlaue (Cr)'!$C:$FB,64)</f>
        <v>1</v>
      </c>
      <c r="O178" s="51">
        <f>VLOOKUP($A178,'Data Vlaue (Cr)'!$C:$FB,66)*100</f>
        <v>-95.65</v>
      </c>
    </row>
    <row r="179" spans="1:15" x14ac:dyDescent="0.25">
      <c r="A179" s="101" t="str">
        <f>'Data Vlaue (Cr)'!C174</f>
        <v>SBICARD</v>
      </c>
      <c r="B179" s="50">
        <f>VLOOKUP($A179,'Data Vlaue (Cr)'!$C:$FB,8)</f>
        <v>730.55</v>
      </c>
      <c r="C179" s="50">
        <f>VLOOKUP($A179,'Data Vlaue (Cr)'!$C:$FB,11)*100</f>
        <v>0.54</v>
      </c>
      <c r="D179" s="50">
        <f>VLOOKUP($A179,'Data Vlaue (Cr)'!$C:$FB,143)</f>
        <v>698.05</v>
      </c>
      <c r="E179" s="50">
        <f>VLOOKUP($A179,'Data Vlaue (Cr)'!$C:$FB,144)</f>
        <v>1022.45</v>
      </c>
      <c r="F179" s="50">
        <f>VLOOKUP($A179,'Data Vlaue (Cr)'!$C:$FB,146)*100</f>
        <v>-31.730000000000004</v>
      </c>
      <c r="G179" s="49">
        <f>VLOOKUP($A179,'Data Vlaue (Cr)'!$C:$FB,43)</f>
        <v>229</v>
      </c>
      <c r="H179" s="49">
        <f>VLOOKUP($A179,'Data Vlaue (Cr)'!$C:$FB,44)</f>
        <v>264</v>
      </c>
      <c r="I179" s="49">
        <f>VLOOKUP($A179,'Data Vlaue (Cr)'!$C:$FB,46)*100</f>
        <v>-13.4</v>
      </c>
      <c r="J179" s="51">
        <f>VLOOKUP($A179,'Data Vlaue (Cr)'!$C:$FB,59)</f>
        <v>299</v>
      </c>
      <c r="K179" s="51">
        <f>VLOOKUP($A179,'Data Vlaue (Cr)'!$C:$FB,60)</f>
        <v>388</v>
      </c>
      <c r="L179" s="51">
        <f>VLOOKUP($A179,'Data Vlaue (Cr)'!$C:$FB,62)*100</f>
        <v>-22.93</v>
      </c>
      <c r="M179" s="51">
        <f>VLOOKUP($A179,'Data Vlaue (Cr)'!$C:$FB,63)</f>
        <v>156</v>
      </c>
      <c r="N179" s="51">
        <f>VLOOKUP($A179,'Data Vlaue (Cr)'!$C:$FB,64)</f>
        <v>348</v>
      </c>
      <c r="O179" s="51">
        <f>VLOOKUP($A179,'Data Vlaue (Cr)'!$C:$FB,66)*100</f>
        <v>-55.069999999999993</v>
      </c>
    </row>
    <row r="180" spans="1:15" x14ac:dyDescent="0.25">
      <c r="A180" s="101" t="str">
        <f>'Data Vlaue (Cr)'!C175</f>
        <v>SBILIFE</v>
      </c>
      <c r="B180" s="50">
        <f>VLOOKUP($A180,'Data Vlaue (Cr)'!$C:$FB,8)</f>
        <v>1945</v>
      </c>
      <c r="C180" s="50">
        <f>VLOOKUP($A180,'Data Vlaue (Cr)'!$C:$FB,11)*100</f>
        <v>0.75</v>
      </c>
      <c r="D180" s="50">
        <f>VLOOKUP($A180,'Data Vlaue (Cr)'!$C:$FB,143)</f>
        <v>1575.41</v>
      </c>
      <c r="E180" s="50">
        <f>VLOOKUP($A180,'Data Vlaue (Cr)'!$C:$FB,144)</f>
        <v>1371.11</v>
      </c>
      <c r="F180" s="50">
        <f>VLOOKUP($A180,'Data Vlaue (Cr)'!$C:$FB,146)*100</f>
        <v>14.899999999999999</v>
      </c>
      <c r="G180" s="49">
        <f>VLOOKUP($A180,'Data Vlaue (Cr)'!$C:$FB,43)</f>
        <v>287</v>
      </c>
      <c r="H180" s="49">
        <f>VLOOKUP($A180,'Data Vlaue (Cr)'!$C:$FB,44)</f>
        <v>280</v>
      </c>
      <c r="I180" s="49">
        <f>VLOOKUP($A180,'Data Vlaue (Cr)'!$C:$FB,46)*100</f>
        <v>2.3199999999999998</v>
      </c>
      <c r="J180" s="51">
        <f>VLOOKUP($A180,'Data Vlaue (Cr)'!$C:$FB,59)</f>
        <v>824</v>
      </c>
      <c r="K180" s="51">
        <f>VLOOKUP($A180,'Data Vlaue (Cr)'!$C:$FB,60)</f>
        <v>577</v>
      </c>
      <c r="L180" s="51">
        <f>VLOOKUP($A180,'Data Vlaue (Cr)'!$C:$FB,62)*100</f>
        <v>42.72</v>
      </c>
      <c r="M180" s="51">
        <f>VLOOKUP($A180,'Data Vlaue (Cr)'!$C:$FB,63)</f>
        <v>422</v>
      </c>
      <c r="N180" s="51">
        <f>VLOOKUP($A180,'Data Vlaue (Cr)'!$C:$FB,64)</f>
        <v>465</v>
      </c>
      <c r="O180" s="51">
        <f>VLOOKUP($A180,'Data Vlaue (Cr)'!$C:$FB,66)*100</f>
        <v>-9.19</v>
      </c>
    </row>
    <row r="181" spans="1:15" x14ac:dyDescent="0.25">
      <c r="A181" s="101" t="str">
        <f>'Data Vlaue (Cr)'!C176</f>
        <v>SBIN</v>
      </c>
      <c r="B181" s="50">
        <f>VLOOKUP($A181,'Data Vlaue (Cr)'!$C:$FB,8)</f>
        <v>1169.5</v>
      </c>
      <c r="C181" s="50">
        <f>VLOOKUP($A181,'Data Vlaue (Cr)'!$C:$FB,11)*100</f>
        <v>-0.43</v>
      </c>
      <c r="D181" s="50">
        <f>VLOOKUP($A181,'Data Vlaue (Cr)'!$C:$FB,143)</f>
        <v>16763.490000000002</v>
      </c>
      <c r="E181" s="50">
        <f>VLOOKUP($A181,'Data Vlaue (Cr)'!$C:$FB,144)</f>
        <v>20516.830000000002</v>
      </c>
      <c r="F181" s="50">
        <f>VLOOKUP($A181,'Data Vlaue (Cr)'!$C:$FB,146)*100</f>
        <v>-18.29</v>
      </c>
      <c r="G181" s="49">
        <f>VLOOKUP($A181,'Data Vlaue (Cr)'!$C:$FB,43)</f>
        <v>2437</v>
      </c>
      <c r="H181" s="49">
        <f>VLOOKUP($A181,'Data Vlaue (Cr)'!$C:$FB,44)</f>
        <v>2572</v>
      </c>
      <c r="I181" s="49">
        <f>VLOOKUP($A181,'Data Vlaue (Cr)'!$C:$FB,46)*100</f>
        <v>-5.2200000000000006</v>
      </c>
      <c r="J181" s="51">
        <f>VLOOKUP($A181,'Data Vlaue (Cr)'!$C:$FB,59)</f>
        <v>7867</v>
      </c>
      <c r="K181" s="51">
        <f>VLOOKUP($A181,'Data Vlaue (Cr)'!$C:$FB,60)</f>
        <v>8071</v>
      </c>
      <c r="L181" s="51">
        <f>VLOOKUP($A181,'Data Vlaue (Cr)'!$C:$FB,62)*100</f>
        <v>-2.5299999999999998</v>
      </c>
      <c r="M181" s="51">
        <f>VLOOKUP($A181,'Data Vlaue (Cr)'!$C:$FB,63)</f>
        <v>6216</v>
      </c>
      <c r="N181" s="51">
        <f>VLOOKUP($A181,'Data Vlaue (Cr)'!$C:$FB,64)</f>
        <v>9626</v>
      </c>
      <c r="O181" s="51">
        <f>VLOOKUP($A181,'Data Vlaue (Cr)'!$C:$FB,66)*100</f>
        <v>-35.43</v>
      </c>
    </row>
    <row r="182" spans="1:15" x14ac:dyDescent="0.25">
      <c r="A182" s="101" t="str">
        <f>'Data Vlaue (Cr)'!C177</f>
        <v>SHREECEM</v>
      </c>
      <c r="B182" s="50">
        <f>VLOOKUP($A182,'Data Vlaue (Cr)'!$C:$FB,8)</f>
        <v>25200</v>
      </c>
      <c r="C182" s="50">
        <f>VLOOKUP($A182,'Data Vlaue (Cr)'!$C:$FB,11)*100</f>
        <v>-0.61</v>
      </c>
      <c r="D182" s="50">
        <f>VLOOKUP($A182,'Data Vlaue (Cr)'!$C:$FB,143)</f>
        <v>416.16</v>
      </c>
      <c r="E182" s="50">
        <f>VLOOKUP($A182,'Data Vlaue (Cr)'!$C:$FB,144)</f>
        <v>426.04</v>
      </c>
      <c r="F182" s="50">
        <f>VLOOKUP($A182,'Data Vlaue (Cr)'!$C:$FB,146)*100</f>
        <v>-2.3199999999999998</v>
      </c>
      <c r="G182" s="49">
        <f>VLOOKUP($A182,'Data Vlaue (Cr)'!$C:$FB,43)</f>
        <v>153</v>
      </c>
      <c r="H182" s="49">
        <f>VLOOKUP($A182,'Data Vlaue (Cr)'!$C:$FB,44)</f>
        <v>133</v>
      </c>
      <c r="I182" s="49">
        <f>VLOOKUP($A182,'Data Vlaue (Cr)'!$C:$FB,46)*100</f>
        <v>15.65</v>
      </c>
      <c r="J182" s="51">
        <f>VLOOKUP($A182,'Data Vlaue (Cr)'!$C:$FB,59)</f>
        <v>184</v>
      </c>
      <c r="K182" s="51">
        <f>VLOOKUP($A182,'Data Vlaue (Cr)'!$C:$FB,60)</f>
        <v>185</v>
      </c>
      <c r="L182" s="51">
        <f>VLOOKUP($A182,'Data Vlaue (Cr)'!$C:$FB,62)*100</f>
        <v>-0.2</v>
      </c>
      <c r="M182" s="51">
        <f>VLOOKUP($A182,'Data Vlaue (Cr)'!$C:$FB,63)</f>
        <v>70</v>
      </c>
      <c r="N182" s="51">
        <f>VLOOKUP($A182,'Data Vlaue (Cr)'!$C:$FB,64)</f>
        <v>96</v>
      </c>
      <c r="O182" s="51">
        <f>VLOOKUP($A182,'Data Vlaue (Cr)'!$C:$FB,66)*100</f>
        <v>-26.46</v>
      </c>
    </row>
    <row r="183" spans="1:15" x14ac:dyDescent="0.25">
      <c r="A183" s="101" t="str">
        <f>'Data Vlaue (Cr)'!C178</f>
        <v>SHRIRAMFIN</v>
      </c>
      <c r="B183" s="50">
        <f>VLOOKUP($A183,'Data Vlaue (Cr)'!$C:$FB,8)</f>
        <v>1039.5</v>
      </c>
      <c r="C183" s="50">
        <f>VLOOKUP($A183,'Data Vlaue (Cr)'!$C:$FB,11)*100</f>
        <v>2.92</v>
      </c>
      <c r="D183" s="50">
        <f>VLOOKUP($A183,'Data Vlaue (Cr)'!$C:$FB,143)</f>
        <v>2945.06</v>
      </c>
      <c r="E183" s="50">
        <f>VLOOKUP($A183,'Data Vlaue (Cr)'!$C:$FB,144)</f>
        <v>4218.38</v>
      </c>
      <c r="F183" s="50">
        <f>VLOOKUP($A183,'Data Vlaue (Cr)'!$C:$FB,146)*100</f>
        <v>-30.18</v>
      </c>
      <c r="G183" s="49">
        <f>VLOOKUP($A183,'Data Vlaue (Cr)'!$C:$FB,43)</f>
        <v>755</v>
      </c>
      <c r="H183" s="49">
        <f>VLOOKUP($A183,'Data Vlaue (Cr)'!$C:$FB,44)</f>
        <v>1011</v>
      </c>
      <c r="I183" s="49">
        <f>VLOOKUP($A183,'Data Vlaue (Cr)'!$C:$FB,46)*100</f>
        <v>-25.319999999999997</v>
      </c>
      <c r="J183" s="51">
        <f>VLOOKUP($A183,'Data Vlaue (Cr)'!$C:$FB,59)</f>
        <v>1299</v>
      </c>
      <c r="K183" s="51">
        <f>VLOOKUP($A183,'Data Vlaue (Cr)'!$C:$FB,60)</f>
        <v>1705</v>
      </c>
      <c r="L183" s="51">
        <f>VLOOKUP($A183,'Data Vlaue (Cr)'!$C:$FB,62)*100</f>
        <v>-23.849999999999998</v>
      </c>
      <c r="M183" s="51">
        <f>VLOOKUP($A183,'Data Vlaue (Cr)'!$C:$FB,63)</f>
        <v>842</v>
      </c>
      <c r="N183" s="51">
        <f>VLOOKUP($A183,'Data Vlaue (Cr)'!$C:$FB,64)</f>
        <v>1487</v>
      </c>
      <c r="O183" s="51">
        <f>VLOOKUP($A183,'Data Vlaue (Cr)'!$C:$FB,66)*100</f>
        <v>-43.38</v>
      </c>
    </row>
    <row r="184" spans="1:15" x14ac:dyDescent="0.25">
      <c r="A184" s="101" t="str">
        <f>'Data Vlaue (Cr)'!C179</f>
        <v>SIEMENS</v>
      </c>
      <c r="B184" s="50">
        <f>VLOOKUP($A184,'Data Vlaue (Cr)'!$C:$FB,8)</f>
        <v>3215.7</v>
      </c>
      <c r="C184" s="50">
        <f>VLOOKUP($A184,'Data Vlaue (Cr)'!$C:$FB,11)*100</f>
        <v>1.73</v>
      </c>
      <c r="D184" s="50">
        <f>VLOOKUP($A184,'Data Vlaue (Cr)'!$C:$FB,143)</f>
        <v>993.26</v>
      </c>
      <c r="E184" s="50">
        <f>VLOOKUP($A184,'Data Vlaue (Cr)'!$C:$FB,144)</f>
        <v>1476.64</v>
      </c>
      <c r="F184" s="50">
        <f>VLOOKUP($A184,'Data Vlaue (Cr)'!$C:$FB,146)*100</f>
        <v>-32.729999999999997</v>
      </c>
      <c r="G184" s="49">
        <f>VLOOKUP($A184,'Data Vlaue (Cr)'!$C:$FB,43)</f>
        <v>148</v>
      </c>
      <c r="H184" s="49">
        <f>VLOOKUP($A184,'Data Vlaue (Cr)'!$C:$FB,44)</f>
        <v>210</v>
      </c>
      <c r="I184" s="49">
        <f>VLOOKUP($A184,'Data Vlaue (Cr)'!$C:$FB,46)*100</f>
        <v>-29.409999999999997</v>
      </c>
      <c r="J184" s="51">
        <f>VLOOKUP($A184,'Data Vlaue (Cr)'!$C:$FB,59)</f>
        <v>596</v>
      </c>
      <c r="K184" s="51">
        <f>VLOOKUP($A184,'Data Vlaue (Cr)'!$C:$FB,60)</f>
        <v>729</v>
      </c>
      <c r="L184" s="51">
        <f>VLOOKUP($A184,'Data Vlaue (Cr)'!$C:$FB,62)*100</f>
        <v>-18.3</v>
      </c>
      <c r="M184" s="51">
        <f>VLOOKUP($A184,'Data Vlaue (Cr)'!$C:$FB,63)</f>
        <v>218</v>
      </c>
      <c r="N184" s="51">
        <f>VLOOKUP($A184,'Data Vlaue (Cr)'!$C:$FB,64)</f>
        <v>493</v>
      </c>
      <c r="O184" s="51">
        <f>VLOOKUP($A184,'Data Vlaue (Cr)'!$C:$FB,66)*100</f>
        <v>-55.82</v>
      </c>
    </row>
    <row r="185" spans="1:15" x14ac:dyDescent="0.25">
      <c r="A185" s="101" t="str">
        <f>'Data Vlaue (Cr)'!C180</f>
        <v>SOLARINDS</v>
      </c>
      <c r="B185" s="50">
        <f>VLOOKUP($A185,'Data Vlaue (Cr)'!$C:$FB,8)</f>
        <v>14671</v>
      </c>
      <c r="C185" s="50">
        <f>VLOOKUP($A185,'Data Vlaue (Cr)'!$C:$FB,11)*100</f>
        <v>1.02</v>
      </c>
      <c r="D185" s="50">
        <f>VLOOKUP($A185,'Data Vlaue (Cr)'!$C:$FB,143)</f>
        <v>3023.87</v>
      </c>
      <c r="E185" s="50">
        <f>VLOOKUP($A185,'Data Vlaue (Cr)'!$C:$FB,144)</f>
        <v>5326.76</v>
      </c>
      <c r="F185" s="50">
        <f>VLOOKUP($A185,'Data Vlaue (Cr)'!$C:$FB,146)*100</f>
        <v>-43.230000000000004</v>
      </c>
      <c r="G185" s="49">
        <f>VLOOKUP($A185,'Data Vlaue (Cr)'!$C:$FB,43)</f>
        <v>428</v>
      </c>
      <c r="H185" s="49">
        <f>VLOOKUP($A185,'Data Vlaue (Cr)'!$C:$FB,44)</f>
        <v>800</v>
      </c>
      <c r="I185" s="49">
        <f>VLOOKUP($A185,'Data Vlaue (Cr)'!$C:$FB,46)*100</f>
        <v>-46.56</v>
      </c>
      <c r="J185" s="51">
        <f>VLOOKUP($A185,'Data Vlaue (Cr)'!$C:$FB,59)</f>
        <v>1849</v>
      </c>
      <c r="K185" s="51">
        <f>VLOOKUP($A185,'Data Vlaue (Cr)'!$C:$FB,60)</f>
        <v>3538</v>
      </c>
      <c r="L185" s="51">
        <f>VLOOKUP($A185,'Data Vlaue (Cr)'!$C:$FB,62)*100</f>
        <v>-47.75</v>
      </c>
      <c r="M185" s="51">
        <f>VLOOKUP($A185,'Data Vlaue (Cr)'!$C:$FB,63)</f>
        <v>657</v>
      </c>
      <c r="N185" s="51">
        <f>VLOOKUP($A185,'Data Vlaue (Cr)'!$C:$FB,64)</f>
        <v>904</v>
      </c>
      <c r="O185" s="51">
        <f>VLOOKUP($A185,'Data Vlaue (Cr)'!$C:$FB,66)*100</f>
        <v>-27.35</v>
      </c>
    </row>
    <row r="186" spans="1:15" x14ac:dyDescent="0.25">
      <c r="A186" s="101" t="str">
        <f>'Data Vlaue (Cr)'!C181</f>
        <v>SONACOMS</v>
      </c>
      <c r="B186" s="50">
        <f>VLOOKUP($A186,'Data Vlaue (Cr)'!$C:$FB,8)</f>
        <v>510.95</v>
      </c>
      <c r="C186" s="50">
        <f>VLOOKUP($A186,'Data Vlaue (Cr)'!$C:$FB,11)*100</f>
        <v>1.9</v>
      </c>
      <c r="D186" s="50">
        <f>VLOOKUP($A186,'Data Vlaue (Cr)'!$C:$FB,143)</f>
        <v>283.48</v>
      </c>
      <c r="E186" s="50">
        <f>VLOOKUP($A186,'Data Vlaue (Cr)'!$C:$FB,144)</f>
        <v>316.52</v>
      </c>
      <c r="F186" s="50">
        <f>VLOOKUP($A186,'Data Vlaue (Cr)'!$C:$FB,146)*100</f>
        <v>-10.440000000000001</v>
      </c>
      <c r="G186" s="49">
        <f>VLOOKUP($A186,'Data Vlaue (Cr)'!$C:$FB,43)</f>
        <v>59</v>
      </c>
      <c r="H186" s="49">
        <f>VLOOKUP($A186,'Data Vlaue (Cr)'!$C:$FB,44)</f>
        <v>89</v>
      </c>
      <c r="I186" s="49">
        <f>VLOOKUP($A186,'Data Vlaue (Cr)'!$C:$FB,46)*100</f>
        <v>-33.869999999999997</v>
      </c>
      <c r="J186" s="51">
        <f>VLOOKUP($A186,'Data Vlaue (Cr)'!$C:$FB,59)</f>
        <v>90</v>
      </c>
      <c r="K186" s="51">
        <f>VLOOKUP($A186,'Data Vlaue (Cr)'!$C:$FB,60)</f>
        <v>129</v>
      </c>
      <c r="L186" s="51">
        <f>VLOOKUP($A186,'Data Vlaue (Cr)'!$C:$FB,62)*100</f>
        <v>-30.070000000000004</v>
      </c>
      <c r="M186" s="51">
        <f>VLOOKUP($A186,'Data Vlaue (Cr)'!$C:$FB,63)</f>
        <v>126</v>
      </c>
      <c r="N186" s="51">
        <f>VLOOKUP($A186,'Data Vlaue (Cr)'!$C:$FB,64)</f>
        <v>91</v>
      </c>
      <c r="O186" s="51">
        <f>VLOOKUP($A186,'Data Vlaue (Cr)'!$C:$FB,66)*100</f>
        <v>39.11</v>
      </c>
    </row>
    <row r="187" spans="1:15" x14ac:dyDescent="0.25">
      <c r="A187" s="101" t="str">
        <f>'Data Vlaue (Cr)'!C182</f>
        <v>SRF</v>
      </c>
      <c r="B187" s="50">
        <f>VLOOKUP($A187,'Data Vlaue (Cr)'!$C:$FB,8)</f>
        <v>2563.1</v>
      </c>
      <c r="C187" s="50">
        <f>VLOOKUP($A187,'Data Vlaue (Cr)'!$C:$FB,11)*100</f>
        <v>1.04</v>
      </c>
      <c r="D187" s="50">
        <f>VLOOKUP($A187,'Data Vlaue (Cr)'!$C:$FB,143)</f>
        <v>401.95</v>
      </c>
      <c r="E187" s="50">
        <f>VLOOKUP($A187,'Data Vlaue (Cr)'!$C:$FB,144)</f>
        <v>645.14</v>
      </c>
      <c r="F187" s="50">
        <f>VLOOKUP($A187,'Data Vlaue (Cr)'!$C:$FB,146)*100</f>
        <v>-37.700000000000003</v>
      </c>
      <c r="G187" s="49">
        <f>VLOOKUP($A187,'Data Vlaue (Cr)'!$C:$FB,43)</f>
        <v>142</v>
      </c>
      <c r="H187" s="49">
        <f>VLOOKUP($A187,'Data Vlaue (Cr)'!$C:$FB,44)</f>
        <v>139</v>
      </c>
      <c r="I187" s="49">
        <f>VLOOKUP($A187,'Data Vlaue (Cr)'!$C:$FB,46)*100</f>
        <v>2.79</v>
      </c>
      <c r="J187" s="51">
        <f>VLOOKUP($A187,'Data Vlaue (Cr)'!$C:$FB,59)</f>
        <v>171</v>
      </c>
      <c r="K187" s="51">
        <f>VLOOKUP($A187,'Data Vlaue (Cr)'!$C:$FB,60)</f>
        <v>326</v>
      </c>
      <c r="L187" s="51">
        <f>VLOOKUP($A187,'Data Vlaue (Cr)'!$C:$FB,62)*100</f>
        <v>-47.410000000000004</v>
      </c>
      <c r="M187" s="51">
        <f>VLOOKUP($A187,'Data Vlaue (Cr)'!$C:$FB,63)</f>
        <v>82</v>
      </c>
      <c r="N187" s="51">
        <f>VLOOKUP($A187,'Data Vlaue (Cr)'!$C:$FB,64)</f>
        <v>173</v>
      </c>
      <c r="O187" s="51">
        <f>VLOOKUP($A187,'Data Vlaue (Cr)'!$C:$FB,66)*100</f>
        <v>-52.94</v>
      </c>
    </row>
    <row r="188" spans="1:15" x14ac:dyDescent="0.25">
      <c r="A188" s="101" t="str">
        <f>'Data Vlaue (Cr)'!C183</f>
        <v>SUNPHARMA</v>
      </c>
      <c r="B188" s="50">
        <f>VLOOKUP($A188,'Data Vlaue (Cr)'!$C:$FB,8)</f>
        <v>1784.5</v>
      </c>
      <c r="C188" s="50">
        <f>VLOOKUP($A188,'Data Vlaue (Cr)'!$C:$FB,11)*100</f>
        <v>1.94</v>
      </c>
      <c r="D188" s="50">
        <f>VLOOKUP($A188,'Data Vlaue (Cr)'!$C:$FB,143)</f>
        <v>4094.71</v>
      </c>
      <c r="E188" s="50">
        <f>VLOOKUP($A188,'Data Vlaue (Cr)'!$C:$FB,144)</f>
        <v>3569.95</v>
      </c>
      <c r="F188" s="50">
        <f>VLOOKUP($A188,'Data Vlaue (Cr)'!$C:$FB,146)*100</f>
        <v>14.7</v>
      </c>
      <c r="G188" s="49">
        <f>VLOOKUP($A188,'Data Vlaue (Cr)'!$C:$FB,43)</f>
        <v>594</v>
      </c>
      <c r="H188" s="49">
        <f>VLOOKUP($A188,'Data Vlaue (Cr)'!$C:$FB,44)</f>
        <v>608</v>
      </c>
      <c r="I188" s="49">
        <f>VLOOKUP($A188,'Data Vlaue (Cr)'!$C:$FB,46)*100</f>
        <v>-2.2200000000000002</v>
      </c>
      <c r="J188" s="51">
        <f>VLOOKUP($A188,'Data Vlaue (Cr)'!$C:$FB,59)</f>
        <v>2276</v>
      </c>
      <c r="K188" s="51">
        <f>VLOOKUP($A188,'Data Vlaue (Cr)'!$C:$FB,60)</f>
        <v>1905</v>
      </c>
      <c r="L188" s="51">
        <f>VLOOKUP($A188,'Data Vlaue (Cr)'!$C:$FB,62)*100</f>
        <v>19.489999999999998</v>
      </c>
      <c r="M188" s="51">
        <f>VLOOKUP($A188,'Data Vlaue (Cr)'!$C:$FB,63)</f>
        <v>1193</v>
      </c>
      <c r="N188" s="51">
        <f>VLOOKUP($A188,'Data Vlaue (Cr)'!$C:$FB,64)</f>
        <v>1099</v>
      </c>
      <c r="O188" s="51">
        <f>VLOOKUP($A188,'Data Vlaue (Cr)'!$C:$FB,66)*100</f>
        <v>8.5299999999999994</v>
      </c>
    </row>
    <row r="189" spans="1:15" x14ac:dyDescent="0.25">
      <c r="A189" s="101" t="str">
        <f>'Data Vlaue (Cr)'!C184</f>
        <v>SUPREMEIND</v>
      </c>
      <c r="B189" s="50">
        <f>VLOOKUP($A189,'Data Vlaue (Cr)'!$C:$FB,8)</f>
        <v>3950.2</v>
      </c>
      <c r="C189" s="50">
        <f>VLOOKUP($A189,'Data Vlaue (Cr)'!$C:$FB,11)*100</f>
        <v>1.3299999999999998</v>
      </c>
      <c r="D189" s="50">
        <f>VLOOKUP($A189,'Data Vlaue (Cr)'!$C:$FB,143)</f>
        <v>375.36</v>
      </c>
      <c r="E189" s="50">
        <f>VLOOKUP($A189,'Data Vlaue (Cr)'!$C:$FB,144)</f>
        <v>398.13</v>
      </c>
      <c r="F189" s="50">
        <f>VLOOKUP($A189,'Data Vlaue (Cr)'!$C:$FB,146)*100</f>
        <v>-5.72</v>
      </c>
      <c r="G189" s="49">
        <f>VLOOKUP($A189,'Data Vlaue (Cr)'!$C:$FB,43)</f>
        <v>144</v>
      </c>
      <c r="H189" s="49">
        <f>VLOOKUP($A189,'Data Vlaue (Cr)'!$C:$FB,44)</f>
        <v>178</v>
      </c>
      <c r="I189" s="49">
        <f>VLOOKUP($A189,'Data Vlaue (Cr)'!$C:$FB,46)*100</f>
        <v>-19</v>
      </c>
      <c r="J189" s="51">
        <f>VLOOKUP($A189,'Data Vlaue (Cr)'!$C:$FB,59)</f>
        <v>169</v>
      </c>
      <c r="K189" s="51">
        <f>VLOOKUP($A189,'Data Vlaue (Cr)'!$C:$FB,60)</f>
        <v>155</v>
      </c>
      <c r="L189" s="51">
        <f>VLOOKUP($A189,'Data Vlaue (Cr)'!$C:$FB,62)*100</f>
        <v>8.82</v>
      </c>
      <c r="M189" s="51">
        <f>VLOOKUP($A189,'Data Vlaue (Cr)'!$C:$FB,63)</f>
        <v>53</v>
      </c>
      <c r="N189" s="51">
        <f>VLOOKUP($A189,'Data Vlaue (Cr)'!$C:$FB,64)</f>
        <v>58</v>
      </c>
      <c r="O189" s="51">
        <f>VLOOKUP($A189,'Data Vlaue (Cr)'!$C:$FB,66)*100</f>
        <v>-8.48</v>
      </c>
    </row>
    <row r="190" spans="1:15" x14ac:dyDescent="0.25">
      <c r="A190" s="101" t="str">
        <f>'Data Vlaue (Cr)'!C185</f>
        <v>SUZLON</v>
      </c>
      <c r="B190" s="50">
        <f>VLOOKUP($A190,'Data Vlaue (Cr)'!$C:$FB,8)</f>
        <v>40.25</v>
      </c>
      <c r="C190" s="50">
        <f>VLOOKUP($A190,'Data Vlaue (Cr)'!$C:$FB,11)*100</f>
        <v>0.8</v>
      </c>
      <c r="D190" s="50">
        <f>VLOOKUP($A190,'Data Vlaue (Cr)'!$C:$FB,143)</f>
        <v>1176.5999999999999</v>
      </c>
      <c r="E190" s="50">
        <f>VLOOKUP($A190,'Data Vlaue (Cr)'!$C:$FB,144)</f>
        <v>851.83</v>
      </c>
      <c r="F190" s="50">
        <f>VLOOKUP($A190,'Data Vlaue (Cr)'!$C:$FB,146)*100</f>
        <v>38.129999999999995</v>
      </c>
      <c r="G190" s="49">
        <f>VLOOKUP($A190,'Data Vlaue (Cr)'!$C:$FB,43)</f>
        <v>224</v>
      </c>
      <c r="H190" s="49">
        <f>VLOOKUP($A190,'Data Vlaue (Cr)'!$C:$FB,44)</f>
        <v>202</v>
      </c>
      <c r="I190" s="49">
        <f>VLOOKUP($A190,'Data Vlaue (Cr)'!$C:$FB,46)*100</f>
        <v>10.66</v>
      </c>
      <c r="J190" s="51">
        <f>VLOOKUP($A190,'Data Vlaue (Cr)'!$C:$FB,59)</f>
        <v>732</v>
      </c>
      <c r="K190" s="51">
        <f>VLOOKUP($A190,'Data Vlaue (Cr)'!$C:$FB,60)</f>
        <v>392</v>
      </c>
      <c r="L190" s="51">
        <f>VLOOKUP($A190,'Data Vlaue (Cr)'!$C:$FB,62)*100</f>
        <v>86.74</v>
      </c>
      <c r="M190" s="51">
        <f>VLOOKUP($A190,'Data Vlaue (Cr)'!$C:$FB,63)</f>
        <v>144</v>
      </c>
      <c r="N190" s="51">
        <f>VLOOKUP($A190,'Data Vlaue (Cr)'!$C:$FB,64)</f>
        <v>207</v>
      </c>
      <c r="O190" s="51">
        <f>VLOOKUP($A190,'Data Vlaue (Cr)'!$C:$FB,66)*100</f>
        <v>-30.55</v>
      </c>
    </row>
    <row r="191" spans="1:15" x14ac:dyDescent="0.25">
      <c r="A191" s="101" t="str">
        <f>'Data Vlaue (Cr)'!C186</f>
        <v>SWIGGY</v>
      </c>
      <c r="B191" s="50">
        <f>VLOOKUP($A191,'Data Vlaue (Cr)'!$C:$FB,8)</f>
        <v>298.39999999999998</v>
      </c>
      <c r="C191" s="50">
        <f>VLOOKUP($A191,'Data Vlaue (Cr)'!$C:$FB,11)*100</f>
        <v>0.22</v>
      </c>
      <c r="D191" s="50">
        <f>VLOOKUP($A191,'Data Vlaue (Cr)'!$C:$FB,143)</f>
        <v>563.37</v>
      </c>
      <c r="E191" s="50">
        <f>VLOOKUP($A191,'Data Vlaue (Cr)'!$C:$FB,144)</f>
        <v>981.6</v>
      </c>
      <c r="F191" s="50">
        <f>VLOOKUP($A191,'Data Vlaue (Cr)'!$C:$FB,146)*100</f>
        <v>-42.61</v>
      </c>
      <c r="G191" s="49">
        <f>VLOOKUP($A191,'Data Vlaue (Cr)'!$C:$FB,43)</f>
        <v>212</v>
      </c>
      <c r="H191" s="49">
        <f>VLOOKUP($A191,'Data Vlaue (Cr)'!$C:$FB,44)</f>
        <v>340</v>
      </c>
      <c r="I191" s="49">
        <f>VLOOKUP($A191,'Data Vlaue (Cr)'!$C:$FB,46)*100</f>
        <v>-37.72</v>
      </c>
      <c r="J191" s="51">
        <f>VLOOKUP($A191,'Data Vlaue (Cr)'!$C:$FB,59)</f>
        <v>200</v>
      </c>
      <c r="K191" s="51">
        <f>VLOOKUP($A191,'Data Vlaue (Cr)'!$C:$FB,60)</f>
        <v>416</v>
      </c>
      <c r="L191" s="51">
        <f>VLOOKUP($A191,'Data Vlaue (Cr)'!$C:$FB,62)*100</f>
        <v>-51.949999999999996</v>
      </c>
      <c r="M191" s="51">
        <f>VLOOKUP($A191,'Data Vlaue (Cr)'!$C:$FB,63)</f>
        <v>147</v>
      </c>
      <c r="N191" s="51">
        <f>VLOOKUP($A191,'Data Vlaue (Cr)'!$C:$FB,64)</f>
        <v>211</v>
      </c>
      <c r="O191" s="51">
        <f>VLOOKUP($A191,'Data Vlaue (Cr)'!$C:$FB,66)*100</f>
        <v>-30.55</v>
      </c>
    </row>
    <row r="192" spans="1:15" x14ac:dyDescent="0.25">
      <c r="A192" s="101" t="str">
        <f>'Data Vlaue (Cr)'!C187</f>
        <v>SYNGENE</v>
      </c>
      <c r="B192" s="50">
        <f>VLOOKUP($A192,'Data Vlaue (Cr)'!$C:$FB,8)</f>
        <v>403.7</v>
      </c>
      <c r="C192" s="50">
        <f>VLOOKUP($A192,'Data Vlaue (Cr)'!$C:$FB,11)*100</f>
        <v>0.75</v>
      </c>
      <c r="D192" s="50">
        <f>VLOOKUP($A192,'Data Vlaue (Cr)'!$C:$FB,143)</f>
        <v>166.94</v>
      </c>
      <c r="E192" s="50">
        <f>VLOOKUP($A192,'Data Vlaue (Cr)'!$C:$FB,144)</f>
        <v>225.78</v>
      </c>
      <c r="F192" s="50">
        <f>VLOOKUP($A192,'Data Vlaue (Cr)'!$C:$FB,146)*100</f>
        <v>-26.06</v>
      </c>
      <c r="G192" s="49">
        <f>VLOOKUP($A192,'Data Vlaue (Cr)'!$C:$FB,43)</f>
        <v>36</v>
      </c>
      <c r="H192" s="49">
        <f>VLOOKUP($A192,'Data Vlaue (Cr)'!$C:$FB,44)</f>
        <v>48</v>
      </c>
      <c r="I192" s="49">
        <f>VLOOKUP($A192,'Data Vlaue (Cr)'!$C:$FB,46)*100</f>
        <v>-25.419999999999998</v>
      </c>
      <c r="J192" s="51">
        <f>VLOOKUP($A192,'Data Vlaue (Cr)'!$C:$FB,59)</f>
        <v>90</v>
      </c>
      <c r="K192" s="51">
        <f>VLOOKUP($A192,'Data Vlaue (Cr)'!$C:$FB,60)</f>
        <v>111</v>
      </c>
      <c r="L192" s="51">
        <f>VLOOKUP($A192,'Data Vlaue (Cr)'!$C:$FB,62)*100</f>
        <v>-19.16</v>
      </c>
      <c r="M192" s="51">
        <f>VLOOKUP($A192,'Data Vlaue (Cr)'!$C:$FB,63)</f>
        <v>33</v>
      </c>
      <c r="N192" s="51">
        <f>VLOOKUP($A192,'Data Vlaue (Cr)'!$C:$FB,64)</f>
        <v>53</v>
      </c>
      <c r="O192" s="51">
        <f>VLOOKUP($A192,'Data Vlaue (Cr)'!$C:$FB,66)*100</f>
        <v>-37.830000000000005</v>
      </c>
    </row>
    <row r="193" spans="1:15" x14ac:dyDescent="0.25">
      <c r="A193" s="101" t="str">
        <f>'Data Vlaue (Cr)'!C188</f>
        <v>TATACONSUM</v>
      </c>
      <c r="B193" s="50">
        <f>VLOOKUP($A193,'Data Vlaue (Cr)'!$C:$FB,8)</f>
        <v>1119.0999999999999</v>
      </c>
      <c r="C193" s="50">
        <f>VLOOKUP($A193,'Data Vlaue (Cr)'!$C:$FB,11)*100</f>
        <v>0.77</v>
      </c>
      <c r="D193" s="50">
        <f>VLOOKUP($A193,'Data Vlaue (Cr)'!$C:$FB,143)</f>
        <v>433.6</v>
      </c>
      <c r="E193" s="50">
        <f>VLOOKUP($A193,'Data Vlaue (Cr)'!$C:$FB,144)</f>
        <v>485.56</v>
      </c>
      <c r="F193" s="50">
        <f>VLOOKUP($A193,'Data Vlaue (Cr)'!$C:$FB,146)*100</f>
        <v>-10.7</v>
      </c>
      <c r="G193" s="49">
        <f>VLOOKUP($A193,'Data Vlaue (Cr)'!$C:$FB,43)</f>
        <v>171</v>
      </c>
      <c r="H193" s="49">
        <f>VLOOKUP($A193,'Data Vlaue (Cr)'!$C:$FB,44)</f>
        <v>200</v>
      </c>
      <c r="I193" s="49">
        <f>VLOOKUP($A193,'Data Vlaue (Cr)'!$C:$FB,46)*100</f>
        <v>-14.85</v>
      </c>
      <c r="J193" s="51">
        <f>VLOOKUP($A193,'Data Vlaue (Cr)'!$C:$FB,59)</f>
        <v>160</v>
      </c>
      <c r="K193" s="51">
        <f>VLOOKUP($A193,'Data Vlaue (Cr)'!$C:$FB,60)</f>
        <v>136</v>
      </c>
      <c r="L193" s="51">
        <f>VLOOKUP($A193,'Data Vlaue (Cr)'!$C:$FB,62)*100</f>
        <v>17.150000000000002</v>
      </c>
      <c r="M193" s="51">
        <f>VLOOKUP($A193,'Data Vlaue (Cr)'!$C:$FB,63)</f>
        <v>100</v>
      </c>
      <c r="N193" s="51">
        <f>VLOOKUP($A193,'Data Vlaue (Cr)'!$C:$FB,64)</f>
        <v>145</v>
      </c>
      <c r="O193" s="51">
        <f>VLOOKUP($A193,'Data Vlaue (Cr)'!$C:$FB,66)*100</f>
        <v>-30.819999999999997</v>
      </c>
    </row>
    <row r="194" spans="1:15" x14ac:dyDescent="0.25">
      <c r="A194" s="101" t="str">
        <f>'Data Vlaue (Cr)'!C189</f>
        <v>TATAELXSI</v>
      </c>
      <c r="B194" s="50">
        <f>VLOOKUP($A194,'Data Vlaue (Cr)'!$C:$FB,8)</f>
        <v>4400</v>
      </c>
      <c r="C194" s="50">
        <f>VLOOKUP($A194,'Data Vlaue (Cr)'!$C:$FB,11)*100</f>
        <v>0.97</v>
      </c>
      <c r="D194" s="50">
        <f>VLOOKUP($A194,'Data Vlaue (Cr)'!$C:$FB,143)</f>
        <v>757.56</v>
      </c>
      <c r="E194" s="50">
        <f>VLOOKUP($A194,'Data Vlaue (Cr)'!$C:$FB,144)</f>
        <v>867.52</v>
      </c>
      <c r="F194" s="50">
        <f>VLOOKUP($A194,'Data Vlaue (Cr)'!$C:$FB,146)*100</f>
        <v>-12.68</v>
      </c>
      <c r="G194" s="49">
        <f>VLOOKUP($A194,'Data Vlaue (Cr)'!$C:$FB,43)</f>
        <v>147</v>
      </c>
      <c r="H194" s="49">
        <f>VLOOKUP($A194,'Data Vlaue (Cr)'!$C:$FB,44)</f>
        <v>90</v>
      </c>
      <c r="I194" s="49">
        <f>VLOOKUP($A194,'Data Vlaue (Cr)'!$C:$FB,46)*100</f>
        <v>63.41</v>
      </c>
      <c r="J194" s="51">
        <f>VLOOKUP($A194,'Data Vlaue (Cr)'!$C:$FB,59)</f>
        <v>422</v>
      </c>
      <c r="K194" s="51">
        <f>VLOOKUP($A194,'Data Vlaue (Cr)'!$C:$FB,60)</f>
        <v>453</v>
      </c>
      <c r="L194" s="51">
        <f>VLOOKUP($A194,'Data Vlaue (Cr)'!$C:$FB,62)*100</f>
        <v>-6.88</v>
      </c>
      <c r="M194" s="51">
        <f>VLOOKUP($A194,'Data Vlaue (Cr)'!$C:$FB,63)</f>
        <v>135</v>
      </c>
      <c r="N194" s="51">
        <f>VLOOKUP($A194,'Data Vlaue (Cr)'!$C:$FB,64)</f>
        <v>283</v>
      </c>
      <c r="O194" s="51">
        <f>VLOOKUP($A194,'Data Vlaue (Cr)'!$C:$FB,66)*100</f>
        <v>-52.31</v>
      </c>
    </row>
    <row r="195" spans="1:15" x14ac:dyDescent="0.25">
      <c r="A195" s="101" t="str">
        <f>'Data Vlaue (Cr)'!C190</f>
        <v>TATAPOWER</v>
      </c>
      <c r="B195" s="50">
        <f>VLOOKUP($A195,'Data Vlaue (Cr)'!$C:$FB,8)</f>
        <v>376.85</v>
      </c>
      <c r="C195" s="50">
        <f>VLOOKUP($A195,'Data Vlaue (Cr)'!$C:$FB,11)*100</f>
        <v>3.01</v>
      </c>
      <c r="D195" s="50">
        <f>VLOOKUP($A195,'Data Vlaue (Cr)'!$C:$FB,143)</f>
        <v>2637.76</v>
      </c>
      <c r="E195" s="50">
        <f>VLOOKUP($A195,'Data Vlaue (Cr)'!$C:$FB,144)</f>
        <v>2190.48</v>
      </c>
      <c r="F195" s="50">
        <f>VLOOKUP($A195,'Data Vlaue (Cr)'!$C:$FB,146)*100</f>
        <v>20.419999999999998</v>
      </c>
      <c r="G195" s="49">
        <f>VLOOKUP($A195,'Data Vlaue (Cr)'!$C:$FB,43)</f>
        <v>439</v>
      </c>
      <c r="H195" s="49">
        <f>VLOOKUP($A195,'Data Vlaue (Cr)'!$C:$FB,44)</f>
        <v>353</v>
      </c>
      <c r="I195" s="49">
        <f>VLOOKUP($A195,'Data Vlaue (Cr)'!$C:$FB,46)*100</f>
        <v>24.18</v>
      </c>
      <c r="J195" s="51">
        <f>VLOOKUP($A195,'Data Vlaue (Cr)'!$C:$FB,59)</f>
        <v>1433</v>
      </c>
      <c r="K195" s="51">
        <f>VLOOKUP($A195,'Data Vlaue (Cr)'!$C:$FB,60)</f>
        <v>1133</v>
      </c>
      <c r="L195" s="51">
        <f>VLOOKUP($A195,'Data Vlaue (Cr)'!$C:$FB,62)*100</f>
        <v>26.529999999999998</v>
      </c>
      <c r="M195" s="51">
        <f>VLOOKUP($A195,'Data Vlaue (Cr)'!$C:$FB,63)</f>
        <v>716</v>
      </c>
      <c r="N195" s="51">
        <f>VLOOKUP($A195,'Data Vlaue (Cr)'!$C:$FB,64)</f>
        <v>702</v>
      </c>
      <c r="O195" s="51">
        <f>VLOOKUP($A195,'Data Vlaue (Cr)'!$C:$FB,66)*100</f>
        <v>1.96</v>
      </c>
    </row>
    <row r="196" spans="1:15" x14ac:dyDescent="0.25">
      <c r="A196" s="101" t="str">
        <f>'Data Vlaue (Cr)'!C191</f>
        <v>TATASTEEL</v>
      </c>
      <c r="B196" s="50">
        <f>VLOOKUP($A196,'Data Vlaue (Cr)'!$C:$FB,8)</f>
        <v>200.57</v>
      </c>
      <c r="C196" s="50">
        <f>VLOOKUP($A196,'Data Vlaue (Cr)'!$C:$FB,11)*100</f>
        <v>1.95</v>
      </c>
      <c r="D196" s="50">
        <f>VLOOKUP($A196,'Data Vlaue (Cr)'!$C:$FB,143)</f>
        <v>7632.81</v>
      </c>
      <c r="E196" s="50">
        <f>VLOOKUP($A196,'Data Vlaue (Cr)'!$C:$FB,144)</f>
        <v>13244.35</v>
      </c>
      <c r="F196" s="50">
        <f>VLOOKUP($A196,'Data Vlaue (Cr)'!$C:$FB,146)*100</f>
        <v>-42.370000000000005</v>
      </c>
      <c r="G196" s="49">
        <f>VLOOKUP($A196,'Data Vlaue (Cr)'!$C:$FB,43)</f>
        <v>1573</v>
      </c>
      <c r="H196" s="49">
        <f>VLOOKUP($A196,'Data Vlaue (Cr)'!$C:$FB,44)</f>
        <v>2386</v>
      </c>
      <c r="I196" s="49">
        <f>VLOOKUP($A196,'Data Vlaue (Cr)'!$C:$FB,46)*100</f>
        <v>-34.06</v>
      </c>
      <c r="J196" s="51">
        <f>VLOOKUP($A196,'Data Vlaue (Cr)'!$C:$FB,59)</f>
        <v>3866</v>
      </c>
      <c r="K196" s="51">
        <f>VLOOKUP($A196,'Data Vlaue (Cr)'!$C:$FB,60)</f>
        <v>5468</v>
      </c>
      <c r="L196" s="51">
        <f>VLOOKUP($A196,'Data Vlaue (Cr)'!$C:$FB,62)*100</f>
        <v>-29.299999999999997</v>
      </c>
      <c r="M196" s="51">
        <f>VLOOKUP($A196,'Data Vlaue (Cr)'!$C:$FB,63)</f>
        <v>1990</v>
      </c>
      <c r="N196" s="51">
        <f>VLOOKUP($A196,'Data Vlaue (Cr)'!$C:$FB,64)</f>
        <v>5137</v>
      </c>
      <c r="O196" s="51">
        <f>VLOOKUP($A196,'Data Vlaue (Cr)'!$C:$FB,66)*100</f>
        <v>-61.260000000000005</v>
      </c>
    </row>
    <row r="197" spans="1:15" x14ac:dyDescent="0.25">
      <c r="A197" s="101" t="str">
        <f>'Data Vlaue (Cr)'!C192</f>
        <v>TATATECH</v>
      </c>
      <c r="B197" s="50">
        <f>VLOOKUP($A197,'Data Vlaue (Cr)'!$C:$FB,8)</f>
        <v>576.1</v>
      </c>
      <c r="C197" s="50">
        <f>VLOOKUP($A197,'Data Vlaue (Cr)'!$C:$FB,11)*100</f>
        <v>0.73</v>
      </c>
      <c r="D197" s="50">
        <f>VLOOKUP($A197,'Data Vlaue (Cr)'!$C:$FB,143)</f>
        <v>210.17</v>
      </c>
      <c r="E197" s="50">
        <f>VLOOKUP($A197,'Data Vlaue (Cr)'!$C:$FB,144)</f>
        <v>236.26</v>
      </c>
      <c r="F197" s="50">
        <f>VLOOKUP($A197,'Data Vlaue (Cr)'!$C:$FB,146)*100</f>
        <v>-11.04</v>
      </c>
      <c r="G197" s="49">
        <f>VLOOKUP($A197,'Data Vlaue (Cr)'!$C:$FB,43)</f>
        <v>82</v>
      </c>
      <c r="H197" s="49">
        <f>VLOOKUP($A197,'Data Vlaue (Cr)'!$C:$FB,44)</f>
        <v>99</v>
      </c>
      <c r="I197" s="49">
        <f>VLOOKUP($A197,'Data Vlaue (Cr)'!$C:$FB,46)*100</f>
        <v>-17.75</v>
      </c>
      <c r="J197" s="51">
        <f>VLOOKUP($A197,'Data Vlaue (Cr)'!$C:$FB,59)</f>
        <v>85</v>
      </c>
      <c r="K197" s="51">
        <f>VLOOKUP($A197,'Data Vlaue (Cr)'!$C:$FB,60)</f>
        <v>93</v>
      </c>
      <c r="L197" s="51">
        <f>VLOOKUP($A197,'Data Vlaue (Cr)'!$C:$FB,62)*100</f>
        <v>-8.57</v>
      </c>
      <c r="M197" s="51">
        <f>VLOOKUP($A197,'Data Vlaue (Cr)'!$C:$FB,63)</f>
        <v>37</v>
      </c>
      <c r="N197" s="51">
        <f>VLOOKUP($A197,'Data Vlaue (Cr)'!$C:$FB,64)</f>
        <v>36</v>
      </c>
      <c r="O197" s="51">
        <f>VLOOKUP($A197,'Data Vlaue (Cr)'!$C:$FB,66)*100</f>
        <v>3.35</v>
      </c>
    </row>
    <row r="198" spans="1:15" x14ac:dyDescent="0.25">
      <c r="A198" s="101" t="str">
        <f>'Data Vlaue (Cr)'!C193</f>
        <v>TCS</v>
      </c>
      <c r="B198" s="50">
        <f>VLOOKUP($A198,'Data Vlaue (Cr)'!$C:$FB,8)</f>
        <v>2578.8000000000002</v>
      </c>
      <c r="C198" s="50">
        <f>VLOOKUP($A198,'Data Vlaue (Cr)'!$C:$FB,11)*100</f>
        <v>-0.35000000000000003</v>
      </c>
      <c r="D198" s="50">
        <f>VLOOKUP($A198,'Data Vlaue (Cr)'!$C:$FB,143)</f>
        <v>5967.53</v>
      </c>
      <c r="E198" s="50">
        <f>VLOOKUP($A198,'Data Vlaue (Cr)'!$C:$FB,144)</f>
        <v>5800.66</v>
      </c>
      <c r="F198" s="50">
        <f>VLOOKUP($A198,'Data Vlaue (Cr)'!$C:$FB,146)*100</f>
        <v>2.88</v>
      </c>
      <c r="G198" s="49">
        <f>VLOOKUP($A198,'Data Vlaue (Cr)'!$C:$FB,43)</f>
        <v>919</v>
      </c>
      <c r="H198" s="49">
        <f>VLOOKUP($A198,'Data Vlaue (Cr)'!$C:$FB,44)</f>
        <v>997</v>
      </c>
      <c r="I198" s="49">
        <f>VLOOKUP($A198,'Data Vlaue (Cr)'!$C:$FB,46)*100</f>
        <v>-7.82</v>
      </c>
      <c r="J198" s="51">
        <f>VLOOKUP($A198,'Data Vlaue (Cr)'!$C:$FB,59)</f>
        <v>2933</v>
      </c>
      <c r="K198" s="51">
        <f>VLOOKUP($A198,'Data Vlaue (Cr)'!$C:$FB,60)</f>
        <v>3104</v>
      </c>
      <c r="L198" s="51">
        <f>VLOOKUP($A198,'Data Vlaue (Cr)'!$C:$FB,62)*100</f>
        <v>-5.4899999999999993</v>
      </c>
      <c r="M198" s="51">
        <f>VLOOKUP($A198,'Data Vlaue (Cr)'!$C:$FB,63)</f>
        <v>1945</v>
      </c>
      <c r="N198" s="51">
        <f>VLOOKUP($A198,'Data Vlaue (Cr)'!$C:$FB,64)</f>
        <v>1439</v>
      </c>
      <c r="O198" s="51">
        <f>VLOOKUP($A198,'Data Vlaue (Cr)'!$C:$FB,66)*100</f>
        <v>35.18</v>
      </c>
    </row>
    <row r="199" spans="1:15" x14ac:dyDescent="0.25">
      <c r="A199" s="101" t="str">
        <f>'Data Vlaue (Cr)'!C194</f>
        <v>TECHM</v>
      </c>
      <c r="B199" s="50">
        <f>VLOOKUP($A199,'Data Vlaue (Cr)'!$C:$FB,8)</f>
        <v>1333.3</v>
      </c>
      <c r="C199" s="50">
        <f>VLOOKUP($A199,'Data Vlaue (Cr)'!$C:$FB,11)*100</f>
        <v>-1.32</v>
      </c>
      <c r="D199" s="50">
        <f>VLOOKUP($A199,'Data Vlaue (Cr)'!$C:$FB,143)</f>
        <v>1777.28</v>
      </c>
      <c r="E199" s="50">
        <f>VLOOKUP($A199,'Data Vlaue (Cr)'!$C:$FB,144)</f>
        <v>2124.5700000000002</v>
      </c>
      <c r="F199" s="50">
        <f>VLOOKUP($A199,'Data Vlaue (Cr)'!$C:$FB,146)*100</f>
        <v>-16.350000000000001</v>
      </c>
      <c r="G199" s="49">
        <f>VLOOKUP($A199,'Data Vlaue (Cr)'!$C:$FB,43)</f>
        <v>327</v>
      </c>
      <c r="H199" s="49">
        <f>VLOOKUP($A199,'Data Vlaue (Cr)'!$C:$FB,44)</f>
        <v>444</v>
      </c>
      <c r="I199" s="49">
        <f>VLOOKUP($A199,'Data Vlaue (Cr)'!$C:$FB,46)*100</f>
        <v>-26.26</v>
      </c>
      <c r="J199" s="51">
        <f>VLOOKUP($A199,'Data Vlaue (Cr)'!$C:$FB,59)</f>
        <v>908</v>
      </c>
      <c r="K199" s="51">
        <f>VLOOKUP($A199,'Data Vlaue (Cr)'!$C:$FB,60)</f>
        <v>1094</v>
      </c>
      <c r="L199" s="51">
        <f>VLOOKUP($A199,'Data Vlaue (Cr)'!$C:$FB,62)*100</f>
        <v>-17.059999999999999</v>
      </c>
      <c r="M199" s="51">
        <f>VLOOKUP($A199,'Data Vlaue (Cr)'!$C:$FB,63)</f>
        <v>472</v>
      </c>
      <c r="N199" s="51">
        <f>VLOOKUP($A199,'Data Vlaue (Cr)'!$C:$FB,64)</f>
        <v>494</v>
      </c>
      <c r="O199" s="51">
        <f>VLOOKUP($A199,'Data Vlaue (Cr)'!$C:$FB,66)*100</f>
        <v>-4.47</v>
      </c>
    </row>
    <row r="200" spans="1:15" x14ac:dyDescent="0.25">
      <c r="A200" s="101" t="str">
        <f>'Data Vlaue (Cr)'!C195</f>
        <v>TIINDIA</v>
      </c>
      <c r="B200" s="50">
        <f>VLOOKUP($A200,'Data Vlaue (Cr)'!$C:$FB,8)</f>
        <v>2781.9</v>
      </c>
      <c r="C200" s="50">
        <f>VLOOKUP($A200,'Data Vlaue (Cr)'!$C:$FB,11)*100</f>
        <v>0.38999999999999996</v>
      </c>
      <c r="D200" s="50">
        <f>VLOOKUP($A200,'Data Vlaue (Cr)'!$C:$FB,143)</f>
        <v>388.44</v>
      </c>
      <c r="E200" s="50">
        <f>VLOOKUP($A200,'Data Vlaue (Cr)'!$C:$FB,144)</f>
        <v>656.31</v>
      </c>
      <c r="F200" s="50">
        <f>VLOOKUP($A200,'Data Vlaue (Cr)'!$C:$FB,146)*100</f>
        <v>-40.82</v>
      </c>
      <c r="G200" s="49">
        <f>VLOOKUP($A200,'Data Vlaue (Cr)'!$C:$FB,43)</f>
        <v>157</v>
      </c>
      <c r="H200" s="49">
        <f>VLOOKUP($A200,'Data Vlaue (Cr)'!$C:$FB,44)</f>
        <v>205</v>
      </c>
      <c r="I200" s="49">
        <f>VLOOKUP($A200,'Data Vlaue (Cr)'!$C:$FB,46)*100</f>
        <v>-23.200000000000003</v>
      </c>
      <c r="J200" s="51">
        <f>VLOOKUP($A200,'Data Vlaue (Cr)'!$C:$FB,59)</f>
        <v>155</v>
      </c>
      <c r="K200" s="51">
        <f>VLOOKUP($A200,'Data Vlaue (Cr)'!$C:$FB,60)</f>
        <v>245</v>
      </c>
      <c r="L200" s="51">
        <f>VLOOKUP($A200,'Data Vlaue (Cr)'!$C:$FB,62)*100</f>
        <v>-36.909999999999997</v>
      </c>
      <c r="M200" s="51">
        <f>VLOOKUP($A200,'Data Vlaue (Cr)'!$C:$FB,63)</f>
        <v>69</v>
      </c>
      <c r="N200" s="51">
        <f>VLOOKUP($A200,'Data Vlaue (Cr)'!$C:$FB,64)</f>
        <v>193</v>
      </c>
      <c r="O200" s="51">
        <f>VLOOKUP($A200,'Data Vlaue (Cr)'!$C:$FB,66)*100</f>
        <v>-64.39</v>
      </c>
    </row>
    <row r="201" spans="1:15" x14ac:dyDescent="0.25">
      <c r="A201" s="101" t="str">
        <f>'Data Vlaue (Cr)'!C196</f>
        <v>TITAN</v>
      </c>
      <c r="B201" s="50">
        <f>VLOOKUP($A201,'Data Vlaue (Cr)'!$C:$FB,8)</f>
        <v>4275.2</v>
      </c>
      <c r="C201" s="50">
        <f>VLOOKUP($A201,'Data Vlaue (Cr)'!$C:$FB,11)*100</f>
        <v>1.68</v>
      </c>
      <c r="D201" s="50">
        <f>VLOOKUP($A201,'Data Vlaue (Cr)'!$C:$FB,143)</f>
        <v>2680.15</v>
      </c>
      <c r="E201" s="50">
        <f>VLOOKUP($A201,'Data Vlaue (Cr)'!$C:$FB,144)</f>
        <v>3806.71</v>
      </c>
      <c r="F201" s="50">
        <f>VLOOKUP($A201,'Data Vlaue (Cr)'!$C:$FB,146)*100</f>
        <v>-29.59</v>
      </c>
      <c r="G201" s="49">
        <f>VLOOKUP($A201,'Data Vlaue (Cr)'!$C:$FB,43)</f>
        <v>411</v>
      </c>
      <c r="H201" s="49">
        <f>VLOOKUP($A201,'Data Vlaue (Cr)'!$C:$FB,44)</f>
        <v>564</v>
      </c>
      <c r="I201" s="49">
        <f>VLOOKUP($A201,'Data Vlaue (Cr)'!$C:$FB,46)*100</f>
        <v>-27.189999999999998</v>
      </c>
      <c r="J201" s="51">
        <f>VLOOKUP($A201,'Data Vlaue (Cr)'!$C:$FB,59)</f>
        <v>1427</v>
      </c>
      <c r="K201" s="51">
        <f>VLOOKUP($A201,'Data Vlaue (Cr)'!$C:$FB,60)</f>
        <v>1632</v>
      </c>
      <c r="L201" s="51">
        <f>VLOOKUP($A201,'Data Vlaue (Cr)'!$C:$FB,62)*100</f>
        <v>-12.540000000000001</v>
      </c>
      <c r="M201" s="51">
        <f>VLOOKUP($A201,'Data Vlaue (Cr)'!$C:$FB,63)</f>
        <v>827</v>
      </c>
      <c r="N201" s="51">
        <f>VLOOKUP($A201,'Data Vlaue (Cr)'!$C:$FB,64)</f>
        <v>1641</v>
      </c>
      <c r="O201" s="51">
        <f>VLOOKUP($A201,'Data Vlaue (Cr)'!$C:$FB,66)*100</f>
        <v>-49.59</v>
      </c>
    </row>
    <row r="202" spans="1:15" x14ac:dyDescent="0.25">
      <c r="A202" s="101" t="str">
        <f>'Data Vlaue (Cr)'!C197</f>
        <v>TMPV</v>
      </c>
      <c r="B202" s="50">
        <f>VLOOKUP($A202,'Data Vlaue (Cr)'!$C:$FB,8)</f>
        <v>355.15</v>
      </c>
      <c r="C202" s="50">
        <f>VLOOKUP($A202,'Data Vlaue (Cr)'!$C:$FB,11)*100</f>
        <v>1.1199999999999999</v>
      </c>
      <c r="D202" s="50">
        <f>VLOOKUP($A202,'Data Vlaue (Cr)'!$C:$FB,143)</f>
        <v>3039.44</v>
      </c>
      <c r="E202" s="50">
        <f>VLOOKUP($A202,'Data Vlaue (Cr)'!$C:$FB,144)</f>
        <v>4403.45</v>
      </c>
      <c r="F202" s="50">
        <f>VLOOKUP($A202,'Data Vlaue (Cr)'!$C:$FB,146)*100</f>
        <v>-30.98</v>
      </c>
      <c r="G202" s="49">
        <f>VLOOKUP($A202,'Data Vlaue (Cr)'!$C:$FB,43)</f>
        <v>502</v>
      </c>
      <c r="H202" s="49">
        <f>VLOOKUP($A202,'Data Vlaue (Cr)'!$C:$FB,44)</f>
        <v>550</v>
      </c>
      <c r="I202" s="49">
        <f>VLOOKUP($A202,'Data Vlaue (Cr)'!$C:$FB,46)*100</f>
        <v>-8.67</v>
      </c>
      <c r="J202" s="51">
        <f>VLOOKUP($A202,'Data Vlaue (Cr)'!$C:$FB,59)</f>
        <v>1564</v>
      </c>
      <c r="K202" s="51">
        <f>VLOOKUP($A202,'Data Vlaue (Cr)'!$C:$FB,60)</f>
        <v>2168</v>
      </c>
      <c r="L202" s="51">
        <f>VLOOKUP($A202,'Data Vlaue (Cr)'!$C:$FB,62)*100</f>
        <v>-27.83</v>
      </c>
      <c r="M202" s="51">
        <f>VLOOKUP($A202,'Data Vlaue (Cr)'!$C:$FB,63)</f>
        <v>883</v>
      </c>
      <c r="N202" s="51">
        <f>VLOOKUP($A202,'Data Vlaue (Cr)'!$C:$FB,64)</f>
        <v>1526</v>
      </c>
      <c r="O202" s="51">
        <f>VLOOKUP($A202,'Data Vlaue (Cr)'!$C:$FB,66)*100</f>
        <v>-42.15</v>
      </c>
    </row>
    <row r="203" spans="1:15" x14ac:dyDescent="0.25">
      <c r="A203" s="101" t="str">
        <f>'Data Vlaue (Cr)'!C198</f>
        <v>TORNTPHARM</v>
      </c>
      <c r="B203" s="50">
        <f>VLOOKUP($A203,'Data Vlaue (Cr)'!$C:$FB,8)</f>
        <v>4353.3999999999996</v>
      </c>
      <c r="C203" s="50">
        <f>VLOOKUP($A203,'Data Vlaue (Cr)'!$C:$FB,11)*100</f>
        <v>0.28999999999999998</v>
      </c>
      <c r="D203" s="50">
        <f>VLOOKUP($A203,'Data Vlaue (Cr)'!$C:$FB,143)</f>
        <v>459.52</v>
      </c>
      <c r="E203" s="50">
        <f>VLOOKUP($A203,'Data Vlaue (Cr)'!$C:$FB,144)</f>
        <v>709.64</v>
      </c>
      <c r="F203" s="50">
        <f>VLOOKUP($A203,'Data Vlaue (Cr)'!$C:$FB,146)*100</f>
        <v>-35.25</v>
      </c>
      <c r="G203" s="49">
        <f>VLOOKUP($A203,'Data Vlaue (Cr)'!$C:$FB,43)</f>
        <v>169</v>
      </c>
      <c r="H203" s="49">
        <f>VLOOKUP($A203,'Data Vlaue (Cr)'!$C:$FB,44)</f>
        <v>168</v>
      </c>
      <c r="I203" s="49">
        <f>VLOOKUP($A203,'Data Vlaue (Cr)'!$C:$FB,46)*100</f>
        <v>0.85000000000000009</v>
      </c>
      <c r="J203" s="51">
        <f>VLOOKUP($A203,'Data Vlaue (Cr)'!$C:$FB,59)</f>
        <v>188</v>
      </c>
      <c r="K203" s="51">
        <f>VLOOKUP($A203,'Data Vlaue (Cr)'!$C:$FB,60)</f>
        <v>292</v>
      </c>
      <c r="L203" s="51">
        <f>VLOOKUP($A203,'Data Vlaue (Cr)'!$C:$FB,62)*100</f>
        <v>-35.65</v>
      </c>
      <c r="M203" s="51">
        <f>VLOOKUP($A203,'Data Vlaue (Cr)'!$C:$FB,63)</f>
        <v>96</v>
      </c>
      <c r="N203" s="51">
        <f>VLOOKUP($A203,'Data Vlaue (Cr)'!$C:$FB,64)</f>
        <v>244</v>
      </c>
      <c r="O203" s="51">
        <f>VLOOKUP($A203,'Data Vlaue (Cr)'!$C:$FB,66)*100</f>
        <v>-60.69</v>
      </c>
    </row>
    <row r="204" spans="1:15" x14ac:dyDescent="0.25">
      <c r="A204" s="101" t="str">
        <f>'Data Vlaue (Cr)'!C199</f>
        <v>TORNTPOWER</v>
      </c>
      <c r="B204" s="50">
        <f>VLOOKUP($A204,'Data Vlaue (Cr)'!$C:$FB,8)</f>
        <v>1503.9</v>
      </c>
      <c r="C204" s="50">
        <f>VLOOKUP($A204,'Data Vlaue (Cr)'!$C:$FB,11)*100</f>
        <v>1.9</v>
      </c>
      <c r="D204" s="50">
        <f>VLOOKUP($A204,'Data Vlaue (Cr)'!$C:$FB,143)</f>
        <v>484.03</v>
      </c>
      <c r="E204" s="50">
        <f>VLOOKUP($A204,'Data Vlaue (Cr)'!$C:$FB,144)</f>
        <v>1043.92</v>
      </c>
      <c r="F204" s="50">
        <f>VLOOKUP($A204,'Data Vlaue (Cr)'!$C:$FB,146)*100</f>
        <v>-53.63</v>
      </c>
      <c r="G204" s="49">
        <f>VLOOKUP($A204,'Data Vlaue (Cr)'!$C:$FB,43)</f>
        <v>165</v>
      </c>
      <c r="H204" s="49">
        <f>VLOOKUP($A204,'Data Vlaue (Cr)'!$C:$FB,44)</f>
        <v>363</v>
      </c>
      <c r="I204" s="49">
        <f>VLOOKUP($A204,'Data Vlaue (Cr)'!$C:$FB,46)*100</f>
        <v>-54.63</v>
      </c>
      <c r="J204" s="51">
        <f>VLOOKUP($A204,'Data Vlaue (Cr)'!$C:$FB,59)</f>
        <v>205</v>
      </c>
      <c r="K204" s="51">
        <f>VLOOKUP($A204,'Data Vlaue (Cr)'!$C:$FB,60)</f>
        <v>394</v>
      </c>
      <c r="L204" s="51">
        <f>VLOOKUP($A204,'Data Vlaue (Cr)'!$C:$FB,62)*100</f>
        <v>-48</v>
      </c>
      <c r="M204" s="51">
        <f>VLOOKUP($A204,'Data Vlaue (Cr)'!$C:$FB,63)</f>
        <v>106</v>
      </c>
      <c r="N204" s="51">
        <f>VLOOKUP($A204,'Data Vlaue (Cr)'!$C:$FB,64)</f>
        <v>265</v>
      </c>
      <c r="O204" s="51">
        <f>VLOOKUP($A204,'Data Vlaue (Cr)'!$C:$FB,66)*100</f>
        <v>-60.01</v>
      </c>
    </row>
    <row r="205" spans="1:15" x14ac:dyDescent="0.25">
      <c r="A205" s="101" t="str">
        <f>'Data Vlaue (Cr)'!C200</f>
        <v>TRENT</v>
      </c>
      <c r="B205" s="50">
        <f>VLOOKUP($A205,'Data Vlaue (Cr)'!$C:$FB,8)</f>
        <v>3790.9</v>
      </c>
      <c r="C205" s="50">
        <f>VLOOKUP($A205,'Data Vlaue (Cr)'!$C:$FB,11)*100</f>
        <v>0.91</v>
      </c>
      <c r="D205" s="50">
        <f>VLOOKUP($A205,'Data Vlaue (Cr)'!$C:$FB,143)</f>
        <v>1472.12</v>
      </c>
      <c r="E205" s="50">
        <f>VLOOKUP($A205,'Data Vlaue (Cr)'!$C:$FB,144)</f>
        <v>1898.92</v>
      </c>
      <c r="F205" s="50">
        <f>VLOOKUP($A205,'Data Vlaue (Cr)'!$C:$FB,146)*100</f>
        <v>-22.48</v>
      </c>
      <c r="G205" s="49">
        <f>VLOOKUP($A205,'Data Vlaue (Cr)'!$C:$FB,43)</f>
        <v>237</v>
      </c>
      <c r="H205" s="49">
        <f>VLOOKUP($A205,'Data Vlaue (Cr)'!$C:$FB,44)</f>
        <v>301</v>
      </c>
      <c r="I205" s="49">
        <f>VLOOKUP($A205,'Data Vlaue (Cr)'!$C:$FB,46)*100</f>
        <v>-21.490000000000002</v>
      </c>
      <c r="J205" s="51">
        <f>VLOOKUP($A205,'Data Vlaue (Cr)'!$C:$FB,59)</f>
        <v>840</v>
      </c>
      <c r="K205" s="51">
        <f>VLOOKUP($A205,'Data Vlaue (Cr)'!$C:$FB,60)</f>
        <v>895</v>
      </c>
      <c r="L205" s="51">
        <f>VLOOKUP($A205,'Data Vlaue (Cr)'!$C:$FB,62)*100</f>
        <v>-6.18</v>
      </c>
      <c r="M205" s="51">
        <f>VLOOKUP($A205,'Data Vlaue (Cr)'!$C:$FB,63)</f>
        <v>350</v>
      </c>
      <c r="N205" s="51">
        <f>VLOOKUP($A205,'Data Vlaue (Cr)'!$C:$FB,64)</f>
        <v>640</v>
      </c>
      <c r="O205" s="51">
        <f>VLOOKUP($A205,'Data Vlaue (Cr)'!$C:$FB,66)*100</f>
        <v>-45.37</v>
      </c>
    </row>
    <row r="206" spans="1:15" x14ac:dyDescent="0.25">
      <c r="A206" s="101" t="str">
        <f>'Data Vlaue (Cr)'!C201</f>
        <v>TVSMOTOR</v>
      </c>
      <c r="B206" s="50">
        <f>VLOOKUP($A206,'Data Vlaue (Cr)'!$C:$FB,8)</f>
        <v>3818.4</v>
      </c>
      <c r="C206" s="50">
        <f>VLOOKUP($A206,'Data Vlaue (Cr)'!$C:$FB,11)*100</f>
        <v>1.91</v>
      </c>
      <c r="D206" s="50">
        <f>VLOOKUP($A206,'Data Vlaue (Cr)'!$C:$FB,143)</f>
        <v>1308.97</v>
      </c>
      <c r="E206" s="50">
        <f>VLOOKUP($A206,'Data Vlaue (Cr)'!$C:$FB,144)</f>
        <v>2344.84</v>
      </c>
      <c r="F206" s="50">
        <f>VLOOKUP($A206,'Data Vlaue (Cr)'!$C:$FB,146)*100</f>
        <v>-44.18</v>
      </c>
      <c r="G206" s="49">
        <f>VLOOKUP($A206,'Data Vlaue (Cr)'!$C:$FB,43)</f>
        <v>324</v>
      </c>
      <c r="H206" s="49">
        <f>VLOOKUP($A206,'Data Vlaue (Cr)'!$C:$FB,44)</f>
        <v>450</v>
      </c>
      <c r="I206" s="49">
        <f>VLOOKUP($A206,'Data Vlaue (Cr)'!$C:$FB,46)*100</f>
        <v>-27.97</v>
      </c>
      <c r="J206" s="51">
        <f>VLOOKUP($A206,'Data Vlaue (Cr)'!$C:$FB,59)</f>
        <v>679</v>
      </c>
      <c r="K206" s="51">
        <f>VLOOKUP($A206,'Data Vlaue (Cr)'!$C:$FB,60)</f>
        <v>1020</v>
      </c>
      <c r="L206" s="51">
        <f>VLOOKUP($A206,'Data Vlaue (Cr)'!$C:$FB,62)*100</f>
        <v>-33.410000000000004</v>
      </c>
      <c r="M206" s="51">
        <f>VLOOKUP($A206,'Data Vlaue (Cr)'!$C:$FB,63)</f>
        <v>295</v>
      </c>
      <c r="N206" s="51">
        <f>VLOOKUP($A206,'Data Vlaue (Cr)'!$C:$FB,64)</f>
        <v>875</v>
      </c>
      <c r="O206" s="51">
        <f>VLOOKUP($A206,'Data Vlaue (Cr)'!$C:$FB,66)*100</f>
        <v>-66.31</v>
      </c>
    </row>
    <row r="207" spans="1:15" x14ac:dyDescent="0.25">
      <c r="A207" s="101" t="str">
        <f>'Data Vlaue (Cr)'!C202</f>
        <v>ULTRACEMCO</v>
      </c>
      <c r="B207" s="50">
        <f>VLOOKUP($A207,'Data Vlaue (Cr)'!$C:$FB,8)</f>
        <v>12288</v>
      </c>
      <c r="C207" s="50">
        <f>VLOOKUP($A207,'Data Vlaue (Cr)'!$C:$FB,11)*100</f>
        <v>1.5</v>
      </c>
      <c r="D207" s="50">
        <f>VLOOKUP($A207,'Data Vlaue (Cr)'!$C:$FB,143)</f>
        <v>2066.88</v>
      </c>
      <c r="E207" s="50">
        <f>VLOOKUP($A207,'Data Vlaue (Cr)'!$C:$FB,144)</f>
        <v>3186.99</v>
      </c>
      <c r="F207" s="50">
        <f>VLOOKUP($A207,'Data Vlaue (Cr)'!$C:$FB,146)*100</f>
        <v>-35.15</v>
      </c>
      <c r="G207" s="49">
        <f>VLOOKUP($A207,'Data Vlaue (Cr)'!$C:$FB,43)</f>
        <v>515</v>
      </c>
      <c r="H207" s="49">
        <f>VLOOKUP($A207,'Data Vlaue (Cr)'!$C:$FB,44)</f>
        <v>493</v>
      </c>
      <c r="I207" s="49">
        <f>VLOOKUP($A207,'Data Vlaue (Cr)'!$C:$FB,46)*100</f>
        <v>4.55</v>
      </c>
      <c r="J207" s="51">
        <f>VLOOKUP($A207,'Data Vlaue (Cr)'!$C:$FB,59)</f>
        <v>1041</v>
      </c>
      <c r="K207" s="51">
        <f>VLOOKUP($A207,'Data Vlaue (Cr)'!$C:$FB,60)</f>
        <v>1561</v>
      </c>
      <c r="L207" s="51">
        <f>VLOOKUP($A207,'Data Vlaue (Cr)'!$C:$FB,62)*100</f>
        <v>-33.300000000000004</v>
      </c>
      <c r="M207" s="51">
        <f>VLOOKUP($A207,'Data Vlaue (Cr)'!$C:$FB,63)</f>
        <v>473</v>
      </c>
      <c r="N207" s="51">
        <f>VLOOKUP($A207,'Data Vlaue (Cr)'!$C:$FB,64)</f>
        <v>1079</v>
      </c>
      <c r="O207" s="51">
        <f>VLOOKUP($A207,'Data Vlaue (Cr)'!$C:$FB,66)*100</f>
        <v>-56.19</v>
      </c>
    </row>
    <row r="208" spans="1:15" x14ac:dyDescent="0.25">
      <c r="A208" s="101" t="str">
        <f>'Data Vlaue (Cr)'!C203</f>
        <v>UNIONBANK</v>
      </c>
      <c r="B208" s="50">
        <f>VLOOKUP($A208,'Data Vlaue (Cr)'!$C:$FB,8)</f>
        <v>191.2</v>
      </c>
      <c r="C208" s="50">
        <f>VLOOKUP($A208,'Data Vlaue (Cr)'!$C:$FB,11)*100</f>
        <v>0.04</v>
      </c>
      <c r="D208" s="50">
        <f>VLOOKUP($A208,'Data Vlaue (Cr)'!$C:$FB,143)</f>
        <v>1907.03</v>
      </c>
      <c r="E208" s="50">
        <f>VLOOKUP($A208,'Data Vlaue (Cr)'!$C:$FB,144)</f>
        <v>2517.96</v>
      </c>
      <c r="F208" s="50">
        <f>VLOOKUP($A208,'Data Vlaue (Cr)'!$C:$FB,146)*100</f>
        <v>-24.26</v>
      </c>
      <c r="G208" s="49">
        <f>VLOOKUP($A208,'Data Vlaue (Cr)'!$C:$FB,43)</f>
        <v>746</v>
      </c>
      <c r="H208" s="49">
        <f>VLOOKUP($A208,'Data Vlaue (Cr)'!$C:$FB,44)</f>
        <v>737</v>
      </c>
      <c r="I208" s="49">
        <f>VLOOKUP($A208,'Data Vlaue (Cr)'!$C:$FB,46)*100</f>
        <v>1.18</v>
      </c>
      <c r="J208" s="51">
        <f>VLOOKUP($A208,'Data Vlaue (Cr)'!$C:$FB,59)</f>
        <v>757</v>
      </c>
      <c r="K208" s="51">
        <f>VLOOKUP($A208,'Data Vlaue (Cr)'!$C:$FB,60)</f>
        <v>1008</v>
      </c>
      <c r="L208" s="51">
        <f>VLOOKUP($A208,'Data Vlaue (Cr)'!$C:$FB,62)*100</f>
        <v>-24.94</v>
      </c>
      <c r="M208" s="51">
        <f>VLOOKUP($A208,'Data Vlaue (Cr)'!$C:$FB,63)</f>
        <v>344</v>
      </c>
      <c r="N208" s="51">
        <f>VLOOKUP($A208,'Data Vlaue (Cr)'!$C:$FB,64)</f>
        <v>679</v>
      </c>
      <c r="O208" s="51">
        <f>VLOOKUP($A208,'Data Vlaue (Cr)'!$C:$FB,66)*100</f>
        <v>-49.3</v>
      </c>
    </row>
    <row r="209" spans="1:15" x14ac:dyDescent="0.25">
      <c r="A209" s="101" t="str">
        <f>'Data Vlaue (Cr)'!C204</f>
        <v>UNITDSPR</v>
      </c>
      <c r="B209" s="50">
        <f>VLOOKUP($A209,'Data Vlaue (Cr)'!$C:$FB,8)</f>
        <v>1325.8</v>
      </c>
      <c r="C209" s="50">
        <f>VLOOKUP($A209,'Data Vlaue (Cr)'!$C:$FB,11)*100</f>
        <v>0.67999999999999994</v>
      </c>
      <c r="D209" s="50">
        <f>VLOOKUP($A209,'Data Vlaue (Cr)'!$C:$FB,143)</f>
        <v>590.71</v>
      </c>
      <c r="E209" s="50">
        <f>VLOOKUP($A209,'Data Vlaue (Cr)'!$C:$FB,144)</f>
        <v>628.25</v>
      </c>
      <c r="F209" s="50">
        <f>VLOOKUP($A209,'Data Vlaue (Cr)'!$C:$FB,146)*100</f>
        <v>-5.9799999999999995</v>
      </c>
      <c r="G209" s="49">
        <f>VLOOKUP($A209,'Data Vlaue (Cr)'!$C:$FB,43)</f>
        <v>163</v>
      </c>
      <c r="H209" s="49">
        <f>VLOOKUP($A209,'Data Vlaue (Cr)'!$C:$FB,44)</f>
        <v>166</v>
      </c>
      <c r="I209" s="49">
        <f>VLOOKUP($A209,'Data Vlaue (Cr)'!$C:$FB,46)*100</f>
        <v>-1.83</v>
      </c>
      <c r="J209" s="51">
        <f>VLOOKUP($A209,'Data Vlaue (Cr)'!$C:$FB,59)</f>
        <v>279</v>
      </c>
      <c r="K209" s="51">
        <f>VLOOKUP($A209,'Data Vlaue (Cr)'!$C:$FB,60)</f>
        <v>247</v>
      </c>
      <c r="L209" s="51">
        <f>VLOOKUP($A209,'Data Vlaue (Cr)'!$C:$FB,62)*100</f>
        <v>12.6</v>
      </c>
      <c r="M209" s="51">
        <f>VLOOKUP($A209,'Data Vlaue (Cr)'!$C:$FB,63)</f>
        <v>135</v>
      </c>
      <c r="N209" s="51">
        <f>VLOOKUP($A209,'Data Vlaue (Cr)'!$C:$FB,64)</f>
        <v>194</v>
      </c>
      <c r="O209" s="51">
        <f>VLOOKUP($A209,'Data Vlaue (Cr)'!$C:$FB,66)*100</f>
        <v>-30.380000000000003</v>
      </c>
    </row>
    <row r="210" spans="1:15" x14ac:dyDescent="0.25">
      <c r="A210" s="101" t="str">
        <f>'Data Vlaue (Cr)'!C205</f>
        <v>UNOMINDA</v>
      </c>
      <c r="B210" s="50">
        <f>VLOOKUP($A210,'Data Vlaue (Cr)'!$C:$FB,8)</f>
        <v>1118.3</v>
      </c>
      <c r="C210" s="50">
        <f>VLOOKUP($A210,'Data Vlaue (Cr)'!$C:$FB,11)*100</f>
        <v>-0.54999999999999993</v>
      </c>
      <c r="D210" s="50">
        <f>VLOOKUP($A210,'Data Vlaue (Cr)'!$C:$FB,143)</f>
        <v>365.92</v>
      </c>
      <c r="E210" s="50">
        <f>VLOOKUP($A210,'Data Vlaue (Cr)'!$C:$FB,144)</f>
        <v>366.74</v>
      </c>
      <c r="F210" s="50">
        <f>VLOOKUP($A210,'Data Vlaue (Cr)'!$C:$FB,146)*100</f>
        <v>-0.22</v>
      </c>
      <c r="G210" s="49">
        <f>VLOOKUP($A210,'Data Vlaue (Cr)'!$C:$FB,43)</f>
        <v>163</v>
      </c>
      <c r="H210" s="49">
        <f>VLOOKUP($A210,'Data Vlaue (Cr)'!$C:$FB,44)</f>
        <v>169</v>
      </c>
      <c r="I210" s="49">
        <f>VLOOKUP($A210,'Data Vlaue (Cr)'!$C:$FB,46)*100</f>
        <v>-3.47</v>
      </c>
      <c r="J210" s="51">
        <f>VLOOKUP($A210,'Data Vlaue (Cr)'!$C:$FB,59)</f>
        <v>128</v>
      </c>
      <c r="K210" s="51">
        <f>VLOOKUP($A210,'Data Vlaue (Cr)'!$C:$FB,60)</f>
        <v>125</v>
      </c>
      <c r="L210" s="51">
        <f>VLOOKUP($A210,'Data Vlaue (Cr)'!$C:$FB,62)*100</f>
        <v>2.46</v>
      </c>
      <c r="M210" s="51">
        <f>VLOOKUP($A210,'Data Vlaue (Cr)'!$C:$FB,63)</f>
        <v>60</v>
      </c>
      <c r="N210" s="51">
        <f>VLOOKUP($A210,'Data Vlaue (Cr)'!$C:$FB,64)</f>
        <v>59</v>
      </c>
      <c r="O210" s="51">
        <f>VLOOKUP($A210,'Data Vlaue (Cr)'!$C:$FB,66)*100</f>
        <v>3.27</v>
      </c>
    </row>
    <row r="211" spans="1:15" x14ac:dyDescent="0.25">
      <c r="A211" s="101" t="str">
        <f>'Data Vlaue (Cr)'!C206</f>
        <v>UPL</v>
      </c>
      <c r="B211" s="50">
        <f>VLOOKUP($A211,'Data Vlaue (Cr)'!$C:$FB,8)</f>
        <v>629.6</v>
      </c>
      <c r="C211" s="50">
        <f>VLOOKUP($A211,'Data Vlaue (Cr)'!$C:$FB,11)*100</f>
        <v>2.52</v>
      </c>
      <c r="D211" s="50">
        <f>VLOOKUP($A211,'Data Vlaue (Cr)'!$C:$FB,143)</f>
        <v>1415.53</v>
      </c>
      <c r="E211" s="50">
        <f>VLOOKUP($A211,'Data Vlaue (Cr)'!$C:$FB,144)</f>
        <v>1949.08</v>
      </c>
      <c r="F211" s="50">
        <f>VLOOKUP($A211,'Data Vlaue (Cr)'!$C:$FB,146)*100</f>
        <v>-27.37</v>
      </c>
      <c r="G211" s="49">
        <f>VLOOKUP($A211,'Data Vlaue (Cr)'!$C:$FB,43)</f>
        <v>335</v>
      </c>
      <c r="H211" s="49">
        <f>VLOOKUP($A211,'Data Vlaue (Cr)'!$C:$FB,44)</f>
        <v>365</v>
      </c>
      <c r="I211" s="49">
        <f>VLOOKUP($A211,'Data Vlaue (Cr)'!$C:$FB,46)*100</f>
        <v>-8.42</v>
      </c>
      <c r="J211" s="51">
        <f>VLOOKUP($A211,'Data Vlaue (Cr)'!$C:$FB,59)</f>
        <v>754</v>
      </c>
      <c r="K211" s="51">
        <f>VLOOKUP($A211,'Data Vlaue (Cr)'!$C:$FB,60)</f>
        <v>993</v>
      </c>
      <c r="L211" s="51">
        <f>VLOOKUP($A211,'Data Vlaue (Cr)'!$C:$FB,62)*100</f>
        <v>-24.04</v>
      </c>
      <c r="M211" s="51">
        <f>VLOOKUP($A211,'Data Vlaue (Cr)'!$C:$FB,63)</f>
        <v>282</v>
      </c>
      <c r="N211" s="51">
        <f>VLOOKUP($A211,'Data Vlaue (Cr)'!$C:$FB,64)</f>
        <v>558</v>
      </c>
      <c r="O211" s="51">
        <f>VLOOKUP($A211,'Data Vlaue (Cr)'!$C:$FB,66)*100</f>
        <v>-49.43</v>
      </c>
    </row>
    <row r="212" spans="1:15" x14ac:dyDescent="0.25">
      <c r="A212" s="101" t="str">
        <f>'Data Vlaue (Cr)'!C207</f>
        <v>VBL</v>
      </c>
      <c r="B212" s="50">
        <f>VLOOKUP($A212,'Data Vlaue (Cr)'!$C:$FB,8)</f>
        <v>445.75</v>
      </c>
      <c r="C212" s="50">
        <f>VLOOKUP($A212,'Data Vlaue (Cr)'!$C:$FB,11)*100</f>
        <v>3.7199999999999998</v>
      </c>
      <c r="D212" s="50">
        <f>VLOOKUP($A212,'Data Vlaue (Cr)'!$C:$FB,143)</f>
        <v>1220.57</v>
      </c>
      <c r="E212" s="50">
        <f>VLOOKUP($A212,'Data Vlaue (Cr)'!$C:$FB,144)</f>
        <v>904.4</v>
      </c>
      <c r="F212" s="50">
        <f>VLOOKUP($A212,'Data Vlaue (Cr)'!$C:$FB,146)*100</f>
        <v>34.96</v>
      </c>
      <c r="G212" s="49">
        <f>VLOOKUP($A212,'Data Vlaue (Cr)'!$C:$FB,43)</f>
        <v>365</v>
      </c>
      <c r="H212" s="49">
        <f>VLOOKUP($A212,'Data Vlaue (Cr)'!$C:$FB,44)</f>
        <v>278</v>
      </c>
      <c r="I212" s="49">
        <f>VLOOKUP($A212,'Data Vlaue (Cr)'!$C:$FB,46)*100</f>
        <v>31.2</v>
      </c>
      <c r="J212" s="51">
        <f>VLOOKUP($A212,'Data Vlaue (Cr)'!$C:$FB,59)</f>
        <v>580</v>
      </c>
      <c r="K212" s="51">
        <f>VLOOKUP($A212,'Data Vlaue (Cr)'!$C:$FB,60)</f>
        <v>412</v>
      </c>
      <c r="L212" s="51">
        <f>VLOOKUP($A212,'Data Vlaue (Cr)'!$C:$FB,62)*100</f>
        <v>40.660000000000004</v>
      </c>
      <c r="M212" s="51">
        <f>VLOOKUP($A212,'Data Vlaue (Cr)'!$C:$FB,63)</f>
        <v>255</v>
      </c>
      <c r="N212" s="51">
        <f>VLOOKUP($A212,'Data Vlaue (Cr)'!$C:$FB,64)</f>
        <v>209</v>
      </c>
      <c r="O212" s="51">
        <f>VLOOKUP($A212,'Data Vlaue (Cr)'!$C:$FB,66)*100</f>
        <v>21.63</v>
      </c>
    </row>
    <row r="213" spans="1:15" x14ac:dyDescent="0.25">
      <c r="A213" s="101" t="str">
        <f>'Data Vlaue (Cr)'!C208</f>
        <v>VEDL</v>
      </c>
      <c r="B213" s="50">
        <f>VLOOKUP($A213,'Data Vlaue (Cr)'!$C:$FB,8)</f>
        <v>711.25</v>
      </c>
      <c r="C213" s="50">
        <f>VLOOKUP($A213,'Data Vlaue (Cr)'!$C:$FB,11)*100</f>
        <v>1.46</v>
      </c>
      <c r="D213" s="50">
        <f>VLOOKUP($A213,'Data Vlaue (Cr)'!$C:$FB,143)</f>
        <v>11796.07</v>
      </c>
      <c r="E213" s="50">
        <f>VLOOKUP($A213,'Data Vlaue (Cr)'!$C:$FB,144)</f>
        <v>6884.73</v>
      </c>
      <c r="F213" s="50">
        <f>VLOOKUP($A213,'Data Vlaue (Cr)'!$C:$FB,146)*100</f>
        <v>71.34</v>
      </c>
      <c r="G213" s="49">
        <f>VLOOKUP($A213,'Data Vlaue (Cr)'!$C:$FB,43)</f>
        <v>2143</v>
      </c>
      <c r="H213" s="49">
        <f>VLOOKUP($A213,'Data Vlaue (Cr)'!$C:$FB,44)</f>
        <v>1564</v>
      </c>
      <c r="I213" s="49">
        <f>VLOOKUP($A213,'Data Vlaue (Cr)'!$C:$FB,46)*100</f>
        <v>36.96</v>
      </c>
      <c r="J213" s="51">
        <f>VLOOKUP($A213,'Data Vlaue (Cr)'!$C:$FB,59)</f>
        <v>6311</v>
      </c>
      <c r="K213" s="51">
        <f>VLOOKUP($A213,'Data Vlaue (Cr)'!$C:$FB,60)</f>
        <v>2933</v>
      </c>
      <c r="L213" s="51">
        <f>VLOOKUP($A213,'Data Vlaue (Cr)'!$C:$FB,62)*100</f>
        <v>115.14999999999999</v>
      </c>
      <c r="M213" s="51">
        <f>VLOOKUP($A213,'Data Vlaue (Cr)'!$C:$FB,63)</f>
        <v>2784</v>
      </c>
      <c r="N213" s="51">
        <f>VLOOKUP($A213,'Data Vlaue (Cr)'!$C:$FB,64)</f>
        <v>2278</v>
      </c>
      <c r="O213" s="51">
        <f>VLOOKUP($A213,'Data Vlaue (Cr)'!$C:$FB,66)*100</f>
        <v>22.18</v>
      </c>
    </row>
    <row r="214" spans="1:15" x14ac:dyDescent="0.25">
      <c r="A214" s="101" t="str">
        <f>'Data Vlaue (Cr)'!C209</f>
        <v>VOLTAS</v>
      </c>
      <c r="B214" s="50">
        <f>VLOOKUP($A214,'Data Vlaue (Cr)'!$C:$FB,8)</f>
        <v>1485.3</v>
      </c>
      <c r="C214" s="50">
        <f>VLOOKUP($A214,'Data Vlaue (Cr)'!$C:$FB,11)*100</f>
        <v>3.2199999999999998</v>
      </c>
      <c r="D214" s="50">
        <f>VLOOKUP($A214,'Data Vlaue (Cr)'!$C:$FB,143)</f>
        <v>2429.37</v>
      </c>
      <c r="E214" s="50">
        <f>VLOOKUP($A214,'Data Vlaue (Cr)'!$C:$FB,144)</f>
        <v>1619.1</v>
      </c>
      <c r="F214" s="50">
        <f>VLOOKUP($A214,'Data Vlaue (Cr)'!$C:$FB,146)*100</f>
        <v>50.039999999999992</v>
      </c>
      <c r="G214" s="49">
        <f>VLOOKUP($A214,'Data Vlaue (Cr)'!$C:$FB,43)</f>
        <v>396</v>
      </c>
      <c r="H214" s="49">
        <f>VLOOKUP($A214,'Data Vlaue (Cr)'!$C:$FB,44)</f>
        <v>318</v>
      </c>
      <c r="I214" s="49">
        <f>VLOOKUP($A214,'Data Vlaue (Cr)'!$C:$FB,46)*100</f>
        <v>24.58</v>
      </c>
      <c r="J214" s="51">
        <f>VLOOKUP($A214,'Data Vlaue (Cr)'!$C:$FB,59)</f>
        <v>1417</v>
      </c>
      <c r="K214" s="51">
        <f>VLOOKUP($A214,'Data Vlaue (Cr)'!$C:$FB,60)</f>
        <v>827</v>
      </c>
      <c r="L214" s="51">
        <f>VLOOKUP($A214,'Data Vlaue (Cr)'!$C:$FB,62)*100</f>
        <v>71.28</v>
      </c>
      <c r="M214" s="51">
        <f>VLOOKUP($A214,'Data Vlaue (Cr)'!$C:$FB,63)</f>
        <v>561</v>
      </c>
      <c r="N214" s="51">
        <f>VLOOKUP($A214,'Data Vlaue (Cr)'!$C:$FB,64)</f>
        <v>445</v>
      </c>
      <c r="O214" s="51">
        <f>VLOOKUP($A214,'Data Vlaue (Cr)'!$C:$FB,66)*100</f>
        <v>26.08</v>
      </c>
    </row>
    <row r="215" spans="1:15" x14ac:dyDescent="0.25">
      <c r="A215" s="101" t="str">
        <f>'Data Vlaue (Cr)'!C210</f>
        <v>WAAREEENER</v>
      </c>
      <c r="B215" s="50">
        <f>VLOOKUP($A215,'Data Vlaue (Cr)'!$C:$FB,8)</f>
        <v>2646.2</v>
      </c>
      <c r="C215" s="50">
        <f>VLOOKUP($A215,'Data Vlaue (Cr)'!$C:$FB,11)*100</f>
        <v>0.45999999999999996</v>
      </c>
      <c r="D215" s="50">
        <f>VLOOKUP($A215,'Data Vlaue (Cr)'!$C:$FB,143)</f>
        <v>1417.24</v>
      </c>
      <c r="E215" s="50">
        <f>VLOOKUP($A215,'Data Vlaue (Cr)'!$C:$FB,144)</f>
        <v>1164.94</v>
      </c>
      <c r="F215" s="50">
        <f>VLOOKUP($A215,'Data Vlaue (Cr)'!$C:$FB,146)*100</f>
        <v>21.66</v>
      </c>
      <c r="G215" s="49">
        <f>VLOOKUP($A215,'Data Vlaue (Cr)'!$C:$FB,43)</f>
        <v>312</v>
      </c>
      <c r="H215" s="49">
        <f>VLOOKUP($A215,'Data Vlaue (Cr)'!$C:$FB,44)</f>
        <v>208</v>
      </c>
      <c r="I215" s="49">
        <f>VLOOKUP($A215,'Data Vlaue (Cr)'!$C:$FB,46)*100</f>
        <v>50.43</v>
      </c>
      <c r="J215" s="51">
        <f>VLOOKUP($A215,'Data Vlaue (Cr)'!$C:$FB,59)</f>
        <v>744</v>
      </c>
      <c r="K215" s="51">
        <f>VLOOKUP($A215,'Data Vlaue (Cr)'!$C:$FB,60)</f>
        <v>629</v>
      </c>
      <c r="L215" s="51">
        <f>VLOOKUP($A215,'Data Vlaue (Cr)'!$C:$FB,62)*100</f>
        <v>18.32</v>
      </c>
      <c r="M215" s="51">
        <f>VLOOKUP($A215,'Data Vlaue (Cr)'!$C:$FB,63)</f>
        <v>298</v>
      </c>
      <c r="N215" s="51">
        <f>VLOOKUP($A215,'Data Vlaue (Cr)'!$C:$FB,64)</f>
        <v>276</v>
      </c>
      <c r="O215" s="51">
        <f>VLOOKUP($A215,'Data Vlaue (Cr)'!$C:$FB,66)*100</f>
        <v>7.79</v>
      </c>
    </row>
    <row r="216" spans="1:15" x14ac:dyDescent="0.25">
      <c r="A216" s="101" t="str">
        <f>'Data Vlaue (Cr)'!C211</f>
        <v>WIPRO</v>
      </c>
      <c r="B216" s="50">
        <f>VLOOKUP($A216,'Data Vlaue (Cr)'!$C:$FB,8)</f>
        <v>195.68</v>
      </c>
      <c r="C216" s="50">
        <f>VLOOKUP($A216,'Data Vlaue (Cr)'!$C:$FB,11)*100</f>
        <v>6.9999999999999993E-2</v>
      </c>
      <c r="D216" s="50">
        <f>VLOOKUP($A216,'Data Vlaue (Cr)'!$C:$FB,143)</f>
        <v>1926.6</v>
      </c>
      <c r="E216" s="50">
        <f>VLOOKUP($A216,'Data Vlaue (Cr)'!$C:$FB,144)</f>
        <v>3089.98</v>
      </c>
      <c r="F216" s="50">
        <f>VLOOKUP($A216,'Data Vlaue (Cr)'!$C:$FB,146)*100</f>
        <v>-37.65</v>
      </c>
      <c r="G216" s="49">
        <f>VLOOKUP($A216,'Data Vlaue (Cr)'!$C:$FB,43)</f>
        <v>444</v>
      </c>
      <c r="H216" s="49">
        <f>VLOOKUP($A216,'Data Vlaue (Cr)'!$C:$FB,44)</f>
        <v>750</v>
      </c>
      <c r="I216" s="49">
        <f>VLOOKUP($A216,'Data Vlaue (Cr)'!$C:$FB,46)*100</f>
        <v>-40.83</v>
      </c>
      <c r="J216" s="51">
        <f>VLOOKUP($A216,'Data Vlaue (Cr)'!$C:$FB,59)</f>
        <v>911</v>
      </c>
      <c r="K216" s="51">
        <f>VLOOKUP($A216,'Data Vlaue (Cr)'!$C:$FB,60)</f>
        <v>1456</v>
      </c>
      <c r="L216" s="51">
        <f>VLOOKUP($A216,'Data Vlaue (Cr)'!$C:$FB,62)*100</f>
        <v>-37.39</v>
      </c>
      <c r="M216" s="51">
        <f>VLOOKUP($A216,'Data Vlaue (Cr)'!$C:$FB,63)</f>
        <v>503</v>
      </c>
      <c r="N216" s="51">
        <f>VLOOKUP($A216,'Data Vlaue (Cr)'!$C:$FB,64)</f>
        <v>762</v>
      </c>
      <c r="O216" s="51">
        <f>VLOOKUP($A216,'Data Vlaue (Cr)'!$C:$FB,66)*100</f>
        <v>-34</v>
      </c>
    </row>
    <row r="217" spans="1:15" x14ac:dyDescent="0.25">
      <c r="A217" s="101" t="str">
        <f>'Data Vlaue (Cr)'!C213</f>
        <v>ZYDUSLIFE</v>
      </c>
      <c r="B217" s="50">
        <f>VLOOKUP($A217,'Data Vlaue (Cr)'!$C:$FB,8)</f>
        <v>914.65</v>
      </c>
      <c r="C217" s="50">
        <f>VLOOKUP($A217,'Data Vlaue (Cr)'!$C:$FB,11)*100</f>
        <v>1.9800000000000002</v>
      </c>
      <c r="D217" s="50">
        <f>VLOOKUP($A217,'Data Vlaue (Cr)'!$C:$FB,143)</f>
        <v>727.72</v>
      </c>
      <c r="E217" s="50">
        <f>VLOOKUP($A217,'Data Vlaue (Cr)'!$C:$FB,144)</f>
        <v>677.34</v>
      </c>
      <c r="F217" s="50">
        <f>VLOOKUP($A217,'Data Vlaue (Cr)'!$C:$FB,146)*100</f>
        <v>7.4399999999999995</v>
      </c>
      <c r="G217" s="49">
        <f>VLOOKUP($A217,'Data Vlaue (Cr)'!$C:$FB,43)</f>
        <v>114</v>
      </c>
      <c r="H217" s="49">
        <f>VLOOKUP($A217,'Data Vlaue (Cr)'!$C:$FB,44)</f>
        <v>166</v>
      </c>
      <c r="I217" s="49">
        <f>VLOOKUP($A217,'Data Vlaue (Cr)'!$C:$FB,46)*100</f>
        <v>-30.880000000000003</v>
      </c>
      <c r="J217" s="51">
        <f>VLOOKUP($A217,'Data Vlaue (Cr)'!$C:$FB,59)</f>
        <v>468</v>
      </c>
      <c r="K217" s="51">
        <f>VLOOKUP($A217,'Data Vlaue (Cr)'!$C:$FB,60)</f>
        <v>322</v>
      </c>
      <c r="L217" s="51">
        <f>VLOOKUP($A217,'Data Vlaue (Cr)'!$C:$FB,62)*100</f>
        <v>45.22</v>
      </c>
      <c r="M217" s="51">
        <f>VLOOKUP($A217,'Data Vlaue (Cr)'!$C:$FB,63)</f>
        <v>128</v>
      </c>
      <c r="N217" s="51">
        <f>VLOOKUP($A217,'Data Vlaue (Cr)'!$C:$FB,64)</f>
        <v>182</v>
      </c>
      <c r="O217" s="51">
        <f>VLOOKUP($A217,'Data Vlaue (Cr)'!$C:$FB,66)*100</f>
        <v>-29.5</v>
      </c>
    </row>
    <row r="218" spans="1:15" x14ac:dyDescent="0.25">
      <c r="A218" s="101"/>
      <c r="B218" s="50"/>
      <c r="C218" s="50"/>
      <c r="D218" s="50"/>
      <c r="E218" s="50"/>
      <c r="F218" s="50"/>
      <c r="G218" s="49"/>
      <c r="H218" s="49"/>
      <c r="I218" s="49"/>
      <c r="J218" s="51"/>
      <c r="K218" s="51"/>
      <c r="L218" s="51"/>
      <c r="M218" s="51"/>
      <c r="N218" s="51"/>
      <c r="O218" s="51"/>
    </row>
    <row r="219" spans="1:15" x14ac:dyDescent="0.25">
      <c r="A219" s="101"/>
      <c r="B219" s="50"/>
      <c r="C219" s="50"/>
      <c r="D219" s="50"/>
      <c r="E219" s="50"/>
      <c r="F219" s="50"/>
      <c r="G219" s="49"/>
      <c r="H219" s="49"/>
      <c r="I219" s="49"/>
      <c r="J219" s="51"/>
      <c r="K219" s="51"/>
      <c r="L219" s="51"/>
      <c r="M219" s="51"/>
      <c r="N219" s="51"/>
      <c r="O219" s="51"/>
    </row>
    <row r="220" spans="1:15" x14ac:dyDescent="0.25">
      <c r="A220" s="101"/>
      <c r="B220" s="50"/>
      <c r="C220" s="50"/>
      <c r="D220" s="50"/>
      <c r="E220" s="50"/>
      <c r="F220" s="50"/>
      <c r="G220" s="49"/>
      <c r="H220" s="49"/>
      <c r="I220" s="49"/>
      <c r="J220" s="51"/>
      <c r="K220" s="51"/>
      <c r="L220" s="51"/>
      <c r="M220" s="51"/>
      <c r="N220" s="51"/>
      <c r="O220" s="51"/>
    </row>
    <row r="221" spans="1:15" x14ac:dyDescent="0.25">
      <c r="A221" s="101"/>
      <c r="B221" s="50"/>
      <c r="C221" s="50"/>
      <c r="D221" s="50"/>
      <c r="E221" s="50"/>
      <c r="F221" s="50"/>
      <c r="G221" s="49"/>
      <c r="H221" s="49"/>
      <c r="I221" s="49"/>
      <c r="J221" s="51"/>
      <c r="K221" s="51"/>
      <c r="L221" s="51"/>
      <c r="M221" s="51"/>
      <c r="N221" s="51"/>
      <c r="O221" s="51"/>
    </row>
    <row r="222" spans="1:15" x14ac:dyDescent="0.25">
      <c r="A222" s="101"/>
      <c r="B222" s="50"/>
      <c r="C222" s="50"/>
      <c r="D222" s="50"/>
      <c r="E222" s="50"/>
      <c r="F222" s="50"/>
      <c r="G222" s="49"/>
      <c r="H222" s="49"/>
      <c r="I222" s="49"/>
      <c r="J222" s="51"/>
      <c r="K222" s="51"/>
      <c r="L222" s="51"/>
      <c r="M222" s="51"/>
      <c r="N222" s="51"/>
      <c r="O222" s="51"/>
    </row>
    <row r="223" spans="1:15" x14ac:dyDescent="0.25">
      <c r="A223" s="101"/>
      <c r="B223" s="50"/>
      <c r="C223" s="50"/>
      <c r="D223" s="50"/>
      <c r="E223" s="50"/>
      <c r="F223" s="50"/>
      <c r="G223" s="49"/>
      <c r="H223" s="49"/>
      <c r="I223" s="49"/>
      <c r="J223" s="51"/>
      <c r="K223" s="51"/>
      <c r="L223" s="51"/>
      <c r="M223" s="51"/>
      <c r="N223" s="51"/>
      <c r="O223" s="51"/>
    </row>
    <row r="224" spans="1:15" x14ac:dyDescent="0.25">
      <c r="A224" s="101"/>
      <c r="B224" s="50"/>
      <c r="C224" s="50"/>
      <c r="D224" s="50"/>
      <c r="E224" s="50"/>
      <c r="F224" s="50"/>
      <c r="G224" s="49"/>
      <c r="H224" s="49"/>
      <c r="I224" s="49"/>
      <c r="J224" s="51"/>
      <c r="K224" s="51"/>
      <c r="L224" s="51"/>
      <c r="M224" s="51"/>
      <c r="N224" s="51"/>
      <c r="O224" s="51"/>
    </row>
    <row r="225" spans="1:15" x14ac:dyDescent="0.25">
      <c r="A225" s="101"/>
      <c r="B225" s="50"/>
      <c r="C225" s="50"/>
      <c r="D225" s="50"/>
      <c r="E225" s="50"/>
      <c r="F225" s="50"/>
      <c r="G225" s="49"/>
      <c r="H225" s="49"/>
      <c r="I225" s="49"/>
      <c r="J225" s="51"/>
      <c r="K225" s="51"/>
      <c r="L225" s="51"/>
      <c r="M225" s="51"/>
      <c r="N225" s="51"/>
      <c r="O225" s="51"/>
    </row>
    <row r="226" spans="1:15" x14ac:dyDescent="0.25">
      <c r="A226" s="101"/>
      <c r="B226" s="50"/>
      <c r="C226" s="50"/>
      <c r="D226" s="50"/>
      <c r="E226" s="50"/>
      <c r="F226" s="50"/>
      <c r="G226" s="49"/>
      <c r="H226" s="49"/>
      <c r="I226" s="49"/>
      <c r="J226" s="51"/>
      <c r="K226" s="51"/>
      <c r="L226" s="51"/>
      <c r="M226" s="51"/>
      <c r="N226" s="51"/>
      <c r="O226" s="51"/>
    </row>
    <row r="227" spans="1:15" x14ac:dyDescent="0.25">
      <c r="A227" s="101"/>
      <c r="B227" s="50"/>
      <c r="C227" s="50"/>
      <c r="D227" s="50"/>
      <c r="E227" s="50"/>
      <c r="F227" s="50"/>
      <c r="G227" s="49"/>
      <c r="H227" s="49"/>
      <c r="I227" s="49"/>
      <c r="J227" s="51"/>
      <c r="K227" s="51"/>
      <c r="L227" s="51"/>
      <c r="M227" s="51"/>
      <c r="N227" s="51"/>
      <c r="O227" s="51"/>
    </row>
    <row r="228" spans="1:15" x14ac:dyDescent="0.25">
      <c r="A228" s="101"/>
      <c r="B228" s="50"/>
      <c r="C228" s="50"/>
      <c r="D228" s="50"/>
      <c r="E228" s="50"/>
      <c r="F228" s="50"/>
      <c r="G228" s="49"/>
      <c r="H228" s="49"/>
      <c r="I228" s="49"/>
      <c r="J228" s="51"/>
      <c r="K228" s="51"/>
      <c r="L228" s="51"/>
      <c r="M228" s="51"/>
      <c r="N228" s="51"/>
      <c r="O228" s="51"/>
    </row>
    <row r="229" spans="1:15" x14ac:dyDescent="0.25">
      <c r="A229" s="101"/>
      <c r="B229" s="50"/>
      <c r="C229" s="50"/>
      <c r="D229" s="50"/>
      <c r="E229" s="50"/>
      <c r="F229" s="50"/>
      <c r="G229" s="49"/>
      <c r="H229" s="49"/>
      <c r="I229" s="49"/>
      <c r="J229" s="51"/>
      <c r="K229" s="51"/>
      <c r="L229" s="51"/>
      <c r="M229" s="51"/>
      <c r="N229" s="51"/>
      <c r="O229" s="51"/>
    </row>
    <row r="230" spans="1:15" x14ac:dyDescent="0.25">
      <c r="A230" s="101"/>
      <c r="B230" s="50"/>
      <c r="C230" s="50"/>
      <c r="D230" s="50"/>
      <c r="E230" s="50"/>
      <c r="F230" s="50"/>
      <c r="G230" s="49"/>
      <c r="H230" s="49"/>
      <c r="I230" s="49"/>
      <c r="J230" s="51"/>
      <c r="K230" s="51"/>
      <c r="L230" s="51"/>
      <c r="M230" s="51"/>
      <c r="N230" s="51"/>
      <c r="O230" s="51"/>
    </row>
    <row r="231" spans="1:15" x14ac:dyDescent="0.25">
      <c r="A231" s="101"/>
      <c r="B231" s="17"/>
      <c r="C231" s="17"/>
      <c r="D231" s="17"/>
      <c r="E231" s="17"/>
      <c r="F231" s="17"/>
      <c r="G231" s="17"/>
      <c r="H231" s="17"/>
      <c r="I231" s="17"/>
      <c r="J231" s="17"/>
      <c r="K231" s="17"/>
      <c r="L231" s="17"/>
      <c r="M231" s="17"/>
      <c r="N231" s="17"/>
      <c r="O231" s="17"/>
    </row>
    <row r="232" spans="1:15" x14ac:dyDescent="0.25">
      <c r="A232" s="130" t="s">
        <v>398</v>
      </c>
      <c r="B232" s="130"/>
      <c r="C232" s="130"/>
      <c r="D232" s="131">
        <f>SUM(D7:D231)</f>
        <v>10927485.879999995</v>
      </c>
      <c r="E232" s="131">
        <f>SUM(E7:E231)</f>
        <v>9596342.6699999981</v>
      </c>
      <c r="F232" s="132">
        <f>(D232-E232)/E232</f>
        <v>0.1387135970208114</v>
      </c>
      <c r="G232" s="131">
        <f>SUM(G7:G231)</f>
        <v>132922</v>
      </c>
      <c r="H232" s="131">
        <f>SUM(H7:H231)</f>
        <v>146527</v>
      </c>
      <c r="I232" s="132">
        <f>(G232-H232)/H232</f>
        <v>-9.2849781951449217E-2</v>
      </c>
      <c r="J232" s="131">
        <f>SUM(J7:J231)</f>
        <v>6018486</v>
      </c>
      <c r="K232" s="131">
        <f>SUM(K7:K231)</f>
        <v>5298975</v>
      </c>
      <c r="L232" s="132">
        <f>(J232-K232)/K232</f>
        <v>0.13578305238277213</v>
      </c>
      <c r="M232" s="131">
        <f>SUM(M7:M231)</f>
        <v>4765461</v>
      </c>
      <c r="N232" s="131">
        <f>SUM(N7:N231)</f>
        <v>4131075</v>
      </c>
      <c r="O232" s="132">
        <f>(M232-N232)/N232</f>
        <v>0.15356438699370017</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9"/>
  <sheetViews>
    <sheetView workbookViewId="0">
      <pane ySplit="6" topLeftCell="A207" activePane="bottomLeft" state="frozen"/>
      <selection pane="bottomLeft" activeCell="N220" sqref="N220"/>
    </sheetView>
  </sheetViews>
  <sheetFormatPr defaultRowHeight="15" x14ac:dyDescent="0.25"/>
  <cols>
    <col min="1" max="1" width="14.5703125" bestFit="1" customWidth="1"/>
    <col min="2" max="3" width="9.28515625" bestFit="1" customWidth="1"/>
    <col min="4" max="4" width="12.140625" bestFit="1" customWidth="1"/>
    <col min="5" max="5" width="12.7109375" customWidth="1"/>
    <col min="6" max="6" width="10.28515625" bestFit="1" customWidth="1"/>
    <col min="7" max="8" width="12.5703125" customWidth="1"/>
    <col min="9" max="9" width="9.28515625" bestFit="1" customWidth="1"/>
    <col min="10" max="11" width="12.140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3" t="s">
        <v>315</v>
      </c>
      <c r="B3" s="300"/>
      <c r="C3" s="300"/>
      <c r="D3" s="300"/>
      <c r="E3" s="300"/>
      <c r="F3" s="300"/>
      <c r="G3" s="300"/>
      <c r="H3" s="300"/>
      <c r="I3" s="300"/>
      <c r="J3" s="300"/>
      <c r="K3" s="300"/>
      <c r="L3" s="300"/>
      <c r="M3" s="300"/>
      <c r="N3" s="300"/>
      <c r="O3" s="301"/>
    </row>
    <row r="4" spans="1:15" x14ac:dyDescent="0.25">
      <c r="A4" s="304" t="s">
        <v>330</v>
      </c>
      <c r="B4" s="304" t="s">
        <v>308</v>
      </c>
      <c r="C4" s="304"/>
      <c r="D4" s="304" t="s">
        <v>361</v>
      </c>
      <c r="E4" s="304"/>
      <c r="F4" s="304"/>
      <c r="G4" s="304"/>
      <c r="H4" s="304"/>
      <c r="I4" s="304"/>
      <c r="J4" s="304"/>
      <c r="K4" s="304"/>
      <c r="L4" s="304"/>
      <c r="M4" s="304"/>
      <c r="N4" s="304"/>
      <c r="O4" s="304"/>
    </row>
    <row r="5" spans="1:15" x14ac:dyDescent="0.25">
      <c r="A5" s="305"/>
      <c r="B5" s="305" t="s">
        <v>312</v>
      </c>
      <c r="C5" s="305"/>
      <c r="D5" s="305" t="s">
        <v>315</v>
      </c>
      <c r="E5" s="305"/>
      <c r="F5" s="305"/>
      <c r="G5" s="305" t="s">
        <v>362</v>
      </c>
      <c r="H5" s="305"/>
      <c r="I5" s="305"/>
      <c r="J5" s="305" t="s">
        <v>363</v>
      </c>
      <c r="K5" s="305"/>
      <c r="L5" s="305"/>
      <c r="M5" s="305" t="s">
        <v>364</v>
      </c>
      <c r="N5" s="305"/>
      <c r="O5" s="305"/>
    </row>
    <row r="6" spans="1:15" x14ac:dyDescent="0.25">
      <c r="A6" s="34" t="s">
        <v>318</v>
      </c>
      <c r="B6" s="21">
        <f>'Total Value'!B6</f>
        <v>46086</v>
      </c>
      <c r="C6" s="34" t="s">
        <v>328</v>
      </c>
      <c r="D6" s="21">
        <f>B6</f>
        <v>46086</v>
      </c>
      <c r="E6" s="34" t="s">
        <v>322</v>
      </c>
      <c r="F6" s="34" t="s">
        <v>328</v>
      </c>
      <c r="G6" s="21">
        <f>D6</f>
        <v>46086</v>
      </c>
      <c r="H6" s="34" t="s">
        <v>322</v>
      </c>
      <c r="I6" s="34" t="s">
        <v>328</v>
      </c>
      <c r="J6" s="21">
        <f>D6</f>
        <v>46086</v>
      </c>
      <c r="K6" s="34" t="s">
        <v>322</v>
      </c>
      <c r="L6" s="34" t="s">
        <v>328</v>
      </c>
      <c r="M6" s="21">
        <f>D6</f>
        <v>46086</v>
      </c>
      <c r="N6" s="34" t="s">
        <v>322</v>
      </c>
      <c r="O6" s="34" t="s">
        <v>328</v>
      </c>
    </row>
    <row r="7" spans="1:15" x14ac:dyDescent="0.25">
      <c r="A7" s="101" t="str">
        <f>'Data Vlaue (Cr)'!C2</f>
        <v>360ONE</v>
      </c>
      <c r="B7" s="50">
        <f>VLOOKUP($A7,'Data shares'!$C:$FB,7)</f>
        <v>1081</v>
      </c>
      <c r="C7" s="50">
        <f>VLOOKUP($A7,'Data shares'!$C:$FB,10)*100</f>
        <v>1.37</v>
      </c>
      <c r="D7" s="49">
        <f>VLOOKUP($A7,'Data shares'!$C:$FB,66)</f>
        <v>1090000</v>
      </c>
      <c r="E7" s="49">
        <f>VLOOKUP($A7,'Data shares'!$C:$FB,67)</f>
        <v>2311000</v>
      </c>
      <c r="F7" s="50">
        <f>VLOOKUP($A7,'Data shares'!$C:$FB,69)*100</f>
        <v>-52.83</v>
      </c>
      <c r="G7" s="49">
        <f>VLOOKUP($A7,'Data shares'!$C:$FB,42)</f>
        <v>494500</v>
      </c>
      <c r="H7" s="49">
        <f>VLOOKUP($A7,'Data shares'!$C:$FB,43)</f>
        <v>947000</v>
      </c>
      <c r="I7" s="50">
        <f>VLOOKUP($A7,'Data shares'!$C:$FB,45)*100</f>
        <v>-47.78</v>
      </c>
      <c r="J7" s="49">
        <f>VLOOKUP($A7,'Data shares'!$C:$FB,58)</f>
        <v>482500</v>
      </c>
      <c r="K7" s="49">
        <f>VLOOKUP($A7,'Data shares'!$C:$FB,59)</f>
        <v>814000</v>
      </c>
      <c r="L7" s="50">
        <f>VLOOKUP($A7,'Data shares'!$C:$FB,61)*100</f>
        <v>-40.72</v>
      </c>
      <c r="M7" s="49">
        <f>VLOOKUP($A7,'Data shares'!$C:$FB,62)</f>
        <v>113000</v>
      </c>
      <c r="N7" s="49">
        <f>VLOOKUP($A7,'Data shares'!$C:$FB,63)</f>
        <v>550000</v>
      </c>
      <c r="O7" s="140">
        <f>VLOOKUP($A7,'Data shares'!$C:$FB,65)*100</f>
        <v>-79.45</v>
      </c>
    </row>
    <row r="8" spans="1:15" x14ac:dyDescent="0.25">
      <c r="A8" s="101" t="str">
        <f>'Data Vlaue (Cr)'!C3</f>
        <v>ABB</v>
      </c>
      <c r="B8" s="50">
        <f>VLOOKUP($A8,'Data shares'!$C:$FB,7)</f>
        <v>5929</v>
      </c>
      <c r="C8" s="50">
        <f>VLOOKUP($A8,'Data shares'!$C:$FB,10)*100</f>
        <v>1.69</v>
      </c>
      <c r="D8" s="49">
        <f>VLOOKUP($A8,'Data shares'!$C:$FB,66)</f>
        <v>2040500</v>
      </c>
      <c r="E8" s="49">
        <f>VLOOKUP($A8,'Data shares'!$C:$FB,67)</f>
        <v>2572000</v>
      </c>
      <c r="F8" s="50">
        <f>VLOOKUP($A8,'Data shares'!$C:$FB,69)*100</f>
        <v>-20.66</v>
      </c>
      <c r="G8" s="49">
        <f>VLOOKUP($A8,'Data shares'!$C:$FB,42)</f>
        <v>388375</v>
      </c>
      <c r="H8" s="49">
        <f>VLOOKUP($A8,'Data shares'!$C:$FB,43)</f>
        <v>396000</v>
      </c>
      <c r="I8" s="50">
        <f>VLOOKUP($A8,'Data shares'!$C:$FB,45)*100</f>
        <v>-1.9300000000000002</v>
      </c>
      <c r="J8" s="49">
        <f>VLOOKUP($A8,'Data shares'!$C:$FB,58)</f>
        <v>996875</v>
      </c>
      <c r="K8" s="49">
        <f>VLOOKUP($A8,'Data shares'!$C:$FB,59)</f>
        <v>1057875</v>
      </c>
      <c r="L8" s="50">
        <f>VLOOKUP($A8,'Data shares'!$C:$FB,61)*100</f>
        <v>-5.7700000000000005</v>
      </c>
      <c r="M8" s="49">
        <f>VLOOKUP($A8,'Data shares'!$C:$FB,62)</f>
        <v>655250</v>
      </c>
      <c r="N8" s="49">
        <f>VLOOKUP($A8,'Data shares'!$C:$FB,63)</f>
        <v>1118125</v>
      </c>
      <c r="O8" s="140">
        <f>VLOOKUP($A8,'Data shares'!$C:$FB,65)*100</f>
        <v>-41.4</v>
      </c>
    </row>
    <row r="9" spans="1:15" x14ac:dyDescent="0.25">
      <c r="A9" s="101" t="str">
        <f>'Data Vlaue (Cr)'!C4</f>
        <v>ABCAPITAL</v>
      </c>
      <c r="B9" s="50">
        <f>VLOOKUP($A9,'Data shares'!$C:$FB,7)</f>
        <v>327.60000000000002</v>
      </c>
      <c r="C9" s="50">
        <f>VLOOKUP($A9,'Data shares'!$C:$FB,10)*100</f>
        <v>1.8800000000000001</v>
      </c>
      <c r="D9" s="49">
        <f>VLOOKUP($A9,'Data shares'!$C:$FB,66)</f>
        <v>32162500</v>
      </c>
      <c r="E9" s="49">
        <f>VLOOKUP($A9,'Data shares'!$C:$FB,67)</f>
        <v>67914800</v>
      </c>
      <c r="F9" s="50">
        <f>VLOOKUP($A9,'Data shares'!$C:$FB,69)*100</f>
        <v>-52.64</v>
      </c>
      <c r="G9" s="49">
        <f>VLOOKUP($A9,'Data shares'!$C:$FB,42)</f>
        <v>10323000</v>
      </c>
      <c r="H9" s="49">
        <f>VLOOKUP($A9,'Data shares'!$C:$FB,43)</f>
        <v>13835300</v>
      </c>
      <c r="I9" s="50">
        <f>VLOOKUP($A9,'Data shares'!$C:$FB,45)*100</f>
        <v>-25.39</v>
      </c>
      <c r="J9" s="49">
        <f>VLOOKUP($A9,'Data shares'!$C:$FB,58)</f>
        <v>14334400</v>
      </c>
      <c r="K9" s="49">
        <f>VLOOKUP($A9,'Data shares'!$C:$FB,59)</f>
        <v>36356800</v>
      </c>
      <c r="L9" s="50">
        <f>VLOOKUP($A9,'Data shares'!$C:$FB,61)*100</f>
        <v>-60.57</v>
      </c>
      <c r="M9" s="49">
        <f>VLOOKUP($A9,'Data shares'!$C:$FB,62)</f>
        <v>7505100</v>
      </c>
      <c r="N9" s="49">
        <f>VLOOKUP($A9,'Data shares'!$C:$FB,63)</f>
        <v>17722700</v>
      </c>
      <c r="O9" s="140">
        <f>VLOOKUP($A9,'Data shares'!$C:$FB,65)*100</f>
        <v>-57.65</v>
      </c>
    </row>
    <row r="10" spans="1:15" x14ac:dyDescent="0.25">
      <c r="A10" s="101" t="str">
        <f>'Data Vlaue (Cr)'!C5</f>
        <v>ADANIENSOL</v>
      </c>
      <c r="B10" s="50">
        <f>VLOOKUP($A10,'Data shares'!$C:$FB,7)</f>
        <v>987.9</v>
      </c>
      <c r="C10" s="50">
        <f>VLOOKUP($A10,'Data shares'!$C:$FB,10)*100</f>
        <v>2.85</v>
      </c>
      <c r="D10" s="49">
        <f>VLOOKUP($A10,'Data shares'!$C:$FB,66)</f>
        <v>4795875</v>
      </c>
      <c r="E10" s="49">
        <f>VLOOKUP($A10,'Data shares'!$C:$FB,67)</f>
        <v>7158375</v>
      </c>
      <c r="F10" s="50">
        <f>VLOOKUP($A10,'Data shares'!$C:$FB,69)*100</f>
        <v>-33</v>
      </c>
      <c r="G10" s="49">
        <f>VLOOKUP($A10,'Data shares'!$C:$FB,42)</f>
        <v>1522125</v>
      </c>
      <c r="H10" s="49">
        <f>VLOOKUP($A10,'Data shares'!$C:$FB,43)</f>
        <v>1954800</v>
      </c>
      <c r="I10" s="50">
        <f>VLOOKUP($A10,'Data shares'!$C:$FB,45)*100</f>
        <v>-22.13</v>
      </c>
      <c r="J10" s="49">
        <f>VLOOKUP($A10,'Data shares'!$C:$FB,58)</f>
        <v>1972350</v>
      </c>
      <c r="K10" s="49">
        <f>VLOOKUP($A10,'Data shares'!$C:$FB,59)</f>
        <v>2710800</v>
      </c>
      <c r="L10" s="50">
        <f>VLOOKUP($A10,'Data shares'!$C:$FB,61)*100</f>
        <v>-27.24</v>
      </c>
      <c r="M10" s="49">
        <f>VLOOKUP($A10,'Data shares'!$C:$FB,62)</f>
        <v>1301400</v>
      </c>
      <c r="N10" s="49">
        <f>VLOOKUP($A10,'Data shares'!$C:$FB,63)</f>
        <v>2492775</v>
      </c>
      <c r="O10" s="140">
        <f>VLOOKUP($A10,'Data shares'!$C:$FB,65)*100</f>
        <v>-47.79</v>
      </c>
    </row>
    <row r="11" spans="1:15" x14ac:dyDescent="0.25">
      <c r="A11" s="101" t="str">
        <f>'Data Vlaue (Cr)'!C6</f>
        <v>ADANIENT</v>
      </c>
      <c r="B11" s="50">
        <f>VLOOKUP($A11,'Data shares'!$C:$FB,7)</f>
        <v>2089.1999999999998</v>
      </c>
      <c r="C11" s="50">
        <f>VLOOKUP($A11,'Data shares'!$C:$FB,10)*100</f>
        <v>0.61</v>
      </c>
      <c r="D11" s="49">
        <f>VLOOKUP($A11,'Data shares'!$C:$FB,66)</f>
        <v>13992138</v>
      </c>
      <c r="E11" s="49">
        <f>VLOOKUP($A11,'Data shares'!$C:$FB,67)</f>
        <v>12114963</v>
      </c>
      <c r="F11" s="50">
        <f>VLOOKUP($A11,'Data shares'!$C:$FB,69)*100</f>
        <v>15.49</v>
      </c>
      <c r="G11" s="49">
        <f>VLOOKUP($A11,'Data shares'!$C:$FB,42)</f>
        <v>2391042</v>
      </c>
      <c r="H11" s="49">
        <f>VLOOKUP($A11,'Data shares'!$C:$FB,43)</f>
        <v>2785017</v>
      </c>
      <c r="I11" s="50">
        <f>VLOOKUP($A11,'Data shares'!$C:$FB,45)*100</f>
        <v>-14.149999999999999</v>
      </c>
      <c r="J11" s="49">
        <f>VLOOKUP($A11,'Data shares'!$C:$FB,58)</f>
        <v>6942921</v>
      </c>
      <c r="K11" s="49">
        <f>VLOOKUP($A11,'Data shares'!$C:$FB,59)</f>
        <v>4728318</v>
      </c>
      <c r="L11" s="50">
        <f>VLOOKUP($A11,'Data shares'!$C:$FB,61)*100</f>
        <v>46.839999999999996</v>
      </c>
      <c r="M11" s="49">
        <f>VLOOKUP($A11,'Data shares'!$C:$FB,62)</f>
        <v>4658175</v>
      </c>
      <c r="N11" s="49">
        <f>VLOOKUP($A11,'Data shares'!$C:$FB,63)</f>
        <v>4601628</v>
      </c>
      <c r="O11" s="140">
        <f>VLOOKUP($A11,'Data shares'!$C:$FB,65)*100</f>
        <v>1.23</v>
      </c>
    </row>
    <row r="12" spans="1:15" x14ac:dyDescent="0.25">
      <c r="A12" s="101" t="str">
        <f>'Data Vlaue (Cr)'!C7</f>
        <v>ADANIGREEN</v>
      </c>
      <c r="B12" s="50">
        <f>VLOOKUP($A12,'Data shares'!$C:$FB,7)</f>
        <v>884.55</v>
      </c>
      <c r="C12" s="50">
        <f>VLOOKUP($A12,'Data shares'!$C:$FB,10)*100</f>
        <v>1.4500000000000002</v>
      </c>
      <c r="D12" s="49">
        <f>VLOOKUP($A12,'Data shares'!$C:$FB,66)</f>
        <v>15218400</v>
      </c>
      <c r="E12" s="49">
        <f>VLOOKUP($A12,'Data shares'!$C:$FB,67)</f>
        <v>10039800</v>
      </c>
      <c r="F12" s="50">
        <f>VLOOKUP($A12,'Data shares'!$C:$FB,69)*100</f>
        <v>51.580000000000005</v>
      </c>
      <c r="G12" s="49">
        <f>VLOOKUP($A12,'Data shares'!$C:$FB,42)</f>
        <v>3384600</v>
      </c>
      <c r="H12" s="49">
        <f>VLOOKUP($A12,'Data shares'!$C:$FB,43)</f>
        <v>1855200</v>
      </c>
      <c r="I12" s="50">
        <f>VLOOKUP($A12,'Data shares'!$C:$FB,45)*100</f>
        <v>82.44</v>
      </c>
      <c r="J12" s="49">
        <f>VLOOKUP($A12,'Data shares'!$C:$FB,58)</f>
        <v>8534400</v>
      </c>
      <c r="K12" s="49">
        <f>VLOOKUP($A12,'Data shares'!$C:$FB,59)</f>
        <v>4591800</v>
      </c>
      <c r="L12" s="50">
        <f>VLOOKUP($A12,'Data shares'!$C:$FB,61)*100</f>
        <v>85.86</v>
      </c>
      <c r="M12" s="49">
        <f>VLOOKUP($A12,'Data shares'!$C:$FB,62)</f>
        <v>3299400</v>
      </c>
      <c r="N12" s="49">
        <f>VLOOKUP($A12,'Data shares'!$C:$FB,63)</f>
        <v>3592800</v>
      </c>
      <c r="O12" s="140">
        <f>VLOOKUP($A12,'Data shares'!$C:$FB,65)*100</f>
        <v>-8.17</v>
      </c>
    </row>
    <row r="13" spans="1:15" x14ac:dyDescent="0.25">
      <c r="A13" s="101" t="str">
        <f>'Data Vlaue (Cr)'!C8</f>
        <v>ADANIPORTS</v>
      </c>
      <c r="B13" s="50">
        <f>VLOOKUP($A13,'Data shares'!$C:$FB,7)</f>
        <v>1499.3</v>
      </c>
      <c r="C13" s="50">
        <f>VLOOKUP($A13,'Data shares'!$C:$FB,10)*100</f>
        <v>4.5199999999999996</v>
      </c>
      <c r="D13" s="49">
        <f>VLOOKUP($A13,'Data shares'!$C:$FB,66)</f>
        <v>26014325</v>
      </c>
      <c r="E13" s="49">
        <f>VLOOKUP($A13,'Data shares'!$C:$FB,67)</f>
        <v>29246225</v>
      </c>
      <c r="F13" s="50">
        <f>VLOOKUP($A13,'Data shares'!$C:$FB,69)*100</f>
        <v>-11.05</v>
      </c>
      <c r="G13" s="49">
        <f>VLOOKUP($A13,'Data shares'!$C:$FB,42)</f>
        <v>4550975</v>
      </c>
      <c r="H13" s="49">
        <f>VLOOKUP($A13,'Data shares'!$C:$FB,43)</f>
        <v>4163375</v>
      </c>
      <c r="I13" s="50">
        <f>VLOOKUP($A13,'Data shares'!$C:$FB,45)*100</f>
        <v>9.31</v>
      </c>
      <c r="J13" s="49">
        <f>VLOOKUP($A13,'Data shares'!$C:$FB,58)</f>
        <v>11724900</v>
      </c>
      <c r="K13" s="49">
        <f>VLOOKUP($A13,'Data shares'!$C:$FB,59)</f>
        <v>9642500</v>
      </c>
      <c r="L13" s="50">
        <f>VLOOKUP($A13,'Data shares'!$C:$FB,61)*100</f>
        <v>21.6</v>
      </c>
      <c r="M13" s="49">
        <f>VLOOKUP($A13,'Data shares'!$C:$FB,62)</f>
        <v>9738450</v>
      </c>
      <c r="N13" s="49">
        <f>VLOOKUP($A13,'Data shares'!$C:$FB,63)</f>
        <v>15440350</v>
      </c>
      <c r="O13" s="140">
        <f>VLOOKUP($A13,'Data shares'!$C:$FB,65)*100</f>
        <v>-36.93</v>
      </c>
    </row>
    <row r="14" spans="1:15" x14ac:dyDescent="0.25">
      <c r="A14" s="101" t="str">
        <f>'Data Vlaue (Cr)'!C9</f>
        <v>ALKEM</v>
      </c>
      <c r="B14" s="50">
        <f>VLOOKUP($A14,'Data shares'!$C:$FB,7)</f>
        <v>5550</v>
      </c>
      <c r="C14" s="50">
        <f>VLOOKUP($A14,'Data shares'!$C:$FB,10)*100</f>
        <v>1.53</v>
      </c>
      <c r="D14" s="49">
        <f>VLOOKUP($A14,'Data shares'!$C:$FB,66)</f>
        <v>378750</v>
      </c>
      <c r="E14" s="49">
        <f>VLOOKUP($A14,'Data shares'!$C:$FB,67)</f>
        <v>415125</v>
      </c>
      <c r="F14" s="50">
        <f>VLOOKUP($A14,'Data shares'!$C:$FB,69)*100</f>
        <v>-8.76</v>
      </c>
      <c r="G14" s="49">
        <f>VLOOKUP($A14,'Data shares'!$C:$FB,42)</f>
        <v>112000</v>
      </c>
      <c r="H14" s="49">
        <f>VLOOKUP($A14,'Data shares'!$C:$FB,43)</f>
        <v>119500</v>
      </c>
      <c r="I14" s="50">
        <f>VLOOKUP($A14,'Data shares'!$C:$FB,45)*100</f>
        <v>-6.2799999999999994</v>
      </c>
      <c r="J14" s="49">
        <f>VLOOKUP($A14,'Data shares'!$C:$FB,58)</f>
        <v>219875</v>
      </c>
      <c r="K14" s="49">
        <f>VLOOKUP($A14,'Data shares'!$C:$FB,59)</f>
        <v>169500</v>
      </c>
      <c r="L14" s="50">
        <f>VLOOKUP($A14,'Data shares'!$C:$FB,61)*100</f>
        <v>29.720000000000002</v>
      </c>
      <c r="M14" s="49">
        <f>VLOOKUP($A14,'Data shares'!$C:$FB,62)</f>
        <v>46875</v>
      </c>
      <c r="N14" s="49">
        <f>VLOOKUP($A14,'Data shares'!$C:$FB,63)</f>
        <v>126125</v>
      </c>
      <c r="O14" s="140">
        <f>VLOOKUP($A14,'Data shares'!$C:$FB,65)*100</f>
        <v>-62.83</v>
      </c>
    </row>
    <row r="15" spans="1:15" x14ac:dyDescent="0.25">
      <c r="A15" s="101" t="str">
        <f>'Data Vlaue (Cr)'!C10</f>
        <v>AMBER</v>
      </c>
      <c r="B15" s="50">
        <f>VLOOKUP($A15,'Data shares'!$C:$FB,7)</f>
        <v>7825.5</v>
      </c>
      <c r="C15" s="50">
        <f>VLOOKUP($A15,'Data shares'!$C:$FB,10)*100</f>
        <v>2.1999999999999997</v>
      </c>
      <c r="D15" s="49">
        <f>VLOOKUP($A15,'Data shares'!$C:$FB,66)</f>
        <v>1898000</v>
      </c>
      <c r="E15" s="49">
        <f>VLOOKUP($A15,'Data shares'!$C:$FB,67)</f>
        <v>1459800</v>
      </c>
      <c r="F15" s="50">
        <f>VLOOKUP($A15,'Data shares'!$C:$FB,69)*100</f>
        <v>30.020000000000003</v>
      </c>
      <c r="G15" s="49">
        <f>VLOOKUP($A15,'Data shares'!$C:$FB,42)</f>
        <v>407100</v>
      </c>
      <c r="H15" s="49">
        <f>VLOOKUP($A15,'Data shares'!$C:$FB,43)</f>
        <v>312000</v>
      </c>
      <c r="I15" s="50">
        <f>VLOOKUP($A15,'Data shares'!$C:$FB,45)*100</f>
        <v>30.48</v>
      </c>
      <c r="J15" s="49">
        <f>VLOOKUP($A15,'Data shares'!$C:$FB,58)</f>
        <v>1053700</v>
      </c>
      <c r="K15" s="49">
        <f>VLOOKUP($A15,'Data shares'!$C:$FB,59)</f>
        <v>683500</v>
      </c>
      <c r="L15" s="50">
        <f>VLOOKUP($A15,'Data shares'!$C:$FB,61)*100</f>
        <v>54.16</v>
      </c>
      <c r="M15" s="49">
        <f>VLOOKUP($A15,'Data shares'!$C:$FB,62)</f>
        <v>437200</v>
      </c>
      <c r="N15" s="49">
        <f>VLOOKUP($A15,'Data shares'!$C:$FB,63)</f>
        <v>464300</v>
      </c>
      <c r="O15" s="140">
        <f>VLOOKUP($A15,'Data shares'!$C:$FB,65)*100</f>
        <v>-5.84</v>
      </c>
    </row>
    <row r="16" spans="1:15" x14ac:dyDescent="0.25">
      <c r="A16" s="101" t="str">
        <f>'Data Vlaue (Cr)'!C11</f>
        <v>AMBUJACEM</v>
      </c>
      <c r="B16" s="50">
        <f>VLOOKUP($A16,'Data shares'!$C:$FB,7)</f>
        <v>480</v>
      </c>
      <c r="C16" s="50">
        <f>VLOOKUP($A16,'Data shares'!$C:$FB,10)*100</f>
        <v>0.80999999999999994</v>
      </c>
      <c r="D16" s="49">
        <f>VLOOKUP($A16,'Data shares'!$C:$FB,66)</f>
        <v>15527400</v>
      </c>
      <c r="E16" s="49">
        <f>VLOOKUP($A16,'Data shares'!$C:$FB,67)</f>
        <v>19304250</v>
      </c>
      <c r="F16" s="50">
        <f>VLOOKUP($A16,'Data shares'!$C:$FB,69)*100</f>
        <v>-19.559999999999999</v>
      </c>
      <c r="G16" s="49">
        <f>VLOOKUP($A16,'Data shares'!$C:$FB,42)</f>
        <v>4725000</v>
      </c>
      <c r="H16" s="49">
        <f>VLOOKUP($A16,'Data shares'!$C:$FB,43)</f>
        <v>6052200</v>
      </c>
      <c r="I16" s="50">
        <f>VLOOKUP($A16,'Data shares'!$C:$FB,45)*100</f>
        <v>-21.93</v>
      </c>
      <c r="J16" s="49">
        <f>VLOOKUP($A16,'Data shares'!$C:$FB,58)</f>
        <v>7663950</v>
      </c>
      <c r="K16" s="49">
        <f>VLOOKUP($A16,'Data shares'!$C:$FB,59)</f>
        <v>9104550</v>
      </c>
      <c r="L16" s="50">
        <f>VLOOKUP($A16,'Data shares'!$C:$FB,61)*100</f>
        <v>-15.82</v>
      </c>
      <c r="M16" s="49">
        <f>VLOOKUP($A16,'Data shares'!$C:$FB,62)</f>
        <v>3138450</v>
      </c>
      <c r="N16" s="49">
        <f>VLOOKUP($A16,'Data shares'!$C:$FB,63)</f>
        <v>4147500</v>
      </c>
      <c r="O16" s="140">
        <f>VLOOKUP($A16,'Data shares'!$C:$FB,65)*100</f>
        <v>-24.33</v>
      </c>
    </row>
    <row r="17" spans="1:15" x14ac:dyDescent="0.25">
      <c r="A17" s="101" t="str">
        <f>'Data Vlaue (Cr)'!C12</f>
        <v>ANGELONE</v>
      </c>
      <c r="B17" s="50">
        <f>VLOOKUP($A17,'Data shares'!$C:$FB,7)</f>
        <v>224.68</v>
      </c>
      <c r="C17" s="50">
        <f>VLOOKUP($A17,'Data shares'!$C:$FB,10)*100</f>
        <v>1.32</v>
      </c>
      <c r="D17" s="49">
        <f>VLOOKUP($A17,'Data shares'!$C:$FB,66)</f>
        <v>27280000</v>
      </c>
      <c r="E17" s="49">
        <f>VLOOKUP($A17,'Data shares'!$C:$FB,67)</f>
        <v>50410000</v>
      </c>
      <c r="F17" s="50">
        <f>VLOOKUP($A17,'Data shares'!$C:$FB,69)*100</f>
        <v>-45.879999999999995</v>
      </c>
      <c r="G17" s="49">
        <f>VLOOKUP($A17,'Data shares'!$C:$FB,42)</f>
        <v>11122500</v>
      </c>
      <c r="H17" s="49">
        <f>VLOOKUP($A17,'Data shares'!$C:$FB,43)</f>
        <v>20657500</v>
      </c>
      <c r="I17" s="50">
        <f>VLOOKUP($A17,'Data shares'!$C:$FB,45)*100</f>
        <v>-46.160000000000004</v>
      </c>
      <c r="J17" s="49">
        <f>VLOOKUP($A17,'Data shares'!$C:$FB,58)</f>
        <v>12457500</v>
      </c>
      <c r="K17" s="49">
        <f>VLOOKUP($A17,'Data shares'!$C:$FB,59)</f>
        <v>19760000</v>
      </c>
      <c r="L17" s="50">
        <f>VLOOKUP($A17,'Data shares'!$C:$FB,61)*100</f>
        <v>-36.96</v>
      </c>
      <c r="M17" s="49">
        <f>VLOOKUP($A17,'Data shares'!$C:$FB,62)</f>
        <v>3700000</v>
      </c>
      <c r="N17" s="49">
        <f>VLOOKUP($A17,'Data shares'!$C:$FB,63)</f>
        <v>9992500</v>
      </c>
      <c r="O17" s="140">
        <f>VLOOKUP($A17,'Data shares'!$C:$FB,65)*100</f>
        <v>-62.970000000000006</v>
      </c>
    </row>
    <row r="18" spans="1:15" x14ac:dyDescent="0.25">
      <c r="A18" s="101" t="str">
        <f>'Data Vlaue (Cr)'!C13</f>
        <v>APLAPOLLO</v>
      </c>
      <c r="B18" s="50">
        <f>VLOOKUP($A18,'Data shares'!$C:$FB,7)</f>
        <v>2161.3000000000002</v>
      </c>
      <c r="C18" s="50">
        <f>VLOOKUP($A18,'Data shares'!$C:$FB,10)*100</f>
        <v>1.96</v>
      </c>
      <c r="D18" s="49">
        <f>VLOOKUP($A18,'Data shares'!$C:$FB,66)</f>
        <v>1823150</v>
      </c>
      <c r="E18" s="49">
        <f>VLOOKUP($A18,'Data shares'!$C:$FB,67)</f>
        <v>9112950</v>
      </c>
      <c r="F18" s="50">
        <f>VLOOKUP($A18,'Data shares'!$C:$FB,69)*100</f>
        <v>-79.990000000000009</v>
      </c>
      <c r="G18" s="49">
        <f>VLOOKUP($A18,'Data shares'!$C:$FB,42)</f>
        <v>494900</v>
      </c>
      <c r="H18" s="49">
        <f>VLOOKUP($A18,'Data shares'!$C:$FB,43)</f>
        <v>1790250</v>
      </c>
      <c r="I18" s="50">
        <f>VLOOKUP($A18,'Data shares'!$C:$FB,45)*100</f>
        <v>-72.36</v>
      </c>
      <c r="J18" s="49">
        <f>VLOOKUP($A18,'Data shares'!$C:$FB,58)</f>
        <v>698250</v>
      </c>
      <c r="K18" s="49">
        <f>VLOOKUP($A18,'Data shares'!$C:$FB,59)</f>
        <v>3601500</v>
      </c>
      <c r="L18" s="50">
        <f>VLOOKUP($A18,'Data shares'!$C:$FB,61)*100</f>
        <v>-80.61</v>
      </c>
      <c r="M18" s="49">
        <f>VLOOKUP($A18,'Data shares'!$C:$FB,62)</f>
        <v>630000</v>
      </c>
      <c r="N18" s="49">
        <f>VLOOKUP($A18,'Data shares'!$C:$FB,63)</f>
        <v>3721200</v>
      </c>
      <c r="O18" s="140">
        <f>VLOOKUP($A18,'Data shares'!$C:$FB,65)*100</f>
        <v>-83.07</v>
      </c>
    </row>
    <row r="19" spans="1:15" x14ac:dyDescent="0.25">
      <c r="A19" s="101" t="str">
        <f>'Data Vlaue (Cr)'!C14</f>
        <v>APOLLOHOSP</v>
      </c>
      <c r="B19" s="50">
        <f>VLOOKUP($A19,'Data shares'!$C:$FB,7)</f>
        <v>7775</v>
      </c>
      <c r="C19" s="50">
        <f>VLOOKUP($A19,'Data shares'!$C:$FB,10)*100</f>
        <v>1.4200000000000002</v>
      </c>
      <c r="D19" s="49">
        <f>VLOOKUP($A19,'Data shares'!$C:$FB,66)</f>
        <v>3149625</v>
      </c>
      <c r="E19" s="49">
        <f>VLOOKUP($A19,'Data shares'!$C:$FB,67)</f>
        <v>4595250</v>
      </c>
      <c r="F19" s="50">
        <f>VLOOKUP($A19,'Data shares'!$C:$FB,69)*100</f>
        <v>-31.46</v>
      </c>
      <c r="G19" s="49">
        <f>VLOOKUP($A19,'Data shares'!$C:$FB,42)</f>
        <v>460125</v>
      </c>
      <c r="H19" s="49">
        <f>VLOOKUP($A19,'Data shares'!$C:$FB,43)</f>
        <v>614750</v>
      </c>
      <c r="I19" s="50">
        <f>VLOOKUP($A19,'Data shares'!$C:$FB,45)*100</f>
        <v>-25.15</v>
      </c>
      <c r="J19" s="49">
        <f>VLOOKUP($A19,'Data shares'!$C:$FB,58)</f>
        <v>1709250</v>
      </c>
      <c r="K19" s="49">
        <f>VLOOKUP($A19,'Data shares'!$C:$FB,59)</f>
        <v>2291625</v>
      </c>
      <c r="L19" s="50">
        <f>VLOOKUP($A19,'Data shares'!$C:$FB,61)*100</f>
        <v>-25.41</v>
      </c>
      <c r="M19" s="49">
        <f>VLOOKUP($A19,'Data shares'!$C:$FB,62)</f>
        <v>980250</v>
      </c>
      <c r="N19" s="49">
        <f>VLOOKUP($A19,'Data shares'!$C:$FB,63)</f>
        <v>1688875</v>
      </c>
      <c r="O19" s="140">
        <f>VLOOKUP($A19,'Data shares'!$C:$FB,65)*100</f>
        <v>-41.959999999999994</v>
      </c>
    </row>
    <row r="20" spans="1:15" x14ac:dyDescent="0.25">
      <c r="A20" s="101" t="str">
        <f>'Data Vlaue (Cr)'!C15</f>
        <v>ASHOKLEY</v>
      </c>
      <c r="B20" s="50">
        <f>VLOOKUP($A20,'Data shares'!$C:$FB,7)</f>
        <v>203.04</v>
      </c>
      <c r="C20" s="50">
        <f>VLOOKUP($A20,'Data shares'!$C:$FB,10)*100</f>
        <v>1.29</v>
      </c>
      <c r="D20" s="49">
        <f>VLOOKUP($A20,'Data shares'!$C:$FB,66)</f>
        <v>123080000</v>
      </c>
      <c r="E20" s="49">
        <f>VLOOKUP($A20,'Data shares'!$C:$FB,67)</f>
        <v>183425000</v>
      </c>
      <c r="F20" s="50">
        <f>VLOOKUP($A20,'Data shares'!$C:$FB,69)*100</f>
        <v>-32.9</v>
      </c>
      <c r="G20" s="49">
        <f>VLOOKUP($A20,'Data shares'!$C:$FB,42)</f>
        <v>27245000</v>
      </c>
      <c r="H20" s="49">
        <f>VLOOKUP($A20,'Data shares'!$C:$FB,43)</f>
        <v>42565000</v>
      </c>
      <c r="I20" s="50">
        <f>VLOOKUP($A20,'Data shares'!$C:$FB,45)*100</f>
        <v>-35.99</v>
      </c>
      <c r="J20" s="49">
        <f>VLOOKUP($A20,'Data shares'!$C:$FB,58)</f>
        <v>60960000</v>
      </c>
      <c r="K20" s="49">
        <f>VLOOKUP($A20,'Data shares'!$C:$FB,59)</f>
        <v>85445000</v>
      </c>
      <c r="L20" s="50">
        <f>VLOOKUP($A20,'Data shares'!$C:$FB,61)*100</f>
        <v>-28.660000000000004</v>
      </c>
      <c r="M20" s="49">
        <f>VLOOKUP($A20,'Data shares'!$C:$FB,62)</f>
        <v>34875000</v>
      </c>
      <c r="N20" s="49">
        <f>VLOOKUP($A20,'Data shares'!$C:$FB,63)</f>
        <v>55415000</v>
      </c>
      <c r="O20" s="140">
        <f>VLOOKUP($A20,'Data shares'!$C:$FB,65)*100</f>
        <v>-37.07</v>
      </c>
    </row>
    <row r="21" spans="1:15" x14ac:dyDescent="0.25">
      <c r="A21" s="101" t="str">
        <f>'Data Vlaue (Cr)'!C16</f>
        <v>ASIANPAINT</v>
      </c>
      <c r="B21" s="50">
        <f>VLOOKUP($A21,'Data shares'!$C:$FB,7)</f>
        <v>2287.8000000000002</v>
      </c>
      <c r="C21" s="50">
        <f>VLOOKUP($A21,'Data shares'!$C:$FB,10)*100</f>
        <v>0.11</v>
      </c>
      <c r="D21" s="49">
        <f>VLOOKUP($A21,'Data shares'!$C:$FB,66)</f>
        <v>10783500</v>
      </c>
      <c r="E21" s="49">
        <f>VLOOKUP($A21,'Data shares'!$C:$FB,67)</f>
        <v>16620500</v>
      </c>
      <c r="F21" s="50">
        <f>VLOOKUP($A21,'Data shares'!$C:$FB,69)*100</f>
        <v>-35.120000000000005</v>
      </c>
      <c r="G21" s="49">
        <f>VLOOKUP($A21,'Data shares'!$C:$FB,42)</f>
        <v>1363250</v>
      </c>
      <c r="H21" s="49">
        <f>VLOOKUP($A21,'Data shares'!$C:$FB,43)</f>
        <v>1938500</v>
      </c>
      <c r="I21" s="50">
        <f>VLOOKUP($A21,'Data shares'!$C:$FB,45)*100</f>
        <v>-29.68</v>
      </c>
      <c r="J21" s="49">
        <f>VLOOKUP($A21,'Data shares'!$C:$FB,58)</f>
        <v>5003250</v>
      </c>
      <c r="K21" s="49">
        <f>VLOOKUP($A21,'Data shares'!$C:$FB,59)</f>
        <v>5579750</v>
      </c>
      <c r="L21" s="50">
        <f>VLOOKUP($A21,'Data shares'!$C:$FB,61)*100</f>
        <v>-10.33</v>
      </c>
      <c r="M21" s="49">
        <f>VLOOKUP($A21,'Data shares'!$C:$FB,62)</f>
        <v>4417000</v>
      </c>
      <c r="N21" s="49">
        <f>VLOOKUP($A21,'Data shares'!$C:$FB,63)</f>
        <v>9102250</v>
      </c>
      <c r="O21" s="140">
        <f>VLOOKUP($A21,'Data shares'!$C:$FB,65)*100</f>
        <v>-51.470000000000006</v>
      </c>
    </row>
    <row r="22" spans="1:15" x14ac:dyDescent="0.25">
      <c r="A22" s="101" t="str">
        <f>'Data Vlaue (Cr)'!C17</f>
        <v>ASTRAL</v>
      </c>
      <c r="B22" s="50">
        <f>VLOOKUP($A22,'Data shares'!$C:$FB,7)</f>
        <v>1663.1</v>
      </c>
      <c r="C22" s="50">
        <f>VLOOKUP($A22,'Data shares'!$C:$FB,10)*100</f>
        <v>0.98</v>
      </c>
      <c r="D22" s="49">
        <f>VLOOKUP($A22,'Data shares'!$C:$FB,66)</f>
        <v>4137375</v>
      </c>
      <c r="E22" s="49">
        <f>VLOOKUP($A22,'Data shares'!$C:$FB,67)</f>
        <v>4343075</v>
      </c>
      <c r="F22" s="50">
        <f>VLOOKUP($A22,'Data shares'!$C:$FB,69)*100</f>
        <v>-4.74</v>
      </c>
      <c r="G22" s="49">
        <f>VLOOKUP($A22,'Data shares'!$C:$FB,42)</f>
        <v>1538075</v>
      </c>
      <c r="H22" s="49">
        <f>VLOOKUP($A22,'Data shares'!$C:$FB,43)</f>
        <v>1100325</v>
      </c>
      <c r="I22" s="50">
        <f>VLOOKUP($A22,'Data shares'!$C:$FB,45)*100</f>
        <v>39.78</v>
      </c>
      <c r="J22" s="49">
        <f>VLOOKUP($A22,'Data shares'!$C:$FB,58)</f>
        <v>1881475</v>
      </c>
      <c r="K22" s="49">
        <f>VLOOKUP($A22,'Data shares'!$C:$FB,59)</f>
        <v>1889550</v>
      </c>
      <c r="L22" s="50">
        <f>VLOOKUP($A22,'Data shares'!$C:$FB,61)*100</f>
        <v>-0.43</v>
      </c>
      <c r="M22" s="49">
        <f>VLOOKUP($A22,'Data shares'!$C:$FB,62)</f>
        <v>717825</v>
      </c>
      <c r="N22" s="49">
        <f>VLOOKUP($A22,'Data shares'!$C:$FB,63)</f>
        <v>1353200</v>
      </c>
      <c r="O22" s="140">
        <f>VLOOKUP($A22,'Data shares'!$C:$FB,65)*100</f>
        <v>-46.949999999999996</v>
      </c>
    </row>
    <row r="23" spans="1:15" x14ac:dyDescent="0.25">
      <c r="A23" s="101" t="str">
        <f>'Data Vlaue (Cr)'!C18</f>
        <v>AUBANK</v>
      </c>
      <c r="B23" s="50">
        <f>VLOOKUP($A23,'Data shares'!$C:$FB,7)</f>
        <v>973.45</v>
      </c>
      <c r="C23" s="50">
        <f>VLOOKUP($A23,'Data shares'!$C:$FB,10)*100</f>
        <v>2.8899999999999997</v>
      </c>
      <c r="D23" s="49">
        <f>VLOOKUP($A23,'Data shares'!$C:$FB,66)</f>
        <v>19755000</v>
      </c>
      <c r="E23" s="49">
        <f>VLOOKUP($A23,'Data shares'!$C:$FB,67)</f>
        <v>29235000</v>
      </c>
      <c r="F23" s="50">
        <f>VLOOKUP($A23,'Data shares'!$C:$FB,69)*100</f>
        <v>-32.43</v>
      </c>
      <c r="G23" s="49">
        <f>VLOOKUP($A23,'Data shares'!$C:$FB,42)</f>
        <v>4956000</v>
      </c>
      <c r="H23" s="49">
        <f>VLOOKUP($A23,'Data shares'!$C:$FB,43)</f>
        <v>7533000</v>
      </c>
      <c r="I23" s="50">
        <f>VLOOKUP($A23,'Data shares'!$C:$FB,45)*100</f>
        <v>-34.21</v>
      </c>
      <c r="J23" s="49">
        <f>VLOOKUP($A23,'Data shares'!$C:$FB,58)</f>
        <v>7791000</v>
      </c>
      <c r="K23" s="49">
        <f>VLOOKUP($A23,'Data shares'!$C:$FB,59)</f>
        <v>10931000</v>
      </c>
      <c r="L23" s="50">
        <f>VLOOKUP($A23,'Data shares'!$C:$FB,61)*100</f>
        <v>-28.73</v>
      </c>
      <c r="M23" s="49">
        <f>VLOOKUP($A23,'Data shares'!$C:$FB,62)</f>
        <v>7008000</v>
      </c>
      <c r="N23" s="49">
        <f>VLOOKUP($A23,'Data shares'!$C:$FB,63)</f>
        <v>10771000</v>
      </c>
      <c r="O23" s="140">
        <f>VLOOKUP($A23,'Data shares'!$C:$FB,65)*100</f>
        <v>-34.94</v>
      </c>
    </row>
    <row r="24" spans="1:15" x14ac:dyDescent="0.25">
      <c r="A24" s="101" t="str">
        <f>'Data Vlaue (Cr)'!C19</f>
        <v>AUROPHARMA</v>
      </c>
      <c r="B24" s="50">
        <f>VLOOKUP($A24,'Data shares'!$C:$FB,7)</f>
        <v>1225.5</v>
      </c>
      <c r="C24" s="50">
        <f>VLOOKUP($A24,'Data shares'!$C:$FB,10)*100</f>
        <v>2.52</v>
      </c>
      <c r="D24" s="49">
        <f>VLOOKUP($A24,'Data shares'!$C:$FB,66)</f>
        <v>8075100</v>
      </c>
      <c r="E24" s="49">
        <f>VLOOKUP($A24,'Data shares'!$C:$FB,67)</f>
        <v>7866650</v>
      </c>
      <c r="F24" s="50">
        <f>VLOOKUP($A24,'Data shares'!$C:$FB,69)*100</f>
        <v>2.65</v>
      </c>
      <c r="G24" s="49">
        <f>VLOOKUP($A24,'Data shares'!$C:$FB,42)</f>
        <v>1976700</v>
      </c>
      <c r="H24" s="49">
        <f>VLOOKUP($A24,'Data shares'!$C:$FB,43)</f>
        <v>1915650</v>
      </c>
      <c r="I24" s="50">
        <f>VLOOKUP($A24,'Data shares'!$C:$FB,45)*100</f>
        <v>3.19</v>
      </c>
      <c r="J24" s="49">
        <f>VLOOKUP($A24,'Data shares'!$C:$FB,58)</f>
        <v>4667850</v>
      </c>
      <c r="K24" s="49">
        <f>VLOOKUP($A24,'Data shares'!$C:$FB,59)</f>
        <v>3751000</v>
      </c>
      <c r="L24" s="50">
        <f>VLOOKUP($A24,'Data shares'!$C:$FB,61)*100</f>
        <v>24.44</v>
      </c>
      <c r="M24" s="49">
        <f>VLOOKUP($A24,'Data shares'!$C:$FB,62)</f>
        <v>1430550</v>
      </c>
      <c r="N24" s="49">
        <f>VLOOKUP($A24,'Data shares'!$C:$FB,63)</f>
        <v>2200000</v>
      </c>
      <c r="O24" s="140">
        <f>VLOOKUP($A24,'Data shares'!$C:$FB,65)*100</f>
        <v>-34.979999999999997</v>
      </c>
    </row>
    <row r="25" spans="1:15" x14ac:dyDescent="0.25">
      <c r="A25" s="101" t="str">
        <f>'Data Vlaue (Cr)'!C20</f>
        <v>AXISBANK</v>
      </c>
      <c r="B25" s="50">
        <f>VLOOKUP($A25,'Data shares'!$C:$FB,7)</f>
        <v>1349.1</v>
      </c>
      <c r="C25" s="50">
        <f>VLOOKUP($A25,'Data shares'!$C:$FB,10)*100</f>
        <v>-0.16</v>
      </c>
      <c r="D25" s="49">
        <f>VLOOKUP($A25,'Data shares'!$C:$FB,66)</f>
        <v>38904375</v>
      </c>
      <c r="E25" s="49">
        <f>VLOOKUP($A25,'Data shares'!$C:$FB,67)</f>
        <v>55476875</v>
      </c>
      <c r="F25" s="50">
        <f>VLOOKUP($A25,'Data shares'!$C:$FB,69)*100</f>
        <v>-29.87</v>
      </c>
      <c r="G25" s="49">
        <f>VLOOKUP($A25,'Data shares'!$C:$FB,42)</f>
        <v>8820000</v>
      </c>
      <c r="H25" s="49">
        <f>VLOOKUP($A25,'Data shares'!$C:$FB,43)</f>
        <v>10442500</v>
      </c>
      <c r="I25" s="50">
        <f>VLOOKUP($A25,'Data shares'!$C:$FB,45)*100</f>
        <v>-15.540000000000001</v>
      </c>
      <c r="J25" s="49">
        <f>VLOOKUP($A25,'Data shares'!$C:$FB,58)</f>
        <v>17015625</v>
      </c>
      <c r="K25" s="49">
        <f>VLOOKUP($A25,'Data shares'!$C:$FB,59)</f>
        <v>26084375</v>
      </c>
      <c r="L25" s="50">
        <f>VLOOKUP($A25,'Data shares'!$C:$FB,61)*100</f>
        <v>-34.770000000000003</v>
      </c>
      <c r="M25" s="49">
        <f>VLOOKUP($A25,'Data shares'!$C:$FB,62)</f>
        <v>13068750</v>
      </c>
      <c r="N25" s="49">
        <f>VLOOKUP($A25,'Data shares'!$C:$FB,63)</f>
        <v>18950000</v>
      </c>
      <c r="O25" s="140">
        <f>VLOOKUP($A25,'Data shares'!$C:$FB,65)*100</f>
        <v>-31.04</v>
      </c>
    </row>
    <row r="26" spans="1:15" x14ac:dyDescent="0.25">
      <c r="A26" s="101" t="str">
        <f>'Data Vlaue (Cr)'!C21</f>
        <v>BAJAJ-AUTO</v>
      </c>
      <c r="B26" s="50">
        <f>VLOOKUP($A26,'Data shares'!$C:$FB,7)</f>
        <v>9804.5</v>
      </c>
      <c r="C26" s="50">
        <f>VLOOKUP($A26,'Data shares'!$C:$FB,10)*100</f>
        <v>1.5699999999999998</v>
      </c>
      <c r="D26" s="49">
        <f>VLOOKUP($A26,'Data shares'!$C:$FB,66)</f>
        <v>2944125</v>
      </c>
      <c r="E26" s="49">
        <f>VLOOKUP($A26,'Data shares'!$C:$FB,67)</f>
        <v>3436875</v>
      </c>
      <c r="F26" s="50">
        <f>VLOOKUP($A26,'Data shares'!$C:$FB,69)*100</f>
        <v>-14.34</v>
      </c>
      <c r="G26" s="49">
        <f>VLOOKUP($A26,'Data shares'!$C:$FB,42)</f>
        <v>463875</v>
      </c>
      <c r="H26" s="49">
        <f>VLOOKUP($A26,'Data shares'!$C:$FB,43)</f>
        <v>477825</v>
      </c>
      <c r="I26" s="50">
        <f>VLOOKUP($A26,'Data shares'!$C:$FB,45)*100</f>
        <v>-2.92</v>
      </c>
      <c r="J26" s="49">
        <f>VLOOKUP($A26,'Data shares'!$C:$FB,58)</f>
        <v>1478625</v>
      </c>
      <c r="K26" s="49">
        <f>VLOOKUP($A26,'Data shares'!$C:$FB,59)</f>
        <v>1704225</v>
      </c>
      <c r="L26" s="50">
        <f>VLOOKUP($A26,'Data shares'!$C:$FB,61)*100</f>
        <v>-13.239999999999998</v>
      </c>
      <c r="M26" s="49">
        <f>VLOOKUP($A26,'Data shares'!$C:$FB,62)</f>
        <v>1001625</v>
      </c>
      <c r="N26" s="49">
        <f>VLOOKUP($A26,'Data shares'!$C:$FB,63)</f>
        <v>1254825</v>
      </c>
      <c r="O26" s="140">
        <f>VLOOKUP($A26,'Data shares'!$C:$FB,65)*100</f>
        <v>-20.18</v>
      </c>
    </row>
    <row r="27" spans="1:15" x14ac:dyDescent="0.25">
      <c r="A27" s="101" t="str">
        <f>'Data Vlaue (Cr)'!C22</f>
        <v>BAJAJFINSV</v>
      </c>
      <c r="B27" s="50">
        <f>VLOOKUP($A27,'Data shares'!$C:$FB,7)</f>
        <v>1911.8</v>
      </c>
      <c r="C27" s="50">
        <f>VLOOKUP($A27,'Data shares'!$C:$FB,10)*100</f>
        <v>1.1900000000000002</v>
      </c>
      <c r="D27" s="49">
        <f>VLOOKUP($A27,'Data shares'!$C:$FB,66)</f>
        <v>7950250</v>
      </c>
      <c r="E27" s="49">
        <f>VLOOKUP($A27,'Data shares'!$C:$FB,67)</f>
        <v>15339500</v>
      </c>
      <c r="F27" s="50">
        <f>VLOOKUP($A27,'Data shares'!$C:$FB,69)*100</f>
        <v>-48.17</v>
      </c>
      <c r="G27" s="49">
        <f>VLOOKUP($A27,'Data shares'!$C:$FB,42)</f>
        <v>1945000</v>
      </c>
      <c r="H27" s="49">
        <f>VLOOKUP($A27,'Data shares'!$C:$FB,43)</f>
        <v>2001500</v>
      </c>
      <c r="I27" s="50">
        <f>VLOOKUP($A27,'Data shares'!$C:$FB,45)*100</f>
        <v>-2.82</v>
      </c>
      <c r="J27" s="49">
        <f>VLOOKUP($A27,'Data shares'!$C:$FB,58)</f>
        <v>4300000</v>
      </c>
      <c r="K27" s="49">
        <f>VLOOKUP($A27,'Data shares'!$C:$FB,59)</f>
        <v>8469000</v>
      </c>
      <c r="L27" s="50">
        <f>VLOOKUP($A27,'Data shares'!$C:$FB,61)*100</f>
        <v>-49.230000000000004</v>
      </c>
      <c r="M27" s="49">
        <f>VLOOKUP($A27,'Data shares'!$C:$FB,62)</f>
        <v>1705250</v>
      </c>
      <c r="N27" s="49">
        <f>VLOOKUP($A27,'Data shares'!$C:$FB,63)</f>
        <v>4869000</v>
      </c>
      <c r="O27" s="140">
        <f>VLOOKUP($A27,'Data shares'!$C:$FB,65)*100</f>
        <v>-64.98</v>
      </c>
    </row>
    <row r="28" spans="1:15" x14ac:dyDescent="0.25">
      <c r="A28" s="101" t="str">
        <f>'Data Vlaue (Cr)'!C23</f>
        <v>BAJAJHLDNG</v>
      </c>
      <c r="B28" s="50">
        <f>VLOOKUP($A28,'Data shares'!$C:$FB,7)</f>
        <v>10663</v>
      </c>
      <c r="C28" s="50">
        <f>VLOOKUP($A28,'Data shares'!$C:$FB,10)*100</f>
        <v>0.11</v>
      </c>
      <c r="D28" s="49">
        <f>VLOOKUP($A28,'Data shares'!$C:$FB,66)</f>
        <v>52100</v>
      </c>
      <c r="E28" s="49">
        <f>VLOOKUP($A28,'Data shares'!$C:$FB,67)</f>
        <v>98500</v>
      </c>
      <c r="F28" s="50">
        <f>VLOOKUP($A28,'Data shares'!$C:$FB,69)*100</f>
        <v>-47.11</v>
      </c>
      <c r="G28" s="49">
        <f>VLOOKUP($A28,'Data shares'!$C:$FB,42)</f>
        <v>23000</v>
      </c>
      <c r="H28" s="49">
        <f>VLOOKUP($A28,'Data shares'!$C:$FB,43)</f>
        <v>29100</v>
      </c>
      <c r="I28" s="50">
        <f>VLOOKUP($A28,'Data shares'!$C:$FB,45)*100</f>
        <v>-20.96</v>
      </c>
      <c r="J28" s="49">
        <f>VLOOKUP($A28,'Data shares'!$C:$FB,58)</f>
        <v>19700</v>
      </c>
      <c r="K28" s="49">
        <f>VLOOKUP($A28,'Data shares'!$C:$FB,59)</f>
        <v>28800</v>
      </c>
      <c r="L28" s="50">
        <f>VLOOKUP($A28,'Data shares'!$C:$FB,61)*100</f>
        <v>-31.6</v>
      </c>
      <c r="M28" s="49">
        <f>VLOOKUP($A28,'Data shares'!$C:$FB,62)</f>
        <v>9400</v>
      </c>
      <c r="N28" s="49">
        <f>VLOOKUP($A28,'Data shares'!$C:$FB,63)</f>
        <v>40600</v>
      </c>
      <c r="O28" s="140">
        <f>VLOOKUP($A28,'Data shares'!$C:$FB,65)*100</f>
        <v>-76.849999999999994</v>
      </c>
    </row>
    <row r="29" spans="1:15" x14ac:dyDescent="0.25">
      <c r="A29" s="101" t="str">
        <f>'Data Vlaue (Cr)'!C24</f>
        <v>BAJFINANCE</v>
      </c>
      <c r="B29" s="50">
        <f>VLOOKUP($A29,'Data shares'!$C:$FB,7)</f>
        <v>962.4</v>
      </c>
      <c r="C29" s="50">
        <f>VLOOKUP($A29,'Data shares'!$C:$FB,10)*100</f>
        <v>1.83</v>
      </c>
      <c r="D29" s="49">
        <f>VLOOKUP($A29,'Data shares'!$C:$FB,66)</f>
        <v>31764000</v>
      </c>
      <c r="E29" s="49">
        <f>VLOOKUP($A29,'Data shares'!$C:$FB,67)</f>
        <v>39014250</v>
      </c>
      <c r="F29" s="50">
        <f>VLOOKUP($A29,'Data shares'!$C:$FB,69)*100</f>
        <v>-18.579999999999998</v>
      </c>
      <c r="G29" s="49">
        <f>VLOOKUP($A29,'Data shares'!$C:$FB,42)</f>
        <v>6532500</v>
      </c>
      <c r="H29" s="49">
        <f>VLOOKUP($A29,'Data shares'!$C:$FB,43)</f>
        <v>10166250</v>
      </c>
      <c r="I29" s="50">
        <f>VLOOKUP($A29,'Data shares'!$C:$FB,45)*100</f>
        <v>-35.74</v>
      </c>
      <c r="J29" s="49">
        <f>VLOOKUP($A29,'Data shares'!$C:$FB,58)</f>
        <v>14663250</v>
      </c>
      <c r="K29" s="49">
        <f>VLOOKUP($A29,'Data shares'!$C:$FB,59)</f>
        <v>15163500</v>
      </c>
      <c r="L29" s="50">
        <f>VLOOKUP($A29,'Data shares'!$C:$FB,61)*100</f>
        <v>-3.3000000000000003</v>
      </c>
      <c r="M29" s="49">
        <f>VLOOKUP($A29,'Data shares'!$C:$FB,62)</f>
        <v>10568250</v>
      </c>
      <c r="N29" s="49">
        <f>VLOOKUP($A29,'Data shares'!$C:$FB,63)</f>
        <v>13684500</v>
      </c>
      <c r="O29" s="140">
        <f>VLOOKUP($A29,'Data shares'!$C:$FB,65)*100</f>
        <v>-22.770000000000003</v>
      </c>
    </row>
    <row r="30" spans="1:15" x14ac:dyDescent="0.25">
      <c r="A30" s="101" t="str">
        <f>'Data Vlaue (Cr)'!C25</f>
        <v>BANDHANBNK</v>
      </c>
      <c r="B30" s="50">
        <f>VLOOKUP($A30,'Data shares'!$C:$FB,7)</f>
        <v>185.03</v>
      </c>
      <c r="C30" s="50">
        <f>VLOOKUP($A30,'Data shares'!$C:$FB,10)*100</f>
        <v>4.3</v>
      </c>
      <c r="D30" s="49">
        <f>VLOOKUP($A30,'Data shares'!$C:$FB,66)</f>
        <v>91494000</v>
      </c>
      <c r="E30" s="49">
        <f>VLOOKUP($A30,'Data shares'!$C:$FB,67)</f>
        <v>76500000</v>
      </c>
      <c r="F30" s="50">
        <f>VLOOKUP($A30,'Data shares'!$C:$FB,69)*100</f>
        <v>19.600000000000001</v>
      </c>
      <c r="G30" s="49">
        <f>VLOOKUP($A30,'Data shares'!$C:$FB,42)</f>
        <v>26377200</v>
      </c>
      <c r="H30" s="49">
        <f>VLOOKUP($A30,'Data shares'!$C:$FB,43)</f>
        <v>22647600</v>
      </c>
      <c r="I30" s="50">
        <f>VLOOKUP($A30,'Data shares'!$C:$FB,45)*100</f>
        <v>16.470000000000002</v>
      </c>
      <c r="J30" s="49">
        <f>VLOOKUP($A30,'Data shares'!$C:$FB,58)</f>
        <v>45586800</v>
      </c>
      <c r="K30" s="49">
        <f>VLOOKUP($A30,'Data shares'!$C:$FB,59)</f>
        <v>34977600</v>
      </c>
      <c r="L30" s="50">
        <f>VLOOKUP($A30,'Data shares'!$C:$FB,61)*100</f>
        <v>30.330000000000002</v>
      </c>
      <c r="M30" s="49">
        <f>VLOOKUP($A30,'Data shares'!$C:$FB,62)</f>
        <v>19530000</v>
      </c>
      <c r="N30" s="49">
        <f>VLOOKUP($A30,'Data shares'!$C:$FB,63)</f>
        <v>18874800</v>
      </c>
      <c r="O30" s="140">
        <f>VLOOKUP($A30,'Data shares'!$C:$FB,65)*100</f>
        <v>3.47</v>
      </c>
    </row>
    <row r="31" spans="1:15" x14ac:dyDescent="0.25">
      <c r="A31" s="101" t="str">
        <f>'Data Vlaue (Cr)'!C26</f>
        <v>BANKBARODA</v>
      </c>
      <c r="B31" s="50">
        <f>VLOOKUP($A31,'Data shares'!$C:$FB,7)</f>
        <v>301.85000000000002</v>
      </c>
      <c r="C31" s="50">
        <f>VLOOKUP($A31,'Data shares'!$C:$FB,10)*100</f>
        <v>0.85000000000000009</v>
      </c>
      <c r="D31" s="49">
        <f>VLOOKUP($A31,'Data shares'!$C:$FB,66)</f>
        <v>102503700</v>
      </c>
      <c r="E31" s="49">
        <f>VLOOKUP($A31,'Data shares'!$C:$FB,67)</f>
        <v>164970000</v>
      </c>
      <c r="F31" s="50">
        <f>VLOOKUP($A31,'Data shares'!$C:$FB,69)*100</f>
        <v>-37.869999999999997</v>
      </c>
      <c r="G31" s="49">
        <f>VLOOKUP($A31,'Data shares'!$C:$FB,42)</f>
        <v>29264625</v>
      </c>
      <c r="H31" s="49">
        <f>VLOOKUP($A31,'Data shares'!$C:$FB,43)</f>
        <v>43883775</v>
      </c>
      <c r="I31" s="50">
        <f>VLOOKUP($A31,'Data shares'!$C:$FB,45)*100</f>
        <v>-33.31</v>
      </c>
      <c r="J31" s="49">
        <f>VLOOKUP($A31,'Data shares'!$C:$FB,58)</f>
        <v>40873950</v>
      </c>
      <c r="K31" s="49">
        <f>VLOOKUP($A31,'Data shares'!$C:$FB,59)</f>
        <v>66654900</v>
      </c>
      <c r="L31" s="50">
        <f>VLOOKUP($A31,'Data shares'!$C:$FB,61)*100</f>
        <v>-38.68</v>
      </c>
      <c r="M31" s="49">
        <f>VLOOKUP($A31,'Data shares'!$C:$FB,62)</f>
        <v>32365125</v>
      </c>
      <c r="N31" s="49">
        <f>VLOOKUP($A31,'Data shares'!$C:$FB,63)</f>
        <v>54431325</v>
      </c>
      <c r="O31" s="140">
        <f>VLOOKUP($A31,'Data shares'!$C:$FB,65)*100</f>
        <v>-40.54</v>
      </c>
    </row>
    <row r="32" spans="1:15" x14ac:dyDescent="0.25">
      <c r="A32" s="101" t="str">
        <f>'Data Vlaue (Cr)'!C27</f>
        <v>BANKINDIA</v>
      </c>
      <c r="B32" s="50">
        <f>VLOOKUP($A32,'Data shares'!$C:$FB,7)</f>
        <v>164.18</v>
      </c>
      <c r="C32" s="50">
        <f>VLOOKUP($A32,'Data shares'!$C:$FB,10)*100</f>
        <v>0.48</v>
      </c>
      <c r="D32" s="49">
        <f>VLOOKUP($A32,'Data shares'!$C:$FB,66)</f>
        <v>43170400</v>
      </c>
      <c r="E32" s="49">
        <f>VLOOKUP($A32,'Data shares'!$C:$FB,67)</f>
        <v>80522000</v>
      </c>
      <c r="F32" s="50">
        <f>VLOOKUP($A32,'Data shares'!$C:$FB,69)*100</f>
        <v>-46.39</v>
      </c>
      <c r="G32" s="49">
        <f>VLOOKUP($A32,'Data shares'!$C:$FB,42)</f>
        <v>15615600</v>
      </c>
      <c r="H32" s="49">
        <f>VLOOKUP($A32,'Data shares'!$C:$FB,43)</f>
        <v>24237200</v>
      </c>
      <c r="I32" s="50">
        <f>VLOOKUP($A32,'Data shares'!$C:$FB,45)*100</f>
        <v>-35.57</v>
      </c>
      <c r="J32" s="49">
        <f>VLOOKUP($A32,'Data shares'!$C:$FB,58)</f>
        <v>16707600</v>
      </c>
      <c r="K32" s="49">
        <f>VLOOKUP($A32,'Data shares'!$C:$FB,59)</f>
        <v>29983200</v>
      </c>
      <c r="L32" s="50">
        <f>VLOOKUP($A32,'Data shares'!$C:$FB,61)*100</f>
        <v>-44.28</v>
      </c>
      <c r="M32" s="49">
        <f>VLOOKUP($A32,'Data shares'!$C:$FB,62)</f>
        <v>10847200</v>
      </c>
      <c r="N32" s="49">
        <f>VLOOKUP($A32,'Data shares'!$C:$FB,63)</f>
        <v>26301600</v>
      </c>
      <c r="O32" s="140">
        <f>VLOOKUP($A32,'Data shares'!$C:$FB,65)*100</f>
        <v>-58.76</v>
      </c>
    </row>
    <row r="33" spans="1:15" x14ac:dyDescent="0.25">
      <c r="A33" s="101" t="str">
        <f>'Data Vlaue (Cr)'!C28</f>
        <v>BANKNIFTY</v>
      </c>
      <c r="B33" s="50">
        <f>VLOOKUP($A33,'Data shares'!$C:$FB,7)</f>
        <v>59055.85</v>
      </c>
      <c r="C33" s="50">
        <f>VLOOKUP($A33,'Data shares'!$C:$FB,10)*100</f>
        <v>0.51</v>
      </c>
      <c r="D33" s="49">
        <f>VLOOKUP($A33,'Data shares'!$C:$FB,66)</f>
        <v>82076700</v>
      </c>
      <c r="E33" s="49">
        <f>VLOOKUP($A33,'Data shares'!$C:$FB,67)</f>
        <v>83011080</v>
      </c>
      <c r="F33" s="50">
        <f>VLOOKUP($A33,'Data shares'!$C:$FB,69)*100</f>
        <v>-1.1299999999999999</v>
      </c>
      <c r="G33" s="49">
        <f>VLOOKUP($A33,'Data shares'!$C:$FB,42)</f>
        <v>1499910</v>
      </c>
      <c r="H33" s="49">
        <f>VLOOKUP($A33,'Data shares'!$C:$FB,43)</f>
        <v>1697520</v>
      </c>
      <c r="I33" s="50">
        <f>VLOOKUP($A33,'Data shares'!$C:$FB,45)*100</f>
        <v>-11.64</v>
      </c>
      <c r="J33" s="49">
        <f>VLOOKUP($A33,'Data shares'!$C:$FB,58)</f>
        <v>43270620</v>
      </c>
      <c r="K33" s="49">
        <f>VLOOKUP($A33,'Data shares'!$C:$FB,59)</f>
        <v>38186250</v>
      </c>
      <c r="L33" s="50">
        <f>VLOOKUP($A33,'Data shares'!$C:$FB,61)*100</f>
        <v>13.309999999999999</v>
      </c>
      <c r="M33" s="49">
        <f>VLOOKUP($A33,'Data shares'!$C:$FB,62)</f>
        <v>37306170</v>
      </c>
      <c r="N33" s="49">
        <f>VLOOKUP($A33,'Data shares'!$C:$FB,63)</f>
        <v>43127310</v>
      </c>
      <c r="O33" s="140">
        <f>VLOOKUP($A33,'Data shares'!$C:$FB,65)*100</f>
        <v>-13.5</v>
      </c>
    </row>
    <row r="34" spans="1:15" x14ac:dyDescent="0.25">
      <c r="A34" s="101" t="str">
        <f>'Data Vlaue (Cr)'!C29</f>
        <v>BDL</v>
      </c>
      <c r="B34" s="50">
        <f>VLOOKUP($A34,'Data shares'!$C:$FB,7)</f>
        <v>1280.5999999999999</v>
      </c>
      <c r="C34" s="50">
        <f>VLOOKUP($A34,'Data shares'!$C:$FB,10)*100</f>
        <v>0.89</v>
      </c>
      <c r="D34" s="49">
        <f>VLOOKUP($A34,'Data shares'!$C:$FB,66)</f>
        <v>18485950</v>
      </c>
      <c r="E34" s="49">
        <f>VLOOKUP($A34,'Data shares'!$C:$FB,67)</f>
        <v>13186600</v>
      </c>
      <c r="F34" s="50">
        <f>VLOOKUP($A34,'Data shares'!$C:$FB,69)*100</f>
        <v>40.19</v>
      </c>
      <c r="G34" s="49">
        <f>VLOOKUP($A34,'Data shares'!$C:$FB,42)</f>
        <v>3040100</v>
      </c>
      <c r="H34" s="49">
        <f>VLOOKUP($A34,'Data shares'!$C:$FB,43)</f>
        <v>2029650</v>
      </c>
      <c r="I34" s="50">
        <f>VLOOKUP($A34,'Data shares'!$C:$FB,45)*100</f>
        <v>49.78</v>
      </c>
      <c r="J34" s="49">
        <f>VLOOKUP($A34,'Data shares'!$C:$FB,58)</f>
        <v>12781300</v>
      </c>
      <c r="K34" s="49">
        <f>VLOOKUP($A34,'Data shares'!$C:$FB,59)</f>
        <v>8604050</v>
      </c>
      <c r="L34" s="50">
        <f>VLOOKUP($A34,'Data shares'!$C:$FB,61)*100</f>
        <v>48.55</v>
      </c>
      <c r="M34" s="49">
        <f>VLOOKUP($A34,'Data shares'!$C:$FB,62)</f>
        <v>2664550</v>
      </c>
      <c r="N34" s="49">
        <f>VLOOKUP($A34,'Data shares'!$C:$FB,63)</f>
        <v>2552900</v>
      </c>
      <c r="O34" s="140">
        <f>VLOOKUP($A34,'Data shares'!$C:$FB,65)*100</f>
        <v>4.37</v>
      </c>
    </row>
    <row r="35" spans="1:15" x14ac:dyDescent="0.25">
      <c r="A35" s="101" t="str">
        <f>'Data Vlaue (Cr)'!C30</f>
        <v>BEL</v>
      </c>
      <c r="B35" s="50">
        <f>VLOOKUP($A35,'Data shares'!$C:$FB,7)</f>
        <v>460</v>
      </c>
      <c r="C35" s="50">
        <f>VLOOKUP($A35,'Data shares'!$C:$FB,10)*100</f>
        <v>2.94</v>
      </c>
      <c r="D35" s="49">
        <f>VLOOKUP($A35,'Data shares'!$C:$FB,66)</f>
        <v>349203375</v>
      </c>
      <c r="E35" s="49">
        <f>VLOOKUP($A35,'Data shares'!$C:$FB,67)</f>
        <v>202455450</v>
      </c>
      <c r="F35" s="50">
        <f>VLOOKUP($A35,'Data shares'!$C:$FB,69)*100</f>
        <v>72.48</v>
      </c>
      <c r="G35" s="49">
        <f>VLOOKUP($A35,'Data shares'!$C:$FB,42)</f>
        <v>47684775</v>
      </c>
      <c r="H35" s="49">
        <f>VLOOKUP($A35,'Data shares'!$C:$FB,43)</f>
        <v>38313975</v>
      </c>
      <c r="I35" s="50">
        <f>VLOOKUP($A35,'Data shares'!$C:$FB,45)*100</f>
        <v>24.46</v>
      </c>
      <c r="J35" s="49">
        <f>VLOOKUP($A35,'Data shares'!$C:$FB,58)</f>
        <v>205269825</v>
      </c>
      <c r="K35" s="49">
        <f>VLOOKUP($A35,'Data shares'!$C:$FB,59)</f>
        <v>112807275</v>
      </c>
      <c r="L35" s="50">
        <f>VLOOKUP($A35,'Data shares'!$C:$FB,61)*100</f>
        <v>81.97</v>
      </c>
      <c r="M35" s="49">
        <f>VLOOKUP($A35,'Data shares'!$C:$FB,62)</f>
        <v>96248775</v>
      </c>
      <c r="N35" s="49">
        <f>VLOOKUP($A35,'Data shares'!$C:$FB,63)</f>
        <v>51334200</v>
      </c>
      <c r="O35" s="140">
        <f>VLOOKUP($A35,'Data shares'!$C:$FB,65)*100</f>
        <v>87.49</v>
      </c>
    </row>
    <row r="36" spans="1:15" x14ac:dyDescent="0.25">
      <c r="A36" s="101" t="str">
        <f>'Data Vlaue (Cr)'!C31</f>
        <v>BHARATFORG</v>
      </c>
      <c r="B36" s="50">
        <f>VLOOKUP($A36,'Data shares'!$C:$FB,7)</f>
        <v>1898.4</v>
      </c>
      <c r="C36" s="50">
        <f>VLOOKUP($A36,'Data shares'!$C:$FB,10)*100</f>
        <v>3.0700000000000003</v>
      </c>
      <c r="D36" s="49">
        <f>VLOOKUP($A36,'Data shares'!$C:$FB,66)</f>
        <v>23483000</v>
      </c>
      <c r="E36" s="49">
        <f>VLOOKUP($A36,'Data shares'!$C:$FB,67)</f>
        <v>11253500</v>
      </c>
      <c r="F36" s="50">
        <f>VLOOKUP($A36,'Data shares'!$C:$FB,69)*100</f>
        <v>108.67</v>
      </c>
      <c r="G36" s="49">
        <f>VLOOKUP($A36,'Data shares'!$C:$FB,42)</f>
        <v>4235500</v>
      </c>
      <c r="H36" s="49">
        <f>VLOOKUP($A36,'Data shares'!$C:$FB,43)</f>
        <v>2754000</v>
      </c>
      <c r="I36" s="50">
        <f>VLOOKUP($A36,'Data shares'!$C:$FB,45)*100</f>
        <v>53.790000000000006</v>
      </c>
      <c r="J36" s="49">
        <f>VLOOKUP($A36,'Data shares'!$C:$FB,58)</f>
        <v>14546000</v>
      </c>
      <c r="K36" s="49">
        <f>VLOOKUP($A36,'Data shares'!$C:$FB,59)</f>
        <v>4585500</v>
      </c>
      <c r="L36" s="50">
        <f>VLOOKUP($A36,'Data shares'!$C:$FB,61)*100</f>
        <v>217.22000000000003</v>
      </c>
      <c r="M36" s="49">
        <f>VLOOKUP($A36,'Data shares'!$C:$FB,62)</f>
        <v>4701500</v>
      </c>
      <c r="N36" s="49">
        <f>VLOOKUP($A36,'Data shares'!$C:$FB,63)</f>
        <v>3914000</v>
      </c>
      <c r="O36" s="140">
        <f>VLOOKUP($A36,'Data shares'!$C:$FB,65)*100</f>
        <v>20.119999999999997</v>
      </c>
    </row>
    <row r="37" spans="1:15" x14ac:dyDescent="0.25">
      <c r="A37" s="101" t="str">
        <f>'Data Vlaue (Cr)'!C32</f>
        <v>BHARTIARTL</v>
      </c>
      <c r="B37" s="50">
        <f>VLOOKUP($A37,'Data shares'!$C:$FB,7)</f>
        <v>1907</v>
      </c>
      <c r="C37" s="50">
        <f>VLOOKUP($A37,'Data shares'!$C:$FB,10)*100</f>
        <v>0.06</v>
      </c>
      <c r="D37" s="49">
        <f>VLOOKUP($A37,'Data shares'!$C:$FB,66)</f>
        <v>41851775</v>
      </c>
      <c r="E37" s="49">
        <f>VLOOKUP($A37,'Data shares'!$C:$FB,67)</f>
        <v>88607925</v>
      </c>
      <c r="F37" s="50">
        <f>VLOOKUP($A37,'Data shares'!$C:$FB,69)*100</f>
        <v>-52.769999999999996</v>
      </c>
      <c r="G37" s="49">
        <f>VLOOKUP($A37,'Data shares'!$C:$FB,42)</f>
        <v>6610575</v>
      </c>
      <c r="H37" s="49">
        <f>VLOOKUP($A37,'Data shares'!$C:$FB,43)</f>
        <v>12384675</v>
      </c>
      <c r="I37" s="50">
        <f>VLOOKUP($A37,'Data shares'!$C:$FB,45)*100</f>
        <v>-46.62</v>
      </c>
      <c r="J37" s="49">
        <f>VLOOKUP($A37,'Data shares'!$C:$FB,58)</f>
        <v>21447675</v>
      </c>
      <c r="K37" s="49">
        <f>VLOOKUP($A37,'Data shares'!$C:$FB,59)</f>
        <v>51638675</v>
      </c>
      <c r="L37" s="50">
        <f>VLOOKUP($A37,'Data shares'!$C:$FB,61)*100</f>
        <v>-58.47</v>
      </c>
      <c r="M37" s="49">
        <f>VLOOKUP($A37,'Data shares'!$C:$FB,62)</f>
        <v>13793525</v>
      </c>
      <c r="N37" s="49">
        <f>VLOOKUP($A37,'Data shares'!$C:$FB,63)</f>
        <v>24584575</v>
      </c>
      <c r="O37" s="140">
        <f>VLOOKUP($A37,'Data shares'!$C:$FB,65)*100</f>
        <v>-43.89</v>
      </c>
    </row>
    <row r="38" spans="1:15" x14ac:dyDescent="0.25">
      <c r="A38" s="101" t="str">
        <f>'Data Vlaue (Cr)'!C33</f>
        <v>BHEL</v>
      </c>
      <c r="B38" s="50">
        <f>VLOOKUP($A38,'Data shares'!$C:$FB,7)</f>
        <v>257.25</v>
      </c>
      <c r="C38" s="50">
        <f>VLOOKUP($A38,'Data shares'!$C:$FB,10)*100</f>
        <v>3.7699999999999996</v>
      </c>
      <c r="D38" s="49">
        <f>VLOOKUP($A38,'Data shares'!$C:$FB,66)</f>
        <v>92820000</v>
      </c>
      <c r="E38" s="49">
        <f>VLOOKUP($A38,'Data shares'!$C:$FB,67)</f>
        <v>111888000</v>
      </c>
      <c r="F38" s="50">
        <f>VLOOKUP($A38,'Data shares'!$C:$FB,69)*100</f>
        <v>-17.04</v>
      </c>
      <c r="G38" s="49">
        <f>VLOOKUP($A38,'Data shares'!$C:$FB,42)</f>
        <v>31374000</v>
      </c>
      <c r="H38" s="49">
        <f>VLOOKUP($A38,'Data shares'!$C:$FB,43)</f>
        <v>33991125</v>
      </c>
      <c r="I38" s="50">
        <f>VLOOKUP($A38,'Data shares'!$C:$FB,45)*100</f>
        <v>-7.7</v>
      </c>
      <c r="J38" s="49">
        <f>VLOOKUP($A38,'Data shares'!$C:$FB,58)</f>
        <v>41595750</v>
      </c>
      <c r="K38" s="49">
        <f>VLOOKUP($A38,'Data shares'!$C:$FB,59)</f>
        <v>51347625</v>
      </c>
      <c r="L38" s="50">
        <f>VLOOKUP($A38,'Data shares'!$C:$FB,61)*100</f>
        <v>-18.990000000000002</v>
      </c>
      <c r="M38" s="49">
        <f>VLOOKUP($A38,'Data shares'!$C:$FB,62)</f>
        <v>19850250</v>
      </c>
      <c r="N38" s="49">
        <f>VLOOKUP($A38,'Data shares'!$C:$FB,63)</f>
        <v>26549250</v>
      </c>
      <c r="O38" s="140">
        <f>VLOOKUP($A38,'Data shares'!$C:$FB,65)*100</f>
        <v>-25.230000000000004</v>
      </c>
    </row>
    <row r="39" spans="1:15" x14ac:dyDescent="0.25">
      <c r="A39" s="101" t="str">
        <f>'Data Vlaue (Cr)'!C34</f>
        <v>BIOCON</v>
      </c>
      <c r="B39" s="50">
        <f>VLOOKUP($A39,'Data shares'!$C:$FB,7)</f>
        <v>386.8</v>
      </c>
      <c r="C39" s="50">
        <f>VLOOKUP($A39,'Data shares'!$C:$FB,10)*100</f>
        <v>2.23</v>
      </c>
      <c r="D39" s="49">
        <f>VLOOKUP($A39,'Data shares'!$C:$FB,66)</f>
        <v>26592500</v>
      </c>
      <c r="E39" s="49">
        <f>VLOOKUP($A39,'Data shares'!$C:$FB,67)</f>
        <v>34117500</v>
      </c>
      <c r="F39" s="50">
        <f>VLOOKUP($A39,'Data shares'!$C:$FB,69)*100</f>
        <v>-22.06</v>
      </c>
      <c r="G39" s="49">
        <f>VLOOKUP($A39,'Data shares'!$C:$FB,42)</f>
        <v>6102500</v>
      </c>
      <c r="H39" s="49">
        <f>VLOOKUP($A39,'Data shares'!$C:$FB,43)</f>
        <v>8507500</v>
      </c>
      <c r="I39" s="50">
        <f>VLOOKUP($A39,'Data shares'!$C:$FB,45)*100</f>
        <v>-28.27</v>
      </c>
      <c r="J39" s="49">
        <f>VLOOKUP($A39,'Data shares'!$C:$FB,58)</f>
        <v>14592500</v>
      </c>
      <c r="K39" s="49">
        <f>VLOOKUP($A39,'Data shares'!$C:$FB,59)</f>
        <v>18917500</v>
      </c>
      <c r="L39" s="50">
        <f>VLOOKUP($A39,'Data shares'!$C:$FB,61)*100</f>
        <v>-22.86</v>
      </c>
      <c r="M39" s="49">
        <f>VLOOKUP($A39,'Data shares'!$C:$FB,62)</f>
        <v>5897500</v>
      </c>
      <c r="N39" s="49">
        <f>VLOOKUP($A39,'Data shares'!$C:$FB,63)</f>
        <v>6692500</v>
      </c>
      <c r="O39" s="140">
        <f>VLOOKUP($A39,'Data shares'!$C:$FB,65)*100</f>
        <v>-11.88</v>
      </c>
    </row>
    <row r="40" spans="1:15" x14ac:dyDescent="0.25">
      <c r="A40" s="101" t="str">
        <f>'Data Vlaue (Cr)'!C35</f>
        <v>BLUESTARCO</v>
      </c>
      <c r="B40" s="50">
        <f>VLOOKUP($A40,'Data shares'!$C:$FB,7)</f>
        <v>1946.7</v>
      </c>
      <c r="C40" s="50">
        <f>VLOOKUP($A40,'Data shares'!$C:$FB,10)*100</f>
        <v>5.59</v>
      </c>
      <c r="D40" s="49">
        <f>VLOOKUP($A40,'Data shares'!$C:$FB,66)</f>
        <v>5576025</v>
      </c>
      <c r="E40" s="49">
        <f>VLOOKUP($A40,'Data shares'!$C:$FB,67)</f>
        <v>2938650</v>
      </c>
      <c r="F40" s="50">
        <f>VLOOKUP($A40,'Data shares'!$C:$FB,69)*100</f>
        <v>89.75</v>
      </c>
      <c r="G40" s="49">
        <f>VLOOKUP($A40,'Data shares'!$C:$FB,42)</f>
        <v>1554475</v>
      </c>
      <c r="H40" s="49">
        <f>VLOOKUP($A40,'Data shares'!$C:$FB,43)</f>
        <v>1036100</v>
      </c>
      <c r="I40" s="50">
        <f>VLOOKUP($A40,'Data shares'!$C:$FB,45)*100</f>
        <v>50.029999999999994</v>
      </c>
      <c r="J40" s="49">
        <f>VLOOKUP($A40,'Data shares'!$C:$FB,58)</f>
        <v>3493425</v>
      </c>
      <c r="K40" s="49">
        <f>VLOOKUP($A40,'Data shares'!$C:$FB,59)</f>
        <v>1216150</v>
      </c>
      <c r="L40" s="50">
        <f>VLOOKUP($A40,'Data shares'!$C:$FB,61)*100</f>
        <v>187.25</v>
      </c>
      <c r="M40" s="49">
        <f>VLOOKUP($A40,'Data shares'!$C:$FB,62)</f>
        <v>528125</v>
      </c>
      <c r="N40" s="49">
        <f>VLOOKUP($A40,'Data shares'!$C:$FB,63)</f>
        <v>686400</v>
      </c>
      <c r="O40" s="140">
        <f>VLOOKUP($A40,'Data shares'!$C:$FB,65)*100</f>
        <v>-23.06</v>
      </c>
    </row>
    <row r="41" spans="1:15" x14ac:dyDescent="0.25">
      <c r="A41" s="101" t="str">
        <f>'Data Vlaue (Cr)'!C36</f>
        <v>BOSCHLTD</v>
      </c>
      <c r="B41" s="50">
        <f>VLOOKUP($A41,'Data shares'!$C:$FB,7)</f>
        <v>33230</v>
      </c>
      <c r="C41" s="50">
        <f>VLOOKUP($A41,'Data shares'!$C:$FB,10)*100</f>
        <v>-0.48</v>
      </c>
      <c r="D41" s="49">
        <f>VLOOKUP($A41,'Data shares'!$C:$FB,66)</f>
        <v>259900</v>
      </c>
      <c r="E41" s="49">
        <f>VLOOKUP($A41,'Data shares'!$C:$FB,67)</f>
        <v>536025</v>
      </c>
      <c r="F41" s="50">
        <f>VLOOKUP($A41,'Data shares'!$C:$FB,69)*100</f>
        <v>-51.51</v>
      </c>
      <c r="G41" s="49">
        <f>VLOOKUP($A41,'Data shares'!$C:$FB,42)</f>
        <v>48025</v>
      </c>
      <c r="H41" s="49">
        <f>VLOOKUP($A41,'Data shares'!$C:$FB,43)</f>
        <v>74000</v>
      </c>
      <c r="I41" s="50">
        <f>VLOOKUP($A41,'Data shares'!$C:$FB,45)*100</f>
        <v>-35.099999999999994</v>
      </c>
      <c r="J41" s="49">
        <f>VLOOKUP($A41,'Data shares'!$C:$FB,58)</f>
        <v>138025</v>
      </c>
      <c r="K41" s="49">
        <f>VLOOKUP($A41,'Data shares'!$C:$FB,59)</f>
        <v>235100</v>
      </c>
      <c r="L41" s="50">
        <f>VLOOKUP($A41,'Data shares'!$C:$FB,61)*100</f>
        <v>-41.29</v>
      </c>
      <c r="M41" s="49">
        <f>VLOOKUP($A41,'Data shares'!$C:$FB,62)</f>
        <v>73850</v>
      </c>
      <c r="N41" s="49">
        <f>VLOOKUP($A41,'Data shares'!$C:$FB,63)</f>
        <v>226925</v>
      </c>
      <c r="O41" s="140">
        <f>VLOOKUP($A41,'Data shares'!$C:$FB,65)*100</f>
        <v>-67.459999999999994</v>
      </c>
    </row>
    <row r="42" spans="1:15" x14ac:dyDescent="0.25">
      <c r="A42" s="101" t="str">
        <f>'Data Vlaue (Cr)'!C37</f>
        <v>BPCL</v>
      </c>
      <c r="B42" s="50">
        <f>VLOOKUP($A42,'Data shares'!$C:$FB,7)</f>
        <v>360.35</v>
      </c>
      <c r="C42" s="50">
        <f>VLOOKUP($A42,'Data shares'!$C:$FB,10)*100</f>
        <v>1.1100000000000001</v>
      </c>
      <c r="D42" s="49">
        <f>VLOOKUP($A42,'Data shares'!$C:$FB,66)</f>
        <v>105595350</v>
      </c>
      <c r="E42" s="49">
        <f>VLOOKUP($A42,'Data shares'!$C:$FB,67)</f>
        <v>85865100</v>
      </c>
      <c r="F42" s="50">
        <f>VLOOKUP($A42,'Data shares'!$C:$FB,69)*100</f>
        <v>22.98</v>
      </c>
      <c r="G42" s="49">
        <f>VLOOKUP($A42,'Data shares'!$C:$FB,42)</f>
        <v>21051525</v>
      </c>
      <c r="H42" s="49">
        <f>VLOOKUP($A42,'Data shares'!$C:$FB,43)</f>
        <v>13339150</v>
      </c>
      <c r="I42" s="50">
        <f>VLOOKUP($A42,'Data shares'!$C:$FB,45)*100</f>
        <v>57.820000000000007</v>
      </c>
      <c r="J42" s="49">
        <f>VLOOKUP($A42,'Data shares'!$C:$FB,58)</f>
        <v>42203775</v>
      </c>
      <c r="K42" s="49">
        <f>VLOOKUP($A42,'Data shares'!$C:$FB,59)</f>
        <v>27659875</v>
      </c>
      <c r="L42" s="50">
        <f>VLOOKUP($A42,'Data shares'!$C:$FB,61)*100</f>
        <v>52.580000000000005</v>
      </c>
      <c r="M42" s="49">
        <f>VLOOKUP($A42,'Data shares'!$C:$FB,62)</f>
        <v>42340050</v>
      </c>
      <c r="N42" s="49">
        <f>VLOOKUP($A42,'Data shares'!$C:$FB,63)</f>
        <v>44866075</v>
      </c>
      <c r="O42" s="140">
        <f>VLOOKUP($A42,'Data shares'!$C:$FB,65)*100</f>
        <v>-5.63</v>
      </c>
    </row>
    <row r="43" spans="1:15" x14ac:dyDescent="0.25">
      <c r="A43" s="101" t="str">
        <f>'Data Vlaue (Cr)'!C38</f>
        <v>BRITANNIA</v>
      </c>
      <c r="B43" s="50">
        <f>VLOOKUP($A43,'Data shares'!$C:$FB,7)</f>
        <v>5963</v>
      </c>
      <c r="C43" s="50">
        <f>VLOOKUP($A43,'Data shares'!$C:$FB,10)*100</f>
        <v>1.25</v>
      </c>
      <c r="D43" s="49">
        <f>VLOOKUP($A43,'Data shares'!$C:$FB,66)</f>
        <v>1189250</v>
      </c>
      <c r="E43" s="49">
        <f>VLOOKUP($A43,'Data shares'!$C:$FB,67)</f>
        <v>1217125</v>
      </c>
      <c r="F43" s="50">
        <f>VLOOKUP($A43,'Data shares'!$C:$FB,69)*100</f>
        <v>-2.29</v>
      </c>
      <c r="G43" s="49">
        <f>VLOOKUP($A43,'Data shares'!$C:$FB,42)</f>
        <v>235750</v>
      </c>
      <c r="H43" s="49">
        <f>VLOOKUP($A43,'Data shares'!$C:$FB,43)</f>
        <v>261375</v>
      </c>
      <c r="I43" s="50">
        <f>VLOOKUP($A43,'Data shares'!$C:$FB,45)*100</f>
        <v>-9.8000000000000007</v>
      </c>
      <c r="J43" s="49">
        <f>VLOOKUP($A43,'Data shares'!$C:$FB,58)</f>
        <v>575125</v>
      </c>
      <c r="K43" s="49">
        <f>VLOOKUP($A43,'Data shares'!$C:$FB,59)</f>
        <v>552375</v>
      </c>
      <c r="L43" s="50">
        <f>VLOOKUP($A43,'Data shares'!$C:$FB,61)*100</f>
        <v>4.12</v>
      </c>
      <c r="M43" s="49">
        <f>VLOOKUP($A43,'Data shares'!$C:$FB,62)</f>
        <v>378375</v>
      </c>
      <c r="N43" s="49">
        <f>VLOOKUP($A43,'Data shares'!$C:$FB,63)</f>
        <v>403375</v>
      </c>
      <c r="O43" s="140">
        <f>VLOOKUP($A43,'Data shares'!$C:$FB,65)*100</f>
        <v>-6.2</v>
      </c>
    </row>
    <row r="44" spans="1:15" x14ac:dyDescent="0.25">
      <c r="A44" s="101" t="str">
        <f>'Data Vlaue (Cr)'!C39</f>
        <v>BSE</v>
      </c>
      <c r="B44" s="50">
        <f>VLOOKUP($A44,'Data shares'!$C:$FB,7)</f>
        <v>2761.4</v>
      </c>
      <c r="C44" s="50">
        <f>VLOOKUP($A44,'Data shares'!$C:$FB,10)*100</f>
        <v>5.12</v>
      </c>
      <c r="D44" s="49">
        <f>VLOOKUP($A44,'Data shares'!$C:$FB,66)</f>
        <v>41337000</v>
      </c>
      <c r="E44" s="49">
        <f>VLOOKUP($A44,'Data shares'!$C:$FB,67)</f>
        <v>28159875</v>
      </c>
      <c r="F44" s="50">
        <f>VLOOKUP($A44,'Data shares'!$C:$FB,69)*100</f>
        <v>46.79</v>
      </c>
      <c r="G44" s="49">
        <f>VLOOKUP($A44,'Data shares'!$C:$FB,42)</f>
        <v>6503250</v>
      </c>
      <c r="H44" s="49">
        <f>VLOOKUP($A44,'Data shares'!$C:$FB,43)</f>
        <v>4417125</v>
      </c>
      <c r="I44" s="50">
        <f>VLOOKUP($A44,'Data shares'!$C:$FB,45)*100</f>
        <v>47.23</v>
      </c>
      <c r="J44" s="49">
        <f>VLOOKUP($A44,'Data shares'!$C:$FB,58)</f>
        <v>23005500</v>
      </c>
      <c r="K44" s="49">
        <f>VLOOKUP($A44,'Data shares'!$C:$FB,59)</f>
        <v>13857750</v>
      </c>
      <c r="L44" s="50">
        <f>VLOOKUP($A44,'Data shares'!$C:$FB,61)*100</f>
        <v>66.010000000000005</v>
      </c>
      <c r="M44" s="49">
        <f>VLOOKUP($A44,'Data shares'!$C:$FB,62)</f>
        <v>11828250</v>
      </c>
      <c r="N44" s="49">
        <f>VLOOKUP($A44,'Data shares'!$C:$FB,63)</f>
        <v>9885000</v>
      </c>
      <c r="O44" s="140">
        <f>VLOOKUP($A44,'Data shares'!$C:$FB,65)*100</f>
        <v>19.66</v>
      </c>
    </row>
    <row r="45" spans="1:15" x14ac:dyDescent="0.25">
      <c r="A45" s="101" t="str">
        <f>'Data Vlaue (Cr)'!C40</f>
        <v>CAMS</v>
      </c>
      <c r="B45" s="50">
        <f>VLOOKUP($A45,'Data shares'!$C:$FB,7)</f>
        <v>652.35</v>
      </c>
      <c r="C45" s="50">
        <f>VLOOKUP($A45,'Data shares'!$C:$FB,10)*100</f>
        <v>3.56</v>
      </c>
      <c r="D45" s="49">
        <f>VLOOKUP($A45,'Data shares'!$C:$FB,66)</f>
        <v>7764750</v>
      </c>
      <c r="E45" s="49">
        <f>VLOOKUP($A45,'Data shares'!$C:$FB,67)</f>
        <v>8640750</v>
      </c>
      <c r="F45" s="50">
        <f>VLOOKUP($A45,'Data shares'!$C:$FB,69)*100</f>
        <v>-10.14</v>
      </c>
      <c r="G45" s="49">
        <f>VLOOKUP($A45,'Data shares'!$C:$FB,42)</f>
        <v>2991000</v>
      </c>
      <c r="H45" s="49">
        <f>VLOOKUP($A45,'Data shares'!$C:$FB,43)</f>
        <v>3225750</v>
      </c>
      <c r="I45" s="50">
        <f>VLOOKUP($A45,'Data shares'!$C:$FB,45)*100</f>
        <v>-7.28</v>
      </c>
      <c r="J45" s="49">
        <f>VLOOKUP($A45,'Data shares'!$C:$FB,58)</f>
        <v>3035250</v>
      </c>
      <c r="K45" s="49">
        <f>VLOOKUP($A45,'Data shares'!$C:$FB,59)</f>
        <v>3021750</v>
      </c>
      <c r="L45" s="50">
        <f>VLOOKUP($A45,'Data shares'!$C:$FB,61)*100</f>
        <v>0.44999999999999996</v>
      </c>
      <c r="M45" s="49">
        <f>VLOOKUP($A45,'Data shares'!$C:$FB,62)</f>
        <v>1738500</v>
      </c>
      <c r="N45" s="49">
        <f>VLOOKUP($A45,'Data shares'!$C:$FB,63)</f>
        <v>2393250</v>
      </c>
      <c r="O45" s="140">
        <f>VLOOKUP($A45,'Data shares'!$C:$FB,65)*100</f>
        <v>-27.36</v>
      </c>
    </row>
    <row r="46" spans="1:15" x14ac:dyDescent="0.25">
      <c r="A46" s="101" t="str">
        <f>'Data Vlaue (Cr)'!C41</f>
        <v>CANBK</v>
      </c>
      <c r="B46" s="50">
        <f>VLOOKUP($A46,'Data shares'!$C:$FB,7)</f>
        <v>148.51</v>
      </c>
      <c r="C46" s="50">
        <f>VLOOKUP($A46,'Data shares'!$C:$FB,10)*100</f>
        <v>1.08</v>
      </c>
      <c r="D46" s="49">
        <f>VLOOKUP($A46,'Data shares'!$C:$FB,66)</f>
        <v>235284750</v>
      </c>
      <c r="E46" s="49">
        <f>VLOOKUP($A46,'Data shares'!$C:$FB,67)</f>
        <v>272605500</v>
      </c>
      <c r="F46" s="50">
        <f>VLOOKUP($A46,'Data shares'!$C:$FB,69)*100</f>
        <v>-13.69</v>
      </c>
      <c r="G46" s="49">
        <f>VLOOKUP($A46,'Data shares'!$C:$FB,42)</f>
        <v>65191500</v>
      </c>
      <c r="H46" s="49">
        <f>VLOOKUP($A46,'Data shares'!$C:$FB,43)</f>
        <v>75539250</v>
      </c>
      <c r="I46" s="50">
        <f>VLOOKUP($A46,'Data shares'!$C:$FB,45)*100</f>
        <v>-13.700000000000001</v>
      </c>
      <c r="J46" s="49">
        <f>VLOOKUP($A46,'Data shares'!$C:$FB,58)</f>
        <v>105725250</v>
      </c>
      <c r="K46" s="49">
        <f>VLOOKUP($A46,'Data shares'!$C:$FB,59)</f>
        <v>106798500</v>
      </c>
      <c r="L46" s="50">
        <f>VLOOKUP($A46,'Data shares'!$C:$FB,61)*100</f>
        <v>-1</v>
      </c>
      <c r="M46" s="49">
        <f>VLOOKUP($A46,'Data shares'!$C:$FB,62)</f>
        <v>64368000</v>
      </c>
      <c r="N46" s="49">
        <f>VLOOKUP($A46,'Data shares'!$C:$FB,63)</f>
        <v>90267750</v>
      </c>
      <c r="O46" s="140">
        <f>VLOOKUP($A46,'Data shares'!$C:$FB,65)*100</f>
        <v>-28.689999999999998</v>
      </c>
    </row>
    <row r="47" spans="1:15" x14ac:dyDescent="0.25">
      <c r="A47" s="101" t="str">
        <f>'Data Vlaue (Cr)'!C42</f>
        <v>CDSL</v>
      </c>
      <c r="B47" s="50">
        <f>VLOOKUP($A47,'Data shares'!$C:$FB,7)</f>
        <v>1239.5999999999999</v>
      </c>
      <c r="C47" s="50">
        <f>VLOOKUP($A47,'Data shares'!$C:$FB,10)*100</f>
        <v>2.5</v>
      </c>
      <c r="D47" s="49">
        <f>VLOOKUP($A47,'Data shares'!$C:$FB,66)</f>
        <v>9676225</v>
      </c>
      <c r="E47" s="49">
        <f>VLOOKUP($A47,'Data shares'!$C:$FB,67)</f>
        <v>13626325</v>
      </c>
      <c r="F47" s="50">
        <f>VLOOKUP($A47,'Data shares'!$C:$FB,69)*100</f>
        <v>-28.99</v>
      </c>
      <c r="G47" s="49">
        <f>VLOOKUP($A47,'Data shares'!$C:$FB,42)</f>
        <v>1896200</v>
      </c>
      <c r="H47" s="49">
        <f>VLOOKUP($A47,'Data shares'!$C:$FB,43)</f>
        <v>2539825</v>
      </c>
      <c r="I47" s="50">
        <f>VLOOKUP($A47,'Data shares'!$C:$FB,45)*100</f>
        <v>-25.34</v>
      </c>
      <c r="J47" s="49">
        <f>VLOOKUP($A47,'Data shares'!$C:$FB,58)</f>
        <v>5534700</v>
      </c>
      <c r="K47" s="49">
        <f>VLOOKUP($A47,'Data shares'!$C:$FB,59)</f>
        <v>7084625</v>
      </c>
      <c r="L47" s="50">
        <f>VLOOKUP($A47,'Data shares'!$C:$FB,61)*100</f>
        <v>-21.88</v>
      </c>
      <c r="M47" s="49">
        <f>VLOOKUP($A47,'Data shares'!$C:$FB,62)</f>
        <v>2245325</v>
      </c>
      <c r="N47" s="49">
        <f>VLOOKUP($A47,'Data shares'!$C:$FB,63)</f>
        <v>4001875</v>
      </c>
      <c r="O47" s="140">
        <f>VLOOKUP($A47,'Data shares'!$C:$FB,65)*100</f>
        <v>-43.89</v>
      </c>
    </row>
    <row r="48" spans="1:15" x14ac:dyDescent="0.25">
      <c r="A48" s="101" t="str">
        <f>'Data Vlaue (Cr)'!C43</f>
        <v>CGPOWER</v>
      </c>
      <c r="B48" s="50">
        <f>VLOOKUP($A48,'Data shares'!$C:$FB,7)</f>
        <v>701.1</v>
      </c>
      <c r="C48" s="50">
        <f>VLOOKUP($A48,'Data shares'!$C:$FB,10)*100</f>
        <v>2.37</v>
      </c>
      <c r="D48" s="49">
        <f>VLOOKUP($A48,'Data shares'!$C:$FB,66)</f>
        <v>6288300</v>
      </c>
      <c r="E48" s="49">
        <f>VLOOKUP($A48,'Data shares'!$C:$FB,67)</f>
        <v>13204750</v>
      </c>
      <c r="F48" s="50">
        <f>VLOOKUP($A48,'Data shares'!$C:$FB,69)*100</f>
        <v>-52.38</v>
      </c>
      <c r="G48" s="49">
        <f>VLOOKUP($A48,'Data shares'!$C:$FB,42)</f>
        <v>1534250</v>
      </c>
      <c r="H48" s="49">
        <f>VLOOKUP($A48,'Data shares'!$C:$FB,43)</f>
        <v>3866650</v>
      </c>
      <c r="I48" s="50">
        <f>VLOOKUP($A48,'Data shares'!$C:$FB,45)*100</f>
        <v>-60.319999999999993</v>
      </c>
      <c r="J48" s="49">
        <f>VLOOKUP($A48,'Data shares'!$C:$FB,58)</f>
        <v>3284400</v>
      </c>
      <c r="K48" s="49">
        <f>VLOOKUP($A48,'Data shares'!$C:$FB,59)</f>
        <v>5519900</v>
      </c>
      <c r="L48" s="50">
        <f>VLOOKUP($A48,'Data shares'!$C:$FB,61)*100</f>
        <v>-40.5</v>
      </c>
      <c r="M48" s="49">
        <f>VLOOKUP($A48,'Data shares'!$C:$FB,62)</f>
        <v>1469650</v>
      </c>
      <c r="N48" s="49">
        <f>VLOOKUP($A48,'Data shares'!$C:$FB,63)</f>
        <v>3818200</v>
      </c>
      <c r="O48" s="140">
        <f>VLOOKUP($A48,'Data shares'!$C:$FB,65)*100</f>
        <v>-61.51</v>
      </c>
    </row>
    <row r="49" spans="1:15" x14ac:dyDescent="0.25">
      <c r="A49" s="101" t="str">
        <f>'Data Vlaue (Cr)'!C44</f>
        <v>CHOLAFIN</v>
      </c>
      <c r="B49" s="50">
        <f>VLOOKUP($A49,'Data shares'!$C:$FB,7)</f>
        <v>1669</v>
      </c>
      <c r="C49" s="50">
        <f>VLOOKUP($A49,'Data shares'!$C:$FB,10)*100</f>
        <v>0.92999999999999994</v>
      </c>
      <c r="D49" s="49">
        <f>VLOOKUP($A49,'Data shares'!$C:$FB,66)</f>
        <v>7795000</v>
      </c>
      <c r="E49" s="49">
        <f>VLOOKUP($A49,'Data shares'!$C:$FB,67)</f>
        <v>9091875</v>
      </c>
      <c r="F49" s="50">
        <f>VLOOKUP($A49,'Data shares'!$C:$FB,69)*100</f>
        <v>-14.26</v>
      </c>
      <c r="G49" s="49">
        <f>VLOOKUP($A49,'Data shares'!$C:$FB,42)</f>
        <v>2108125</v>
      </c>
      <c r="H49" s="49">
        <f>VLOOKUP($A49,'Data shares'!$C:$FB,43)</f>
        <v>2187500</v>
      </c>
      <c r="I49" s="50">
        <f>VLOOKUP($A49,'Data shares'!$C:$FB,45)*100</f>
        <v>-3.63</v>
      </c>
      <c r="J49" s="49">
        <f>VLOOKUP($A49,'Data shares'!$C:$FB,58)</f>
        <v>3109375</v>
      </c>
      <c r="K49" s="49">
        <f>VLOOKUP($A49,'Data shares'!$C:$FB,59)</f>
        <v>3255000</v>
      </c>
      <c r="L49" s="50">
        <f>VLOOKUP($A49,'Data shares'!$C:$FB,61)*100</f>
        <v>-4.47</v>
      </c>
      <c r="M49" s="49">
        <f>VLOOKUP($A49,'Data shares'!$C:$FB,62)</f>
        <v>2577500</v>
      </c>
      <c r="N49" s="49">
        <f>VLOOKUP($A49,'Data shares'!$C:$FB,63)</f>
        <v>3649375</v>
      </c>
      <c r="O49" s="140">
        <f>VLOOKUP($A49,'Data shares'!$C:$FB,65)*100</f>
        <v>-29.37</v>
      </c>
    </row>
    <row r="50" spans="1:15" x14ac:dyDescent="0.25">
      <c r="A50" s="101" t="str">
        <f>'Data Vlaue (Cr)'!C45</f>
        <v>CIPLA</v>
      </c>
      <c r="B50" s="50">
        <f>VLOOKUP($A50,'Data shares'!$C:$FB,7)</f>
        <v>1326.4</v>
      </c>
      <c r="C50" s="50">
        <f>VLOOKUP($A50,'Data shares'!$C:$FB,10)*100</f>
        <v>1.01</v>
      </c>
      <c r="D50" s="49">
        <f>VLOOKUP($A50,'Data shares'!$C:$FB,66)</f>
        <v>5572125</v>
      </c>
      <c r="E50" s="49">
        <f>VLOOKUP($A50,'Data shares'!$C:$FB,67)</f>
        <v>10720125</v>
      </c>
      <c r="F50" s="50">
        <f>VLOOKUP($A50,'Data shares'!$C:$FB,69)*100</f>
        <v>-48.02</v>
      </c>
      <c r="G50" s="49">
        <f>VLOOKUP($A50,'Data shares'!$C:$FB,42)</f>
        <v>1294500</v>
      </c>
      <c r="H50" s="49">
        <f>VLOOKUP($A50,'Data shares'!$C:$FB,43)</f>
        <v>2008875</v>
      </c>
      <c r="I50" s="50">
        <f>VLOOKUP($A50,'Data shares'!$C:$FB,45)*100</f>
        <v>-35.56</v>
      </c>
      <c r="J50" s="49">
        <f>VLOOKUP($A50,'Data shares'!$C:$FB,58)</f>
        <v>2902125</v>
      </c>
      <c r="K50" s="49">
        <f>VLOOKUP($A50,'Data shares'!$C:$FB,59)</f>
        <v>5940000</v>
      </c>
      <c r="L50" s="50">
        <f>VLOOKUP($A50,'Data shares'!$C:$FB,61)*100</f>
        <v>-51.139999999999993</v>
      </c>
      <c r="M50" s="49">
        <f>VLOOKUP($A50,'Data shares'!$C:$FB,62)</f>
        <v>1375500</v>
      </c>
      <c r="N50" s="49">
        <f>VLOOKUP($A50,'Data shares'!$C:$FB,63)</f>
        <v>2771250</v>
      </c>
      <c r="O50" s="140">
        <f>VLOOKUP($A50,'Data shares'!$C:$FB,65)*100</f>
        <v>-50.370000000000005</v>
      </c>
    </row>
    <row r="51" spans="1:15" x14ac:dyDescent="0.25">
      <c r="A51" s="101" t="str">
        <f>'Data Vlaue (Cr)'!C46</f>
        <v>COALINDIA</v>
      </c>
      <c r="B51" s="50">
        <f>VLOOKUP($A51,'Data shares'!$C:$FB,7)</f>
        <v>449.4</v>
      </c>
      <c r="C51" s="50">
        <f>VLOOKUP($A51,'Data shares'!$C:$FB,10)*100</f>
        <v>3.27</v>
      </c>
      <c r="D51" s="49">
        <f>VLOOKUP($A51,'Data shares'!$C:$FB,66)</f>
        <v>288503100</v>
      </c>
      <c r="E51" s="49">
        <f>VLOOKUP($A51,'Data shares'!$C:$FB,67)</f>
        <v>160629750</v>
      </c>
      <c r="F51" s="50">
        <f>VLOOKUP($A51,'Data shares'!$C:$FB,69)*100</f>
        <v>79.61</v>
      </c>
      <c r="G51" s="49">
        <f>VLOOKUP($A51,'Data shares'!$C:$FB,42)</f>
        <v>30325050</v>
      </c>
      <c r="H51" s="49">
        <f>VLOOKUP($A51,'Data shares'!$C:$FB,43)</f>
        <v>22322250</v>
      </c>
      <c r="I51" s="50">
        <f>VLOOKUP($A51,'Data shares'!$C:$FB,45)*100</f>
        <v>35.85</v>
      </c>
      <c r="J51" s="49">
        <f>VLOOKUP($A51,'Data shares'!$C:$FB,58)</f>
        <v>180297900</v>
      </c>
      <c r="K51" s="49">
        <f>VLOOKUP($A51,'Data shares'!$C:$FB,59)</f>
        <v>99407250</v>
      </c>
      <c r="L51" s="50">
        <f>VLOOKUP($A51,'Data shares'!$C:$FB,61)*100</f>
        <v>81.37</v>
      </c>
      <c r="M51" s="49">
        <f>VLOOKUP($A51,'Data shares'!$C:$FB,62)</f>
        <v>77880150</v>
      </c>
      <c r="N51" s="49">
        <f>VLOOKUP($A51,'Data shares'!$C:$FB,63)</f>
        <v>38900250</v>
      </c>
      <c r="O51" s="140">
        <f>VLOOKUP($A51,'Data shares'!$C:$FB,65)*100</f>
        <v>100.2</v>
      </c>
    </row>
    <row r="52" spans="1:15" x14ac:dyDescent="0.25">
      <c r="A52" s="101" t="str">
        <f>'Data Vlaue (Cr)'!C47</f>
        <v>COFORGE</v>
      </c>
      <c r="B52" s="50">
        <f>VLOOKUP($A52,'Data shares'!$C:$FB,7)</f>
        <v>1152.7</v>
      </c>
      <c r="C52" s="50">
        <f>VLOOKUP($A52,'Data shares'!$C:$FB,10)*100</f>
        <v>-1.48</v>
      </c>
      <c r="D52" s="49">
        <f>VLOOKUP($A52,'Data shares'!$C:$FB,66)</f>
        <v>18763500</v>
      </c>
      <c r="E52" s="49">
        <f>VLOOKUP($A52,'Data shares'!$C:$FB,67)</f>
        <v>16643250</v>
      </c>
      <c r="F52" s="50">
        <f>VLOOKUP($A52,'Data shares'!$C:$FB,69)*100</f>
        <v>12.740000000000002</v>
      </c>
      <c r="G52" s="49">
        <f>VLOOKUP($A52,'Data shares'!$C:$FB,42)</f>
        <v>4645125</v>
      </c>
      <c r="H52" s="49">
        <f>VLOOKUP($A52,'Data shares'!$C:$FB,43)</f>
        <v>4375875</v>
      </c>
      <c r="I52" s="50">
        <f>VLOOKUP($A52,'Data shares'!$C:$FB,45)*100</f>
        <v>6.15</v>
      </c>
      <c r="J52" s="49">
        <f>VLOOKUP($A52,'Data shares'!$C:$FB,58)</f>
        <v>9595125</v>
      </c>
      <c r="K52" s="49">
        <f>VLOOKUP($A52,'Data shares'!$C:$FB,59)</f>
        <v>8661750</v>
      </c>
      <c r="L52" s="50">
        <f>VLOOKUP($A52,'Data shares'!$C:$FB,61)*100</f>
        <v>10.780000000000001</v>
      </c>
      <c r="M52" s="49">
        <f>VLOOKUP($A52,'Data shares'!$C:$FB,62)</f>
        <v>4523250</v>
      </c>
      <c r="N52" s="49">
        <f>VLOOKUP($A52,'Data shares'!$C:$FB,63)</f>
        <v>3605625</v>
      </c>
      <c r="O52" s="140">
        <f>VLOOKUP($A52,'Data shares'!$C:$FB,65)*100</f>
        <v>25.45</v>
      </c>
    </row>
    <row r="53" spans="1:15" x14ac:dyDescent="0.25">
      <c r="A53" s="101" t="str">
        <f>'Data Vlaue (Cr)'!C48</f>
        <v>COLPAL</v>
      </c>
      <c r="B53" s="50">
        <f>VLOOKUP($A53,'Data shares'!$C:$FB,7)</f>
        <v>2200.6</v>
      </c>
      <c r="C53" s="50">
        <f>VLOOKUP($A53,'Data shares'!$C:$FB,10)*100</f>
        <v>0.77</v>
      </c>
      <c r="D53" s="49">
        <f>VLOOKUP($A53,'Data shares'!$C:$FB,66)</f>
        <v>2137050</v>
      </c>
      <c r="E53" s="49">
        <f>VLOOKUP($A53,'Data shares'!$C:$FB,67)</f>
        <v>2122650</v>
      </c>
      <c r="F53" s="50">
        <f>VLOOKUP($A53,'Data shares'!$C:$FB,69)*100</f>
        <v>0.67999999999999994</v>
      </c>
      <c r="G53" s="49">
        <f>VLOOKUP($A53,'Data shares'!$C:$FB,42)</f>
        <v>391950</v>
      </c>
      <c r="H53" s="49">
        <f>VLOOKUP($A53,'Data shares'!$C:$FB,43)</f>
        <v>509400</v>
      </c>
      <c r="I53" s="50">
        <f>VLOOKUP($A53,'Data shares'!$C:$FB,45)*100</f>
        <v>-23.06</v>
      </c>
      <c r="J53" s="49">
        <f>VLOOKUP($A53,'Data shares'!$C:$FB,58)</f>
        <v>1273950</v>
      </c>
      <c r="K53" s="49">
        <f>VLOOKUP($A53,'Data shares'!$C:$FB,59)</f>
        <v>1126350</v>
      </c>
      <c r="L53" s="50">
        <f>VLOOKUP($A53,'Data shares'!$C:$FB,61)*100</f>
        <v>13.100000000000001</v>
      </c>
      <c r="M53" s="49">
        <f>VLOOKUP($A53,'Data shares'!$C:$FB,62)</f>
        <v>471150</v>
      </c>
      <c r="N53" s="49">
        <f>VLOOKUP($A53,'Data shares'!$C:$FB,63)</f>
        <v>486900</v>
      </c>
      <c r="O53" s="140">
        <f>VLOOKUP($A53,'Data shares'!$C:$FB,65)*100</f>
        <v>-3.2300000000000004</v>
      </c>
    </row>
    <row r="54" spans="1:15" x14ac:dyDescent="0.25">
      <c r="A54" s="101" t="str">
        <f>'Data Vlaue (Cr)'!C49</f>
        <v>CONCOR</v>
      </c>
      <c r="B54" s="50">
        <f>VLOOKUP($A54,'Data shares'!$C:$FB,7)</f>
        <v>479.95</v>
      </c>
      <c r="C54" s="50">
        <f>VLOOKUP($A54,'Data shares'!$C:$FB,10)*100</f>
        <v>3.84</v>
      </c>
      <c r="D54" s="49">
        <f>VLOOKUP($A54,'Data shares'!$C:$FB,66)</f>
        <v>18126250</v>
      </c>
      <c r="E54" s="49">
        <f>VLOOKUP($A54,'Data shares'!$C:$FB,67)</f>
        <v>21456250</v>
      </c>
      <c r="F54" s="50">
        <f>VLOOKUP($A54,'Data shares'!$C:$FB,69)*100</f>
        <v>-15.52</v>
      </c>
      <c r="G54" s="49">
        <f>VLOOKUP($A54,'Data shares'!$C:$FB,42)</f>
        <v>4633750</v>
      </c>
      <c r="H54" s="49">
        <f>VLOOKUP($A54,'Data shares'!$C:$FB,43)</f>
        <v>5942500</v>
      </c>
      <c r="I54" s="50">
        <f>VLOOKUP($A54,'Data shares'!$C:$FB,45)*100</f>
        <v>-22.02</v>
      </c>
      <c r="J54" s="49">
        <f>VLOOKUP($A54,'Data shares'!$C:$FB,58)</f>
        <v>8875000</v>
      </c>
      <c r="K54" s="49">
        <f>VLOOKUP($A54,'Data shares'!$C:$FB,59)</f>
        <v>9427500</v>
      </c>
      <c r="L54" s="50">
        <f>VLOOKUP($A54,'Data shares'!$C:$FB,61)*100</f>
        <v>-5.86</v>
      </c>
      <c r="M54" s="49">
        <f>VLOOKUP($A54,'Data shares'!$C:$FB,62)</f>
        <v>4617500</v>
      </c>
      <c r="N54" s="49">
        <f>VLOOKUP($A54,'Data shares'!$C:$FB,63)</f>
        <v>6086250</v>
      </c>
      <c r="O54" s="140">
        <f>VLOOKUP($A54,'Data shares'!$C:$FB,65)*100</f>
        <v>-24.13</v>
      </c>
    </row>
    <row r="55" spans="1:15" x14ac:dyDescent="0.25">
      <c r="A55" s="101" t="str">
        <f>'Data Vlaue (Cr)'!C50</f>
        <v>CROMPTON</v>
      </c>
      <c r="B55" s="50">
        <f>VLOOKUP($A55,'Data shares'!$C:$FB,7)</f>
        <v>250.1</v>
      </c>
      <c r="C55" s="50">
        <f>VLOOKUP($A55,'Data shares'!$C:$FB,10)*100</f>
        <v>1.94</v>
      </c>
      <c r="D55" s="49">
        <f>VLOOKUP($A55,'Data shares'!$C:$FB,66)</f>
        <v>15186600</v>
      </c>
      <c r="E55" s="49">
        <f>VLOOKUP($A55,'Data shares'!$C:$FB,67)</f>
        <v>14099400</v>
      </c>
      <c r="F55" s="50">
        <f>VLOOKUP($A55,'Data shares'!$C:$FB,69)*100</f>
        <v>7.71</v>
      </c>
      <c r="G55" s="49">
        <f>VLOOKUP($A55,'Data shares'!$C:$FB,42)</f>
        <v>4163400</v>
      </c>
      <c r="H55" s="49">
        <f>VLOOKUP($A55,'Data shares'!$C:$FB,43)</f>
        <v>5220000</v>
      </c>
      <c r="I55" s="50">
        <f>VLOOKUP($A55,'Data shares'!$C:$FB,45)*100</f>
        <v>-20.239999999999998</v>
      </c>
      <c r="J55" s="49">
        <f>VLOOKUP($A55,'Data shares'!$C:$FB,58)</f>
        <v>8087400</v>
      </c>
      <c r="K55" s="49">
        <f>VLOOKUP($A55,'Data shares'!$C:$FB,59)</f>
        <v>6062400</v>
      </c>
      <c r="L55" s="50">
        <f>VLOOKUP($A55,'Data shares'!$C:$FB,61)*100</f>
        <v>33.4</v>
      </c>
      <c r="M55" s="49">
        <f>VLOOKUP($A55,'Data shares'!$C:$FB,62)</f>
        <v>2935800</v>
      </c>
      <c r="N55" s="49">
        <f>VLOOKUP($A55,'Data shares'!$C:$FB,63)</f>
        <v>2817000</v>
      </c>
      <c r="O55" s="140">
        <f>VLOOKUP($A55,'Data shares'!$C:$FB,65)*100</f>
        <v>4.22</v>
      </c>
    </row>
    <row r="56" spans="1:15" x14ac:dyDescent="0.25">
      <c r="A56" s="101" t="str">
        <f>'Data Vlaue (Cr)'!C51</f>
        <v>CUMMINSIND</v>
      </c>
      <c r="B56" s="50">
        <f>VLOOKUP($A56,'Data shares'!$C:$FB,7)</f>
        <v>4791.3999999999996</v>
      </c>
      <c r="C56" s="50">
        <f>VLOOKUP($A56,'Data shares'!$C:$FB,10)*100</f>
        <v>4.51</v>
      </c>
      <c r="D56" s="49">
        <f>VLOOKUP($A56,'Data shares'!$C:$FB,66)</f>
        <v>3702400</v>
      </c>
      <c r="E56" s="49">
        <f>VLOOKUP($A56,'Data shares'!$C:$FB,67)</f>
        <v>4257800</v>
      </c>
      <c r="F56" s="50">
        <f>VLOOKUP($A56,'Data shares'!$C:$FB,69)*100</f>
        <v>-13.04</v>
      </c>
      <c r="G56" s="49">
        <f>VLOOKUP($A56,'Data shares'!$C:$FB,42)</f>
        <v>926800</v>
      </c>
      <c r="H56" s="49">
        <f>VLOOKUP($A56,'Data shares'!$C:$FB,43)</f>
        <v>1108600</v>
      </c>
      <c r="I56" s="50">
        <f>VLOOKUP($A56,'Data shares'!$C:$FB,45)*100</f>
        <v>-16.400000000000002</v>
      </c>
      <c r="J56" s="49">
        <f>VLOOKUP($A56,'Data shares'!$C:$FB,58)</f>
        <v>1992600</v>
      </c>
      <c r="K56" s="49">
        <f>VLOOKUP($A56,'Data shares'!$C:$FB,59)</f>
        <v>1389600</v>
      </c>
      <c r="L56" s="50">
        <f>VLOOKUP($A56,'Data shares'!$C:$FB,61)*100</f>
        <v>43.39</v>
      </c>
      <c r="M56" s="49">
        <f>VLOOKUP($A56,'Data shares'!$C:$FB,62)</f>
        <v>783000</v>
      </c>
      <c r="N56" s="49">
        <f>VLOOKUP($A56,'Data shares'!$C:$FB,63)</f>
        <v>1759600</v>
      </c>
      <c r="O56" s="140">
        <f>VLOOKUP($A56,'Data shares'!$C:$FB,65)*100</f>
        <v>-55.500000000000007</v>
      </c>
    </row>
    <row r="57" spans="1:15" x14ac:dyDescent="0.25">
      <c r="A57" s="101" t="str">
        <f>'Data Vlaue (Cr)'!C52</f>
        <v>DABUR</v>
      </c>
      <c r="B57" s="50">
        <f>VLOOKUP($A57,'Data shares'!$C:$FB,7)</f>
        <v>487.9</v>
      </c>
      <c r="C57" s="50">
        <f>VLOOKUP($A57,'Data shares'!$C:$FB,10)*100</f>
        <v>0.1</v>
      </c>
      <c r="D57" s="49">
        <f>VLOOKUP($A57,'Data shares'!$C:$FB,66)</f>
        <v>15373750</v>
      </c>
      <c r="E57" s="49">
        <f>VLOOKUP($A57,'Data shares'!$C:$FB,67)</f>
        <v>16703750</v>
      </c>
      <c r="F57" s="50">
        <f>VLOOKUP($A57,'Data shares'!$C:$FB,69)*100</f>
        <v>-7.9600000000000009</v>
      </c>
      <c r="G57" s="49">
        <f>VLOOKUP($A57,'Data shares'!$C:$FB,42)</f>
        <v>2976250</v>
      </c>
      <c r="H57" s="49">
        <f>VLOOKUP($A57,'Data shares'!$C:$FB,43)</f>
        <v>3902500</v>
      </c>
      <c r="I57" s="50">
        <f>VLOOKUP($A57,'Data shares'!$C:$FB,45)*100</f>
        <v>-23.73</v>
      </c>
      <c r="J57" s="49">
        <f>VLOOKUP($A57,'Data shares'!$C:$FB,58)</f>
        <v>7873750</v>
      </c>
      <c r="K57" s="49">
        <f>VLOOKUP($A57,'Data shares'!$C:$FB,59)</f>
        <v>7697500</v>
      </c>
      <c r="L57" s="50">
        <f>VLOOKUP($A57,'Data shares'!$C:$FB,61)*100</f>
        <v>2.29</v>
      </c>
      <c r="M57" s="49">
        <f>VLOOKUP($A57,'Data shares'!$C:$FB,62)</f>
        <v>4523750</v>
      </c>
      <c r="N57" s="49">
        <f>VLOOKUP($A57,'Data shares'!$C:$FB,63)</f>
        <v>5103750</v>
      </c>
      <c r="O57" s="140">
        <f>VLOOKUP($A57,'Data shares'!$C:$FB,65)*100</f>
        <v>-11.360000000000001</v>
      </c>
    </row>
    <row r="58" spans="1:15" x14ac:dyDescent="0.25">
      <c r="A58" s="101" t="str">
        <f>'Data Vlaue (Cr)'!C53</f>
        <v>DALBHARAT</v>
      </c>
      <c r="B58" s="50">
        <f>VLOOKUP($A58,'Data shares'!$C:$FB,7)</f>
        <v>1928.7</v>
      </c>
      <c r="C58" s="50">
        <f>VLOOKUP($A58,'Data shares'!$C:$FB,10)*100</f>
        <v>1.7399999999999998</v>
      </c>
      <c r="D58" s="49">
        <f>VLOOKUP($A58,'Data shares'!$C:$FB,66)</f>
        <v>1268475</v>
      </c>
      <c r="E58" s="49">
        <f>VLOOKUP($A58,'Data shares'!$C:$FB,67)</f>
        <v>1717625</v>
      </c>
      <c r="F58" s="50">
        <f>VLOOKUP($A58,'Data shares'!$C:$FB,69)*100</f>
        <v>-26.150000000000002</v>
      </c>
      <c r="G58" s="49">
        <f>VLOOKUP($A58,'Data shares'!$C:$FB,42)</f>
        <v>324025</v>
      </c>
      <c r="H58" s="49">
        <f>VLOOKUP($A58,'Data shares'!$C:$FB,43)</f>
        <v>476125</v>
      </c>
      <c r="I58" s="50">
        <f>VLOOKUP($A58,'Data shares'!$C:$FB,45)*100</f>
        <v>-31.95</v>
      </c>
      <c r="J58" s="49">
        <f>VLOOKUP($A58,'Data shares'!$C:$FB,58)</f>
        <v>390975</v>
      </c>
      <c r="K58" s="49">
        <f>VLOOKUP($A58,'Data shares'!$C:$FB,59)</f>
        <v>463125</v>
      </c>
      <c r="L58" s="50">
        <f>VLOOKUP($A58,'Data shares'!$C:$FB,61)*100</f>
        <v>-15.58</v>
      </c>
      <c r="M58" s="49">
        <f>VLOOKUP($A58,'Data shares'!$C:$FB,62)</f>
        <v>553475</v>
      </c>
      <c r="N58" s="49">
        <f>VLOOKUP($A58,'Data shares'!$C:$FB,63)</f>
        <v>778375</v>
      </c>
      <c r="O58" s="140">
        <f>VLOOKUP($A58,'Data shares'!$C:$FB,65)*100</f>
        <v>-28.89</v>
      </c>
    </row>
    <row r="59" spans="1:15" x14ac:dyDescent="0.25">
      <c r="A59" s="101" t="str">
        <f>'Data Vlaue (Cr)'!C54</f>
        <v>DELHIVERY</v>
      </c>
      <c r="B59" s="50">
        <f>VLOOKUP($A59,'Data shares'!$C:$FB,7)</f>
        <v>428.1</v>
      </c>
      <c r="C59" s="50">
        <f>VLOOKUP($A59,'Data shares'!$C:$FB,10)*100</f>
        <v>2.74</v>
      </c>
      <c r="D59" s="49">
        <f>VLOOKUP($A59,'Data shares'!$C:$FB,66)</f>
        <v>13620300</v>
      </c>
      <c r="E59" s="49">
        <f>VLOOKUP($A59,'Data shares'!$C:$FB,67)</f>
        <v>11804675</v>
      </c>
      <c r="F59" s="50">
        <f>VLOOKUP($A59,'Data shares'!$C:$FB,69)*100</f>
        <v>15.379999999999999</v>
      </c>
      <c r="G59" s="49">
        <f>VLOOKUP($A59,'Data shares'!$C:$FB,42)</f>
        <v>3552400</v>
      </c>
      <c r="H59" s="49">
        <f>VLOOKUP($A59,'Data shares'!$C:$FB,43)</f>
        <v>4475775</v>
      </c>
      <c r="I59" s="50">
        <f>VLOOKUP($A59,'Data shares'!$C:$FB,45)*100</f>
        <v>-20.630000000000003</v>
      </c>
      <c r="J59" s="49">
        <f>VLOOKUP($A59,'Data shares'!$C:$FB,58)</f>
        <v>8134000</v>
      </c>
      <c r="K59" s="49">
        <f>VLOOKUP($A59,'Data shares'!$C:$FB,59)</f>
        <v>4525575</v>
      </c>
      <c r="L59" s="50">
        <f>VLOOKUP($A59,'Data shares'!$C:$FB,61)*100</f>
        <v>79.73</v>
      </c>
      <c r="M59" s="49">
        <f>VLOOKUP($A59,'Data shares'!$C:$FB,62)</f>
        <v>1933900</v>
      </c>
      <c r="N59" s="49">
        <f>VLOOKUP($A59,'Data shares'!$C:$FB,63)</f>
        <v>2803325</v>
      </c>
      <c r="O59" s="140">
        <f>VLOOKUP($A59,'Data shares'!$C:$FB,65)*100</f>
        <v>-31.009999999999998</v>
      </c>
    </row>
    <row r="60" spans="1:15" x14ac:dyDescent="0.25">
      <c r="A60" s="101" t="str">
        <f>'Data Vlaue (Cr)'!C55</f>
        <v>DIVISLAB</v>
      </c>
      <c r="B60" s="50">
        <f>VLOOKUP($A60,'Data shares'!$C:$FB,7)</f>
        <v>6364.5</v>
      </c>
      <c r="C60" s="50">
        <f>VLOOKUP($A60,'Data shares'!$C:$FB,10)*100</f>
        <v>0.77</v>
      </c>
      <c r="D60" s="49">
        <f>VLOOKUP($A60,'Data shares'!$C:$FB,66)</f>
        <v>1154500</v>
      </c>
      <c r="E60" s="49">
        <f>VLOOKUP($A60,'Data shares'!$C:$FB,67)</f>
        <v>1550500</v>
      </c>
      <c r="F60" s="50">
        <f>VLOOKUP($A60,'Data shares'!$C:$FB,69)*100</f>
        <v>-25.540000000000003</v>
      </c>
      <c r="G60" s="49">
        <f>VLOOKUP($A60,'Data shares'!$C:$FB,42)</f>
        <v>273700</v>
      </c>
      <c r="H60" s="49">
        <f>VLOOKUP($A60,'Data shares'!$C:$FB,43)</f>
        <v>199100</v>
      </c>
      <c r="I60" s="50">
        <f>VLOOKUP($A60,'Data shares'!$C:$FB,45)*100</f>
        <v>37.47</v>
      </c>
      <c r="J60" s="49">
        <f>VLOOKUP($A60,'Data shares'!$C:$FB,58)</f>
        <v>691000</v>
      </c>
      <c r="K60" s="49">
        <f>VLOOKUP($A60,'Data shares'!$C:$FB,59)</f>
        <v>792400</v>
      </c>
      <c r="L60" s="50">
        <f>VLOOKUP($A60,'Data shares'!$C:$FB,61)*100</f>
        <v>-12.8</v>
      </c>
      <c r="M60" s="49">
        <f>VLOOKUP($A60,'Data shares'!$C:$FB,62)</f>
        <v>189800</v>
      </c>
      <c r="N60" s="49">
        <f>VLOOKUP($A60,'Data shares'!$C:$FB,63)</f>
        <v>559000</v>
      </c>
      <c r="O60" s="140">
        <f>VLOOKUP($A60,'Data shares'!$C:$FB,65)*100</f>
        <v>-66.05</v>
      </c>
    </row>
    <row r="61" spans="1:15" x14ac:dyDescent="0.25">
      <c r="A61" s="101" t="str">
        <f>'Data Vlaue (Cr)'!C56</f>
        <v>DIXON</v>
      </c>
      <c r="B61" s="50">
        <f>VLOOKUP($A61,'Data shares'!$C:$FB,7)</f>
        <v>10224</v>
      </c>
      <c r="C61" s="50">
        <f>VLOOKUP($A61,'Data shares'!$C:$FB,10)*100</f>
        <v>0.86999999999999988</v>
      </c>
      <c r="D61" s="49">
        <f>VLOOKUP($A61,'Data shares'!$C:$FB,66)</f>
        <v>3962300</v>
      </c>
      <c r="E61" s="49">
        <f>VLOOKUP($A61,'Data shares'!$C:$FB,67)</f>
        <v>5298500</v>
      </c>
      <c r="F61" s="50">
        <f>VLOOKUP($A61,'Data shares'!$C:$FB,69)*100</f>
        <v>-25.22</v>
      </c>
      <c r="G61" s="49">
        <f>VLOOKUP($A61,'Data shares'!$C:$FB,42)</f>
        <v>615200</v>
      </c>
      <c r="H61" s="49">
        <f>VLOOKUP($A61,'Data shares'!$C:$FB,43)</f>
        <v>784800</v>
      </c>
      <c r="I61" s="50">
        <f>VLOOKUP($A61,'Data shares'!$C:$FB,45)*100</f>
        <v>-21.61</v>
      </c>
      <c r="J61" s="49">
        <f>VLOOKUP($A61,'Data shares'!$C:$FB,58)</f>
        <v>2268850</v>
      </c>
      <c r="K61" s="49">
        <f>VLOOKUP($A61,'Data shares'!$C:$FB,59)</f>
        <v>2843450</v>
      </c>
      <c r="L61" s="50">
        <f>VLOOKUP($A61,'Data shares'!$C:$FB,61)*100</f>
        <v>-20.21</v>
      </c>
      <c r="M61" s="49">
        <f>VLOOKUP($A61,'Data shares'!$C:$FB,62)</f>
        <v>1078250</v>
      </c>
      <c r="N61" s="49">
        <f>VLOOKUP($A61,'Data shares'!$C:$FB,63)</f>
        <v>1670250</v>
      </c>
      <c r="O61" s="140">
        <f>VLOOKUP($A61,'Data shares'!$C:$FB,65)*100</f>
        <v>-35.44</v>
      </c>
    </row>
    <row r="62" spans="1:15" x14ac:dyDescent="0.25">
      <c r="A62" s="101" t="str">
        <f>'Data Vlaue (Cr)'!C57</f>
        <v>DLF</v>
      </c>
      <c r="B62" s="50">
        <f>VLOOKUP($A62,'Data shares'!$C:$FB,7)</f>
        <v>585.15</v>
      </c>
      <c r="C62" s="50">
        <f>VLOOKUP($A62,'Data shares'!$C:$FB,10)*100</f>
        <v>2.83</v>
      </c>
      <c r="D62" s="49">
        <f>VLOOKUP($A62,'Data shares'!$C:$FB,66)</f>
        <v>26420625</v>
      </c>
      <c r="E62" s="49">
        <f>VLOOKUP($A62,'Data shares'!$C:$FB,67)</f>
        <v>46324575</v>
      </c>
      <c r="F62" s="50">
        <f>VLOOKUP($A62,'Data shares'!$C:$FB,69)*100</f>
        <v>-42.970000000000006</v>
      </c>
      <c r="G62" s="49">
        <f>VLOOKUP($A62,'Data shares'!$C:$FB,42)</f>
        <v>6313725</v>
      </c>
      <c r="H62" s="49">
        <f>VLOOKUP($A62,'Data shares'!$C:$FB,43)</f>
        <v>12391500</v>
      </c>
      <c r="I62" s="50">
        <f>VLOOKUP($A62,'Data shares'!$C:$FB,45)*100</f>
        <v>-49.05</v>
      </c>
      <c r="J62" s="49">
        <f>VLOOKUP($A62,'Data shares'!$C:$FB,58)</f>
        <v>13223925</v>
      </c>
      <c r="K62" s="49">
        <f>VLOOKUP($A62,'Data shares'!$C:$FB,59)</f>
        <v>18419775</v>
      </c>
      <c r="L62" s="50">
        <f>VLOOKUP($A62,'Data shares'!$C:$FB,61)*100</f>
        <v>-28.21</v>
      </c>
      <c r="M62" s="49">
        <f>VLOOKUP($A62,'Data shares'!$C:$FB,62)</f>
        <v>6882975</v>
      </c>
      <c r="N62" s="49">
        <f>VLOOKUP($A62,'Data shares'!$C:$FB,63)</f>
        <v>15513300</v>
      </c>
      <c r="O62" s="140">
        <f>VLOOKUP($A62,'Data shares'!$C:$FB,65)*100</f>
        <v>-55.63</v>
      </c>
    </row>
    <row r="63" spans="1:15" x14ac:dyDescent="0.25">
      <c r="A63" s="101" t="str">
        <f>'Data Vlaue (Cr)'!C58</f>
        <v>DMART</v>
      </c>
      <c r="B63" s="50">
        <f>VLOOKUP($A63,'Data shares'!$C:$FB,7)</f>
        <v>3835.4</v>
      </c>
      <c r="C63" s="50">
        <f>VLOOKUP($A63,'Data shares'!$C:$FB,10)*100</f>
        <v>1.9800000000000002</v>
      </c>
      <c r="D63" s="49">
        <f>VLOOKUP($A63,'Data shares'!$C:$FB,66)</f>
        <v>2643900</v>
      </c>
      <c r="E63" s="49">
        <f>VLOOKUP($A63,'Data shares'!$C:$FB,67)</f>
        <v>1852800</v>
      </c>
      <c r="F63" s="50">
        <f>VLOOKUP($A63,'Data shares'!$C:$FB,69)*100</f>
        <v>42.699999999999996</v>
      </c>
      <c r="G63" s="49">
        <f>VLOOKUP($A63,'Data shares'!$C:$FB,42)</f>
        <v>770100</v>
      </c>
      <c r="H63" s="49">
        <f>VLOOKUP($A63,'Data shares'!$C:$FB,43)</f>
        <v>482250</v>
      </c>
      <c r="I63" s="50">
        <f>VLOOKUP($A63,'Data shares'!$C:$FB,45)*100</f>
        <v>59.69</v>
      </c>
      <c r="J63" s="49">
        <f>VLOOKUP($A63,'Data shares'!$C:$FB,58)</f>
        <v>1339650</v>
      </c>
      <c r="K63" s="49">
        <f>VLOOKUP($A63,'Data shares'!$C:$FB,59)</f>
        <v>711450</v>
      </c>
      <c r="L63" s="50">
        <f>VLOOKUP($A63,'Data shares'!$C:$FB,61)*100</f>
        <v>88.3</v>
      </c>
      <c r="M63" s="49">
        <f>VLOOKUP($A63,'Data shares'!$C:$FB,62)</f>
        <v>534150</v>
      </c>
      <c r="N63" s="49">
        <f>VLOOKUP($A63,'Data shares'!$C:$FB,63)</f>
        <v>659100</v>
      </c>
      <c r="O63" s="140">
        <f>VLOOKUP($A63,'Data shares'!$C:$FB,65)*100</f>
        <v>-18.96</v>
      </c>
    </row>
    <row r="64" spans="1:15" x14ac:dyDescent="0.25">
      <c r="A64" s="101" t="str">
        <f>'Data Vlaue (Cr)'!C59</f>
        <v>DRREDDY</v>
      </c>
      <c r="B64" s="50">
        <f>VLOOKUP($A64,'Data shares'!$C:$FB,7)</f>
        <v>1313.5</v>
      </c>
      <c r="C64" s="50">
        <f>VLOOKUP($A64,'Data shares'!$C:$FB,10)*100</f>
        <v>1.73</v>
      </c>
      <c r="D64" s="49">
        <f>VLOOKUP($A64,'Data shares'!$C:$FB,66)</f>
        <v>12327500</v>
      </c>
      <c r="E64" s="49">
        <f>VLOOKUP($A64,'Data shares'!$C:$FB,67)</f>
        <v>11985000</v>
      </c>
      <c r="F64" s="50">
        <f>VLOOKUP($A64,'Data shares'!$C:$FB,69)*100</f>
        <v>2.86</v>
      </c>
      <c r="G64" s="49">
        <f>VLOOKUP($A64,'Data shares'!$C:$FB,42)</f>
        <v>2033125</v>
      </c>
      <c r="H64" s="49">
        <f>VLOOKUP($A64,'Data shares'!$C:$FB,43)</f>
        <v>1981875</v>
      </c>
      <c r="I64" s="50">
        <f>VLOOKUP($A64,'Data shares'!$C:$FB,45)*100</f>
        <v>2.59</v>
      </c>
      <c r="J64" s="49">
        <f>VLOOKUP($A64,'Data shares'!$C:$FB,58)</f>
        <v>7578750</v>
      </c>
      <c r="K64" s="49">
        <f>VLOOKUP($A64,'Data shares'!$C:$FB,59)</f>
        <v>6444375</v>
      </c>
      <c r="L64" s="50">
        <f>VLOOKUP($A64,'Data shares'!$C:$FB,61)*100</f>
        <v>17.599999999999998</v>
      </c>
      <c r="M64" s="49">
        <f>VLOOKUP($A64,'Data shares'!$C:$FB,62)</f>
        <v>2715625</v>
      </c>
      <c r="N64" s="49">
        <f>VLOOKUP($A64,'Data shares'!$C:$FB,63)</f>
        <v>3558750</v>
      </c>
      <c r="O64" s="140">
        <f>VLOOKUP($A64,'Data shares'!$C:$FB,65)*100</f>
        <v>-23.69</v>
      </c>
    </row>
    <row r="65" spans="1:15" x14ac:dyDescent="0.25">
      <c r="A65" s="101" t="str">
        <f>'Data Vlaue (Cr)'!C60</f>
        <v>EICHERMOT</v>
      </c>
      <c r="B65" s="50">
        <f>VLOOKUP($A65,'Data shares'!$C:$FB,7)</f>
        <v>7755</v>
      </c>
      <c r="C65" s="50">
        <f>VLOOKUP($A65,'Data shares'!$C:$FB,10)*100</f>
        <v>1.68</v>
      </c>
      <c r="D65" s="49">
        <f>VLOOKUP($A65,'Data shares'!$C:$FB,66)</f>
        <v>3009500</v>
      </c>
      <c r="E65" s="49">
        <f>VLOOKUP($A65,'Data shares'!$C:$FB,67)</f>
        <v>3531500</v>
      </c>
      <c r="F65" s="50">
        <f>VLOOKUP($A65,'Data shares'!$C:$FB,69)*100</f>
        <v>-14.78</v>
      </c>
      <c r="G65" s="49">
        <f>VLOOKUP($A65,'Data shares'!$C:$FB,42)</f>
        <v>476000</v>
      </c>
      <c r="H65" s="49">
        <f>VLOOKUP($A65,'Data shares'!$C:$FB,43)</f>
        <v>544600</v>
      </c>
      <c r="I65" s="50">
        <f>VLOOKUP($A65,'Data shares'!$C:$FB,45)*100</f>
        <v>-12.6</v>
      </c>
      <c r="J65" s="49">
        <f>VLOOKUP($A65,'Data shares'!$C:$FB,58)</f>
        <v>1726500</v>
      </c>
      <c r="K65" s="49">
        <f>VLOOKUP($A65,'Data shares'!$C:$FB,59)</f>
        <v>1527300</v>
      </c>
      <c r="L65" s="50">
        <f>VLOOKUP($A65,'Data shares'!$C:$FB,61)*100</f>
        <v>13.04</v>
      </c>
      <c r="M65" s="49">
        <f>VLOOKUP($A65,'Data shares'!$C:$FB,62)</f>
        <v>807000</v>
      </c>
      <c r="N65" s="49">
        <f>VLOOKUP($A65,'Data shares'!$C:$FB,63)</f>
        <v>1459600</v>
      </c>
      <c r="O65" s="140">
        <f>VLOOKUP($A65,'Data shares'!$C:$FB,65)*100</f>
        <v>-44.71</v>
      </c>
    </row>
    <row r="66" spans="1:15" x14ac:dyDescent="0.25">
      <c r="A66" s="101" t="str">
        <f>'Data Vlaue (Cr)'!C61</f>
        <v>ETERNAL</v>
      </c>
      <c r="B66" s="50">
        <f>VLOOKUP($A66,'Data shares'!$C:$FB,7)</f>
        <v>240.14</v>
      </c>
      <c r="C66" s="50">
        <f>VLOOKUP($A66,'Data shares'!$C:$FB,10)*100</f>
        <v>-0.25</v>
      </c>
      <c r="D66" s="49">
        <f>VLOOKUP($A66,'Data shares'!$C:$FB,66)</f>
        <v>197065200</v>
      </c>
      <c r="E66" s="49">
        <f>VLOOKUP($A66,'Data shares'!$C:$FB,67)</f>
        <v>152709525</v>
      </c>
      <c r="F66" s="50">
        <f>VLOOKUP($A66,'Data shares'!$C:$FB,69)*100</f>
        <v>29.049999999999997</v>
      </c>
      <c r="G66" s="49">
        <f>VLOOKUP($A66,'Data shares'!$C:$FB,42)</f>
        <v>44741250</v>
      </c>
      <c r="H66" s="49">
        <f>VLOOKUP($A66,'Data shares'!$C:$FB,43)</f>
        <v>40800625</v>
      </c>
      <c r="I66" s="50">
        <f>VLOOKUP($A66,'Data shares'!$C:$FB,45)*100</f>
        <v>9.66</v>
      </c>
      <c r="J66" s="49">
        <f>VLOOKUP($A66,'Data shares'!$C:$FB,58)</f>
        <v>103637225</v>
      </c>
      <c r="K66" s="49">
        <f>VLOOKUP($A66,'Data shares'!$C:$FB,59)</f>
        <v>75478125</v>
      </c>
      <c r="L66" s="50">
        <f>VLOOKUP($A66,'Data shares'!$C:$FB,61)*100</f>
        <v>37.31</v>
      </c>
      <c r="M66" s="49">
        <f>VLOOKUP($A66,'Data shares'!$C:$FB,62)</f>
        <v>48686725</v>
      </c>
      <c r="N66" s="49">
        <f>VLOOKUP($A66,'Data shares'!$C:$FB,63)</f>
        <v>36430775</v>
      </c>
      <c r="O66" s="140">
        <f>VLOOKUP($A66,'Data shares'!$C:$FB,65)*100</f>
        <v>33.64</v>
      </c>
    </row>
    <row r="67" spans="1:15" x14ac:dyDescent="0.25">
      <c r="A67" s="101" t="str">
        <f>'Data Vlaue (Cr)'!C62</f>
        <v>EXIDEIND</v>
      </c>
      <c r="B67" s="50">
        <f>VLOOKUP($A67,'Data shares'!$C:$FB,7)</f>
        <v>319.64999999999998</v>
      </c>
      <c r="C67" s="50">
        <f>VLOOKUP($A67,'Data shares'!$C:$FB,10)*100</f>
        <v>1.82</v>
      </c>
      <c r="D67" s="49">
        <f>VLOOKUP($A67,'Data shares'!$C:$FB,66)</f>
        <v>12769200</v>
      </c>
      <c r="E67" s="49">
        <f>VLOOKUP($A67,'Data shares'!$C:$FB,67)</f>
        <v>12171600</v>
      </c>
      <c r="F67" s="50">
        <f>VLOOKUP($A67,'Data shares'!$C:$FB,69)*100</f>
        <v>4.91</v>
      </c>
      <c r="G67" s="49">
        <f>VLOOKUP($A67,'Data shares'!$C:$FB,42)</f>
        <v>3157200</v>
      </c>
      <c r="H67" s="49">
        <f>VLOOKUP($A67,'Data shares'!$C:$FB,43)</f>
        <v>3313800</v>
      </c>
      <c r="I67" s="50">
        <f>VLOOKUP($A67,'Data shares'!$C:$FB,45)*100</f>
        <v>-4.7300000000000004</v>
      </c>
      <c r="J67" s="49">
        <f>VLOOKUP($A67,'Data shares'!$C:$FB,58)</f>
        <v>6195600</v>
      </c>
      <c r="K67" s="49">
        <f>VLOOKUP($A67,'Data shares'!$C:$FB,59)</f>
        <v>6361200</v>
      </c>
      <c r="L67" s="50">
        <f>VLOOKUP($A67,'Data shares'!$C:$FB,61)*100</f>
        <v>-2.6</v>
      </c>
      <c r="M67" s="49">
        <f>VLOOKUP($A67,'Data shares'!$C:$FB,62)</f>
        <v>3416400</v>
      </c>
      <c r="N67" s="49">
        <f>VLOOKUP($A67,'Data shares'!$C:$FB,63)</f>
        <v>2496600</v>
      </c>
      <c r="O67" s="140">
        <f>VLOOKUP($A67,'Data shares'!$C:$FB,65)*100</f>
        <v>36.840000000000003</v>
      </c>
    </row>
    <row r="68" spans="1:15" x14ac:dyDescent="0.25">
      <c r="A68" s="101" t="str">
        <f>'Data Vlaue (Cr)'!C63</f>
        <v>FEDERALBNK</v>
      </c>
      <c r="B68" s="50">
        <f>VLOOKUP($A68,'Data shares'!$C:$FB,7)</f>
        <v>289.7</v>
      </c>
      <c r="C68" s="50">
        <f>VLOOKUP($A68,'Data shares'!$C:$FB,10)*100</f>
        <v>1.1299999999999999</v>
      </c>
      <c r="D68" s="49">
        <f>VLOOKUP($A68,'Data shares'!$C:$FB,66)</f>
        <v>99470000</v>
      </c>
      <c r="E68" s="49">
        <f>VLOOKUP($A68,'Data shares'!$C:$FB,67)</f>
        <v>133930000</v>
      </c>
      <c r="F68" s="50">
        <f>VLOOKUP($A68,'Data shares'!$C:$FB,69)*100</f>
        <v>-25.729999999999997</v>
      </c>
      <c r="G68" s="49">
        <f>VLOOKUP($A68,'Data shares'!$C:$FB,42)</f>
        <v>18430000</v>
      </c>
      <c r="H68" s="49">
        <f>VLOOKUP($A68,'Data shares'!$C:$FB,43)</f>
        <v>34190000</v>
      </c>
      <c r="I68" s="50">
        <f>VLOOKUP($A68,'Data shares'!$C:$FB,45)*100</f>
        <v>-46.1</v>
      </c>
      <c r="J68" s="49">
        <f>VLOOKUP($A68,'Data shares'!$C:$FB,58)</f>
        <v>47660000</v>
      </c>
      <c r="K68" s="49">
        <f>VLOOKUP($A68,'Data shares'!$C:$FB,59)</f>
        <v>50770000</v>
      </c>
      <c r="L68" s="50">
        <f>VLOOKUP($A68,'Data shares'!$C:$FB,61)*100</f>
        <v>-6.13</v>
      </c>
      <c r="M68" s="49">
        <f>VLOOKUP($A68,'Data shares'!$C:$FB,62)</f>
        <v>33380000</v>
      </c>
      <c r="N68" s="49">
        <f>VLOOKUP($A68,'Data shares'!$C:$FB,63)</f>
        <v>48970000</v>
      </c>
      <c r="O68" s="140">
        <f>VLOOKUP($A68,'Data shares'!$C:$FB,65)*100</f>
        <v>-31.840000000000003</v>
      </c>
    </row>
    <row r="69" spans="1:15" x14ac:dyDescent="0.25">
      <c r="A69" s="101" t="str">
        <f>'Data Vlaue (Cr)'!C64</f>
        <v>FINNIFTY</v>
      </c>
      <c r="B69" s="50">
        <f>VLOOKUP($A69,'Data shares'!$C:$FB,7)</f>
        <v>27235.8</v>
      </c>
      <c r="C69" s="50">
        <f>VLOOKUP($A69,'Data shares'!$C:$FB,10)*100</f>
        <v>0.8</v>
      </c>
      <c r="D69" s="49">
        <f>VLOOKUP($A69,'Data shares'!$C:$FB,66)</f>
        <v>2615760</v>
      </c>
      <c r="E69" s="49">
        <f>VLOOKUP($A69,'Data shares'!$C:$FB,67)</f>
        <v>2603400</v>
      </c>
      <c r="F69" s="50">
        <f>VLOOKUP($A69,'Data shares'!$C:$FB,69)*100</f>
        <v>0.47000000000000003</v>
      </c>
      <c r="G69" s="49">
        <f>VLOOKUP($A69,'Data shares'!$C:$FB,42)</f>
        <v>35280</v>
      </c>
      <c r="H69" s="49">
        <f>VLOOKUP($A69,'Data shares'!$C:$FB,43)</f>
        <v>48600</v>
      </c>
      <c r="I69" s="50">
        <f>VLOOKUP($A69,'Data shares'!$C:$FB,45)*100</f>
        <v>-27.41</v>
      </c>
      <c r="J69" s="49">
        <f>VLOOKUP($A69,'Data shares'!$C:$FB,58)</f>
        <v>1242240</v>
      </c>
      <c r="K69" s="49">
        <f>VLOOKUP($A69,'Data shares'!$C:$FB,59)</f>
        <v>1115580</v>
      </c>
      <c r="L69" s="50">
        <f>VLOOKUP($A69,'Data shares'!$C:$FB,61)*100</f>
        <v>11.35</v>
      </c>
      <c r="M69" s="49">
        <f>VLOOKUP($A69,'Data shares'!$C:$FB,62)</f>
        <v>1338240</v>
      </c>
      <c r="N69" s="49">
        <f>VLOOKUP($A69,'Data shares'!$C:$FB,63)</f>
        <v>1439220</v>
      </c>
      <c r="O69" s="140">
        <f>VLOOKUP($A69,'Data shares'!$C:$FB,65)*100</f>
        <v>-7.02</v>
      </c>
    </row>
    <row r="70" spans="1:15" x14ac:dyDescent="0.25">
      <c r="A70" s="101" t="str">
        <f>'Data Vlaue (Cr)'!C65</f>
        <v>FORTIS</v>
      </c>
      <c r="B70" s="50">
        <f>VLOOKUP($A70,'Data shares'!$C:$FB,7)</f>
        <v>920.95</v>
      </c>
      <c r="C70" s="50">
        <f>VLOOKUP($A70,'Data shares'!$C:$FB,10)*100</f>
        <v>1.0999999999999999</v>
      </c>
      <c r="D70" s="49">
        <f>VLOOKUP($A70,'Data shares'!$C:$FB,66)</f>
        <v>5172350</v>
      </c>
      <c r="E70" s="49">
        <f>VLOOKUP($A70,'Data shares'!$C:$FB,67)</f>
        <v>7049400</v>
      </c>
      <c r="F70" s="50">
        <f>VLOOKUP($A70,'Data shares'!$C:$FB,69)*100</f>
        <v>-26.63</v>
      </c>
      <c r="G70" s="49">
        <f>VLOOKUP($A70,'Data shares'!$C:$FB,42)</f>
        <v>966425</v>
      </c>
      <c r="H70" s="49">
        <f>VLOOKUP($A70,'Data shares'!$C:$FB,43)</f>
        <v>1579450</v>
      </c>
      <c r="I70" s="50">
        <f>VLOOKUP($A70,'Data shares'!$C:$FB,45)*100</f>
        <v>-38.81</v>
      </c>
      <c r="J70" s="49">
        <f>VLOOKUP($A70,'Data shares'!$C:$FB,58)</f>
        <v>2812475</v>
      </c>
      <c r="K70" s="49">
        <f>VLOOKUP($A70,'Data shares'!$C:$FB,59)</f>
        <v>3740925</v>
      </c>
      <c r="L70" s="50">
        <f>VLOOKUP($A70,'Data shares'!$C:$FB,61)*100</f>
        <v>-24.82</v>
      </c>
      <c r="M70" s="49">
        <f>VLOOKUP($A70,'Data shares'!$C:$FB,62)</f>
        <v>1393450</v>
      </c>
      <c r="N70" s="49">
        <f>VLOOKUP($A70,'Data shares'!$C:$FB,63)</f>
        <v>1729025</v>
      </c>
      <c r="O70" s="140">
        <f>VLOOKUP($A70,'Data shares'!$C:$FB,65)*100</f>
        <v>-19.41</v>
      </c>
    </row>
    <row r="71" spans="1:15" x14ac:dyDescent="0.25">
      <c r="A71" s="101" t="str">
        <f>'Data Vlaue (Cr)'!C66</f>
        <v>GAIL</v>
      </c>
      <c r="B71" s="50">
        <f>VLOOKUP($A71,'Data shares'!$C:$FB,7)</f>
        <v>156.72999999999999</v>
      </c>
      <c r="C71" s="50">
        <f>VLOOKUP($A71,'Data shares'!$C:$FB,10)*100</f>
        <v>1.37</v>
      </c>
      <c r="D71" s="49">
        <f>VLOOKUP($A71,'Data shares'!$C:$FB,66)</f>
        <v>111409200</v>
      </c>
      <c r="E71" s="49">
        <f>VLOOKUP($A71,'Data shares'!$C:$FB,67)</f>
        <v>224106750</v>
      </c>
      <c r="F71" s="50">
        <f>VLOOKUP($A71,'Data shares'!$C:$FB,69)*100</f>
        <v>-50.29</v>
      </c>
      <c r="G71" s="49">
        <f>VLOOKUP($A71,'Data shares'!$C:$FB,42)</f>
        <v>33919200</v>
      </c>
      <c r="H71" s="49">
        <f>VLOOKUP($A71,'Data shares'!$C:$FB,43)</f>
        <v>43933050</v>
      </c>
      <c r="I71" s="50">
        <f>VLOOKUP($A71,'Data shares'!$C:$FB,45)*100</f>
        <v>-22.79</v>
      </c>
      <c r="J71" s="49">
        <f>VLOOKUP($A71,'Data shares'!$C:$FB,58)</f>
        <v>40171950</v>
      </c>
      <c r="K71" s="49">
        <f>VLOOKUP($A71,'Data shares'!$C:$FB,59)</f>
        <v>73253250</v>
      </c>
      <c r="L71" s="50">
        <f>VLOOKUP($A71,'Data shares'!$C:$FB,61)*100</f>
        <v>-45.16</v>
      </c>
      <c r="M71" s="49">
        <f>VLOOKUP($A71,'Data shares'!$C:$FB,62)</f>
        <v>37318050</v>
      </c>
      <c r="N71" s="49">
        <f>VLOOKUP($A71,'Data shares'!$C:$FB,63)</f>
        <v>106920450</v>
      </c>
      <c r="O71" s="140">
        <f>VLOOKUP($A71,'Data shares'!$C:$FB,65)*100</f>
        <v>-65.100000000000009</v>
      </c>
    </row>
    <row r="72" spans="1:15" x14ac:dyDescent="0.25">
      <c r="A72" s="101" t="str">
        <f>'Data Vlaue (Cr)'!C67</f>
        <v>GLENMARK</v>
      </c>
      <c r="B72" s="50">
        <f>VLOOKUP($A72,'Data shares'!$C:$FB,7)</f>
        <v>2108.9</v>
      </c>
      <c r="C72" s="50">
        <f>VLOOKUP($A72,'Data shares'!$C:$FB,10)*100</f>
        <v>3.39</v>
      </c>
      <c r="D72" s="49">
        <f>VLOOKUP($A72,'Data shares'!$C:$FB,66)</f>
        <v>4050000</v>
      </c>
      <c r="E72" s="49">
        <f>VLOOKUP($A72,'Data shares'!$C:$FB,67)</f>
        <v>4662000</v>
      </c>
      <c r="F72" s="50">
        <f>VLOOKUP($A72,'Data shares'!$C:$FB,69)*100</f>
        <v>-13.13</v>
      </c>
      <c r="G72" s="49">
        <f>VLOOKUP($A72,'Data shares'!$C:$FB,42)</f>
        <v>1245375</v>
      </c>
      <c r="H72" s="49">
        <f>VLOOKUP($A72,'Data shares'!$C:$FB,43)</f>
        <v>1121250</v>
      </c>
      <c r="I72" s="50">
        <f>VLOOKUP($A72,'Data shares'!$C:$FB,45)*100</f>
        <v>11.07</v>
      </c>
      <c r="J72" s="49">
        <f>VLOOKUP($A72,'Data shares'!$C:$FB,58)</f>
        <v>2125125</v>
      </c>
      <c r="K72" s="49">
        <f>VLOOKUP($A72,'Data shares'!$C:$FB,59)</f>
        <v>2356875</v>
      </c>
      <c r="L72" s="50">
        <f>VLOOKUP($A72,'Data shares'!$C:$FB,61)*100</f>
        <v>-9.83</v>
      </c>
      <c r="M72" s="49">
        <f>VLOOKUP($A72,'Data shares'!$C:$FB,62)</f>
        <v>679500</v>
      </c>
      <c r="N72" s="49">
        <f>VLOOKUP($A72,'Data shares'!$C:$FB,63)</f>
        <v>1183875</v>
      </c>
      <c r="O72" s="140">
        <f>VLOOKUP($A72,'Data shares'!$C:$FB,65)*100</f>
        <v>-42.6</v>
      </c>
    </row>
    <row r="73" spans="1:15" x14ac:dyDescent="0.25">
      <c r="A73" s="101" t="str">
        <f>'Data Vlaue (Cr)'!C68</f>
        <v>GMRAIRPORT</v>
      </c>
      <c r="B73" s="50">
        <f>VLOOKUP($A73,'Data shares'!$C:$FB,7)</f>
        <v>97.98</v>
      </c>
      <c r="C73" s="50">
        <f>VLOOKUP($A73,'Data shares'!$C:$FB,10)*100</f>
        <v>2.92</v>
      </c>
      <c r="D73" s="49">
        <f>VLOOKUP($A73,'Data shares'!$C:$FB,66)</f>
        <v>68926950</v>
      </c>
      <c r="E73" s="49">
        <f>VLOOKUP($A73,'Data shares'!$C:$FB,67)</f>
        <v>103676400</v>
      </c>
      <c r="F73" s="50">
        <f>VLOOKUP($A73,'Data shares'!$C:$FB,69)*100</f>
        <v>-33.520000000000003</v>
      </c>
      <c r="G73" s="49">
        <f>VLOOKUP($A73,'Data shares'!$C:$FB,42)</f>
        <v>23122125</v>
      </c>
      <c r="H73" s="49">
        <f>VLOOKUP($A73,'Data shares'!$C:$FB,43)</f>
        <v>27251325</v>
      </c>
      <c r="I73" s="50">
        <f>VLOOKUP($A73,'Data shares'!$C:$FB,45)*100</f>
        <v>-15.15</v>
      </c>
      <c r="J73" s="49">
        <f>VLOOKUP($A73,'Data shares'!$C:$FB,58)</f>
        <v>27139725</v>
      </c>
      <c r="K73" s="49">
        <f>VLOOKUP($A73,'Data shares'!$C:$FB,59)</f>
        <v>35551575</v>
      </c>
      <c r="L73" s="50">
        <f>VLOOKUP($A73,'Data shares'!$C:$FB,61)*100</f>
        <v>-23.66</v>
      </c>
      <c r="M73" s="49">
        <f>VLOOKUP($A73,'Data shares'!$C:$FB,62)</f>
        <v>18665100</v>
      </c>
      <c r="N73" s="49">
        <f>VLOOKUP($A73,'Data shares'!$C:$FB,63)</f>
        <v>40873500</v>
      </c>
      <c r="O73" s="140">
        <f>VLOOKUP($A73,'Data shares'!$C:$FB,65)*100</f>
        <v>-54.33</v>
      </c>
    </row>
    <row r="74" spans="1:15" x14ac:dyDescent="0.25">
      <c r="A74" s="101" t="str">
        <f>'Data Vlaue (Cr)'!C69</f>
        <v>GODREJCP</v>
      </c>
      <c r="B74" s="50">
        <f>VLOOKUP($A74,'Data shares'!$C:$FB,7)</f>
        <v>1132.4000000000001</v>
      </c>
      <c r="C74" s="50">
        <f>VLOOKUP($A74,'Data shares'!$C:$FB,10)*100</f>
        <v>-0.44999999999999996</v>
      </c>
      <c r="D74" s="49">
        <f>VLOOKUP($A74,'Data shares'!$C:$FB,66)</f>
        <v>2868000</v>
      </c>
      <c r="E74" s="49">
        <f>VLOOKUP($A74,'Data shares'!$C:$FB,67)</f>
        <v>6121500</v>
      </c>
      <c r="F74" s="50">
        <f>VLOOKUP($A74,'Data shares'!$C:$FB,69)*100</f>
        <v>-53.15</v>
      </c>
      <c r="G74" s="49">
        <f>VLOOKUP($A74,'Data shares'!$C:$FB,42)</f>
        <v>1319500</v>
      </c>
      <c r="H74" s="49">
        <f>VLOOKUP($A74,'Data shares'!$C:$FB,43)</f>
        <v>2323000</v>
      </c>
      <c r="I74" s="50">
        <f>VLOOKUP($A74,'Data shares'!$C:$FB,45)*100</f>
        <v>-43.2</v>
      </c>
      <c r="J74" s="49">
        <f>VLOOKUP($A74,'Data shares'!$C:$FB,58)</f>
        <v>902000</v>
      </c>
      <c r="K74" s="49">
        <f>VLOOKUP($A74,'Data shares'!$C:$FB,59)</f>
        <v>2136000</v>
      </c>
      <c r="L74" s="50">
        <f>VLOOKUP($A74,'Data shares'!$C:$FB,61)*100</f>
        <v>-57.769999999999996</v>
      </c>
      <c r="M74" s="49">
        <f>VLOOKUP($A74,'Data shares'!$C:$FB,62)</f>
        <v>646500</v>
      </c>
      <c r="N74" s="49">
        <f>VLOOKUP($A74,'Data shares'!$C:$FB,63)</f>
        <v>1662500</v>
      </c>
      <c r="O74" s="140">
        <f>VLOOKUP($A74,'Data shares'!$C:$FB,65)*100</f>
        <v>-61.11</v>
      </c>
    </row>
    <row r="75" spans="1:15" x14ac:dyDescent="0.25">
      <c r="A75" s="101" t="str">
        <f>'Data Vlaue (Cr)'!C70</f>
        <v>GODREJPROP</v>
      </c>
      <c r="B75" s="50">
        <f>VLOOKUP($A75,'Data shares'!$C:$FB,7)</f>
        <v>1743.8</v>
      </c>
      <c r="C75" s="50">
        <f>VLOOKUP($A75,'Data shares'!$C:$FB,10)*100</f>
        <v>2.96</v>
      </c>
      <c r="D75" s="49">
        <f>VLOOKUP($A75,'Data shares'!$C:$FB,66)</f>
        <v>6289250</v>
      </c>
      <c r="E75" s="49">
        <f>VLOOKUP($A75,'Data shares'!$C:$FB,67)</f>
        <v>8078950</v>
      </c>
      <c r="F75" s="50">
        <f>VLOOKUP($A75,'Data shares'!$C:$FB,69)*100</f>
        <v>-22.15</v>
      </c>
      <c r="G75" s="49">
        <f>VLOOKUP($A75,'Data shares'!$C:$FB,42)</f>
        <v>1967075</v>
      </c>
      <c r="H75" s="49">
        <f>VLOOKUP($A75,'Data shares'!$C:$FB,43)</f>
        <v>1997050</v>
      </c>
      <c r="I75" s="50">
        <f>VLOOKUP($A75,'Data shares'!$C:$FB,45)*100</f>
        <v>-1.5</v>
      </c>
      <c r="J75" s="49">
        <f>VLOOKUP($A75,'Data shares'!$C:$FB,58)</f>
        <v>2699125</v>
      </c>
      <c r="K75" s="49">
        <f>VLOOKUP($A75,'Data shares'!$C:$FB,59)</f>
        <v>3331900</v>
      </c>
      <c r="L75" s="50">
        <f>VLOOKUP($A75,'Data shares'!$C:$FB,61)*100</f>
        <v>-18.990000000000002</v>
      </c>
      <c r="M75" s="49">
        <f>VLOOKUP($A75,'Data shares'!$C:$FB,62)</f>
        <v>1623050</v>
      </c>
      <c r="N75" s="49">
        <f>VLOOKUP($A75,'Data shares'!$C:$FB,63)</f>
        <v>2750000</v>
      </c>
      <c r="O75" s="140">
        <f>VLOOKUP($A75,'Data shares'!$C:$FB,65)*100</f>
        <v>-40.98</v>
      </c>
    </row>
    <row r="76" spans="1:15" x14ac:dyDescent="0.25">
      <c r="A76" s="101" t="str">
        <f>'Data Vlaue (Cr)'!C71</f>
        <v>GRASIM</v>
      </c>
      <c r="B76" s="50">
        <f>VLOOKUP($A76,'Data shares'!$C:$FB,7)</f>
        <v>2724.1</v>
      </c>
      <c r="C76" s="50">
        <f>VLOOKUP($A76,'Data shares'!$C:$FB,10)*100</f>
        <v>1.52</v>
      </c>
      <c r="D76" s="49">
        <f>VLOOKUP($A76,'Data shares'!$C:$FB,66)</f>
        <v>5426500</v>
      </c>
      <c r="E76" s="49">
        <f>VLOOKUP($A76,'Data shares'!$C:$FB,67)</f>
        <v>6943500</v>
      </c>
      <c r="F76" s="50">
        <f>VLOOKUP($A76,'Data shares'!$C:$FB,69)*100</f>
        <v>-21.85</v>
      </c>
      <c r="G76" s="49">
        <f>VLOOKUP($A76,'Data shares'!$C:$FB,42)</f>
        <v>1836250</v>
      </c>
      <c r="H76" s="49">
        <f>VLOOKUP($A76,'Data shares'!$C:$FB,43)</f>
        <v>1511000</v>
      </c>
      <c r="I76" s="50">
        <f>VLOOKUP($A76,'Data shares'!$C:$FB,45)*100</f>
        <v>21.529999999999998</v>
      </c>
      <c r="J76" s="49">
        <f>VLOOKUP($A76,'Data shares'!$C:$FB,58)</f>
        <v>2534000</v>
      </c>
      <c r="K76" s="49">
        <f>VLOOKUP($A76,'Data shares'!$C:$FB,59)</f>
        <v>3141250</v>
      </c>
      <c r="L76" s="50">
        <f>VLOOKUP($A76,'Data shares'!$C:$FB,61)*100</f>
        <v>-19.329999999999998</v>
      </c>
      <c r="M76" s="49">
        <f>VLOOKUP($A76,'Data shares'!$C:$FB,62)</f>
        <v>1056250</v>
      </c>
      <c r="N76" s="49">
        <f>VLOOKUP($A76,'Data shares'!$C:$FB,63)</f>
        <v>2291250</v>
      </c>
      <c r="O76" s="140">
        <f>VLOOKUP($A76,'Data shares'!$C:$FB,65)*100</f>
        <v>-53.900000000000006</v>
      </c>
    </row>
    <row r="77" spans="1:15" x14ac:dyDescent="0.25">
      <c r="A77" s="101" t="str">
        <f>'Data Vlaue (Cr)'!C72</f>
        <v>HAL</v>
      </c>
      <c r="B77" s="50">
        <f>VLOOKUP($A77,'Data shares'!$C:$FB,7)</f>
        <v>3891.8</v>
      </c>
      <c r="C77" s="50">
        <f>VLOOKUP($A77,'Data shares'!$C:$FB,10)*100</f>
        <v>0.38999999999999996</v>
      </c>
      <c r="D77" s="49">
        <f>VLOOKUP($A77,'Data shares'!$C:$FB,66)</f>
        <v>15964650</v>
      </c>
      <c r="E77" s="49">
        <f>VLOOKUP($A77,'Data shares'!$C:$FB,67)</f>
        <v>11977950</v>
      </c>
      <c r="F77" s="50">
        <f>VLOOKUP($A77,'Data shares'!$C:$FB,69)*100</f>
        <v>33.28</v>
      </c>
      <c r="G77" s="49">
        <f>VLOOKUP($A77,'Data shares'!$C:$FB,42)</f>
        <v>2629050</v>
      </c>
      <c r="H77" s="49">
        <f>VLOOKUP($A77,'Data shares'!$C:$FB,43)</f>
        <v>1774050</v>
      </c>
      <c r="I77" s="50">
        <f>VLOOKUP($A77,'Data shares'!$C:$FB,45)*100</f>
        <v>48.19</v>
      </c>
      <c r="J77" s="49">
        <f>VLOOKUP($A77,'Data shares'!$C:$FB,58)</f>
        <v>9880650</v>
      </c>
      <c r="K77" s="49">
        <f>VLOOKUP($A77,'Data shares'!$C:$FB,59)</f>
        <v>7291500</v>
      </c>
      <c r="L77" s="50">
        <f>VLOOKUP($A77,'Data shares'!$C:$FB,61)*100</f>
        <v>35.510000000000005</v>
      </c>
      <c r="M77" s="49">
        <f>VLOOKUP($A77,'Data shares'!$C:$FB,62)</f>
        <v>3454950</v>
      </c>
      <c r="N77" s="49">
        <f>VLOOKUP($A77,'Data shares'!$C:$FB,63)</f>
        <v>2912400</v>
      </c>
      <c r="O77" s="140">
        <f>VLOOKUP($A77,'Data shares'!$C:$FB,65)*100</f>
        <v>18.63</v>
      </c>
    </row>
    <row r="78" spans="1:15" x14ac:dyDescent="0.25">
      <c r="A78" s="101" t="str">
        <f>'Data Vlaue (Cr)'!C73</f>
        <v>HAVELLS</v>
      </c>
      <c r="B78" s="50">
        <f>VLOOKUP($A78,'Data shares'!$C:$FB,7)</f>
        <v>1352.5</v>
      </c>
      <c r="C78" s="50">
        <f>VLOOKUP($A78,'Data shares'!$C:$FB,10)*100</f>
        <v>2.56</v>
      </c>
      <c r="D78" s="49">
        <f>VLOOKUP($A78,'Data shares'!$C:$FB,66)</f>
        <v>3917000</v>
      </c>
      <c r="E78" s="49">
        <f>VLOOKUP($A78,'Data shares'!$C:$FB,67)</f>
        <v>5722000</v>
      </c>
      <c r="F78" s="50">
        <f>VLOOKUP($A78,'Data shares'!$C:$FB,69)*100</f>
        <v>-31.540000000000003</v>
      </c>
      <c r="G78" s="49">
        <f>VLOOKUP($A78,'Data shares'!$C:$FB,42)</f>
        <v>942000</v>
      </c>
      <c r="H78" s="49">
        <f>VLOOKUP($A78,'Data shares'!$C:$FB,43)</f>
        <v>1324500</v>
      </c>
      <c r="I78" s="50">
        <f>VLOOKUP($A78,'Data shares'!$C:$FB,45)*100</f>
        <v>-28.88</v>
      </c>
      <c r="J78" s="49">
        <f>VLOOKUP($A78,'Data shares'!$C:$FB,58)</f>
        <v>2256000</v>
      </c>
      <c r="K78" s="49">
        <f>VLOOKUP($A78,'Data shares'!$C:$FB,59)</f>
        <v>2304000</v>
      </c>
      <c r="L78" s="50">
        <f>VLOOKUP($A78,'Data shares'!$C:$FB,61)*100</f>
        <v>-2.08</v>
      </c>
      <c r="M78" s="49">
        <f>VLOOKUP($A78,'Data shares'!$C:$FB,62)</f>
        <v>719000</v>
      </c>
      <c r="N78" s="49">
        <f>VLOOKUP($A78,'Data shares'!$C:$FB,63)</f>
        <v>2093500</v>
      </c>
      <c r="O78" s="140">
        <f>VLOOKUP($A78,'Data shares'!$C:$FB,65)*100</f>
        <v>-65.66</v>
      </c>
    </row>
    <row r="79" spans="1:15" x14ac:dyDescent="0.25">
      <c r="A79" s="101" t="str">
        <f>'Data Vlaue (Cr)'!C74</f>
        <v>HCLTECH</v>
      </c>
      <c r="B79" s="50">
        <f>VLOOKUP($A79,'Data shares'!$C:$FB,7)</f>
        <v>1354.1</v>
      </c>
      <c r="C79" s="50">
        <f>VLOOKUP($A79,'Data shares'!$C:$FB,10)*100</f>
        <v>-0.73</v>
      </c>
      <c r="D79" s="49">
        <f>VLOOKUP($A79,'Data shares'!$C:$FB,66)</f>
        <v>13798050</v>
      </c>
      <c r="E79" s="49">
        <f>VLOOKUP($A79,'Data shares'!$C:$FB,67)</f>
        <v>10192700</v>
      </c>
      <c r="F79" s="50">
        <f>VLOOKUP($A79,'Data shares'!$C:$FB,69)*100</f>
        <v>35.370000000000005</v>
      </c>
      <c r="G79" s="49">
        <f>VLOOKUP($A79,'Data shares'!$C:$FB,42)</f>
        <v>2774100</v>
      </c>
      <c r="H79" s="49">
        <f>VLOOKUP($A79,'Data shares'!$C:$FB,43)</f>
        <v>2595250</v>
      </c>
      <c r="I79" s="50">
        <f>VLOOKUP($A79,'Data shares'!$C:$FB,45)*100</f>
        <v>6.8900000000000006</v>
      </c>
      <c r="J79" s="49">
        <f>VLOOKUP($A79,'Data shares'!$C:$FB,58)</f>
        <v>6226500</v>
      </c>
      <c r="K79" s="49">
        <f>VLOOKUP($A79,'Data shares'!$C:$FB,59)</f>
        <v>4823350</v>
      </c>
      <c r="L79" s="50">
        <f>VLOOKUP($A79,'Data shares'!$C:$FB,61)*100</f>
        <v>29.09</v>
      </c>
      <c r="M79" s="49">
        <f>VLOOKUP($A79,'Data shares'!$C:$FB,62)</f>
        <v>4797450</v>
      </c>
      <c r="N79" s="49">
        <f>VLOOKUP($A79,'Data shares'!$C:$FB,63)</f>
        <v>2774100</v>
      </c>
      <c r="O79" s="140">
        <f>VLOOKUP($A79,'Data shares'!$C:$FB,65)*100</f>
        <v>72.94</v>
      </c>
    </row>
    <row r="80" spans="1:15" x14ac:dyDescent="0.25">
      <c r="A80" s="101" t="str">
        <f>'Data Vlaue (Cr)'!C75</f>
        <v>HDFCAMC</v>
      </c>
      <c r="B80" s="50">
        <f>VLOOKUP($A80,'Data shares'!$C:$FB,7)</f>
        <v>2559</v>
      </c>
      <c r="C80" s="50">
        <f>VLOOKUP($A80,'Data shares'!$C:$FB,10)*100</f>
        <v>0.45999999999999996</v>
      </c>
      <c r="D80" s="49">
        <f>VLOOKUP($A80,'Data shares'!$C:$FB,66)</f>
        <v>2262300</v>
      </c>
      <c r="E80" s="49">
        <f>VLOOKUP($A80,'Data shares'!$C:$FB,67)</f>
        <v>3001200</v>
      </c>
      <c r="F80" s="50">
        <f>VLOOKUP($A80,'Data shares'!$C:$FB,69)*100</f>
        <v>-24.62</v>
      </c>
      <c r="G80" s="49">
        <f>VLOOKUP($A80,'Data shares'!$C:$FB,42)</f>
        <v>858300</v>
      </c>
      <c r="H80" s="49">
        <f>VLOOKUP($A80,'Data shares'!$C:$FB,43)</f>
        <v>1007700</v>
      </c>
      <c r="I80" s="50">
        <f>VLOOKUP($A80,'Data shares'!$C:$FB,45)*100</f>
        <v>-14.829999999999998</v>
      </c>
      <c r="J80" s="49">
        <f>VLOOKUP($A80,'Data shares'!$C:$FB,58)</f>
        <v>899700</v>
      </c>
      <c r="K80" s="49">
        <f>VLOOKUP($A80,'Data shares'!$C:$FB,59)</f>
        <v>1194300</v>
      </c>
      <c r="L80" s="50">
        <f>VLOOKUP($A80,'Data shares'!$C:$FB,61)*100</f>
        <v>-24.67</v>
      </c>
      <c r="M80" s="49">
        <f>VLOOKUP($A80,'Data shares'!$C:$FB,62)</f>
        <v>504300</v>
      </c>
      <c r="N80" s="49">
        <f>VLOOKUP($A80,'Data shares'!$C:$FB,63)</f>
        <v>799200</v>
      </c>
      <c r="O80" s="140">
        <f>VLOOKUP($A80,'Data shares'!$C:$FB,65)*100</f>
        <v>-36.9</v>
      </c>
    </row>
    <row r="81" spans="1:15" x14ac:dyDescent="0.25">
      <c r="A81" s="101" t="str">
        <f>'Data Vlaue (Cr)'!C76</f>
        <v>HDFCBANK</v>
      </c>
      <c r="B81" s="50">
        <f>VLOOKUP($A81,'Data shares'!$C:$FB,7)</f>
        <v>877.75</v>
      </c>
      <c r="C81" s="50">
        <f>VLOOKUP($A81,'Data shares'!$C:$FB,10)*100</f>
        <v>1.05</v>
      </c>
      <c r="D81" s="49">
        <f>VLOOKUP($A81,'Data shares'!$C:$FB,66)</f>
        <v>148439500</v>
      </c>
      <c r="E81" s="49">
        <f>VLOOKUP($A81,'Data shares'!$C:$FB,67)</f>
        <v>199778700</v>
      </c>
      <c r="F81" s="50">
        <f>VLOOKUP($A81,'Data shares'!$C:$FB,69)*100</f>
        <v>-25.7</v>
      </c>
      <c r="G81" s="49">
        <f>VLOOKUP($A81,'Data shares'!$C:$FB,42)</f>
        <v>47327500</v>
      </c>
      <c r="H81" s="49">
        <f>VLOOKUP($A81,'Data shares'!$C:$FB,43)</f>
        <v>41385300</v>
      </c>
      <c r="I81" s="50">
        <f>VLOOKUP($A81,'Data shares'!$C:$FB,45)*100</f>
        <v>14.360000000000001</v>
      </c>
      <c r="J81" s="49">
        <f>VLOOKUP($A81,'Data shares'!$C:$FB,58)</f>
        <v>61426200</v>
      </c>
      <c r="K81" s="49">
        <f>VLOOKUP($A81,'Data shares'!$C:$FB,59)</f>
        <v>83592850</v>
      </c>
      <c r="L81" s="50">
        <f>VLOOKUP($A81,'Data shares'!$C:$FB,61)*100</f>
        <v>-26.52</v>
      </c>
      <c r="M81" s="49">
        <f>VLOOKUP($A81,'Data shares'!$C:$FB,62)</f>
        <v>39685800</v>
      </c>
      <c r="N81" s="49">
        <f>VLOOKUP($A81,'Data shares'!$C:$FB,63)</f>
        <v>74800550</v>
      </c>
      <c r="O81" s="140">
        <f>VLOOKUP($A81,'Data shares'!$C:$FB,65)*100</f>
        <v>-46.94</v>
      </c>
    </row>
    <row r="82" spans="1:15" x14ac:dyDescent="0.25">
      <c r="A82" s="101" t="str">
        <f>'Data Vlaue (Cr)'!C77</f>
        <v>HDFCLIFE</v>
      </c>
      <c r="B82" s="50">
        <f>VLOOKUP($A82,'Data shares'!$C:$FB,7)</f>
        <v>684.3</v>
      </c>
      <c r="C82" s="50">
        <f>VLOOKUP($A82,'Data shares'!$C:$FB,10)*100</f>
        <v>-0.04</v>
      </c>
      <c r="D82" s="49">
        <f>VLOOKUP($A82,'Data shares'!$C:$FB,66)</f>
        <v>31111300</v>
      </c>
      <c r="E82" s="49">
        <f>VLOOKUP($A82,'Data shares'!$C:$FB,67)</f>
        <v>27423000</v>
      </c>
      <c r="F82" s="50">
        <f>VLOOKUP($A82,'Data shares'!$C:$FB,69)*100</f>
        <v>13.450000000000001</v>
      </c>
      <c r="G82" s="49">
        <f>VLOOKUP($A82,'Data shares'!$C:$FB,42)</f>
        <v>6415200</v>
      </c>
      <c r="H82" s="49">
        <f>VLOOKUP($A82,'Data shares'!$C:$FB,43)</f>
        <v>6129200</v>
      </c>
      <c r="I82" s="50">
        <f>VLOOKUP($A82,'Data shares'!$C:$FB,45)*100</f>
        <v>4.67</v>
      </c>
      <c r="J82" s="49">
        <f>VLOOKUP($A82,'Data shares'!$C:$FB,58)</f>
        <v>14724600</v>
      </c>
      <c r="K82" s="49">
        <f>VLOOKUP($A82,'Data shares'!$C:$FB,59)</f>
        <v>13698300</v>
      </c>
      <c r="L82" s="50">
        <f>VLOOKUP($A82,'Data shares'!$C:$FB,61)*100</f>
        <v>7.4899999999999993</v>
      </c>
      <c r="M82" s="49">
        <f>VLOOKUP($A82,'Data shares'!$C:$FB,62)</f>
        <v>9971500</v>
      </c>
      <c r="N82" s="49">
        <f>VLOOKUP($A82,'Data shares'!$C:$FB,63)</f>
        <v>7595500</v>
      </c>
      <c r="O82" s="140">
        <f>VLOOKUP($A82,'Data shares'!$C:$FB,65)*100</f>
        <v>31.28</v>
      </c>
    </row>
    <row r="83" spans="1:15" x14ac:dyDescent="0.25">
      <c r="A83" s="101" t="str">
        <f>'Data Vlaue (Cr)'!C78</f>
        <v>HEROMOTOCO</v>
      </c>
      <c r="B83" s="50">
        <f>VLOOKUP($A83,'Data shares'!$C:$FB,7)</f>
        <v>5588.5</v>
      </c>
      <c r="C83" s="50">
        <f>VLOOKUP($A83,'Data shares'!$C:$FB,10)*100</f>
        <v>1.6099999999999999</v>
      </c>
      <c r="D83" s="49">
        <f>VLOOKUP($A83,'Data shares'!$C:$FB,66)</f>
        <v>4247250</v>
      </c>
      <c r="E83" s="49">
        <f>VLOOKUP($A83,'Data shares'!$C:$FB,67)</f>
        <v>4135650</v>
      </c>
      <c r="F83" s="50">
        <f>VLOOKUP($A83,'Data shares'!$C:$FB,69)*100</f>
        <v>2.7</v>
      </c>
      <c r="G83" s="49">
        <f>VLOOKUP($A83,'Data shares'!$C:$FB,42)</f>
        <v>641400</v>
      </c>
      <c r="H83" s="49">
        <f>VLOOKUP($A83,'Data shares'!$C:$FB,43)</f>
        <v>690900</v>
      </c>
      <c r="I83" s="50">
        <f>VLOOKUP($A83,'Data shares'!$C:$FB,45)*100</f>
        <v>-7.16</v>
      </c>
      <c r="J83" s="49">
        <f>VLOOKUP($A83,'Data shares'!$C:$FB,58)</f>
        <v>2409150</v>
      </c>
      <c r="K83" s="49">
        <f>VLOOKUP($A83,'Data shares'!$C:$FB,59)</f>
        <v>1896750</v>
      </c>
      <c r="L83" s="50">
        <f>VLOOKUP($A83,'Data shares'!$C:$FB,61)*100</f>
        <v>27.01</v>
      </c>
      <c r="M83" s="49">
        <f>VLOOKUP($A83,'Data shares'!$C:$FB,62)</f>
        <v>1196700</v>
      </c>
      <c r="N83" s="49">
        <f>VLOOKUP($A83,'Data shares'!$C:$FB,63)</f>
        <v>1548000</v>
      </c>
      <c r="O83" s="140">
        <f>VLOOKUP($A83,'Data shares'!$C:$FB,65)*100</f>
        <v>-22.689999999999998</v>
      </c>
    </row>
    <row r="84" spans="1:15" x14ac:dyDescent="0.25">
      <c r="A84" s="101" t="str">
        <f>'Data Vlaue (Cr)'!C79</f>
        <v>HINDALCO</v>
      </c>
      <c r="B84" s="50">
        <f>VLOOKUP($A84,'Data shares'!$C:$FB,7)</f>
        <v>954.95</v>
      </c>
      <c r="C84" s="50">
        <f>VLOOKUP($A84,'Data shares'!$C:$FB,10)*100</f>
        <v>3.5999999999999996</v>
      </c>
      <c r="D84" s="49">
        <f>VLOOKUP($A84,'Data shares'!$C:$FB,66)</f>
        <v>151064900</v>
      </c>
      <c r="E84" s="49">
        <f>VLOOKUP($A84,'Data shares'!$C:$FB,67)</f>
        <v>48850200</v>
      </c>
      <c r="F84" s="50">
        <f>VLOOKUP($A84,'Data shares'!$C:$FB,69)*100</f>
        <v>209.24</v>
      </c>
      <c r="G84" s="49">
        <f>VLOOKUP($A84,'Data shares'!$C:$FB,42)</f>
        <v>26233200</v>
      </c>
      <c r="H84" s="49">
        <f>VLOOKUP($A84,'Data shares'!$C:$FB,43)</f>
        <v>11405800</v>
      </c>
      <c r="I84" s="50">
        <f>VLOOKUP($A84,'Data shares'!$C:$FB,45)*100</f>
        <v>130</v>
      </c>
      <c r="J84" s="49">
        <f>VLOOKUP($A84,'Data shares'!$C:$FB,58)</f>
        <v>84993300</v>
      </c>
      <c r="K84" s="49">
        <f>VLOOKUP($A84,'Data shares'!$C:$FB,59)</f>
        <v>18867800</v>
      </c>
      <c r="L84" s="50">
        <f>VLOOKUP($A84,'Data shares'!$C:$FB,61)*100</f>
        <v>350.47</v>
      </c>
      <c r="M84" s="49">
        <f>VLOOKUP($A84,'Data shares'!$C:$FB,62)</f>
        <v>39838400</v>
      </c>
      <c r="N84" s="49">
        <f>VLOOKUP($A84,'Data shares'!$C:$FB,63)</f>
        <v>18576600</v>
      </c>
      <c r="O84" s="140">
        <f>VLOOKUP($A84,'Data shares'!$C:$FB,65)*100</f>
        <v>114.45</v>
      </c>
    </row>
    <row r="85" spans="1:15" x14ac:dyDescent="0.25">
      <c r="A85" s="101" t="str">
        <f>'Data Vlaue (Cr)'!C80</f>
        <v>HINDPETRO</v>
      </c>
      <c r="B85" s="50">
        <f>VLOOKUP($A85,'Data shares'!$C:$FB,7)</f>
        <v>418.4</v>
      </c>
      <c r="C85" s="50">
        <f>VLOOKUP($A85,'Data shares'!$C:$FB,10)*100</f>
        <v>4.22</v>
      </c>
      <c r="D85" s="49">
        <f>VLOOKUP($A85,'Data shares'!$C:$FB,66)</f>
        <v>98694450</v>
      </c>
      <c r="E85" s="49">
        <f>VLOOKUP($A85,'Data shares'!$C:$FB,67)</f>
        <v>65929950</v>
      </c>
      <c r="F85" s="50">
        <f>VLOOKUP($A85,'Data shares'!$C:$FB,69)*100</f>
        <v>49.7</v>
      </c>
      <c r="G85" s="49">
        <f>VLOOKUP($A85,'Data shares'!$C:$FB,42)</f>
        <v>27459000</v>
      </c>
      <c r="H85" s="49">
        <f>VLOOKUP($A85,'Data shares'!$C:$FB,43)</f>
        <v>13672800</v>
      </c>
      <c r="I85" s="50">
        <f>VLOOKUP($A85,'Data shares'!$C:$FB,45)*100</f>
        <v>100.83</v>
      </c>
      <c r="J85" s="49">
        <f>VLOOKUP($A85,'Data shares'!$C:$FB,58)</f>
        <v>35297775</v>
      </c>
      <c r="K85" s="49">
        <f>VLOOKUP($A85,'Data shares'!$C:$FB,59)</f>
        <v>22305375</v>
      </c>
      <c r="L85" s="50">
        <f>VLOOKUP($A85,'Data shares'!$C:$FB,61)*100</f>
        <v>58.25</v>
      </c>
      <c r="M85" s="49">
        <f>VLOOKUP($A85,'Data shares'!$C:$FB,62)</f>
        <v>35937675</v>
      </c>
      <c r="N85" s="49">
        <f>VLOOKUP($A85,'Data shares'!$C:$FB,63)</f>
        <v>29951775</v>
      </c>
      <c r="O85" s="140">
        <f>VLOOKUP($A85,'Data shares'!$C:$FB,65)*100</f>
        <v>19.989999999999998</v>
      </c>
    </row>
    <row r="86" spans="1:15" x14ac:dyDescent="0.25">
      <c r="A86" s="101" t="str">
        <f>'Data Vlaue (Cr)'!C81</f>
        <v>HINDUNILVR</v>
      </c>
      <c r="B86" s="50">
        <f>VLOOKUP($A86,'Data shares'!$C:$FB,7)</f>
        <v>2255</v>
      </c>
      <c r="C86" s="50">
        <f>VLOOKUP($A86,'Data shares'!$C:$FB,10)*100</f>
        <v>-0.27999999999999997</v>
      </c>
      <c r="D86" s="49">
        <f>VLOOKUP($A86,'Data shares'!$C:$FB,66)</f>
        <v>14289300</v>
      </c>
      <c r="E86" s="49">
        <f>VLOOKUP($A86,'Data shares'!$C:$FB,67)</f>
        <v>14238600</v>
      </c>
      <c r="F86" s="50">
        <f>VLOOKUP($A86,'Data shares'!$C:$FB,69)*100</f>
        <v>0.36</v>
      </c>
      <c r="G86" s="49">
        <f>VLOOKUP($A86,'Data shares'!$C:$FB,42)</f>
        <v>2067600</v>
      </c>
      <c r="H86" s="49">
        <f>VLOOKUP($A86,'Data shares'!$C:$FB,43)</f>
        <v>1959000</v>
      </c>
      <c r="I86" s="50">
        <f>VLOOKUP($A86,'Data shares'!$C:$FB,45)*100</f>
        <v>5.54</v>
      </c>
      <c r="J86" s="49">
        <f>VLOOKUP($A86,'Data shares'!$C:$FB,58)</f>
        <v>7931700</v>
      </c>
      <c r="K86" s="49">
        <f>VLOOKUP($A86,'Data shares'!$C:$FB,59)</f>
        <v>7102500</v>
      </c>
      <c r="L86" s="50">
        <f>VLOOKUP($A86,'Data shares'!$C:$FB,61)*100</f>
        <v>11.67</v>
      </c>
      <c r="M86" s="49">
        <f>VLOOKUP($A86,'Data shares'!$C:$FB,62)</f>
        <v>4290000</v>
      </c>
      <c r="N86" s="49">
        <f>VLOOKUP($A86,'Data shares'!$C:$FB,63)</f>
        <v>5177100</v>
      </c>
      <c r="O86" s="140">
        <f>VLOOKUP($A86,'Data shares'!$C:$FB,65)*100</f>
        <v>-17.14</v>
      </c>
    </row>
    <row r="87" spans="1:15" x14ac:dyDescent="0.25">
      <c r="A87" s="101" t="str">
        <f>'Data Vlaue (Cr)'!C82</f>
        <v>HINDZINC</v>
      </c>
      <c r="B87" s="50">
        <f>VLOOKUP($A87,'Data shares'!$C:$FB,7)</f>
        <v>595.65</v>
      </c>
      <c r="C87" s="50">
        <f>VLOOKUP($A87,'Data shares'!$C:$FB,10)*100</f>
        <v>0.74</v>
      </c>
      <c r="D87" s="49">
        <f>VLOOKUP($A87,'Data shares'!$C:$FB,66)</f>
        <v>53707675</v>
      </c>
      <c r="E87" s="49">
        <f>VLOOKUP($A87,'Data shares'!$C:$FB,67)</f>
        <v>65413775</v>
      </c>
      <c r="F87" s="50">
        <f>VLOOKUP($A87,'Data shares'!$C:$FB,69)*100</f>
        <v>-17.899999999999999</v>
      </c>
      <c r="G87" s="49">
        <f>VLOOKUP($A87,'Data shares'!$C:$FB,42)</f>
        <v>7978425</v>
      </c>
      <c r="H87" s="49">
        <f>VLOOKUP($A87,'Data shares'!$C:$FB,43)</f>
        <v>9836750</v>
      </c>
      <c r="I87" s="50">
        <f>VLOOKUP($A87,'Data shares'!$C:$FB,45)*100</f>
        <v>-18.89</v>
      </c>
      <c r="J87" s="49">
        <f>VLOOKUP($A87,'Data shares'!$C:$FB,58)</f>
        <v>32297125</v>
      </c>
      <c r="K87" s="49">
        <f>VLOOKUP($A87,'Data shares'!$C:$FB,59)</f>
        <v>31830400</v>
      </c>
      <c r="L87" s="50">
        <f>VLOOKUP($A87,'Data shares'!$C:$FB,61)*100</f>
        <v>1.47</v>
      </c>
      <c r="M87" s="49">
        <f>VLOOKUP($A87,'Data shares'!$C:$FB,62)</f>
        <v>13432125</v>
      </c>
      <c r="N87" s="49">
        <f>VLOOKUP($A87,'Data shares'!$C:$FB,63)</f>
        <v>23746625</v>
      </c>
      <c r="O87" s="140">
        <f>VLOOKUP($A87,'Data shares'!$C:$FB,65)*100</f>
        <v>-43.44</v>
      </c>
    </row>
    <row r="88" spans="1:15" x14ac:dyDescent="0.25">
      <c r="A88" s="101" t="str">
        <f>'Data Vlaue (Cr)'!C83</f>
        <v>HUDCO</v>
      </c>
      <c r="B88" s="50">
        <f>VLOOKUP($A88,'Data shares'!$C:$FB,7)</f>
        <v>178.27</v>
      </c>
      <c r="C88" s="50">
        <f>VLOOKUP($A88,'Data shares'!$C:$FB,10)*100</f>
        <v>1.2</v>
      </c>
      <c r="D88" s="49">
        <f>VLOOKUP($A88,'Data shares'!$C:$FB,66)</f>
        <v>21078900</v>
      </c>
      <c r="E88" s="49">
        <f>VLOOKUP($A88,'Data shares'!$C:$FB,67)</f>
        <v>23088000</v>
      </c>
      <c r="F88" s="50">
        <f>VLOOKUP($A88,'Data shares'!$C:$FB,69)*100</f>
        <v>-8.6999999999999993</v>
      </c>
      <c r="G88" s="49">
        <f>VLOOKUP($A88,'Data shares'!$C:$FB,42)</f>
        <v>4095900</v>
      </c>
      <c r="H88" s="49">
        <f>VLOOKUP($A88,'Data shares'!$C:$FB,43)</f>
        <v>6471300</v>
      </c>
      <c r="I88" s="50">
        <f>VLOOKUP($A88,'Data shares'!$C:$FB,45)*100</f>
        <v>-36.71</v>
      </c>
      <c r="J88" s="49">
        <f>VLOOKUP($A88,'Data shares'!$C:$FB,58)</f>
        <v>11976900</v>
      </c>
      <c r="K88" s="49">
        <f>VLOOKUP($A88,'Data shares'!$C:$FB,59)</f>
        <v>10522800</v>
      </c>
      <c r="L88" s="50">
        <f>VLOOKUP($A88,'Data shares'!$C:$FB,61)*100</f>
        <v>13.819999999999999</v>
      </c>
      <c r="M88" s="49">
        <f>VLOOKUP($A88,'Data shares'!$C:$FB,62)</f>
        <v>5006100</v>
      </c>
      <c r="N88" s="49">
        <f>VLOOKUP($A88,'Data shares'!$C:$FB,63)</f>
        <v>6093900</v>
      </c>
      <c r="O88" s="140">
        <f>VLOOKUP($A88,'Data shares'!$C:$FB,65)*100</f>
        <v>-17.849999999999998</v>
      </c>
    </row>
    <row r="89" spans="1:15" x14ac:dyDescent="0.25">
      <c r="A89" s="101" t="str">
        <f>'Data Vlaue (Cr)'!C84</f>
        <v>ICICIBANK</v>
      </c>
      <c r="B89" s="50">
        <f>VLOOKUP($A89,'Data shares'!$C:$FB,7)</f>
        <v>1357.6</v>
      </c>
      <c r="C89" s="50">
        <f>VLOOKUP($A89,'Data shares'!$C:$FB,10)*100</f>
        <v>-0.57000000000000006</v>
      </c>
      <c r="D89" s="49">
        <f>VLOOKUP($A89,'Data shares'!$C:$FB,66)</f>
        <v>69061300</v>
      </c>
      <c r="E89" s="49">
        <f>VLOOKUP($A89,'Data shares'!$C:$FB,67)</f>
        <v>87950800</v>
      </c>
      <c r="F89" s="50">
        <f>VLOOKUP($A89,'Data shares'!$C:$FB,69)*100</f>
        <v>-21.48</v>
      </c>
      <c r="G89" s="49">
        <f>VLOOKUP($A89,'Data shares'!$C:$FB,42)</f>
        <v>13867700</v>
      </c>
      <c r="H89" s="49">
        <f>VLOOKUP($A89,'Data shares'!$C:$FB,43)</f>
        <v>17166100</v>
      </c>
      <c r="I89" s="50">
        <f>VLOOKUP($A89,'Data shares'!$C:$FB,45)*100</f>
        <v>-19.21</v>
      </c>
      <c r="J89" s="49">
        <f>VLOOKUP($A89,'Data shares'!$C:$FB,58)</f>
        <v>36260700</v>
      </c>
      <c r="K89" s="49">
        <f>VLOOKUP($A89,'Data shares'!$C:$FB,59)</f>
        <v>41909000</v>
      </c>
      <c r="L89" s="50">
        <f>VLOOKUP($A89,'Data shares'!$C:$FB,61)*100</f>
        <v>-13.48</v>
      </c>
      <c r="M89" s="49">
        <f>VLOOKUP($A89,'Data shares'!$C:$FB,62)</f>
        <v>18932900</v>
      </c>
      <c r="N89" s="49">
        <f>VLOOKUP($A89,'Data shares'!$C:$FB,63)</f>
        <v>28875700</v>
      </c>
      <c r="O89" s="140">
        <f>VLOOKUP($A89,'Data shares'!$C:$FB,65)*100</f>
        <v>-34.43</v>
      </c>
    </row>
    <row r="90" spans="1:15" x14ac:dyDescent="0.25">
      <c r="A90" s="101" t="str">
        <f>'Data Vlaue (Cr)'!C85</f>
        <v>ICICIGI</v>
      </c>
      <c r="B90" s="50">
        <f>VLOOKUP($A90,'Data shares'!$C:$FB,7)</f>
        <v>1875.2</v>
      </c>
      <c r="C90" s="50">
        <f>VLOOKUP($A90,'Data shares'!$C:$FB,10)*100</f>
        <v>1.06</v>
      </c>
      <c r="D90" s="49">
        <f>VLOOKUP($A90,'Data shares'!$C:$FB,66)</f>
        <v>1353300</v>
      </c>
      <c r="E90" s="49">
        <f>VLOOKUP($A90,'Data shares'!$C:$FB,67)</f>
        <v>2592525</v>
      </c>
      <c r="F90" s="50">
        <f>VLOOKUP($A90,'Data shares'!$C:$FB,69)*100</f>
        <v>-47.8</v>
      </c>
      <c r="G90" s="49">
        <f>VLOOKUP($A90,'Data shares'!$C:$FB,42)</f>
        <v>519025</v>
      </c>
      <c r="H90" s="49">
        <f>VLOOKUP($A90,'Data shares'!$C:$FB,43)</f>
        <v>928850</v>
      </c>
      <c r="I90" s="50">
        <f>VLOOKUP($A90,'Data shares'!$C:$FB,45)*100</f>
        <v>-44.12</v>
      </c>
      <c r="J90" s="49">
        <f>VLOOKUP($A90,'Data shares'!$C:$FB,58)</f>
        <v>520000</v>
      </c>
      <c r="K90" s="49">
        <f>VLOOKUP($A90,'Data shares'!$C:$FB,59)</f>
        <v>901875</v>
      </c>
      <c r="L90" s="50">
        <f>VLOOKUP($A90,'Data shares'!$C:$FB,61)*100</f>
        <v>-42.34</v>
      </c>
      <c r="M90" s="49">
        <f>VLOOKUP($A90,'Data shares'!$C:$FB,62)</f>
        <v>314275</v>
      </c>
      <c r="N90" s="49">
        <f>VLOOKUP($A90,'Data shares'!$C:$FB,63)</f>
        <v>761800</v>
      </c>
      <c r="O90" s="140">
        <f>VLOOKUP($A90,'Data shares'!$C:$FB,65)*100</f>
        <v>-58.75</v>
      </c>
    </row>
    <row r="91" spans="1:15" x14ac:dyDescent="0.25">
      <c r="A91" s="101" t="str">
        <f>'Data Vlaue (Cr)'!C86</f>
        <v>ICICIPRULI</v>
      </c>
      <c r="B91" s="50">
        <f>VLOOKUP($A91,'Data shares'!$C:$FB,7)</f>
        <v>627.45000000000005</v>
      </c>
      <c r="C91" s="50">
        <f>VLOOKUP($A91,'Data shares'!$C:$FB,10)*100</f>
        <v>0.27</v>
      </c>
      <c r="D91" s="49">
        <f>VLOOKUP($A91,'Data shares'!$C:$FB,66)</f>
        <v>5184625</v>
      </c>
      <c r="E91" s="49">
        <f>VLOOKUP($A91,'Data shares'!$C:$FB,67)</f>
        <v>5846925</v>
      </c>
      <c r="F91" s="50">
        <f>VLOOKUP($A91,'Data shares'!$C:$FB,69)*100</f>
        <v>-11.33</v>
      </c>
      <c r="G91" s="49">
        <f>VLOOKUP($A91,'Data shares'!$C:$FB,42)</f>
        <v>1232100</v>
      </c>
      <c r="H91" s="49">
        <f>VLOOKUP($A91,'Data shares'!$C:$FB,43)</f>
        <v>1956375</v>
      </c>
      <c r="I91" s="50">
        <f>VLOOKUP($A91,'Data shares'!$C:$FB,45)*100</f>
        <v>-37.019999999999996</v>
      </c>
      <c r="J91" s="49">
        <f>VLOOKUP($A91,'Data shares'!$C:$FB,58)</f>
        <v>2022050</v>
      </c>
      <c r="K91" s="49">
        <f>VLOOKUP($A91,'Data shares'!$C:$FB,59)</f>
        <v>2256075</v>
      </c>
      <c r="L91" s="50">
        <f>VLOOKUP($A91,'Data shares'!$C:$FB,61)*100</f>
        <v>-10.37</v>
      </c>
      <c r="M91" s="49">
        <f>VLOOKUP($A91,'Data shares'!$C:$FB,62)</f>
        <v>1930475</v>
      </c>
      <c r="N91" s="49">
        <f>VLOOKUP($A91,'Data shares'!$C:$FB,63)</f>
        <v>1634475</v>
      </c>
      <c r="O91" s="140">
        <f>VLOOKUP($A91,'Data shares'!$C:$FB,65)*100</f>
        <v>18.11</v>
      </c>
    </row>
    <row r="92" spans="1:15" x14ac:dyDescent="0.25">
      <c r="A92" s="101" t="str">
        <f>'Data Vlaue (Cr)'!C87</f>
        <v>IDEA</v>
      </c>
      <c r="B92" s="50">
        <f>VLOOKUP($A92,'Data shares'!$C:$FB,7)</f>
        <v>10.220000000000001</v>
      </c>
      <c r="C92" s="50">
        <f>VLOOKUP($A92,'Data shares'!$C:$FB,10)*100</f>
        <v>2.2999999999999998</v>
      </c>
      <c r="D92" s="49">
        <f>VLOOKUP($A92,'Data shares'!$C:$FB,66)</f>
        <v>3778025550</v>
      </c>
      <c r="E92" s="49">
        <f>VLOOKUP($A92,'Data shares'!$C:$FB,67)</f>
        <v>1971709350</v>
      </c>
      <c r="F92" s="50">
        <f>VLOOKUP($A92,'Data shares'!$C:$FB,69)*100</f>
        <v>91.61</v>
      </c>
      <c r="G92" s="49">
        <f>VLOOKUP($A92,'Data shares'!$C:$FB,42)</f>
        <v>970559025</v>
      </c>
      <c r="H92" s="49">
        <f>VLOOKUP($A92,'Data shares'!$C:$FB,43)</f>
        <v>576588825</v>
      </c>
      <c r="I92" s="50">
        <f>VLOOKUP($A92,'Data shares'!$C:$FB,45)*100</f>
        <v>68.33</v>
      </c>
      <c r="J92" s="49">
        <f>VLOOKUP($A92,'Data shares'!$C:$FB,58)</f>
        <v>2105153175</v>
      </c>
      <c r="K92" s="49">
        <f>VLOOKUP($A92,'Data shares'!$C:$FB,59)</f>
        <v>864561600</v>
      </c>
      <c r="L92" s="50">
        <f>VLOOKUP($A92,'Data shares'!$C:$FB,61)*100</f>
        <v>143.49</v>
      </c>
      <c r="M92" s="49">
        <f>VLOOKUP($A92,'Data shares'!$C:$FB,62)</f>
        <v>702313350</v>
      </c>
      <c r="N92" s="49">
        <f>VLOOKUP($A92,'Data shares'!$C:$FB,63)</f>
        <v>530558925</v>
      </c>
      <c r="O92" s="140">
        <f>VLOOKUP($A92,'Data shares'!$C:$FB,65)*100</f>
        <v>32.369999999999997</v>
      </c>
    </row>
    <row r="93" spans="1:15" x14ac:dyDescent="0.25">
      <c r="A93" s="101" t="str">
        <f>'Data Vlaue (Cr)'!C88</f>
        <v>IDFCFIRSTB</v>
      </c>
      <c r="B93" s="50">
        <f>VLOOKUP($A93,'Data shares'!$C:$FB,7)</f>
        <v>70.400000000000006</v>
      </c>
      <c r="C93" s="50">
        <f>VLOOKUP($A93,'Data shares'!$C:$FB,10)*100</f>
        <v>0.49</v>
      </c>
      <c r="D93" s="49">
        <f>VLOOKUP($A93,'Data shares'!$C:$FB,66)</f>
        <v>330032325</v>
      </c>
      <c r="E93" s="49">
        <f>VLOOKUP($A93,'Data shares'!$C:$FB,67)</f>
        <v>377028750</v>
      </c>
      <c r="F93" s="50">
        <f>VLOOKUP($A93,'Data shares'!$C:$FB,69)*100</f>
        <v>-12.46</v>
      </c>
      <c r="G93" s="49">
        <f>VLOOKUP($A93,'Data shares'!$C:$FB,42)</f>
        <v>79143575</v>
      </c>
      <c r="H93" s="49">
        <f>VLOOKUP($A93,'Data shares'!$C:$FB,43)</f>
        <v>95411925</v>
      </c>
      <c r="I93" s="50">
        <f>VLOOKUP($A93,'Data shares'!$C:$FB,45)*100</f>
        <v>-17.05</v>
      </c>
      <c r="J93" s="49">
        <f>VLOOKUP($A93,'Data shares'!$C:$FB,58)</f>
        <v>161663250</v>
      </c>
      <c r="K93" s="49">
        <f>VLOOKUP($A93,'Data shares'!$C:$FB,59)</f>
        <v>158036725</v>
      </c>
      <c r="L93" s="50">
        <f>VLOOKUP($A93,'Data shares'!$C:$FB,61)*100</f>
        <v>2.29</v>
      </c>
      <c r="M93" s="49">
        <f>VLOOKUP($A93,'Data shares'!$C:$FB,62)</f>
        <v>89225500</v>
      </c>
      <c r="N93" s="49">
        <f>VLOOKUP($A93,'Data shares'!$C:$FB,63)</f>
        <v>123580100</v>
      </c>
      <c r="O93" s="140">
        <f>VLOOKUP($A93,'Data shares'!$C:$FB,65)*100</f>
        <v>-27.800000000000004</v>
      </c>
    </row>
    <row r="94" spans="1:15" x14ac:dyDescent="0.25">
      <c r="A94" s="101" t="str">
        <f>'Data Vlaue (Cr)'!C89</f>
        <v>IEX</v>
      </c>
      <c r="B94" s="50">
        <f>VLOOKUP($A94,'Data shares'!$C:$FB,7)</f>
        <v>121.63</v>
      </c>
      <c r="C94" s="50">
        <f>VLOOKUP($A94,'Data shares'!$C:$FB,10)*100</f>
        <v>2.56</v>
      </c>
      <c r="D94" s="49">
        <f>VLOOKUP($A94,'Data shares'!$C:$FB,66)</f>
        <v>37110000</v>
      </c>
      <c r="E94" s="49">
        <f>VLOOKUP($A94,'Data shares'!$C:$FB,67)</f>
        <v>43406250</v>
      </c>
      <c r="F94" s="50">
        <f>VLOOKUP($A94,'Data shares'!$C:$FB,69)*100</f>
        <v>-14.510000000000002</v>
      </c>
      <c r="G94" s="49">
        <f>VLOOKUP($A94,'Data shares'!$C:$FB,42)</f>
        <v>8737500</v>
      </c>
      <c r="H94" s="49">
        <f>VLOOKUP($A94,'Data shares'!$C:$FB,43)</f>
        <v>9735000</v>
      </c>
      <c r="I94" s="50">
        <f>VLOOKUP($A94,'Data shares'!$C:$FB,45)*100</f>
        <v>-10.25</v>
      </c>
      <c r="J94" s="49">
        <f>VLOOKUP($A94,'Data shares'!$C:$FB,58)</f>
        <v>18930000</v>
      </c>
      <c r="K94" s="49">
        <f>VLOOKUP($A94,'Data shares'!$C:$FB,59)</f>
        <v>20523750</v>
      </c>
      <c r="L94" s="50">
        <f>VLOOKUP($A94,'Data shares'!$C:$FB,61)*100</f>
        <v>-7.7700000000000005</v>
      </c>
      <c r="M94" s="49">
        <f>VLOOKUP($A94,'Data shares'!$C:$FB,62)</f>
        <v>9442500</v>
      </c>
      <c r="N94" s="49">
        <f>VLOOKUP($A94,'Data shares'!$C:$FB,63)</f>
        <v>13147500</v>
      </c>
      <c r="O94" s="140">
        <f>VLOOKUP($A94,'Data shares'!$C:$FB,65)*100</f>
        <v>-28.18</v>
      </c>
    </row>
    <row r="95" spans="1:15" x14ac:dyDescent="0.25">
      <c r="A95" s="101" t="str">
        <f>'Data Vlaue (Cr)'!C90</f>
        <v>INDHOTEL</v>
      </c>
      <c r="B95" s="50">
        <f>VLOOKUP($A95,'Data shares'!$C:$FB,7)</f>
        <v>629.70000000000005</v>
      </c>
      <c r="C95" s="50">
        <f>VLOOKUP($A95,'Data shares'!$C:$FB,10)*100</f>
        <v>-0.64</v>
      </c>
      <c r="D95" s="49">
        <f>VLOOKUP($A95,'Data shares'!$C:$FB,66)</f>
        <v>24430000</v>
      </c>
      <c r="E95" s="49">
        <f>VLOOKUP($A95,'Data shares'!$C:$FB,67)</f>
        <v>14540000</v>
      </c>
      <c r="F95" s="50">
        <f>VLOOKUP($A95,'Data shares'!$C:$FB,69)*100</f>
        <v>68.02</v>
      </c>
      <c r="G95" s="49">
        <f>VLOOKUP($A95,'Data shares'!$C:$FB,42)</f>
        <v>5745000</v>
      </c>
      <c r="H95" s="49">
        <f>VLOOKUP($A95,'Data shares'!$C:$FB,43)</f>
        <v>4554000</v>
      </c>
      <c r="I95" s="50">
        <f>VLOOKUP($A95,'Data shares'!$C:$FB,45)*100</f>
        <v>26.150000000000002</v>
      </c>
      <c r="J95" s="49">
        <f>VLOOKUP($A95,'Data shares'!$C:$FB,58)</f>
        <v>10509000</v>
      </c>
      <c r="K95" s="49">
        <f>VLOOKUP($A95,'Data shares'!$C:$FB,59)</f>
        <v>5266000</v>
      </c>
      <c r="L95" s="50">
        <f>VLOOKUP($A95,'Data shares'!$C:$FB,61)*100</f>
        <v>99.56</v>
      </c>
      <c r="M95" s="49">
        <f>VLOOKUP($A95,'Data shares'!$C:$FB,62)</f>
        <v>8176000</v>
      </c>
      <c r="N95" s="49">
        <f>VLOOKUP($A95,'Data shares'!$C:$FB,63)</f>
        <v>4720000</v>
      </c>
      <c r="O95" s="140">
        <f>VLOOKUP($A95,'Data shares'!$C:$FB,65)*100</f>
        <v>73.22</v>
      </c>
    </row>
    <row r="96" spans="1:15" x14ac:dyDescent="0.25">
      <c r="A96" s="101" t="str">
        <f>'Data Vlaue (Cr)'!C91</f>
        <v>INDIANB</v>
      </c>
      <c r="B96" s="50">
        <f>VLOOKUP($A96,'Data shares'!$C:$FB,7)</f>
        <v>951.75</v>
      </c>
      <c r="C96" s="50">
        <f>VLOOKUP($A96,'Data shares'!$C:$FB,10)*100</f>
        <v>1.3599999999999999</v>
      </c>
      <c r="D96" s="49">
        <f>VLOOKUP($A96,'Data shares'!$C:$FB,66)</f>
        <v>10174000</v>
      </c>
      <c r="E96" s="49">
        <f>VLOOKUP($A96,'Data shares'!$C:$FB,67)</f>
        <v>22155000</v>
      </c>
      <c r="F96" s="50">
        <f>VLOOKUP($A96,'Data shares'!$C:$FB,69)*100</f>
        <v>-54.08</v>
      </c>
      <c r="G96" s="49">
        <f>VLOOKUP($A96,'Data shares'!$C:$FB,42)</f>
        <v>3438000</v>
      </c>
      <c r="H96" s="49">
        <f>VLOOKUP($A96,'Data shares'!$C:$FB,43)</f>
        <v>5702000</v>
      </c>
      <c r="I96" s="50">
        <f>VLOOKUP($A96,'Data shares'!$C:$FB,45)*100</f>
        <v>-39.71</v>
      </c>
      <c r="J96" s="49">
        <f>VLOOKUP($A96,'Data shares'!$C:$FB,58)</f>
        <v>4271000</v>
      </c>
      <c r="K96" s="49">
        <f>VLOOKUP($A96,'Data shares'!$C:$FB,59)</f>
        <v>9042000</v>
      </c>
      <c r="L96" s="50">
        <f>VLOOKUP($A96,'Data shares'!$C:$FB,61)*100</f>
        <v>-52.76</v>
      </c>
      <c r="M96" s="49">
        <f>VLOOKUP($A96,'Data shares'!$C:$FB,62)</f>
        <v>2465000</v>
      </c>
      <c r="N96" s="49">
        <f>VLOOKUP($A96,'Data shares'!$C:$FB,63)</f>
        <v>7411000</v>
      </c>
      <c r="O96" s="140">
        <f>VLOOKUP($A96,'Data shares'!$C:$FB,65)*100</f>
        <v>-66.739999999999995</v>
      </c>
    </row>
    <row r="97" spans="1:15" x14ac:dyDescent="0.25">
      <c r="A97" s="101" t="str">
        <f>'Data Vlaue (Cr)'!C92</f>
        <v>INDIAVIX</v>
      </c>
      <c r="B97" s="50">
        <f>VLOOKUP($A97,'Data shares'!$C:$FB,7)</f>
        <v>17.86</v>
      </c>
      <c r="C97" s="50">
        <f>VLOOKUP($A97,'Data shares'!$C:$FB,10)*100</f>
        <v>-15.53</v>
      </c>
      <c r="D97" s="49">
        <f>VLOOKUP($A97,'Data shares'!$C:$FB,66)</f>
        <v>0</v>
      </c>
      <c r="E97" s="49">
        <f>VLOOKUP($A97,'Data shares'!$C:$FB,67)</f>
        <v>0</v>
      </c>
      <c r="F97" s="50">
        <f>VLOOKUP($A97,'Data shares'!$C:$FB,69)*100</f>
        <v>0</v>
      </c>
      <c r="G97" s="49">
        <f>VLOOKUP($A97,'Data shares'!$C:$FB,42)</f>
        <v>0</v>
      </c>
      <c r="H97" s="49">
        <f>VLOOKUP($A97,'Data shares'!$C:$FB,43)</f>
        <v>0</v>
      </c>
      <c r="I97" s="50">
        <f>VLOOKUP($A97,'Data shares'!$C:$FB,45)*100</f>
        <v>0</v>
      </c>
      <c r="J97" s="49">
        <f>VLOOKUP($A97,'Data shares'!$C:$FB,58)</f>
        <v>0</v>
      </c>
      <c r="K97" s="49">
        <f>VLOOKUP($A97,'Data shares'!$C:$FB,59)</f>
        <v>0</v>
      </c>
      <c r="L97" s="50">
        <f>VLOOKUP($A97,'Data shares'!$C:$FB,61)*100</f>
        <v>0</v>
      </c>
      <c r="M97" s="49">
        <f>VLOOKUP($A97,'Data shares'!$C:$FB,62)</f>
        <v>0</v>
      </c>
      <c r="N97" s="49">
        <f>VLOOKUP($A97,'Data shares'!$C:$FB,63)</f>
        <v>0</v>
      </c>
      <c r="O97" s="140">
        <f>VLOOKUP($A97,'Data shares'!$C:$FB,65)*100</f>
        <v>0</v>
      </c>
    </row>
    <row r="98" spans="1:15" x14ac:dyDescent="0.25">
      <c r="A98" s="101" t="str">
        <f>'Data Vlaue (Cr)'!C93</f>
        <v>INDIGO</v>
      </c>
      <c r="B98" s="50">
        <f>VLOOKUP($A98,'Data shares'!$C:$FB,7)</f>
        <v>4512.8</v>
      </c>
      <c r="C98" s="50">
        <f>VLOOKUP($A98,'Data shares'!$C:$FB,10)*100</f>
        <v>2.73</v>
      </c>
      <c r="D98" s="49">
        <f>VLOOKUP($A98,'Data shares'!$C:$FB,66)</f>
        <v>23143500</v>
      </c>
      <c r="E98" s="49">
        <f>VLOOKUP($A98,'Data shares'!$C:$FB,67)</f>
        <v>25307850</v>
      </c>
      <c r="F98" s="50">
        <f>VLOOKUP($A98,'Data shares'!$C:$FB,69)*100</f>
        <v>-8.5500000000000007</v>
      </c>
      <c r="G98" s="49">
        <f>VLOOKUP($A98,'Data shares'!$C:$FB,42)</f>
        <v>4184250</v>
      </c>
      <c r="H98" s="49">
        <f>VLOOKUP($A98,'Data shares'!$C:$FB,43)</f>
        <v>3516000</v>
      </c>
      <c r="I98" s="50">
        <f>VLOOKUP($A98,'Data shares'!$C:$FB,45)*100</f>
        <v>19.009999999999998</v>
      </c>
      <c r="J98" s="49">
        <f>VLOOKUP($A98,'Data shares'!$C:$FB,58)</f>
        <v>9627900</v>
      </c>
      <c r="K98" s="49">
        <f>VLOOKUP($A98,'Data shares'!$C:$FB,59)</f>
        <v>9599850</v>
      </c>
      <c r="L98" s="50">
        <f>VLOOKUP($A98,'Data shares'!$C:$FB,61)*100</f>
        <v>0.28999999999999998</v>
      </c>
      <c r="M98" s="49">
        <f>VLOOKUP($A98,'Data shares'!$C:$FB,62)</f>
        <v>9331350</v>
      </c>
      <c r="N98" s="49">
        <f>VLOOKUP($A98,'Data shares'!$C:$FB,63)</f>
        <v>12192000</v>
      </c>
      <c r="O98" s="140">
        <f>VLOOKUP($A98,'Data shares'!$C:$FB,65)*100</f>
        <v>-23.46</v>
      </c>
    </row>
    <row r="99" spans="1:15" x14ac:dyDescent="0.25">
      <c r="A99" s="101" t="str">
        <f>'Data Vlaue (Cr)'!C94</f>
        <v>INDUSINDBK</v>
      </c>
      <c r="B99" s="50">
        <f>VLOOKUP($A99,'Data shares'!$C:$FB,7)</f>
        <v>937.2</v>
      </c>
      <c r="C99" s="50">
        <f>VLOOKUP($A99,'Data shares'!$C:$FB,10)*100</f>
        <v>1.04</v>
      </c>
      <c r="D99" s="49">
        <f>VLOOKUP($A99,'Data shares'!$C:$FB,66)</f>
        <v>18640300</v>
      </c>
      <c r="E99" s="49">
        <f>VLOOKUP($A99,'Data shares'!$C:$FB,67)</f>
        <v>21965300</v>
      </c>
      <c r="F99" s="50">
        <f>VLOOKUP($A99,'Data shares'!$C:$FB,69)*100</f>
        <v>-15.14</v>
      </c>
      <c r="G99" s="49">
        <f>VLOOKUP($A99,'Data shares'!$C:$FB,42)</f>
        <v>6020700</v>
      </c>
      <c r="H99" s="49">
        <f>VLOOKUP($A99,'Data shares'!$C:$FB,43)</f>
        <v>9313500</v>
      </c>
      <c r="I99" s="50">
        <f>VLOOKUP($A99,'Data shares'!$C:$FB,45)*100</f>
        <v>-35.36</v>
      </c>
      <c r="J99" s="49">
        <f>VLOOKUP($A99,'Data shares'!$C:$FB,58)</f>
        <v>7132300</v>
      </c>
      <c r="K99" s="49">
        <f>VLOOKUP($A99,'Data shares'!$C:$FB,59)</f>
        <v>6922300</v>
      </c>
      <c r="L99" s="50">
        <f>VLOOKUP($A99,'Data shares'!$C:$FB,61)*100</f>
        <v>3.0300000000000002</v>
      </c>
      <c r="M99" s="49">
        <f>VLOOKUP($A99,'Data shares'!$C:$FB,62)</f>
        <v>5487300</v>
      </c>
      <c r="N99" s="49">
        <f>VLOOKUP($A99,'Data shares'!$C:$FB,63)</f>
        <v>5729500</v>
      </c>
      <c r="O99" s="140">
        <f>VLOOKUP($A99,'Data shares'!$C:$FB,65)*100</f>
        <v>-4.2299999999999995</v>
      </c>
    </row>
    <row r="100" spans="1:15" x14ac:dyDescent="0.25">
      <c r="A100" s="101" t="str">
        <f>'Data Vlaue (Cr)'!C95</f>
        <v>INDUSTOWER</v>
      </c>
      <c r="B100" s="50">
        <f>VLOOKUP($A100,'Data shares'!$C:$FB,7)</f>
        <v>451.4</v>
      </c>
      <c r="C100" s="50">
        <f>VLOOKUP($A100,'Data shares'!$C:$FB,10)*100</f>
        <v>2.06</v>
      </c>
      <c r="D100" s="49">
        <f>VLOOKUP($A100,'Data shares'!$C:$FB,66)</f>
        <v>24973000</v>
      </c>
      <c r="E100" s="49">
        <f>VLOOKUP($A100,'Data shares'!$C:$FB,67)</f>
        <v>24864200</v>
      </c>
      <c r="F100" s="50">
        <f>VLOOKUP($A100,'Data shares'!$C:$FB,69)*100</f>
        <v>0.44</v>
      </c>
      <c r="G100" s="49">
        <f>VLOOKUP($A100,'Data shares'!$C:$FB,42)</f>
        <v>7684000</v>
      </c>
      <c r="H100" s="49">
        <f>VLOOKUP($A100,'Data shares'!$C:$FB,43)</f>
        <v>8970900</v>
      </c>
      <c r="I100" s="50">
        <f>VLOOKUP($A100,'Data shares'!$C:$FB,45)*100</f>
        <v>-14.35</v>
      </c>
      <c r="J100" s="49">
        <f>VLOOKUP($A100,'Data shares'!$C:$FB,58)</f>
        <v>12416800</v>
      </c>
      <c r="K100" s="49">
        <f>VLOOKUP($A100,'Data shares'!$C:$FB,59)</f>
        <v>10752500</v>
      </c>
      <c r="L100" s="50">
        <f>VLOOKUP($A100,'Data shares'!$C:$FB,61)*100</f>
        <v>15.479999999999999</v>
      </c>
      <c r="M100" s="49">
        <f>VLOOKUP($A100,'Data shares'!$C:$FB,62)</f>
        <v>4872200</v>
      </c>
      <c r="N100" s="49">
        <f>VLOOKUP($A100,'Data shares'!$C:$FB,63)</f>
        <v>5140800</v>
      </c>
      <c r="O100" s="140">
        <f>VLOOKUP($A100,'Data shares'!$C:$FB,65)*100</f>
        <v>-5.2200000000000006</v>
      </c>
    </row>
    <row r="101" spans="1:15" x14ac:dyDescent="0.25">
      <c r="A101" s="101" t="str">
        <f>'Data Vlaue (Cr)'!C96</f>
        <v>INFY</v>
      </c>
      <c r="B101" s="50">
        <f>VLOOKUP($A101,'Data shares'!$C:$FB,7)</f>
        <v>1305.8</v>
      </c>
      <c r="C101" s="50">
        <f>VLOOKUP($A101,'Data shares'!$C:$FB,10)*100</f>
        <v>-0.12</v>
      </c>
      <c r="D101" s="49">
        <f>VLOOKUP($A101,'Data shares'!$C:$FB,66)</f>
        <v>52420400</v>
      </c>
      <c r="E101" s="49">
        <f>VLOOKUP($A101,'Data shares'!$C:$FB,67)</f>
        <v>85874000</v>
      </c>
      <c r="F101" s="50">
        <f>VLOOKUP($A101,'Data shares'!$C:$FB,69)*100</f>
        <v>-38.96</v>
      </c>
      <c r="G101" s="49">
        <f>VLOOKUP($A101,'Data shares'!$C:$FB,42)</f>
        <v>9472800</v>
      </c>
      <c r="H101" s="49">
        <f>VLOOKUP($A101,'Data shares'!$C:$FB,43)</f>
        <v>13887600</v>
      </c>
      <c r="I101" s="50">
        <f>VLOOKUP($A101,'Data shares'!$C:$FB,45)*100</f>
        <v>-31.790000000000003</v>
      </c>
      <c r="J101" s="49">
        <f>VLOOKUP($A101,'Data shares'!$C:$FB,58)</f>
        <v>25418000</v>
      </c>
      <c r="K101" s="49">
        <f>VLOOKUP($A101,'Data shares'!$C:$FB,59)</f>
        <v>45651600</v>
      </c>
      <c r="L101" s="50">
        <f>VLOOKUP($A101,'Data shares'!$C:$FB,61)*100</f>
        <v>-44.32</v>
      </c>
      <c r="M101" s="49">
        <f>VLOOKUP($A101,'Data shares'!$C:$FB,62)</f>
        <v>17529600</v>
      </c>
      <c r="N101" s="49">
        <f>VLOOKUP($A101,'Data shares'!$C:$FB,63)</f>
        <v>26334800</v>
      </c>
      <c r="O101" s="140">
        <f>VLOOKUP($A101,'Data shares'!$C:$FB,65)*100</f>
        <v>-33.44</v>
      </c>
    </row>
    <row r="102" spans="1:15" x14ac:dyDescent="0.25">
      <c r="A102" s="101" t="str">
        <f>'Data Vlaue (Cr)'!C97</f>
        <v>INOXWIND</v>
      </c>
      <c r="B102" s="50">
        <f>VLOOKUP($A102,'Data shares'!$C:$FB,7)</f>
        <v>86.32</v>
      </c>
      <c r="C102" s="50">
        <f>VLOOKUP($A102,'Data shares'!$C:$FB,10)*100</f>
        <v>0.54999999999999993</v>
      </c>
      <c r="D102" s="49">
        <f>VLOOKUP($A102,'Data shares'!$C:$FB,66)</f>
        <v>77109175</v>
      </c>
      <c r="E102" s="49">
        <f>VLOOKUP($A102,'Data shares'!$C:$FB,67)</f>
        <v>49570950</v>
      </c>
      <c r="F102" s="50">
        <f>VLOOKUP($A102,'Data shares'!$C:$FB,69)*100</f>
        <v>55.55</v>
      </c>
      <c r="G102" s="49">
        <f>VLOOKUP($A102,'Data shares'!$C:$FB,42)</f>
        <v>18232500</v>
      </c>
      <c r="H102" s="49">
        <f>VLOOKUP($A102,'Data shares'!$C:$FB,43)</f>
        <v>14382225</v>
      </c>
      <c r="I102" s="50">
        <f>VLOOKUP($A102,'Data shares'!$C:$FB,45)*100</f>
        <v>26.77</v>
      </c>
      <c r="J102" s="49">
        <f>VLOOKUP($A102,'Data shares'!$C:$FB,58)</f>
        <v>37970075</v>
      </c>
      <c r="K102" s="49">
        <f>VLOOKUP($A102,'Data shares'!$C:$FB,59)</f>
        <v>23788050</v>
      </c>
      <c r="L102" s="50">
        <f>VLOOKUP($A102,'Data shares'!$C:$FB,61)*100</f>
        <v>59.62</v>
      </c>
      <c r="M102" s="49">
        <f>VLOOKUP($A102,'Data shares'!$C:$FB,62)</f>
        <v>20906600</v>
      </c>
      <c r="N102" s="49">
        <f>VLOOKUP($A102,'Data shares'!$C:$FB,63)</f>
        <v>11400675</v>
      </c>
      <c r="O102" s="140">
        <f>VLOOKUP($A102,'Data shares'!$C:$FB,65)*100</f>
        <v>83.38</v>
      </c>
    </row>
    <row r="103" spans="1:15" x14ac:dyDescent="0.25">
      <c r="A103" s="101" t="str">
        <f>'Data Vlaue (Cr)'!C98</f>
        <v>IOC</v>
      </c>
      <c r="B103" s="50">
        <f>VLOOKUP($A103,'Data shares'!$C:$FB,7)</f>
        <v>171.54</v>
      </c>
      <c r="C103" s="50">
        <f>VLOOKUP($A103,'Data shares'!$C:$FB,10)*100</f>
        <v>0.65</v>
      </c>
      <c r="D103" s="49">
        <f>VLOOKUP($A103,'Data shares'!$C:$FB,66)</f>
        <v>259111125</v>
      </c>
      <c r="E103" s="49">
        <f>VLOOKUP($A103,'Data shares'!$C:$FB,67)</f>
        <v>197213250</v>
      </c>
      <c r="F103" s="50">
        <f>VLOOKUP($A103,'Data shares'!$C:$FB,69)*100</f>
        <v>31.39</v>
      </c>
      <c r="G103" s="49">
        <f>VLOOKUP($A103,'Data shares'!$C:$FB,42)</f>
        <v>58870500</v>
      </c>
      <c r="H103" s="49">
        <f>VLOOKUP($A103,'Data shares'!$C:$FB,43)</f>
        <v>30317625</v>
      </c>
      <c r="I103" s="50">
        <f>VLOOKUP($A103,'Data shares'!$C:$FB,45)*100</f>
        <v>94.179999999999993</v>
      </c>
      <c r="J103" s="49">
        <f>VLOOKUP($A103,'Data shares'!$C:$FB,58)</f>
        <v>101882625</v>
      </c>
      <c r="K103" s="49">
        <f>VLOOKUP($A103,'Data shares'!$C:$FB,59)</f>
        <v>58017375</v>
      </c>
      <c r="L103" s="50">
        <f>VLOOKUP($A103,'Data shares'!$C:$FB,61)*100</f>
        <v>75.61</v>
      </c>
      <c r="M103" s="49">
        <f>VLOOKUP($A103,'Data shares'!$C:$FB,62)</f>
        <v>98358000</v>
      </c>
      <c r="N103" s="49">
        <f>VLOOKUP($A103,'Data shares'!$C:$FB,63)</f>
        <v>108878250</v>
      </c>
      <c r="O103" s="140">
        <f>VLOOKUP($A103,'Data shares'!$C:$FB,65)*100</f>
        <v>-9.66</v>
      </c>
    </row>
    <row r="104" spans="1:15" x14ac:dyDescent="0.25">
      <c r="A104" s="101" t="str">
        <f>'Data Vlaue (Cr)'!C99</f>
        <v>IREDA</v>
      </c>
      <c r="B104" s="50">
        <f>VLOOKUP($A104,'Data shares'!$C:$FB,7)</f>
        <v>115.65</v>
      </c>
      <c r="C104" s="50">
        <f>VLOOKUP($A104,'Data shares'!$C:$FB,10)*100</f>
        <v>1.8800000000000001</v>
      </c>
      <c r="D104" s="49">
        <f>VLOOKUP($A104,'Data shares'!$C:$FB,66)</f>
        <v>31895250</v>
      </c>
      <c r="E104" s="49">
        <f>VLOOKUP($A104,'Data shares'!$C:$FB,67)</f>
        <v>39423150</v>
      </c>
      <c r="F104" s="50">
        <f>VLOOKUP($A104,'Data shares'!$C:$FB,69)*100</f>
        <v>-19.100000000000001</v>
      </c>
      <c r="G104" s="49">
        <f>VLOOKUP($A104,'Data shares'!$C:$FB,42)</f>
        <v>11319450</v>
      </c>
      <c r="H104" s="49">
        <f>VLOOKUP($A104,'Data shares'!$C:$FB,43)</f>
        <v>12858150</v>
      </c>
      <c r="I104" s="50">
        <f>VLOOKUP($A104,'Data shares'!$C:$FB,45)*100</f>
        <v>-11.97</v>
      </c>
      <c r="J104" s="49">
        <f>VLOOKUP($A104,'Data shares'!$C:$FB,58)</f>
        <v>15359400</v>
      </c>
      <c r="K104" s="49">
        <f>VLOOKUP($A104,'Data shares'!$C:$FB,59)</f>
        <v>18195300</v>
      </c>
      <c r="L104" s="50">
        <f>VLOOKUP($A104,'Data shares'!$C:$FB,61)*100</f>
        <v>-15.590000000000002</v>
      </c>
      <c r="M104" s="49">
        <f>VLOOKUP($A104,'Data shares'!$C:$FB,62)</f>
        <v>5216400</v>
      </c>
      <c r="N104" s="49">
        <f>VLOOKUP($A104,'Data shares'!$C:$FB,63)</f>
        <v>8369700</v>
      </c>
      <c r="O104" s="140">
        <f>VLOOKUP($A104,'Data shares'!$C:$FB,65)*100</f>
        <v>-37.68</v>
      </c>
    </row>
    <row r="105" spans="1:15" x14ac:dyDescent="0.25">
      <c r="A105" s="101" t="str">
        <f>'Data Vlaue (Cr)'!C100</f>
        <v>IRFC</v>
      </c>
      <c r="B105" s="50">
        <f>VLOOKUP($A105,'Data shares'!$C:$FB,7)</f>
        <v>98.85</v>
      </c>
      <c r="C105" s="50">
        <f>VLOOKUP($A105,'Data shares'!$C:$FB,10)*100</f>
        <v>1.1400000000000001</v>
      </c>
      <c r="D105" s="49">
        <f>VLOOKUP($A105,'Data shares'!$C:$FB,66)</f>
        <v>81340750</v>
      </c>
      <c r="E105" s="49">
        <f>VLOOKUP($A105,'Data shares'!$C:$FB,67)</f>
        <v>109735000</v>
      </c>
      <c r="F105" s="50">
        <f>VLOOKUP($A105,'Data shares'!$C:$FB,69)*100</f>
        <v>-25.88</v>
      </c>
      <c r="G105" s="49">
        <f>VLOOKUP($A105,'Data shares'!$C:$FB,42)</f>
        <v>15610250</v>
      </c>
      <c r="H105" s="49">
        <f>VLOOKUP($A105,'Data shares'!$C:$FB,43)</f>
        <v>22848000</v>
      </c>
      <c r="I105" s="50">
        <f>VLOOKUP($A105,'Data shares'!$C:$FB,45)*100</f>
        <v>-31.680000000000003</v>
      </c>
      <c r="J105" s="49">
        <f>VLOOKUP($A105,'Data shares'!$C:$FB,58)</f>
        <v>51110500</v>
      </c>
      <c r="K105" s="49">
        <f>VLOOKUP($A105,'Data shares'!$C:$FB,59)</f>
        <v>60197000</v>
      </c>
      <c r="L105" s="50">
        <f>VLOOKUP($A105,'Data shares'!$C:$FB,61)*100</f>
        <v>-15.09</v>
      </c>
      <c r="M105" s="49">
        <f>VLOOKUP($A105,'Data shares'!$C:$FB,62)</f>
        <v>14620000</v>
      </c>
      <c r="N105" s="49">
        <f>VLOOKUP($A105,'Data shares'!$C:$FB,63)</f>
        <v>26690000</v>
      </c>
      <c r="O105" s="140">
        <f>VLOOKUP($A105,'Data shares'!$C:$FB,65)*100</f>
        <v>-45.22</v>
      </c>
    </row>
    <row r="106" spans="1:15" x14ac:dyDescent="0.25">
      <c r="A106" s="101" t="str">
        <f>'Data Vlaue (Cr)'!C101</f>
        <v>ITC</v>
      </c>
      <c r="B106" s="50">
        <f>VLOOKUP($A106,'Data shares'!$C:$FB,7)</f>
        <v>311.5</v>
      </c>
      <c r="C106" s="50">
        <f>VLOOKUP($A106,'Data shares'!$C:$FB,10)*100</f>
        <v>-0.13999999999999999</v>
      </c>
      <c r="D106" s="49">
        <f>VLOOKUP($A106,'Data shares'!$C:$FB,66)</f>
        <v>142603200</v>
      </c>
      <c r="E106" s="49">
        <f>VLOOKUP($A106,'Data shares'!$C:$FB,67)</f>
        <v>145600000</v>
      </c>
      <c r="F106" s="50">
        <f>VLOOKUP($A106,'Data shares'!$C:$FB,69)*100</f>
        <v>-2.06</v>
      </c>
      <c r="G106" s="49">
        <f>VLOOKUP($A106,'Data shares'!$C:$FB,42)</f>
        <v>15182400</v>
      </c>
      <c r="H106" s="49">
        <f>VLOOKUP($A106,'Data shares'!$C:$FB,43)</f>
        <v>17659200</v>
      </c>
      <c r="I106" s="50">
        <f>VLOOKUP($A106,'Data shares'!$C:$FB,45)*100</f>
        <v>-14.030000000000001</v>
      </c>
      <c r="J106" s="49">
        <f>VLOOKUP($A106,'Data shares'!$C:$FB,58)</f>
        <v>98966400</v>
      </c>
      <c r="K106" s="49">
        <f>VLOOKUP($A106,'Data shares'!$C:$FB,59)</f>
        <v>89710400</v>
      </c>
      <c r="L106" s="50">
        <f>VLOOKUP($A106,'Data shares'!$C:$FB,61)*100</f>
        <v>10.32</v>
      </c>
      <c r="M106" s="49">
        <f>VLOOKUP($A106,'Data shares'!$C:$FB,62)</f>
        <v>28454400</v>
      </c>
      <c r="N106" s="49">
        <f>VLOOKUP($A106,'Data shares'!$C:$FB,63)</f>
        <v>38230400</v>
      </c>
      <c r="O106" s="140">
        <f>VLOOKUP($A106,'Data shares'!$C:$FB,65)*100</f>
        <v>-25.569999999999997</v>
      </c>
    </row>
    <row r="107" spans="1:15" x14ac:dyDescent="0.25">
      <c r="A107" s="101" t="str">
        <f>'Data Vlaue (Cr)'!C102</f>
        <v>JINDALSTEL</v>
      </c>
      <c r="B107" s="50">
        <f>VLOOKUP($A107,'Data shares'!$C:$FB,7)</f>
        <v>1184</v>
      </c>
      <c r="C107" s="50">
        <f>VLOOKUP($A107,'Data shares'!$C:$FB,10)*100</f>
        <v>1.34</v>
      </c>
      <c r="D107" s="49">
        <f>VLOOKUP($A107,'Data shares'!$C:$FB,66)</f>
        <v>9742500</v>
      </c>
      <c r="E107" s="49">
        <f>VLOOKUP($A107,'Data shares'!$C:$FB,67)</f>
        <v>18748750</v>
      </c>
      <c r="F107" s="50">
        <f>VLOOKUP($A107,'Data shares'!$C:$FB,69)*100</f>
        <v>-48.04</v>
      </c>
      <c r="G107" s="49">
        <f>VLOOKUP($A107,'Data shares'!$C:$FB,42)</f>
        <v>2754375</v>
      </c>
      <c r="H107" s="49">
        <f>VLOOKUP($A107,'Data shares'!$C:$FB,43)</f>
        <v>4547500</v>
      </c>
      <c r="I107" s="50">
        <f>VLOOKUP($A107,'Data shares'!$C:$FB,45)*100</f>
        <v>-39.43</v>
      </c>
      <c r="J107" s="49">
        <f>VLOOKUP($A107,'Data shares'!$C:$FB,58)</f>
        <v>5013125</v>
      </c>
      <c r="K107" s="49">
        <f>VLOOKUP($A107,'Data shares'!$C:$FB,59)</f>
        <v>6373750</v>
      </c>
      <c r="L107" s="50">
        <f>VLOOKUP($A107,'Data shares'!$C:$FB,61)*100</f>
        <v>-21.349999999999998</v>
      </c>
      <c r="M107" s="49">
        <f>VLOOKUP($A107,'Data shares'!$C:$FB,62)</f>
        <v>1975000</v>
      </c>
      <c r="N107" s="49">
        <f>VLOOKUP($A107,'Data shares'!$C:$FB,63)</f>
        <v>7827500</v>
      </c>
      <c r="O107" s="140">
        <f>VLOOKUP($A107,'Data shares'!$C:$FB,65)*100</f>
        <v>-74.77000000000001</v>
      </c>
    </row>
    <row r="108" spans="1:15" x14ac:dyDescent="0.25">
      <c r="A108" s="101" t="str">
        <f>'Data Vlaue (Cr)'!C103</f>
        <v>JIOFIN</v>
      </c>
      <c r="B108" s="50">
        <f>VLOOKUP($A108,'Data shares'!$C:$FB,7)</f>
        <v>243.1</v>
      </c>
      <c r="C108" s="50">
        <f>VLOOKUP($A108,'Data shares'!$C:$FB,10)*100</f>
        <v>0.75</v>
      </c>
      <c r="D108" s="49">
        <f>VLOOKUP($A108,'Data shares'!$C:$FB,66)</f>
        <v>88350600</v>
      </c>
      <c r="E108" s="49">
        <f>VLOOKUP($A108,'Data shares'!$C:$FB,67)</f>
        <v>86921800</v>
      </c>
      <c r="F108" s="50">
        <f>VLOOKUP($A108,'Data shares'!$C:$FB,69)*100</f>
        <v>1.6400000000000001</v>
      </c>
      <c r="G108" s="49">
        <f>VLOOKUP($A108,'Data shares'!$C:$FB,42)</f>
        <v>21504850</v>
      </c>
      <c r="H108" s="49">
        <f>VLOOKUP($A108,'Data shares'!$C:$FB,43)</f>
        <v>18720100</v>
      </c>
      <c r="I108" s="50">
        <f>VLOOKUP($A108,'Data shares'!$C:$FB,45)*100</f>
        <v>14.879999999999999</v>
      </c>
      <c r="J108" s="49">
        <f>VLOOKUP($A108,'Data shares'!$C:$FB,58)</f>
        <v>45310350</v>
      </c>
      <c r="K108" s="49">
        <f>VLOOKUP($A108,'Data shares'!$C:$FB,59)</f>
        <v>41536250</v>
      </c>
      <c r="L108" s="50">
        <f>VLOOKUP($A108,'Data shares'!$C:$FB,61)*100</f>
        <v>9.09</v>
      </c>
      <c r="M108" s="49">
        <f>VLOOKUP($A108,'Data shares'!$C:$FB,62)</f>
        <v>21535400</v>
      </c>
      <c r="N108" s="49">
        <f>VLOOKUP($A108,'Data shares'!$C:$FB,63)</f>
        <v>26665450</v>
      </c>
      <c r="O108" s="140">
        <f>VLOOKUP($A108,'Data shares'!$C:$FB,65)*100</f>
        <v>-19.239999999999998</v>
      </c>
    </row>
    <row r="109" spans="1:15" x14ac:dyDescent="0.25">
      <c r="A109" s="101" t="str">
        <f>'Data Vlaue (Cr)'!C104</f>
        <v>JSWENERGY</v>
      </c>
      <c r="B109" s="50">
        <f>VLOOKUP($A109,'Data shares'!$C:$FB,7)</f>
        <v>479.5</v>
      </c>
      <c r="C109" s="50">
        <f>VLOOKUP($A109,'Data shares'!$C:$FB,10)*100</f>
        <v>2.4500000000000002</v>
      </c>
      <c r="D109" s="49">
        <f>VLOOKUP($A109,'Data shares'!$C:$FB,66)</f>
        <v>6893000</v>
      </c>
      <c r="E109" s="49">
        <f>VLOOKUP($A109,'Data shares'!$C:$FB,67)</f>
        <v>9177000</v>
      </c>
      <c r="F109" s="50">
        <f>VLOOKUP($A109,'Data shares'!$C:$FB,69)*100</f>
        <v>-24.89</v>
      </c>
      <c r="G109" s="49">
        <f>VLOOKUP($A109,'Data shares'!$C:$FB,42)</f>
        <v>2759000</v>
      </c>
      <c r="H109" s="49">
        <f>VLOOKUP($A109,'Data shares'!$C:$FB,43)</f>
        <v>2373000</v>
      </c>
      <c r="I109" s="50">
        <f>VLOOKUP($A109,'Data shares'!$C:$FB,45)*100</f>
        <v>16.27</v>
      </c>
      <c r="J109" s="49">
        <f>VLOOKUP($A109,'Data shares'!$C:$FB,58)</f>
        <v>3109000</v>
      </c>
      <c r="K109" s="49">
        <f>VLOOKUP($A109,'Data shares'!$C:$FB,59)</f>
        <v>4262000</v>
      </c>
      <c r="L109" s="50">
        <f>VLOOKUP($A109,'Data shares'!$C:$FB,61)*100</f>
        <v>-27.05</v>
      </c>
      <c r="M109" s="49">
        <f>VLOOKUP($A109,'Data shares'!$C:$FB,62)</f>
        <v>1025000</v>
      </c>
      <c r="N109" s="49">
        <f>VLOOKUP($A109,'Data shares'!$C:$FB,63)</f>
        <v>2542000</v>
      </c>
      <c r="O109" s="140">
        <f>VLOOKUP($A109,'Data shares'!$C:$FB,65)*100</f>
        <v>-59.68</v>
      </c>
    </row>
    <row r="110" spans="1:15" x14ac:dyDescent="0.25">
      <c r="A110" s="101" t="str">
        <f>'Data Vlaue (Cr)'!C105</f>
        <v>JSWSTEEL</v>
      </c>
      <c r="B110" s="50">
        <f>VLOOKUP($A110,'Data shares'!$C:$FB,7)</f>
        <v>1248.0999999999999</v>
      </c>
      <c r="C110" s="50">
        <f>VLOOKUP($A110,'Data shares'!$C:$FB,10)*100</f>
        <v>2.8899999999999997</v>
      </c>
      <c r="D110" s="49">
        <f>VLOOKUP($A110,'Data shares'!$C:$FB,66)</f>
        <v>20989125</v>
      </c>
      <c r="E110" s="49">
        <f>VLOOKUP($A110,'Data shares'!$C:$FB,67)</f>
        <v>24642900</v>
      </c>
      <c r="F110" s="50">
        <f>VLOOKUP($A110,'Data shares'!$C:$FB,69)*100</f>
        <v>-14.829999999999998</v>
      </c>
      <c r="G110" s="49">
        <f>VLOOKUP($A110,'Data shares'!$C:$FB,42)</f>
        <v>6851250</v>
      </c>
      <c r="H110" s="49">
        <f>VLOOKUP($A110,'Data shares'!$C:$FB,43)</f>
        <v>6042600</v>
      </c>
      <c r="I110" s="50">
        <f>VLOOKUP($A110,'Data shares'!$C:$FB,45)*100</f>
        <v>13.38</v>
      </c>
      <c r="J110" s="49">
        <f>VLOOKUP($A110,'Data shares'!$C:$FB,58)</f>
        <v>9131400</v>
      </c>
      <c r="K110" s="49">
        <f>VLOOKUP($A110,'Data shares'!$C:$FB,59)</f>
        <v>9082125</v>
      </c>
      <c r="L110" s="50">
        <f>VLOOKUP($A110,'Data shares'!$C:$FB,61)*100</f>
        <v>0.54</v>
      </c>
      <c r="M110" s="49">
        <f>VLOOKUP($A110,'Data shares'!$C:$FB,62)</f>
        <v>5006475</v>
      </c>
      <c r="N110" s="49">
        <f>VLOOKUP($A110,'Data shares'!$C:$FB,63)</f>
        <v>9518175</v>
      </c>
      <c r="O110" s="140">
        <f>VLOOKUP($A110,'Data shares'!$C:$FB,65)*100</f>
        <v>-47.4</v>
      </c>
    </row>
    <row r="111" spans="1:15" x14ac:dyDescent="0.25">
      <c r="A111" s="101" t="str">
        <f>'Data Vlaue (Cr)'!C106</f>
        <v>JUBLFOOD</v>
      </c>
      <c r="B111" s="50">
        <f>VLOOKUP($A111,'Data shares'!$C:$FB,7)</f>
        <v>500.5</v>
      </c>
      <c r="C111" s="50">
        <f>VLOOKUP($A111,'Data shares'!$C:$FB,10)*100</f>
        <v>0.2</v>
      </c>
      <c r="D111" s="49">
        <f>VLOOKUP($A111,'Data shares'!$C:$FB,66)</f>
        <v>9496250</v>
      </c>
      <c r="E111" s="49">
        <f>VLOOKUP($A111,'Data shares'!$C:$FB,67)</f>
        <v>15498750</v>
      </c>
      <c r="F111" s="50">
        <f>VLOOKUP($A111,'Data shares'!$C:$FB,69)*100</f>
        <v>-38.729999999999997</v>
      </c>
      <c r="G111" s="49">
        <f>VLOOKUP($A111,'Data shares'!$C:$FB,42)</f>
        <v>3472500</v>
      </c>
      <c r="H111" s="49">
        <f>VLOOKUP($A111,'Data shares'!$C:$FB,43)</f>
        <v>6102500</v>
      </c>
      <c r="I111" s="50">
        <f>VLOOKUP($A111,'Data shares'!$C:$FB,45)*100</f>
        <v>-43.1</v>
      </c>
      <c r="J111" s="49">
        <f>VLOOKUP($A111,'Data shares'!$C:$FB,58)</f>
        <v>4708750</v>
      </c>
      <c r="K111" s="49">
        <f>VLOOKUP($A111,'Data shares'!$C:$FB,59)</f>
        <v>6578750</v>
      </c>
      <c r="L111" s="50">
        <f>VLOOKUP($A111,'Data shares'!$C:$FB,61)*100</f>
        <v>-28.42</v>
      </c>
      <c r="M111" s="49">
        <f>VLOOKUP($A111,'Data shares'!$C:$FB,62)</f>
        <v>1315000</v>
      </c>
      <c r="N111" s="49">
        <f>VLOOKUP($A111,'Data shares'!$C:$FB,63)</f>
        <v>2817500</v>
      </c>
      <c r="O111" s="140">
        <f>VLOOKUP($A111,'Data shares'!$C:$FB,65)*100</f>
        <v>-53.33</v>
      </c>
    </row>
    <row r="112" spans="1:15" x14ac:dyDescent="0.25">
      <c r="A112" s="101" t="str">
        <f>'Data Vlaue (Cr)'!C107</f>
        <v>KALYANKJIL</v>
      </c>
      <c r="B112" s="50">
        <f>VLOOKUP($A112,'Data shares'!$C:$FB,7)</f>
        <v>399.8</v>
      </c>
      <c r="C112" s="50">
        <f>VLOOKUP($A112,'Data shares'!$C:$FB,10)*100</f>
        <v>1.52</v>
      </c>
      <c r="D112" s="49">
        <f>VLOOKUP($A112,'Data shares'!$C:$FB,66)</f>
        <v>14229250</v>
      </c>
      <c r="E112" s="49">
        <f>VLOOKUP($A112,'Data shares'!$C:$FB,67)</f>
        <v>19203025</v>
      </c>
      <c r="F112" s="50">
        <f>VLOOKUP($A112,'Data shares'!$C:$FB,69)*100</f>
        <v>-25.900000000000002</v>
      </c>
      <c r="G112" s="49">
        <f>VLOOKUP($A112,'Data shares'!$C:$FB,42)</f>
        <v>3837550</v>
      </c>
      <c r="H112" s="49">
        <f>VLOOKUP($A112,'Data shares'!$C:$FB,43)</f>
        <v>3371075</v>
      </c>
      <c r="I112" s="50">
        <f>VLOOKUP($A112,'Data shares'!$C:$FB,45)*100</f>
        <v>13.84</v>
      </c>
      <c r="J112" s="49">
        <f>VLOOKUP($A112,'Data shares'!$C:$FB,58)</f>
        <v>7018275</v>
      </c>
      <c r="K112" s="49">
        <f>VLOOKUP($A112,'Data shares'!$C:$FB,59)</f>
        <v>7813750</v>
      </c>
      <c r="L112" s="50">
        <f>VLOOKUP($A112,'Data shares'!$C:$FB,61)*100</f>
        <v>-10.18</v>
      </c>
      <c r="M112" s="49">
        <f>VLOOKUP($A112,'Data shares'!$C:$FB,62)</f>
        <v>3373425</v>
      </c>
      <c r="N112" s="49">
        <f>VLOOKUP($A112,'Data shares'!$C:$FB,63)</f>
        <v>8018200</v>
      </c>
      <c r="O112" s="140">
        <f>VLOOKUP($A112,'Data shares'!$C:$FB,65)*100</f>
        <v>-57.930000000000007</v>
      </c>
    </row>
    <row r="113" spans="1:15" x14ac:dyDescent="0.25">
      <c r="A113" s="101" t="str">
        <f>'Data Vlaue (Cr)'!C108</f>
        <v>KAYNES</v>
      </c>
      <c r="B113" s="50">
        <f>VLOOKUP($A113,'Data shares'!$C:$FB,7)</f>
        <v>3814.5</v>
      </c>
      <c r="C113" s="50">
        <f>VLOOKUP($A113,'Data shares'!$C:$FB,10)*100</f>
        <v>3.08</v>
      </c>
      <c r="D113" s="49">
        <f>VLOOKUP($A113,'Data shares'!$C:$FB,66)</f>
        <v>5588100</v>
      </c>
      <c r="E113" s="49">
        <f>VLOOKUP($A113,'Data shares'!$C:$FB,67)</f>
        <v>3795800</v>
      </c>
      <c r="F113" s="50">
        <f>VLOOKUP($A113,'Data shares'!$C:$FB,69)*100</f>
        <v>47.22</v>
      </c>
      <c r="G113" s="49">
        <f>VLOOKUP($A113,'Data shares'!$C:$FB,42)</f>
        <v>1346800</v>
      </c>
      <c r="H113" s="49">
        <f>VLOOKUP($A113,'Data shares'!$C:$FB,43)</f>
        <v>833900</v>
      </c>
      <c r="I113" s="50">
        <f>VLOOKUP($A113,'Data shares'!$C:$FB,45)*100</f>
        <v>61.51</v>
      </c>
      <c r="J113" s="49">
        <f>VLOOKUP($A113,'Data shares'!$C:$FB,58)</f>
        <v>2669700</v>
      </c>
      <c r="K113" s="49">
        <f>VLOOKUP($A113,'Data shares'!$C:$FB,59)</f>
        <v>1882400</v>
      </c>
      <c r="L113" s="50">
        <f>VLOOKUP($A113,'Data shares'!$C:$FB,61)*100</f>
        <v>41.82</v>
      </c>
      <c r="M113" s="49">
        <f>VLOOKUP($A113,'Data shares'!$C:$FB,62)</f>
        <v>1571600</v>
      </c>
      <c r="N113" s="49">
        <f>VLOOKUP($A113,'Data shares'!$C:$FB,63)</f>
        <v>1079500</v>
      </c>
      <c r="O113" s="140">
        <f>VLOOKUP($A113,'Data shares'!$C:$FB,65)*100</f>
        <v>45.59</v>
      </c>
    </row>
    <row r="114" spans="1:15" x14ac:dyDescent="0.25">
      <c r="A114" s="101" t="str">
        <f>'Data Vlaue (Cr)'!C109</f>
        <v>KEI</v>
      </c>
      <c r="B114" s="50">
        <f>VLOOKUP($A114,'Data shares'!$C:$FB,7)</f>
        <v>4920.5</v>
      </c>
      <c r="C114" s="50">
        <f>VLOOKUP($A114,'Data shares'!$C:$FB,10)*100</f>
        <v>-1.17</v>
      </c>
      <c r="D114" s="49">
        <f>VLOOKUP($A114,'Data shares'!$C:$FB,66)</f>
        <v>2264325</v>
      </c>
      <c r="E114" s="49">
        <f>VLOOKUP($A114,'Data shares'!$C:$FB,67)</f>
        <v>3007550</v>
      </c>
      <c r="F114" s="50">
        <f>VLOOKUP($A114,'Data shares'!$C:$FB,69)*100</f>
        <v>-24.709999999999997</v>
      </c>
      <c r="G114" s="49">
        <f>VLOOKUP($A114,'Data shares'!$C:$FB,42)</f>
        <v>807800</v>
      </c>
      <c r="H114" s="49">
        <f>VLOOKUP($A114,'Data shares'!$C:$FB,43)</f>
        <v>852950</v>
      </c>
      <c r="I114" s="50">
        <f>VLOOKUP($A114,'Data shares'!$C:$FB,45)*100</f>
        <v>-5.29</v>
      </c>
      <c r="J114" s="49">
        <f>VLOOKUP($A114,'Data shares'!$C:$FB,58)</f>
        <v>786275</v>
      </c>
      <c r="K114" s="49">
        <f>VLOOKUP($A114,'Data shares'!$C:$FB,59)</f>
        <v>1197000</v>
      </c>
      <c r="L114" s="50">
        <f>VLOOKUP($A114,'Data shares'!$C:$FB,61)*100</f>
        <v>-34.31</v>
      </c>
      <c r="M114" s="49">
        <f>VLOOKUP($A114,'Data shares'!$C:$FB,62)</f>
        <v>670250</v>
      </c>
      <c r="N114" s="49">
        <f>VLOOKUP($A114,'Data shares'!$C:$FB,63)</f>
        <v>957600</v>
      </c>
      <c r="O114" s="140">
        <f>VLOOKUP($A114,'Data shares'!$C:$FB,65)*100</f>
        <v>-30.009999999999998</v>
      </c>
    </row>
    <row r="115" spans="1:15" x14ac:dyDescent="0.25">
      <c r="A115" s="101" t="str">
        <f>'Data Vlaue (Cr)'!C110</f>
        <v>KFINTECH</v>
      </c>
      <c r="B115" s="50">
        <f>VLOOKUP($A115,'Data shares'!$C:$FB,7)</f>
        <v>927.9</v>
      </c>
      <c r="C115" s="50">
        <f>VLOOKUP($A115,'Data shares'!$C:$FB,10)*100</f>
        <v>2.0500000000000003</v>
      </c>
      <c r="D115" s="49">
        <f>VLOOKUP($A115,'Data shares'!$C:$FB,66)</f>
        <v>3005500</v>
      </c>
      <c r="E115" s="49">
        <f>VLOOKUP($A115,'Data shares'!$C:$FB,67)</f>
        <v>1891000</v>
      </c>
      <c r="F115" s="50">
        <f>VLOOKUP($A115,'Data shares'!$C:$FB,69)*100</f>
        <v>58.940000000000005</v>
      </c>
      <c r="G115" s="49">
        <f>VLOOKUP($A115,'Data shares'!$C:$FB,42)</f>
        <v>852500</v>
      </c>
      <c r="H115" s="49">
        <f>VLOOKUP($A115,'Data shares'!$C:$FB,43)</f>
        <v>754500</v>
      </c>
      <c r="I115" s="50">
        <f>VLOOKUP($A115,'Data shares'!$C:$FB,45)*100</f>
        <v>12.989999999999998</v>
      </c>
      <c r="J115" s="49">
        <f>VLOOKUP($A115,'Data shares'!$C:$FB,58)</f>
        <v>1426000</v>
      </c>
      <c r="K115" s="49">
        <f>VLOOKUP($A115,'Data shares'!$C:$FB,59)</f>
        <v>695000</v>
      </c>
      <c r="L115" s="50">
        <f>VLOOKUP($A115,'Data shares'!$C:$FB,61)*100</f>
        <v>105.18</v>
      </c>
      <c r="M115" s="49">
        <f>VLOOKUP($A115,'Data shares'!$C:$FB,62)</f>
        <v>727000</v>
      </c>
      <c r="N115" s="49">
        <f>VLOOKUP($A115,'Data shares'!$C:$FB,63)</f>
        <v>441500</v>
      </c>
      <c r="O115" s="140">
        <f>VLOOKUP($A115,'Data shares'!$C:$FB,65)*100</f>
        <v>64.67</v>
      </c>
    </row>
    <row r="116" spans="1:15" x14ac:dyDescent="0.25">
      <c r="A116" s="101" t="str">
        <f>'Data Vlaue (Cr)'!C111</f>
        <v>KOTAKBANK</v>
      </c>
      <c r="B116" s="50">
        <f>VLOOKUP($A116,'Data shares'!$C:$FB,7)</f>
        <v>407.3</v>
      </c>
      <c r="C116" s="50">
        <f>VLOOKUP($A116,'Data shares'!$C:$FB,10)*100</f>
        <v>0.98</v>
      </c>
      <c r="D116" s="49">
        <f>VLOOKUP($A116,'Data shares'!$C:$FB,66)</f>
        <v>59288000</v>
      </c>
      <c r="E116" s="49">
        <f>VLOOKUP($A116,'Data shares'!$C:$FB,67)</f>
        <v>80052000</v>
      </c>
      <c r="F116" s="50">
        <f>VLOOKUP($A116,'Data shares'!$C:$FB,69)*100</f>
        <v>-25.94</v>
      </c>
      <c r="G116" s="49">
        <f>VLOOKUP($A116,'Data shares'!$C:$FB,42)</f>
        <v>22628000</v>
      </c>
      <c r="H116" s="49">
        <f>VLOOKUP($A116,'Data shares'!$C:$FB,43)</f>
        <v>27652000</v>
      </c>
      <c r="I116" s="50">
        <f>VLOOKUP($A116,'Data shares'!$C:$FB,45)*100</f>
        <v>-18.170000000000002</v>
      </c>
      <c r="J116" s="49">
        <f>VLOOKUP($A116,'Data shares'!$C:$FB,58)</f>
        <v>22302000</v>
      </c>
      <c r="K116" s="49">
        <f>VLOOKUP($A116,'Data shares'!$C:$FB,59)</f>
        <v>32494000</v>
      </c>
      <c r="L116" s="50">
        <f>VLOOKUP($A116,'Data shares'!$C:$FB,61)*100</f>
        <v>-31.369999999999997</v>
      </c>
      <c r="M116" s="49">
        <f>VLOOKUP($A116,'Data shares'!$C:$FB,62)</f>
        <v>14358000</v>
      </c>
      <c r="N116" s="49">
        <f>VLOOKUP($A116,'Data shares'!$C:$FB,63)</f>
        <v>19906000</v>
      </c>
      <c r="O116" s="140">
        <f>VLOOKUP($A116,'Data shares'!$C:$FB,65)*100</f>
        <v>-27.87</v>
      </c>
    </row>
    <row r="117" spans="1:15" x14ac:dyDescent="0.25">
      <c r="A117" s="101" t="str">
        <f>'Data Vlaue (Cr)'!C112</f>
        <v>KPITTECH</v>
      </c>
      <c r="B117" s="50">
        <f>VLOOKUP($A117,'Data shares'!$C:$FB,7)</f>
        <v>717.5</v>
      </c>
      <c r="C117" s="50">
        <f>VLOOKUP($A117,'Data shares'!$C:$FB,10)*100</f>
        <v>-2.5299999999999998</v>
      </c>
      <c r="D117" s="49">
        <f>VLOOKUP($A117,'Data shares'!$C:$FB,66)</f>
        <v>7007400</v>
      </c>
      <c r="E117" s="49">
        <f>VLOOKUP($A117,'Data shares'!$C:$FB,67)</f>
        <v>6357575</v>
      </c>
      <c r="F117" s="50">
        <f>VLOOKUP($A117,'Data shares'!$C:$FB,69)*100</f>
        <v>10.220000000000001</v>
      </c>
      <c r="G117" s="49">
        <f>VLOOKUP($A117,'Data shares'!$C:$FB,42)</f>
        <v>1775225</v>
      </c>
      <c r="H117" s="49">
        <f>VLOOKUP($A117,'Data shares'!$C:$FB,43)</f>
        <v>1362975</v>
      </c>
      <c r="I117" s="50">
        <f>VLOOKUP($A117,'Data shares'!$C:$FB,45)*100</f>
        <v>30.25</v>
      </c>
      <c r="J117" s="49">
        <f>VLOOKUP($A117,'Data shares'!$C:$FB,58)</f>
        <v>3748075</v>
      </c>
      <c r="K117" s="49">
        <f>VLOOKUP($A117,'Data shares'!$C:$FB,59)</f>
        <v>3166250</v>
      </c>
      <c r="L117" s="50">
        <f>VLOOKUP($A117,'Data shares'!$C:$FB,61)*100</f>
        <v>18.38</v>
      </c>
      <c r="M117" s="49">
        <f>VLOOKUP($A117,'Data shares'!$C:$FB,62)</f>
        <v>1484100</v>
      </c>
      <c r="N117" s="49">
        <f>VLOOKUP($A117,'Data shares'!$C:$FB,63)</f>
        <v>1828350</v>
      </c>
      <c r="O117" s="140">
        <f>VLOOKUP($A117,'Data shares'!$C:$FB,65)*100</f>
        <v>-18.829999999999998</v>
      </c>
    </row>
    <row r="118" spans="1:15" x14ac:dyDescent="0.25">
      <c r="A118" s="101" t="str">
        <f>'Data Vlaue (Cr)'!C113</f>
        <v>LAURUSLABS</v>
      </c>
      <c r="B118" s="50">
        <f>VLOOKUP($A118,'Data shares'!$C:$FB,7)</f>
        <v>1045.9000000000001</v>
      </c>
      <c r="C118" s="50">
        <f>VLOOKUP($A118,'Data shares'!$C:$FB,10)*100</f>
        <v>1.48</v>
      </c>
      <c r="D118" s="49">
        <f>VLOOKUP($A118,'Data shares'!$C:$FB,66)</f>
        <v>12220450</v>
      </c>
      <c r="E118" s="49">
        <f>VLOOKUP($A118,'Data shares'!$C:$FB,67)</f>
        <v>13931500</v>
      </c>
      <c r="F118" s="50">
        <f>VLOOKUP($A118,'Data shares'!$C:$FB,69)*100</f>
        <v>-12.280000000000001</v>
      </c>
      <c r="G118" s="49">
        <f>VLOOKUP($A118,'Data shares'!$C:$FB,42)</f>
        <v>3150950</v>
      </c>
      <c r="H118" s="49">
        <f>VLOOKUP($A118,'Data shares'!$C:$FB,43)</f>
        <v>3484150</v>
      </c>
      <c r="I118" s="50">
        <f>VLOOKUP($A118,'Data shares'!$C:$FB,45)*100</f>
        <v>-9.56</v>
      </c>
      <c r="J118" s="49">
        <f>VLOOKUP($A118,'Data shares'!$C:$FB,58)</f>
        <v>7086450</v>
      </c>
      <c r="K118" s="49">
        <f>VLOOKUP($A118,'Data shares'!$C:$FB,59)</f>
        <v>6795750</v>
      </c>
      <c r="L118" s="50">
        <f>VLOOKUP($A118,'Data shares'!$C:$FB,61)*100</f>
        <v>4.2799999999999994</v>
      </c>
      <c r="M118" s="49">
        <f>VLOOKUP($A118,'Data shares'!$C:$FB,62)</f>
        <v>1983050</v>
      </c>
      <c r="N118" s="49">
        <f>VLOOKUP($A118,'Data shares'!$C:$FB,63)</f>
        <v>3651600</v>
      </c>
      <c r="O118" s="140">
        <f>VLOOKUP($A118,'Data shares'!$C:$FB,65)*100</f>
        <v>-45.69</v>
      </c>
    </row>
    <row r="119" spans="1:15" x14ac:dyDescent="0.25">
      <c r="A119" s="101" t="str">
        <f>'Data Vlaue (Cr)'!C114</f>
        <v>LICHSGFIN</v>
      </c>
      <c r="B119" s="50">
        <f>VLOOKUP($A119,'Data shares'!$C:$FB,7)</f>
        <v>521.4</v>
      </c>
      <c r="C119" s="50">
        <f>VLOOKUP($A119,'Data shares'!$C:$FB,10)*100</f>
        <v>0.66</v>
      </c>
      <c r="D119" s="49">
        <f>VLOOKUP($A119,'Data shares'!$C:$FB,66)</f>
        <v>15513000</v>
      </c>
      <c r="E119" s="49">
        <f>VLOOKUP($A119,'Data shares'!$C:$FB,67)</f>
        <v>13099000</v>
      </c>
      <c r="F119" s="50">
        <f>VLOOKUP($A119,'Data shares'!$C:$FB,69)*100</f>
        <v>18.43</v>
      </c>
      <c r="G119" s="49">
        <f>VLOOKUP($A119,'Data shares'!$C:$FB,42)</f>
        <v>9988000</v>
      </c>
      <c r="H119" s="49">
        <f>VLOOKUP($A119,'Data shares'!$C:$FB,43)</f>
        <v>3300000</v>
      </c>
      <c r="I119" s="50">
        <f>VLOOKUP($A119,'Data shares'!$C:$FB,45)*100</f>
        <v>202.67</v>
      </c>
      <c r="J119" s="49">
        <f>VLOOKUP($A119,'Data shares'!$C:$FB,58)</f>
        <v>3392000</v>
      </c>
      <c r="K119" s="49">
        <f>VLOOKUP($A119,'Data shares'!$C:$FB,59)</f>
        <v>6081000</v>
      </c>
      <c r="L119" s="50">
        <f>VLOOKUP($A119,'Data shares'!$C:$FB,61)*100</f>
        <v>-44.22</v>
      </c>
      <c r="M119" s="49">
        <f>VLOOKUP($A119,'Data shares'!$C:$FB,62)</f>
        <v>2133000</v>
      </c>
      <c r="N119" s="49">
        <f>VLOOKUP($A119,'Data shares'!$C:$FB,63)</f>
        <v>3718000</v>
      </c>
      <c r="O119" s="140">
        <f>VLOOKUP($A119,'Data shares'!$C:$FB,65)*100</f>
        <v>-42.63</v>
      </c>
    </row>
    <row r="120" spans="1:15" x14ac:dyDescent="0.25">
      <c r="A120" s="101" t="str">
        <f>'Data Vlaue (Cr)'!C115</f>
        <v>LICI</v>
      </c>
      <c r="B120" s="50">
        <f>VLOOKUP($A120,'Data shares'!$C:$FB,7)</f>
        <v>832.95</v>
      </c>
      <c r="C120" s="50">
        <f>VLOOKUP($A120,'Data shares'!$C:$FB,10)*100</f>
        <v>0.59</v>
      </c>
      <c r="D120" s="49">
        <f>VLOOKUP($A120,'Data shares'!$C:$FB,66)</f>
        <v>4585700</v>
      </c>
      <c r="E120" s="49">
        <f>VLOOKUP($A120,'Data shares'!$C:$FB,67)</f>
        <v>6444200</v>
      </c>
      <c r="F120" s="50">
        <f>VLOOKUP($A120,'Data shares'!$C:$FB,69)*100</f>
        <v>-28.84</v>
      </c>
      <c r="G120" s="49">
        <f>VLOOKUP($A120,'Data shares'!$C:$FB,42)</f>
        <v>1571500</v>
      </c>
      <c r="H120" s="49">
        <f>VLOOKUP($A120,'Data shares'!$C:$FB,43)</f>
        <v>1799000</v>
      </c>
      <c r="I120" s="50">
        <f>VLOOKUP($A120,'Data shares'!$C:$FB,45)*100</f>
        <v>-12.65</v>
      </c>
      <c r="J120" s="49">
        <f>VLOOKUP($A120,'Data shares'!$C:$FB,58)</f>
        <v>2128700</v>
      </c>
      <c r="K120" s="49">
        <f>VLOOKUP($A120,'Data shares'!$C:$FB,59)</f>
        <v>2846200</v>
      </c>
      <c r="L120" s="50">
        <f>VLOOKUP($A120,'Data shares'!$C:$FB,61)*100</f>
        <v>-25.21</v>
      </c>
      <c r="M120" s="49">
        <f>VLOOKUP($A120,'Data shares'!$C:$FB,62)</f>
        <v>885500</v>
      </c>
      <c r="N120" s="49">
        <f>VLOOKUP($A120,'Data shares'!$C:$FB,63)</f>
        <v>1799000</v>
      </c>
      <c r="O120" s="140">
        <f>VLOOKUP($A120,'Data shares'!$C:$FB,65)*100</f>
        <v>-50.78</v>
      </c>
    </row>
    <row r="121" spans="1:15" x14ac:dyDescent="0.25">
      <c r="A121" s="101" t="str">
        <f>'Data Vlaue (Cr)'!C116</f>
        <v>LODHA</v>
      </c>
      <c r="B121" s="50">
        <f>VLOOKUP($A121,'Data shares'!$C:$FB,7)</f>
        <v>916.25</v>
      </c>
      <c r="C121" s="50">
        <f>VLOOKUP($A121,'Data shares'!$C:$FB,10)*100</f>
        <v>0.37</v>
      </c>
      <c r="D121" s="49">
        <f>VLOOKUP($A121,'Data shares'!$C:$FB,66)</f>
        <v>5358150</v>
      </c>
      <c r="E121" s="49">
        <f>VLOOKUP($A121,'Data shares'!$C:$FB,67)</f>
        <v>10690650</v>
      </c>
      <c r="F121" s="50">
        <f>VLOOKUP($A121,'Data shares'!$C:$FB,69)*100</f>
        <v>-49.88</v>
      </c>
      <c r="G121" s="49">
        <f>VLOOKUP($A121,'Data shares'!$C:$FB,42)</f>
        <v>1844550</v>
      </c>
      <c r="H121" s="49">
        <f>VLOOKUP($A121,'Data shares'!$C:$FB,43)</f>
        <v>3321450</v>
      </c>
      <c r="I121" s="50">
        <f>VLOOKUP($A121,'Data shares'!$C:$FB,45)*100</f>
        <v>-44.47</v>
      </c>
      <c r="J121" s="49">
        <f>VLOOKUP($A121,'Data shares'!$C:$FB,58)</f>
        <v>1599300</v>
      </c>
      <c r="K121" s="49">
        <f>VLOOKUP($A121,'Data shares'!$C:$FB,59)</f>
        <v>3025800</v>
      </c>
      <c r="L121" s="50">
        <f>VLOOKUP($A121,'Data shares'!$C:$FB,61)*100</f>
        <v>-47.14</v>
      </c>
      <c r="M121" s="49">
        <f>VLOOKUP($A121,'Data shares'!$C:$FB,62)</f>
        <v>1914300</v>
      </c>
      <c r="N121" s="49">
        <f>VLOOKUP($A121,'Data shares'!$C:$FB,63)</f>
        <v>4343400</v>
      </c>
      <c r="O121" s="140">
        <f>VLOOKUP($A121,'Data shares'!$C:$FB,65)*100</f>
        <v>-55.93</v>
      </c>
    </row>
    <row r="122" spans="1:15" x14ac:dyDescent="0.25">
      <c r="A122" s="101" t="str">
        <f>'Data Vlaue (Cr)'!C117</f>
        <v>LT</v>
      </c>
      <c r="B122" s="50">
        <f>VLOOKUP($A122,'Data shares'!$C:$FB,7)</f>
        <v>4038.7</v>
      </c>
      <c r="C122" s="50">
        <f>VLOOKUP($A122,'Data shares'!$C:$FB,10)*100</f>
        <v>4.0199999999999996</v>
      </c>
      <c r="D122" s="49">
        <f>VLOOKUP($A122,'Data shares'!$C:$FB,66)</f>
        <v>43164450</v>
      </c>
      <c r="E122" s="49">
        <f>VLOOKUP($A122,'Data shares'!$C:$FB,67)</f>
        <v>48757975</v>
      </c>
      <c r="F122" s="50">
        <f>VLOOKUP($A122,'Data shares'!$C:$FB,69)*100</f>
        <v>-11.469999999999999</v>
      </c>
      <c r="G122" s="49">
        <f>VLOOKUP($A122,'Data shares'!$C:$FB,42)</f>
        <v>6359500</v>
      </c>
      <c r="H122" s="49">
        <f>VLOOKUP($A122,'Data shares'!$C:$FB,43)</f>
        <v>5808075</v>
      </c>
      <c r="I122" s="50">
        <f>VLOOKUP($A122,'Data shares'!$C:$FB,45)*100</f>
        <v>9.49</v>
      </c>
      <c r="J122" s="49">
        <f>VLOOKUP($A122,'Data shares'!$C:$FB,58)</f>
        <v>22812650</v>
      </c>
      <c r="K122" s="49">
        <f>VLOOKUP($A122,'Data shares'!$C:$FB,59)</f>
        <v>25048100</v>
      </c>
      <c r="L122" s="50">
        <f>VLOOKUP($A122,'Data shares'!$C:$FB,61)*100</f>
        <v>-8.92</v>
      </c>
      <c r="M122" s="49">
        <f>VLOOKUP($A122,'Data shares'!$C:$FB,62)</f>
        <v>13992300</v>
      </c>
      <c r="N122" s="49">
        <f>VLOOKUP($A122,'Data shares'!$C:$FB,63)</f>
        <v>17901800</v>
      </c>
      <c r="O122" s="140">
        <f>VLOOKUP($A122,'Data shares'!$C:$FB,65)*100</f>
        <v>-21.84</v>
      </c>
    </row>
    <row r="123" spans="1:15" x14ac:dyDescent="0.25">
      <c r="A123" s="101" t="str">
        <f>'Data Vlaue (Cr)'!C118</f>
        <v>LTF</v>
      </c>
      <c r="B123" s="50">
        <f>VLOOKUP($A123,'Data shares'!$C:$FB,7)</f>
        <v>275.5</v>
      </c>
      <c r="C123" s="50">
        <f>VLOOKUP($A123,'Data shares'!$C:$FB,10)*100</f>
        <v>1.6400000000000001</v>
      </c>
      <c r="D123" s="49">
        <f>VLOOKUP($A123,'Data shares'!$C:$FB,66)</f>
        <v>51867000</v>
      </c>
      <c r="E123" s="49">
        <f>VLOOKUP($A123,'Data shares'!$C:$FB,67)</f>
        <v>68024250</v>
      </c>
      <c r="F123" s="50">
        <f>VLOOKUP($A123,'Data shares'!$C:$FB,69)*100</f>
        <v>-23.75</v>
      </c>
      <c r="G123" s="49">
        <f>VLOOKUP($A123,'Data shares'!$C:$FB,42)</f>
        <v>10919250</v>
      </c>
      <c r="H123" s="49">
        <f>VLOOKUP($A123,'Data shares'!$C:$FB,43)</f>
        <v>16400250</v>
      </c>
      <c r="I123" s="50">
        <f>VLOOKUP($A123,'Data shares'!$C:$FB,45)*100</f>
        <v>-33.42</v>
      </c>
      <c r="J123" s="49">
        <f>VLOOKUP($A123,'Data shares'!$C:$FB,58)</f>
        <v>31853250</v>
      </c>
      <c r="K123" s="49">
        <f>VLOOKUP($A123,'Data shares'!$C:$FB,59)</f>
        <v>35878500</v>
      </c>
      <c r="L123" s="50">
        <f>VLOOKUP($A123,'Data shares'!$C:$FB,61)*100</f>
        <v>-11.219999999999999</v>
      </c>
      <c r="M123" s="49">
        <f>VLOOKUP($A123,'Data shares'!$C:$FB,62)</f>
        <v>9094500</v>
      </c>
      <c r="N123" s="49">
        <f>VLOOKUP($A123,'Data shares'!$C:$FB,63)</f>
        <v>15745500</v>
      </c>
      <c r="O123" s="140">
        <f>VLOOKUP($A123,'Data shares'!$C:$FB,65)*100</f>
        <v>-42.24</v>
      </c>
    </row>
    <row r="124" spans="1:15" x14ac:dyDescent="0.25">
      <c r="A124" s="101" t="str">
        <f>'Data Vlaue (Cr)'!C119</f>
        <v>LTM</v>
      </c>
      <c r="B124" s="50">
        <f>VLOOKUP($A124,'Data shares'!$C:$FB,7)</f>
        <v>4306.3999999999996</v>
      </c>
      <c r="C124" s="50">
        <f>VLOOKUP($A124,'Data shares'!$C:$FB,10)*100</f>
        <v>-0.9900000000000001</v>
      </c>
      <c r="D124" s="49">
        <f>VLOOKUP($A124,'Data shares'!$C:$FB,66)</f>
        <v>2476200</v>
      </c>
      <c r="E124" s="49">
        <f>VLOOKUP($A124,'Data shares'!$C:$FB,67)</f>
        <v>1752900</v>
      </c>
      <c r="F124" s="50">
        <f>VLOOKUP($A124,'Data shares'!$C:$FB,69)*100</f>
        <v>41.260000000000005</v>
      </c>
      <c r="G124" s="49">
        <f>VLOOKUP($A124,'Data shares'!$C:$FB,42)</f>
        <v>400350</v>
      </c>
      <c r="H124" s="49">
        <f>VLOOKUP($A124,'Data shares'!$C:$FB,43)</f>
        <v>465150</v>
      </c>
      <c r="I124" s="50">
        <f>VLOOKUP($A124,'Data shares'!$C:$FB,45)*100</f>
        <v>-13.930000000000001</v>
      </c>
      <c r="J124" s="49">
        <f>VLOOKUP($A124,'Data shares'!$C:$FB,58)</f>
        <v>1096500</v>
      </c>
      <c r="K124" s="49">
        <f>VLOOKUP($A124,'Data shares'!$C:$FB,59)</f>
        <v>768000</v>
      </c>
      <c r="L124" s="50">
        <f>VLOOKUP($A124,'Data shares'!$C:$FB,61)*100</f>
        <v>42.77</v>
      </c>
      <c r="M124" s="49">
        <f>VLOOKUP($A124,'Data shares'!$C:$FB,62)</f>
        <v>979350</v>
      </c>
      <c r="N124" s="49">
        <f>VLOOKUP($A124,'Data shares'!$C:$FB,63)</f>
        <v>519750</v>
      </c>
      <c r="O124" s="140">
        <f>VLOOKUP($A124,'Data shares'!$C:$FB,65)*100</f>
        <v>88.429999999999993</v>
      </c>
    </row>
    <row r="125" spans="1:15" x14ac:dyDescent="0.25">
      <c r="A125" s="101" t="str">
        <f>'Data Vlaue (Cr)'!C120</f>
        <v>LUPIN</v>
      </c>
      <c r="B125" s="50">
        <f>VLOOKUP($A125,'Data shares'!$C:$FB,7)</f>
        <v>2332.9</v>
      </c>
      <c r="C125" s="50">
        <f>VLOOKUP($A125,'Data shares'!$C:$FB,10)*100</f>
        <v>1.21</v>
      </c>
      <c r="D125" s="49">
        <f>VLOOKUP($A125,'Data shares'!$C:$FB,66)</f>
        <v>12356875</v>
      </c>
      <c r="E125" s="49">
        <f>VLOOKUP($A125,'Data shares'!$C:$FB,67)</f>
        <v>6994650</v>
      </c>
      <c r="F125" s="50">
        <f>VLOOKUP($A125,'Data shares'!$C:$FB,69)*100</f>
        <v>76.66</v>
      </c>
      <c r="G125" s="49">
        <f>VLOOKUP($A125,'Data shares'!$C:$FB,42)</f>
        <v>1983475</v>
      </c>
      <c r="H125" s="49">
        <f>VLOOKUP($A125,'Data shares'!$C:$FB,43)</f>
        <v>1648575</v>
      </c>
      <c r="I125" s="50">
        <f>VLOOKUP($A125,'Data shares'!$C:$FB,45)*100</f>
        <v>20.309999999999999</v>
      </c>
      <c r="J125" s="49">
        <f>VLOOKUP($A125,'Data shares'!$C:$FB,58)</f>
        <v>7378425</v>
      </c>
      <c r="K125" s="49">
        <f>VLOOKUP($A125,'Data shares'!$C:$FB,59)</f>
        <v>2861100</v>
      </c>
      <c r="L125" s="50">
        <f>VLOOKUP($A125,'Data shares'!$C:$FB,61)*100</f>
        <v>157.88999999999999</v>
      </c>
      <c r="M125" s="49">
        <f>VLOOKUP($A125,'Data shares'!$C:$FB,62)</f>
        <v>2994975</v>
      </c>
      <c r="N125" s="49">
        <f>VLOOKUP($A125,'Data shares'!$C:$FB,63)</f>
        <v>2484975</v>
      </c>
      <c r="O125" s="140">
        <f>VLOOKUP($A125,'Data shares'!$C:$FB,65)*100</f>
        <v>20.52</v>
      </c>
    </row>
    <row r="126" spans="1:15" x14ac:dyDescent="0.25">
      <c r="A126" s="101" t="str">
        <f>'Data Vlaue (Cr)'!C121</f>
        <v>M&amp;M</v>
      </c>
      <c r="B126" s="50">
        <f>VLOOKUP($A126,'Data shares'!$C:$FB,7)</f>
        <v>3348</v>
      </c>
      <c r="C126" s="50">
        <f>VLOOKUP($A126,'Data shares'!$C:$FB,10)*100</f>
        <v>2.56</v>
      </c>
      <c r="D126" s="49">
        <f>VLOOKUP($A126,'Data shares'!$C:$FB,66)</f>
        <v>11918600</v>
      </c>
      <c r="E126" s="49">
        <f>VLOOKUP($A126,'Data shares'!$C:$FB,67)</f>
        <v>12647800</v>
      </c>
      <c r="F126" s="50">
        <f>VLOOKUP($A126,'Data shares'!$C:$FB,69)*100</f>
        <v>-5.7700000000000005</v>
      </c>
      <c r="G126" s="49">
        <f>VLOOKUP($A126,'Data shares'!$C:$FB,42)</f>
        <v>2324200</v>
      </c>
      <c r="H126" s="49">
        <f>VLOOKUP($A126,'Data shares'!$C:$FB,43)</f>
        <v>2490400</v>
      </c>
      <c r="I126" s="50">
        <f>VLOOKUP($A126,'Data shares'!$C:$FB,45)*100</f>
        <v>-6.67</v>
      </c>
      <c r="J126" s="49">
        <f>VLOOKUP($A126,'Data shares'!$C:$FB,58)</f>
        <v>5803000</v>
      </c>
      <c r="K126" s="49">
        <f>VLOOKUP($A126,'Data shares'!$C:$FB,59)</f>
        <v>5614400</v>
      </c>
      <c r="L126" s="50">
        <f>VLOOKUP($A126,'Data shares'!$C:$FB,61)*100</f>
        <v>3.36</v>
      </c>
      <c r="M126" s="49">
        <f>VLOOKUP($A126,'Data shares'!$C:$FB,62)</f>
        <v>3791400</v>
      </c>
      <c r="N126" s="49">
        <f>VLOOKUP($A126,'Data shares'!$C:$FB,63)</f>
        <v>4543000</v>
      </c>
      <c r="O126" s="140">
        <f>VLOOKUP($A126,'Data shares'!$C:$FB,65)*100</f>
        <v>-16.54</v>
      </c>
    </row>
    <row r="127" spans="1:15" x14ac:dyDescent="0.25">
      <c r="A127" s="101" t="str">
        <f>'Data Vlaue (Cr)'!C122</f>
        <v>MANAPPURAM</v>
      </c>
      <c r="B127" s="50">
        <f>VLOOKUP($A127,'Data shares'!$C:$FB,7)</f>
        <v>267.3</v>
      </c>
      <c r="C127" s="50">
        <f>VLOOKUP($A127,'Data shares'!$C:$FB,10)*100</f>
        <v>-0.72</v>
      </c>
      <c r="D127" s="49">
        <f>VLOOKUP($A127,'Data shares'!$C:$FB,66)</f>
        <v>22545000</v>
      </c>
      <c r="E127" s="49">
        <f>VLOOKUP($A127,'Data shares'!$C:$FB,67)</f>
        <v>42168000</v>
      </c>
      <c r="F127" s="50">
        <f>VLOOKUP($A127,'Data shares'!$C:$FB,69)*100</f>
        <v>-46.54</v>
      </c>
      <c r="G127" s="49">
        <f>VLOOKUP($A127,'Data shares'!$C:$FB,42)</f>
        <v>6429000</v>
      </c>
      <c r="H127" s="49">
        <f>VLOOKUP($A127,'Data shares'!$C:$FB,43)</f>
        <v>12261000</v>
      </c>
      <c r="I127" s="50">
        <f>VLOOKUP($A127,'Data shares'!$C:$FB,45)*100</f>
        <v>-47.57</v>
      </c>
      <c r="J127" s="49">
        <f>VLOOKUP($A127,'Data shares'!$C:$FB,58)</f>
        <v>11331000</v>
      </c>
      <c r="K127" s="49">
        <f>VLOOKUP($A127,'Data shares'!$C:$FB,59)</f>
        <v>17757000</v>
      </c>
      <c r="L127" s="50">
        <f>VLOOKUP($A127,'Data shares'!$C:$FB,61)*100</f>
        <v>-36.19</v>
      </c>
      <c r="M127" s="49">
        <f>VLOOKUP($A127,'Data shares'!$C:$FB,62)</f>
        <v>4785000</v>
      </c>
      <c r="N127" s="49">
        <f>VLOOKUP($A127,'Data shares'!$C:$FB,63)</f>
        <v>12150000</v>
      </c>
      <c r="O127" s="140">
        <f>VLOOKUP($A127,'Data shares'!$C:$FB,65)*100</f>
        <v>-60.62</v>
      </c>
    </row>
    <row r="128" spans="1:15" x14ac:dyDescent="0.25">
      <c r="A128" s="101" t="str">
        <f>'Data Vlaue (Cr)'!C123</f>
        <v>MANKIND</v>
      </c>
      <c r="B128" s="50">
        <f>VLOOKUP($A128,'Data shares'!$C:$FB,7)</f>
        <v>2226.4</v>
      </c>
      <c r="C128" s="50">
        <f>VLOOKUP($A128,'Data shares'!$C:$FB,10)*100</f>
        <v>0.86999999999999988</v>
      </c>
      <c r="D128" s="49">
        <f>VLOOKUP($A128,'Data shares'!$C:$FB,66)</f>
        <v>1443375</v>
      </c>
      <c r="E128" s="49">
        <f>VLOOKUP($A128,'Data shares'!$C:$FB,67)</f>
        <v>1173150</v>
      </c>
      <c r="F128" s="50">
        <f>VLOOKUP($A128,'Data shares'!$C:$FB,69)*100</f>
        <v>23.03</v>
      </c>
      <c r="G128" s="49">
        <f>VLOOKUP($A128,'Data shares'!$C:$FB,42)</f>
        <v>363825</v>
      </c>
      <c r="H128" s="49">
        <f>VLOOKUP($A128,'Data shares'!$C:$FB,43)</f>
        <v>382275</v>
      </c>
      <c r="I128" s="50">
        <f>VLOOKUP($A128,'Data shares'!$C:$FB,45)*100</f>
        <v>-4.83</v>
      </c>
      <c r="J128" s="49">
        <f>VLOOKUP($A128,'Data shares'!$C:$FB,58)</f>
        <v>922275</v>
      </c>
      <c r="K128" s="49">
        <f>VLOOKUP($A128,'Data shares'!$C:$FB,59)</f>
        <v>495675</v>
      </c>
      <c r="L128" s="50">
        <f>VLOOKUP($A128,'Data shares'!$C:$FB,61)*100</f>
        <v>86.06</v>
      </c>
      <c r="M128" s="49">
        <f>VLOOKUP($A128,'Data shares'!$C:$FB,62)</f>
        <v>157275</v>
      </c>
      <c r="N128" s="49">
        <f>VLOOKUP($A128,'Data shares'!$C:$FB,63)</f>
        <v>295200</v>
      </c>
      <c r="O128" s="140">
        <f>VLOOKUP($A128,'Data shares'!$C:$FB,65)*100</f>
        <v>-46.72</v>
      </c>
    </row>
    <row r="129" spans="1:15" x14ac:dyDescent="0.25">
      <c r="A129" s="101" t="str">
        <f>'Data Vlaue (Cr)'!C124</f>
        <v>MARICO</v>
      </c>
      <c r="B129" s="50">
        <f>VLOOKUP($A129,'Data shares'!$C:$FB,7)</f>
        <v>778.85</v>
      </c>
      <c r="C129" s="50">
        <f>VLOOKUP($A129,'Data shares'!$C:$FB,10)*100</f>
        <v>0.91</v>
      </c>
      <c r="D129" s="49">
        <f>VLOOKUP($A129,'Data shares'!$C:$FB,66)</f>
        <v>5085600</v>
      </c>
      <c r="E129" s="49">
        <f>VLOOKUP($A129,'Data shares'!$C:$FB,67)</f>
        <v>8467200</v>
      </c>
      <c r="F129" s="50">
        <f>VLOOKUP($A129,'Data shares'!$C:$FB,69)*100</f>
        <v>-39.94</v>
      </c>
      <c r="G129" s="49">
        <f>VLOOKUP($A129,'Data shares'!$C:$FB,42)</f>
        <v>1406400</v>
      </c>
      <c r="H129" s="49">
        <f>VLOOKUP($A129,'Data shares'!$C:$FB,43)</f>
        <v>2324400</v>
      </c>
      <c r="I129" s="50">
        <f>VLOOKUP($A129,'Data shares'!$C:$FB,45)*100</f>
        <v>-39.489999999999995</v>
      </c>
      <c r="J129" s="49">
        <f>VLOOKUP($A129,'Data shares'!$C:$FB,58)</f>
        <v>2610000</v>
      </c>
      <c r="K129" s="49">
        <f>VLOOKUP($A129,'Data shares'!$C:$FB,59)</f>
        <v>3351600</v>
      </c>
      <c r="L129" s="50">
        <f>VLOOKUP($A129,'Data shares'!$C:$FB,61)*100</f>
        <v>-22.13</v>
      </c>
      <c r="M129" s="49">
        <f>VLOOKUP($A129,'Data shares'!$C:$FB,62)</f>
        <v>1069200</v>
      </c>
      <c r="N129" s="49">
        <f>VLOOKUP($A129,'Data shares'!$C:$FB,63)</f>
        <v>2791200</v>
      </c>
      <c r="O129" s="140">
        <f>VLOOKUP($A129,'Data shares'!$C:$FB,65)*100</f>
        <v>-61.69</v>
      </c>
    </row>
    <row r="130" spans="1:15" x14ac:dyDescent="0.25">
      <c r="A130" s="101" t="str">
        <f>'Data Vlaue (Cr)'!C125</f>
        <v>MARUTI</v>
      </c>
      <c r="B130" s="50">
        <f>VLOOKUP($A130,'Data shares'!$C:$FB,7)</f>
        <v>14415</v>
      </c>
      <c r="C130" s="50">
        <f>VLOOKUP($A130,'Data shares'!$C:$FB,10)*100</f>
        <v>1.82</v>
      </c>
      <c r="D130" s="49">
        <f>VLOOKUP($A130,'Data shares'!$C:$FB,66)</f>
        <v>4086200</v>
      </c>
      <c r="E130" s="49">
        <f>VLOOKUP($A130,'Data shares'!$C:$FB,67)</f>
        <v>6913700</v>
      </c>
      <c r="F130" s="50">
        <f>VLOOKUP($A130,'Data shares'!$C:$FB,69)*100</f>
        <v>-40.9</v>
      </c>
      <c r="G130" s="49">
        <f>VLOOKUP($A130,'Data shares'!$C:$FB,42)</f>
        <v>427000</v>
      </c>
      <c r="H130" s="49">
        <f>VLOOKUP($A130,'Data shares'!$C:$FB,43)</f>
        <v>609550</v>
      </c>
      <c r="I130" s="50">
        <f>VLOOKUP($A130,'Data shares'!$C:$FB,45)*100</f>
        <v>-29.95</v>
      </c>
      <c r="J130" s="49">
        <f>VLOOKUP($A130,'Data shares'!$C:$FB,58)</f>
        <v>2278850</v>
      </c>
      <c r="K130" s="49">
        <f>VLOOKUP($A130,'Data shares'!$C:$FB,59)</f>
        <v>3503500</v>
      </c>
      <c r="L130" s="50">
        <f>VLOOKUP($A130,'Data shares'!$C:$FB,61)*100</f>
        <v>-34.96</v>
      </c>
      <c r="M130" s="49">
        <f>VLOOKUP($A130,'Data shares'!$C:$FB,62)</f>
        <v>1380350</v>
      </c>
      <c r="N130" s="49">
        <f>VLOOKUP($A130,'Data shares'!$C:$FB,63)</f>
        <v>2800650</v>
      </c>
      <c r="O130" s="140">
        <f>VLOOKUP($A130,'Data shares'!$C:$FB,65)*100</f>
        <v>-50.71</v>
      </c>
    </row>
    <row r="131" spans="1:15" x14ac:dyDescent="0.25">
      <c r="A131" s="101" t="str">
        <f>'Data Vlaue (Cr)'!C126</f>
        <v>MAXHEALTH</v>
      </c>
      <c r="B131" s="50">
        <f>VLOOKUP($A131,'Data shares'!$C:$FB,7)</f>
        <v>1058.2</v>
      </c>
      <c r="C131" s="50">
        <f>VLOOKUP($A131,'Data shares'!$C:$FB,10)*100</f>
        <v>0.43</v>
      </c>
      <c r="D131" s="49">
        <f>VLOOKUP($A131,'Data shares'!$C:$FB,66)</f>
        <v>9182250</v>
      </c>
      <c r="E131" s="49">
        <f>VLOOKUP($A131,'Data shares'!$C:$FB,67)</f>
        <v>6629175</v>
      </c>
      <c r="F131" s="50">
        <f>VLOOKUP($A131,'Data shares'!$C:$FB,69)*100</f>
        <v>38.51</v>
      </c>
      <c r="G131" s="49">
        <f>VLOOKUP($A131,'Data shares'!$C:$FB,42)</f>
        <v>1878450</v>
      </c>
      <c r="H131" s="49">
        <f>VLOOKUP($A131,'Data shares'!$C:$FB,43)</f>
        <v>2080575</v>
      </c>
      <c r="I131" s="50">
        <f>VLOOKUP($A131,'Data shares'!$C:$FB,45)*100</f>
        <v>-9.7100000000000009</v>
      </c>
      <c r="J131" s="49">
        <f>VLOOKUP($A131,'Data shares'!$C:$FB,58)</f>
        <v>3393075</v>
      </c>
      <c r="K131" s="49">
        <f>VLOOKUP($A131,'Data shares'!$C:$FB,59)</f>
        <v>2658075</v>
      </c>
      <c r="L131" s="50">
        <f>VLOOKUP($A131,'Data shares'!$C:$FB,61)*100</f>
        <v>27.650000000000002</v>
      </c>
      <c r="M131" s="49">
        <f>VLOOKUP($A131,'Data shares'!$C:$FB,62)</f>
        <v>3910725</v>
      </c>
      <c r="N131" s="49">
        <f>VLOOKUP($A131,'Data shares'!$C:$FB,63)</f>
        <v>1890525</v>
      </c>
      <c r="O131" s="140">
        <f>VLOOKUP($A131,'Data shares'!$C:$FB,65)*100</f>
        <v>106.86</v>
      </c>
    </row>
    <row r="132" spans="1:15" x14ac:dyDescent="0.25">
      <c r="A132" s="101" t="str">
        <f>'Data Vlaue (Cr)'!C127</f>
        <v>MAZDOCK</v>
      </c>
      <c r="B132" s="50">
        <f>VLOOKUP($A132,'Data shares'!$C:$FB,7)</f>
        <v>2352.5</v>
      </c>
      <c r="C132" s="50">
        <f>VLOOKUP($A132,'Data shares'!$C:$FB,10)*100</f>
        <v>8.64</v>
      </c>
      <c r="D132" s="49">
        <f>VLOOKUP($A132,'Data shares'!$C:$FB,66)</f>
        <v>49705000</v>
      </c>
      <c r="E132" s="49">
        <f>VLOOKUP($A132,'Data shares'!$C:$FB,67)</f>
        <v>4637800</v>
      </c>
      <c r="F132" s="50">
        <f>VLOOKUP($A132,'Data shares'!$C:$FB,69)*100</f>
        <v>971.74</v>
      </c>
      <c r="G132" s="49">
        <f>VLOOKUP($A132,'Data shares'!$C:$FB,42)</f>
        <v>5335000</v>
      </c>
      <c r="H132" s="49">
        <f>VLOOKUP($A132,'Data shares'!$C:$FB,43)</f>
        <v>923000</v>
      </c>
      <c r="I132" s="50">
        <f>VLOOKUP($A132,'Data shares'!$C:$FB,45)*100</f>
        <v>478.01</v>
      </c>
      <c r="J132" s="49">
        <f>VLOOKUP($A132,'Data shares'!$C:$FB,58)</f>
        <v>35986800</v>
      </c>
      <c r="K132" s="49">
        <f>VLOOKUP($A132,'Data shares'!$C:$FB,59)</f>
        <v>2409000</v>
      </c>
      <c r="L132" s="50">
        <f>VLOOKUP($A132,'Data shares'!$C:$FB,61)*100</f>
        <v>1393.85</v>
      </c>
      <c r="M132" s="49">
        <f>VLOOKUP($A132,'Data shares'!$C:$FB,62)</f>
        <v>8383200</v>
      </c>
      <c r="N132" s="49">
        <f>VLOOKUP($A132,'Data shares'!$C:$FB,63)</f>
        <v>1305800</v>
      </c>
      <c r="O132" s="140">
        <f>VLOOKUP($A132,'Data shares'!$C:$FB,65)*100</f>
        <v>542</v>
      </c>
    </row>
    <row r="133" spans="1:15" x14ac:dyDescent="0.25">
      <c r="A133" s="101" t="str">
        <f>'Data Vlaue (Cr)'!C128</f>
        <v>MCX</v>
      </c>
      <c r="B133" s="50">
        <f>VLOOKUP($A133,'Data shares'!$C:$FB,7)</f>
        <v>2553.5</v>
      </c>
      <c r="C133" s="50">
        <f>VLOOKUP($A133,'Data shares'!$C:$FB,10)*100</f>
        <v>3.0300000000000002</v>
      </c>
      <c r="D133" s="49">
        <f>VLOOKUP($A133,'Data shares'!$C:$FB,66)</f>
        <v>30621875</v>
      </c>
      <c r="E133" s="49">
        <f>VLOOKUP($A133,'Data shares'!$C:$FB,67)</f>
        <v>25426875</v>
      </c>
      <c r="F133" s="50">
        <f>VLOOKUP($A133,'Data shares'!$C:$FB,69)*100</f>
        <v>20.43</v>
      </c>
      <c r="G133" s="49">
        <f>VLOOKUP($A133,'Data shares'!$C:$FB,42)</f>
        <v>5966250</v>
      </c>
      <c r="H133" s="49">
        <f>VLOOKUP($A133,'Data shares'!$C:$FB,43)</f>
        <v>5394375</v>
      </c>
      <c r="I133" s="50">
        <f>VLOOKUP($A133,'Data shares'!$C:$FB,45)*100</f>
        <v>10.6</v>
      </c>
      <c r="J133" s="49">
        <f>VLOOKUP($A133,'Data shares'!$C:$FB,58)</f>
        <v>17357500</v>
      </c>
      <c r="K133" s="49">
        <f>VLOOKUP($A133,'Data shares'!$C:$FB,59)</f>
        <v>11366250</v>
      </c>
      <c r="L133" s="50">
        <f>VLOOKUP($A133,'Data shares'!$C:$FB,61)*100</f>
        <v>52.71</v>
      </c>
      <c r="M133" s="49">
        <f>VLOOKUP($A133,'Data shares'!$C:$FB,62)</f>
        <v>7298125</v>
      </c>
      <c r="N133" s="49">
        <f>VLOOKUP($A133,'Data shares'!$C:$FB,63)</f>
        <v>8666250</v>
      </c>
      <c r="O133" s="140">
        <f>VLOOKUP($A133,'Data shares'!$C:$FB,65)*100</f>
        <v>-15.790000000000001</v>
      </c>
    </row>
    <row r="134" spans="1:15" x14ac:dyDescent="0.25">
      <c r="A134" s="101" t="str">
        <f>'Data Vlaue (Cr)'!C129</f>
        <v>MFSL</v>
      </c>
      <c r="B134" s="50">
        <f>VLOOKUP($A134,'Data shares'!$C:$FB,7)</f>
        <v>1748.6</v>
      </c>
      <c r="C134" s="50">
        <f>VLOOKUP($A134,'Data shares'!$C:$FB,10)*100</f>
        <v>0.05</v>
      </c>
      <c r="D134" s="49">
        <f>VLOOKUP($A134,'Data shares'!$C:$FB,66)</f>
        <v>1963600</v>
      </c>
      <c r="E134" s="49">
        <f>VLOOKUP($A134,'Data shares'!$C:$FB,67)</f>
        <v>2349600</v>
      </c>
      <c r="F134" s="50">
        <f>VLOOKUP($A134,'Data shares'!$C:$FB,69)*100</f>
        <v>-16.43</v>
      </c>
      <c r="G134" s="49">
        <f>VLOOKUP($A134,'Data shares'!$C:$FB,42)</f>
        <v>1028800</v>
      </c>
      <c r="H134" s="49">
        <f>VLOOKUP($A134,'Data shares'!$C:$FB,43)</f>
        <v>979200</v>
      </c>
      <c r="I134" s="50">
        <f>VLOOKUP($A134,'Data shares'!$C:$FB,45)*100</f>
        <v>5.07</v>
      </c>
      <c r="J134" s="49">
        <f>VLOOKUP($A134,'Data shares'!$C:$FB,58)</f>
        <v>616000</v>
      </c>
      <c r="K134" s="49">
        <f>VLOOKUP($A134,'Data shares'!$C:$FB,59)</f>
        <v>726800</v>
      </c>
      <c r="L134" s="50">
        <f>VLOOKUP($A134,'Data shares'!$C:$FB,61)*100</f>
        <v>-15.24</v>
      </c>
      <c r="M134" s="49">
        <f>VLOOKUP($A134,'Data shares'!$C:$FB,62)</f>
        <v>318800</v>
      </c>
      <c r="N134" s="49">
        <f>VLOOKUP($A134,'Data shares'!$C:$FB,63)</f>
        <v>643600</v>
      </c>
      <c r="O134" s="140">
        <f>VLOOKUP($A134,'Data shares'!$C:$FB,65)*100</f>
        <v>-50.470000000000006</v>
      </c>
    </row>
    <row r="135" spans="1:15" x14ac:dyDescent="0.25">
      <c r="A135" s="101" t="str">
        <f>'Data Vlaue (Cr)'!C130</f>
        <v>MIDCPNIFTY</v>
      </c>
      <c r="B135" s="50">
        <f>VLOOKUP($A135,'Data shares'!$C:$FB,7)</f>
        <v>13260.5</v>
      </c>
      <c r="C135" s="50">
        <f>VLOOKUP($A135,'Data shares'!$C:$FB,10)*100</f>
        <v>1.7399999999999998</v>
      </c>
      <c r="D135" s="49">
        <f>VLOOKUP($A135,'Data shares'!$C:$FB,66)</f>
        <v>24413160</v>
      </c>
      <c r="E135" s="49">
        <f>VLOOKUP($A135,'Data shares'!$C:$FB,67)</f>
        <v>31646520</v>
      </c>
      <c r="F135" s="50">
        <f>VLOOKUP($A135,'Data shares'!$C:$FB,69)*100</f>
        <v>-22.86</v>
      </c>
      <c r="G135" s="49">
        <f>VLOOKUP($A135,'Data shares'!$C:$FB,42)</f>
        <v>921120</v>
      </c>
      <c r="H135" s="49">
        <f>VLOOKUP($A135,'Data shares'!$C:$FB,43)</f>
        <v>1023960</v>
      </c>
      <c r="I135" s="50">
        <f>VLOOKUP($A135,'Data shares'!$C:$FB,45)*100</f>
        <v>-10.040000000000001</v>
      </c>
      <c r="J135" s="49">
        <f>VLOOKUP($A135,'Data shares'!$C:$FB,58)</f>
        <v>11760240</v>
      </c>
      <c r="K135" s="49">
        <f>VLOOKUP($A135,'Data shares'!$C:$FB,59)</f>
        <v>15441000</v>
      </c>
      <c r="L135" s="50">
        <f>VLOOKUP($A135,'Data shares'!$C:$FB,61)*100</f>
        <v>-23.84</v>
      </c>
      <c r="M135" s="49">
        <f>VLOOKUP($A135,'Data shares'!$C:$FB,62)</f>
        <v>11731800</v>
      </c>
      <c r="N135" s="49">
        <f>VLOOKUP($A135,'Data shares'!$C:$FB,63)</f>
        <v>15181560</v>
      </c>
      <c r="O135" s="140">
        <f>VLOOKUP($A135,'Data shares'!$C:$FB,65)*100</f>
        <v>-22.720000000000002</v>
      </c>
    </row>
    <row r="136" spans="1:15" x14ac:dyDescent="0.25">
      <c r="A136" s="101" t="str">
        <f>'Data Vlaue (Cr)'!C131</f>
        <v>MOTHERSON</v>
      </c>
      <c r="B136" s="50">
        <f>VLOOKUP($A136,'Data shares'!$C:$FB,7)</f>
        <v>126.34</v>
      </c>
      <c r="C136" s="50">
        <f>VLOOKUP($A136,'Data shares'!$C:$FB,10)*100</f>
        <v>2.82</v>
      </c>
      <c r="D136" s="49">
        <f>VLOOKUP($A136,'Data shares'!$C:$FB,66)</f>
        <v>102735750</v>
      </c>
      <c r="E136" s="49">
        <f>VLOOKUP($A136,'Data shares'!$C:$FB,67)</f>
        <v>96032250</v>
      </c>
      <c r="F136" s="50">
        <f>VLOOKUP($A136,'Data shares'!$C:$FB,69)*100</f>
        <v>6.98</v>
      </c>
      <c r="G136" s="49">
        <f>VLOOKUP($A136,'Data shares'!$C:$FB,42)</f>
        <v>35190300</v>
      </c>
      <c r="H136" s="49">
        <f>VLOOKUP($A136,'Data shares'!$C:$FB,43)</f>
        <v>27195300</v>
      </c>
      <c r="I136" s="50">
        <f>VLOOKUP($A136,'Data shares'!$C:$FB,45)*100</f>
        <v>29.4</v>
      </c>
      <c r="J136" s="49">
        <f>VLOOKUP($A136,'Data shares'!$C:$FB,58)</f>
        <v>52072050</v>
      </c>
      <c r="K136" s="49">
        <f>VLOOKUP($A136,'Data shares'!$C:$FB,59)</f>
        <v>38646600</v>
      </c>
      <c r="L136" s="50">
        <f>VLOOKUP($A136,'Data shares'!$C:$FB,61)*100</f>
        <v>34.74</v>
      </c>
      <c r="M136" s="49">
        <f>VLOOKUP($A136,'Data shares'!$C:$FB,62)</f>
        <v>15473400</v>
      </c>
      <c r="N136" s="49">
        <f>VLOOKUP($A136,'Data shares'!$C:$FB,63)</f>
        <v>30190350</v>
      </c>
      <c r="O136" s="140">
        <f>VLOOKUP($A136,'Data shares'!$C:$FB,65)*100</f>
        <v>-48.75</v>
      </c>
    </row>
    <row r="137" spans="1:15" x14ac:dyDescent="0.25">
      <c r="A137" s="101" t="str">
        <f>'Data Vlaue (Cr)'!C132</f>
        <v>MPHASIS</v>
      </c>
      <c r="B137" s="50">
        <f>VLOOKUP($A137,'Data shares'!$C:$FB,7)</f>
        <v>2231.6</v>
      </c>
      <c r="C137" s="50">
        <f>VLOOKUP($A137,'Data shares'!$C:$FB,10)*100</f>
        <v>-1.5699999999999998</v>
      </c>
      <c r="D137" s="49">
        <f>VLOOKUP($A137,'Data shares'!$C:$FB,66)</f>
        <v>2426050</v>
      </c>
      <c r="E137" s="49">
        <f>VLOOKUP($A137,'Data shares'!$C:$FB,67)</f>
        <v>2907850</v>
      </c>
      <c r="F137" s="50">
        <f>VLOOKUP($A137,'Data shares'!$C:$FB,69)*100</f>
        <v>-16.57</v>
      </c>
      <c r="G137" s="49">
        <f>VLOOKUP($A137,'Data shares'!$C:$FB,42)</f>
        <v>896500</v>
      </c>
      <c r="H137" s="49">
        <f>VLOOKUP($A137,'Data shares'!$C:$FB,43)</f>
        <v>786500</v>
      </c>
      <c r="I137" s="50">
        <f>VLOOKUP($A137,'Data shares'!$C:$FB,45)*100</f>
        <v>13.99</v>
      </c>
      <c r="J137" s="49">
        <f>VLOOKUP($A137,'Data shares'!$C:$FB,58)</f>
        <v>975150</v>
      </c>
      <c r="K137" s="49">
        <f>VLOOKUP($A137,'Data shares'!$C:$FB,59)</f>
        <v>1463275</v>
      </c>
      <c r="L137" s="50">
        <f>VLOOKUP($A137,'Data shares'!$C:$FB,61)*100</f>
        <v>-33.36</v>
      </c>
      <c r="M137" s="49">
        <f>VLOOKUP($A137,'Data shares'!$C:$FB,62)</f>
        <v>554400</v>
      </c>
      <c r="N137" s="49">
        <f>VLOOKUP($A137,'Data shares'!$C:$FB,63)</f>
        <v>658075</v>
      </c>
      <c r="O137" s="140">
        <f>VLOOKUP($A137,'Data shares'!$C:$FB,65)*100</f>
        <v>-15.75</v>
      </c>
    </row>
    <row r="138" spans="1:15" x14ac:dyDescent="0.25">
      <c r="A138" s="101" t="str">
        <f>'Data Vlaue (Cr)'!C133</f>
        <v>MUTHOOTFIN</v>
      </c>
      <c r="B138" s="50">
        <f>VLOOKUP($A138,'Data shares'!$C:$FB,7)</f>
        <v>3306.4</v>
      </c>
      <c r="C138" s="50">
        <f>VLOOKUP($A138,'Data shares'!$C:$FB,10)*100</f>
        <v>-1</v>
      </c>
      <c r="D138" s="49">
        <f>VLOOKUP($A138,'Data shares'!$C:$FB,66)</f>
        <v>8782400</v>
      </c>
      <c r="E138" s="49">
        <f>VLOOKUP($A138,'Data shares'!$C:$FB,67)</f>
        <v>8203800</v>
      </c>
      <c r="F138" s="50">
        <f>VLOOKUP($A138,'Data shares'!$C:$FB,69)*100</f>
        <v>7.0499999999999989</v>
      </c>
      <c r="G138" s="49">
        <f>VLOOKUP($A138,'Data shares'!$C:$FB,42)</f>
        <v>1656875</v>
      </c>
      <c r="H138" s="49">
        <f>VLOOKUP($A138,'Data shares'!$C:$FB,43)</f>
        <v>1523775</v>
      </c>
      <c r="I138" s="50">
        <f>VLOOKUP($A138,'Data shares'!$C:$FB,45)*100</f>
        <v>8.73</v>
      </c>
      <c r="J138" s="49">
        <f>VLOOKUP($A138,'Data shares'!$C:$FB,58)</f>
        <v>4549600</v>
      </c>
      <c r="K138" s="49">
        <f>VLOOKUP($A138,'Data shares'!$C:$FB,59)</f>
        <v>4141775</v>
      </c>
      <c r="L138" s="50">
        <f>VLOOKUP($A138,'Data shares'!$C:$FB,61)*100</f>
        <v>9.85</v>
      </c>
      <c r="M138" s="49">
        <f>VLOOKUP($A138,'Data shares'!$C:$FB,62)</f>
        <v>2575925</v>
      </c>
      <c r="N138" s="49">
        <f>VLOOKUP($A138,'Data shares'!$C:$FB,63)</f>
        <v>2538250</v>
      </c>
      <c r="O138" s="140">
        <f>VLOOKUP($A138,'Data shares'!$C:$FB,65)*100</f>
        <v>1.48</v>
      </c>
    </row>
    <row r="139" spans="1:15" x14ac:dyDescent="0.25">
      <c r="A139" s="101" t="str">
        <f>'Data Vlaue (Cr)'!C134</f>
        <v>NATIONALUM</v>
      </c>
      <c r="B139" s="50">
        <f>VLOOKUP($A139,'Data shares'!$C:$FB,7)</f>
        <v>395.95</v>
      </c>
      <c r="C139" s="50">
        <f>VLOOKUP($A139,'Data shares'!$C:$FB,10)*100</f>
        <v>6.01</v>
      </c>
      <c r="D139" s="49">
        <f>VLOOKUP($A139,'Data shares'!$C:$FB,66)</f>
        <v>377002500</v>
      </c>
      <c r="E139" s="49">
        <f>VLOOKUP($A139,'Data shares'!$C:$FB,67)</f>
        <v>163833750</v>
      </c>
      <c r="F139" s="50">
        <f>VLOOKUP($A139,'Data shares'!$C:$FB,69)*100</f>
        <v>130.10999999999999</v>
      </c>
      <c r="G139" s="49">
        <f>VLOOKUP($A139,'Data shares'!$C:$FB,42)</f>
        <v>76387500</v>
      </c>
      <c r="H139" s="49">
        <f>VLOOKUP($A139,'Data shares'!$C:$FB,43)</f>
        <v>40447500</v>
      </c>
      <c r="I139" s="50">
        <f>VLOOKUP($A139,'Data shares'!$C:$FB,45)*100</f>
        <v>88.86</v>
      </c>
      <c r="J139" s="49">
        <f>VLOOKUP($A139,'Data shares'!$C:$FB,58)</f>
        <v>214350000</v>
      </c>
      <c r="K139" s="49">
        <f>VLOOKUP($A139,'Data shares'!$C:$FB,59)</f>
        <v>81693750</v>
      </c>
      <c r="L139" s="50">
        <f>VLOOKUP($A139,'Data shares'!$C:$FB,61)*100</f>
        <v>162.38</v>
      </c>
      <c r="M139" s="49">
        <f>VLOOKUP($A139,'Data shares'!$C:$FB,62)</f>
        <v>86265000</v>
      </c>
      <c r="N139" s="49">
        <f>VLOOKUP($A139,'Data shares'!$C:$FB,63)</f>
        <v>41692500</v>
      </c>
      <c r="O139" s="140">
        <f>VLOOKUP($A139,'Data shares'!$C:$FB,65)*100</f>
        <v>106.91</v>
      </c>
    </row>
    <row r="140" spans="1:15" x14ac:dyDescent="0.25">
      <c r="A140" s="101" t="str">
        <f>'Data Vlaue (Cr)'!C135</f>
        <v>NAUKRI</v>
      </c>
      <c r="B140" s="50">
        <f>VLOOKUP($A140,'Data shares'!$C:$FB,7)</f>
        <v>1015.3</v>
      </c>
      <c r="C140" s="50">
        <f>VLOOKUP($A140,'Data shares'!$C:$FB,10)*100</f>
        <v>1.5599999999999998</v>
      </c>
      <c r="D140" s="49">
        <f>VLOOKUP($A140,'Data shares'!$C:$FB,66)</f>
        <v>3715875</v>
      </c>
      <c r="E140" s="49">
        <f>VLOOKUP($A140,'Data shares'!$C:$FB,67)</f>
        <v>4714875</v>
      </c>
      <c r="F140" s="50">
        <f>VLOOKUP($A140,'Data shares'!$C:$FB,69)*100</f>
        <v>-21.19</v>
      </c>
      <c r="G140" s="49">
        <f>VLOOKUP($A140,'Data shares'!$C:$FB,42)</f>
        <v>1567125</v>
      </c>
      <c r="H140" s="49">
        <f>VLOOKUP($A140,'Data shares'!$C:$FB,43)</f>
        <v>1455375</v>
      </c>
      <c r="I140" s="50">
        <f>VLOOKUP($A140,'Data shares'!$C:$FB,45)*100</f>
        <v>7.68</v>
      </c>
      <c r="J140" s="49">
        <f>VLOOKUP($A140,'Data shares'!$C:$FB,58)</f>
        <v>1775625</v>
      </c>
      <c r="K140" s="49">
        <f>VLOOKUP($A140,'Data shares'!$C:$FB,59)</f>
        <v>2203875</v>
      </c>
      <c r="L140" s="50">
        <f>VLOOKUP($A140,'Data shares'!$C:$FB,61)*100</f>
        <v>-19.43</v>
      </c>
      <c r="M140" s="49">
        <f>VLOOKUP($A140,'Data shares'!$C:$FB,62)</f>
        <v>373125</v>
      </c>
      <c r="N140" s="49">
        <f>VLOOKUP($A140,'Data shares'!$C:$FB,63)</f>
        <v>1055625</v>
      </c>
      <c r="O140" s="140">
        <f>VLOOKUP($A140,'Data shares'!$C:$FB,65)*100</f>
        <v>-64.649999999999991</v>
      </c>
    </row>
    <row r="141" spans="1:15" x14ac:dyDescent="0.25">
      <c r="A141" s="101" t="str">
        <f>'Data Vlaue (Cr)'!C136</f>
        <v>NBCC</v>
      </c>
      <c r="B141" s="50">
        <f>VLOOKUP($A141,'Data shares'!$C:$FB,7)</f>
        <v>86.85</v>
      </c>
      <c r="C141" s="50">
        <f>VLOOKUP($A141,'Data shares'!$C:$FB,10)*100</f>
        <v>1.4200000000000002</v>
      </c>
      <c r="D141" s="49">
        <f>VLOOKUP($A141,'Data shares'!$C:$FB,66)</f>
        <v>35217000</v>
      </c>
      <c r="E141" s="49">
        <f>VLOOKUP($A141,'Data shares'!$C:$FB,67)</f>
        <v>45740500</v>
      </c>
      <c r="F141" s="50">
        <f>VLOOKUP($A141,'Data shares'!$C:$FB,69)*100</f>
        <v>-23.01</v>
      </c>
      <c r="G141" s="49">
        <f>VLOOKUP($A141,'Data shares'!$C:$FB,42)</f>
        <v>11940500</v>
      </c>
      <c r="H141" s="49">
        <f>VLOOKUP($A141,'Data shares'!$C:$FB,43)</f>
        <v>16484000</v>
      </c>
      <c r="I141" s="50">
        <f>VLOOKUP($A141,'Data shares'!$C:$FB,45)*100</f>
        <v>-27.560000000000002</v>
      </c>
      <c r="J141" s="49">
        <f>VLOOKUP($A141,'Data shares'!$C:$FB,58)</f>
        <v>14599000</v>
      </c>
      <c r="K141" s="49">
        <f>VLOOKUP($A141,'Data shares'!$C:$FB,59)</f>
        <v>17699500</v>
      </c>
      <c r="L141" s="50">
        <f>VLOOKUP($A141,'Data shares'!$C:$FB,61)*100</f>
        <v>-17.52</v>
      </c>
      <c r="M141" s="49">
        <f>VLOOKUP($A141,'Data shares'!$C:$FB,62)</f>
        <v>8677500</v>
      </c>
      <c r="N141" s="49">
        <f>VLOOKUP($A141,'Data shares'!$C:$FB,63)</f>
        <v>11557000</v>
      </c>
      <c r="O141" s="140">
        <f>VLOOKUP($A141,'Data shares'!$C:$FB,65)*100</f>
        <v>-24.92</v>
      </c>
    </row>
    <row r="142" spans="1:15" x14ac:dyDescent="0.25">
      <c r="A142" s="101" t="str">
        <f>'Data Vlaue (Cr)'!C137</f>
        <v>NESTLEIND</v>
      </c>
      <c r="B142" s="50">
        <f>VLOOKUP($A142,'Data shares'!$C:$FB,7)</f>
        <v>1250.9000000000001</v>
      </c>
      <c r="C142" s="50">
        <f>VLOOKUP($A142,'Data shares'!$C:$FB,10)*100</f>
        <v>0.44999999999999996</v>
      </c>
      <c r="D142" s="49">
        <f>VLOOKUP($A142,'Data shares'!$C:$FB,66)</f>
        <v>5525500</v>
      </c>
      <c r="E142" s="49">
        <f>VLOOKUP($A142,'Data shares'!$C:$FB,67)</f>
        <v>5789500</v>
      </c>
      <c r="F142" s="50">
        <f>VLOOKUP($A142,'Data shares'!$C:$FB,69)*100</f>
        <v>-4.5600000000000005</v>
      </c>
      <c r="G142" s="49">
        <f>VLOOKUP($A142,'Data shares'!$C:$FB,42)</f>
        <v>1344000</v>
      </c>
      <c r="H142" s="49">
        <f>VLOOKUP($A142,'Data shares'!$C:$FB,43)</f>
        <v>1620000</v>
      </c>
      <c r="I142" s="50">
        <f>VLOOKUP($A142,'Data shares'!$C:$FB,45)*100</f>
        <v>-17.04</v>
      </c>
      <c r="J142" s="49">
        <f>VLOOKUP($A142,'Data shares'!$C:$FB,58)</f>
        <v>2589500</v>
      </c>
      <c r="K142" s="49">
        <f>VLOOKUP($A142,'Data shares'!$C:$FB,59)</f>
        <v>2833500</v>
      </c>
      <c r="L142" s="50">
        <f>VLOOKUP($A142,'Data shares'!$C:$FB,61)*100</f>
        <v>-8.61</v>
      </c>
      <c r="M142" s="49">
        <f>VLOOKUP($A142,'Data shares'!$C:$FB,62)</f>
        <v>1592000</v>
      </c>
      <c r="N142" s="49">
        <f>VLOOKUP($A142,'Data shares'!$C:$FB,63)</f>
        <v>1336000</v>
      </c>
      <c r="O142" s="140">
        <f>VLOOKUP($A142,'Data shares'!$C:$FB,65)*100</f>
        <v>19.16</v>
      </c>
    </row>
    <row r="143" spans="1:15" x14ac:dyDescent="0.25">
      <c r="A143" s="101" t="str">
        <f>'Data Vlaue (Cr)'!C138</f>
        <v>NHPC</v>
      </c>
      <c r="B143" s="50">
        <f>VLOOKUP($A143,'Data shares'!$C:$FB,7)</f>
        <v>74.150000000000006</v>
      </c>
      <c r="C143" s="50">
        <f>VLOOKUP($A143,'Data shares'!$C:$FB,10)*100</f>
        <v>2.6599999999999997</v>
      </c>
      <c r="D143" s="49">
        <f>VLOOKUP($A143,'Data shares'!$C:$FB,66)</f>
        <v>49004800</v>
      </c>
      <c r="E143" s="49">
        <f>VLOOKUP($A143,'Data shares'!$C:$FB,67)</f>
        <v>55628800</v>
      </c>
      <c r="F143" s="50">
        <f>VLOOKUP($A143,'Data shares'!$C:$FB,69)*100</f>
        <v>-11.91</v>
      </c>
      <c r="G143" s="49">
        <f>VLOOKUP($A143,'Data shares'!$C:$FB,42)</f>
        <v>15180800</v>
      </c>
      <c r="H143" s="49">
        <f>VLOOKUP($A143,'Data shares'!$C:$FB,43)</f>
        <v>12921600</v>
      </c>
      <c r="I143" s="50">
        <f>VLOOKUP($A143,'Data shares'!$C:$FB,45)*100</f>
        <v>17.48</v>
      </c>
      <c r="J143" s="49">
        <f>VLOOKUP($A143,'Data shares'!$C:$FB,58)</f>
        <v>20467200</v>
      </c>
      <c r="K143" s="49">
        <f>VLOOKUP($A143,'Data shares'!$C:$FB,59)</f>
        <v>24691200</v>
      </c>
      <c r="L143" s="50">
        <f>VLOOKUP($A143,'Data shares'!$C:$FB,61)*100</f>
        <v>-17.11</v>
      </c>
      <c r="M143" s="49">
        <f>VLOOKUP($A143,'Data shares'!$C:$FB,62)</f>
        <v>13356800</v>
      </c>
      <c r="N143" s="49">
        <f>VLOOKUP($A143,'Data shares'!$C:$FB,63)</f>
        <v>18016000</v>
      </c>
      <c r="O143" s="140">
        <f>VLOOKUP($A143,'Data shares'!$C:$FB,65)*100</f>
        <v>-25.86</v>
      </c>
    </row>
    <row r="144" spans="1:15" x14ac:dyDescent="0.25">
      <c r="A144" s="101" t="str">
        <f>'Data Vlaue (Cr)'!C139</f>
        <v>NIFTY</v>
      </c>
      <c r="B144" s="50">
        <f>VLOOKUP($A144,'Data shares'!$C:$FB,7)</f>
        <v>24765.9</v>
      </c>
      <c r="C144" s="50">
        <f>VLOOKUP($A144,'Data shares'!$C:$FB,10)*100</f>
        <v>1.17</v>
      </c>
      <c r="D144" s="49">
        <f>VLOOKUP($A144,'Data shares'!$C:$FB,66)</f>
        <v>3977337455</v>
      </c>
      <c r="E144" s="49">
        <f>VLOOKUP($A144,'Data shares'!$C:$FB,67)</f>
        <v>3421224625</v>
      </c>
      <c r="F144" s="50">
        <f>VLOOKUP($A144,'Data shares'!$C:$FB,69)*100</f>
        <v>16.25</v>
      </c>
      <c r="G144" s="49">
        <f>VLOOKUP($A144,'Data shares'!$C:$FB,42)</f>
        <v>8662940</v>
      </c>
      <c r="H144" s="49">
        <f>VLOOKUP($A144,'Data shares'!$C:$FB,43)</f>
        <v>12385685</v>
      </c>
      <c r="I144" s="50">
        <f>VLOOKUP($A144,'Data shares'!$C:$FB,45)*100</f>
        <v>-30.06</v>
      </c>
      <c r="J144" s="49">
        <f>VLOOKUP($A144,'Data shares'!$C:$FB,58)</f>
        <v>2205133905</v>
      </c>
      <c r="K144" s="49">
        <f>VLOOKUP($A144,'Data shares'!$C:$FB,59)</f>
        <v>1932188375</v>
      </c>
      <c r="L144" s="50">
        <f>VLOOKUP($A144,'Data shares'!$C:$FB,61)*100</f>
        <v>14.13</v>
      </c>
      <c r="M144" s="49">
        <f>VLOOKUP($A144,'Data shares'!$C:$FB,62)</f>
        <v>1763540610</v>
      </c>
      <c r="N144" s="49">
        <f>VLOOKUP($A144,'Data shares'!$C:$FB,63)</f>
        <v>1476650565</v>
      </c>
      <c r="O144" s="140">
        <f>VLOOKUP($A144,'Data shares'!$C:$FB,65)*100</f>
        <v>19.43</v>
      </c>
    </row>
    <row r="145" spans="1:15" x14ac:dyDescent="0.25">
      <c r="A145" s="101" t="str">
        <f>'Data Vlaue (Cr)'!C140</f>
        <v>NIFTYNXT50</v>
      </c>
      <c r="B145" s="50">
        <f>VLOOKUP($A145,'Data shares'!$C:$FB,7)</f>
        <v>67722.2</v>
      </c>
      <c r="C145" s="50">
        <f>VLOOKUP($A145,'Data shares'!$C:$FB,10)*100</f>
        <v>1.38</v>
      </c>
      <c r="D145" s="49">
        <f>VLOOKUP($A145,'Data shares'!$C:$FB,66)</f>
        <v>18325</v>
      </c>
      <c r="E145" s="49">
        <f>VLOOKUP($A145,'Data shares'!$C:$FB,67)</f>
        <v>25400</v>
      </c>
      <c r="F145" s="50">
        <f>VLOOKUP($A145,'Data shares'!$C:$FB,69)*100</f>
        <v>-27.85</v>
      </c>
      <c r="G145" s="49">
        <f>VLOOKUP($A145,'Data shares'!$C:$FB,42)</f>
        <v>10025</v>
      </c>
      <c r="H145" s="49">
        <f>VLOOKUP($A145,'Data shares'!$C:$FB,43)</f>
        <v>11925</v>
      </c>
      <c r="I145" s="50">
        <f>VLOOKUP($A145,'Data shares'!$C:$FB,45)*100</f>
        <v>-15.93</v>
      </c>
      <c r="J145" s="49">
        <f>VLOOKUP($A145,'Data shares'!$C:$FB,58)</f>
        <v>5775</v>
      </c>
      <c r="K145" s="49">
        <f>VLOOKUP($A145,'Data shares'!$C:$FB,59)</f>
        <v>12775</v>
      </c>
      <c r="L145" s="50">
        <f>VLOOKUP($A145,'Data shares'!$C:$FB,61)*100</f>
        <v>-54.790000000000006</v>
      </c>
      <c r="M145" s="49">
        <f>VLOOKUP($A145,'Data shares'!$C:$FB,62)</f>
        <v>2525</v>
      </c>
      <c r="N145" s="49">
        <f>VLOOKUP($A145,'Data shares'!$C:$FB,63)</f>
        <v>700</v>
      </c>
      <c r="O145" s="140">
        <f>VLOOKUP($A145,'Data shares'!$C:$FB,65)*100</f>
        <v>260.70999999999998</v>
      </c>
    </row>
    <row r="146" spans="1:15" x14ac:dyDescent="0.25">
      <c r="A146" s="101" t="str">
        <f>'Data Vlaue (Cr)'!C141</f>
        <v>NMDC</v>
      </c>
      <c r="B146" s="50">
        <f>VLOOKUP($A146,'Data shares'!$C:$FB,7)</f>
        <v>78.44</v>
      </c>
      <c r="C146" s="50">
        <f>VLOOKUP($A146,'Data shares'!$C:$FB,10)*100</f>
        <v>2.2599999999999998</v>
      </c>
      <c r="D146" s="49">
        <f>VLOOKUP($A146,'Data shares'!$C:$FB,66)</f>
        <v>122283000</v>
      </c>
      <c r="E146" s="49">
        <f>VLOOKUP($A146,'Data shares'!$C:$FB,67)</f>
        <v>135236250</v>
      </c>
      <c r="F146" s="50">
        <f>VLOOKUP($A146,'Data shares'!$C:$FB,69)*100</f>
        <v>-9.58</v>
      </c>
      <c r="G146" s="49">
        <f>VLOOKUP($A146,'Data shares'!$C:$FB,42)</f>
        <v>33061500</v>
      </c>
      <c r="H146" s="49">
        <f>VLOOKUP($A146,'Data shares'!$C:$FB,43)</f>
        <v>35525250</v>
      </c>
      <c r="I146" s="50">
        <f>VLOOKUP($A146,'Data shares'!$C:$FB,45)*100</f>
        <v>-6.94</v>
      </c>
      <c r="J146" s="49">
        <f>VLOOKUP($A146,'Data shares'!$C:$FB,58)</f>
        <v>65711250</v>
      </c>
      <c r="K146" s="49">
        <f>VLOOKUP($A146,'Data shares'!$C:$FB,59)</f>
        <v>67560750</v>
      </c>
      <c r="L146" s="50">
        <f>VLOOKUP($A146,'Data shares'!$C:$FB,61)*100</f>
        <v>-2.74</v>
      </c>
      <c r="M146" s="49">
        <f>VLOOKUP($A146,'Data shares'!$C:$FB,62)</f>
        <v>23510250</v>
      </c>
      <c r="N146" s="49">
        <f>VLOOKUP($A146,'Data shares'!$C:$FB,63)</f>
        <v>32150250</v>
      </c>
      <c r="O146" s="140">
        <f>VLOOKUP($A146,'Data shares'!$C:$FB,65)*100</f>
        <v>-26.87</v>
      </c>
    </row>
    <row r="147" spans="1:15" x14ac:dyDescent="0.25">
      <c r="A147" s="101" t="str">
        <f>'Data Vlaue (Cr)'!C142</f>
        <v>NTPC</v>
      </c>
      <c r="B147" s="50">
        <f>VLOOKUP($A147,'Data shares'!$C:$FB,7)</f>
        <v>378.05</v>
      </c>
      <c r="C147" s="50">
        <f>VLOOKUP($A147,'Data shares'!$C:$FB,10)*100</f>
        <v>3.35</v>
      </c>
      <c r="D147" s="49">
        <f>VLOOKUP($A147,'Data shares'!$C:$FB,66)</f>
        <v>123729000</v>
      </c>
      <c r="E147" s="49">
        <f>VLOOKUP($A147,'Data shares'!$C:$FB,67)</f>
        <v>100881000</v>
      </c>
      <c r="F147" s="50">
        <f>VLOOKUP($A147,'Data shares'!$C:$FB,69)*100</f>
        <v>22.650000000000002</v>
      </c>
      <c r="G147" s="49">
        <f>VLOOKUP($A147,'Data shares'!$C:$FB,42)</f>
        <v>17194500</v>
      </c>
      <c r="H147" s="49">
        <f>VLOOKUP($A147,'Data shares'!$C:$FB,43)</f>
        <v>13585500</v>
      </c>
      <c r="I147" s="50">
        <f>VLOOKUP($A147,'Data shares'!$C:$FB,45)*100</f>
        <v>26.57</v>
      </c>
      <c r="J147" s="49">
        <f>VLOOKUP($A147,'Data shares'!$C:$FB,58)</f>
        <v>72771000</v>
      </c>
      <c r="K147" s="49">
        <f>VLOOKUP($A147,'Data shares'!$C:$FB,59)</f>
        <v>62182500</v>
      </c>
      <c r="L147" s="50">
        <f>VLOOKUP($A147,'Data shares'!$C:$FB,61)*100</f>
        <v>17.03</v>
      </c>
      <c r="M147" s="49">
        <f>VLOOKUP($A147,'Data shares'!$C:$FB,62)</f>
        <v>33763500</v>
      </c>
      <c r="N147" s="49">
        <f>VLOOKUP($A147,'Data shares'!$C:$FB,63)</f>
        <v>25113000</v>
      </c>
      <c r="O147" s="140">
        <f>VLOOKUP($A147,'Data shares'!$C:$FB,65)*100</f>
        <v>34.449999999999996</v>
      </c>
    </row>
    <row r="148" spans="1:15" x14ac:dyDescent="0.25">
      <c r="A148" s="101" t="str">
        <f>'Data Vlaue (Cr)'!C143</f>
        <v>NUVAMA</v>
      </c>
      <c r="B148" s="50">
        <f>VLOOKUP($A148,'Data shares'!$C:$FB,7)</f>
        <v>1238.0999999999999</v>
      </c>
      <c r="C148" s="50">
        <f>VLOOKUP($A148,'Data shares'!$C:$FB,10)*100</f>
        <v>3.4799999999999995</v>
      </c>
      <c r="D148" s="49">
        <f>VLOOKUP($A148,'Data shares'!$C:$FB,66)</f>
        <v>1974000</v>
      </c>
      <c r="E148" s="49">
        <f>VLOOKUP($A148,'Data shares'!$C:$FB,67)</f>
        <v>2542000</v>
      </c>
      <c r="F148" s="50">
        <f>VLOOKUP($A148,'Data shares'!$C:$FB,69)*100</f>
        <v>-22.34</v>
      </c>
      <c r="G148" s="49">
        <f>VLOOKUP($A148,'Data shares'!$C:$FB,42)</f>
        <v>820500</v>
      </c>
      <c r="H148" s="49">
        <f>VLOOKUP($A148,'Data shares'!$C:$FB,43)</f>
        <v>1304000</v>
      </c>
      <c r="I148" s="50">
        <f>VLOOKUP($A148,'Data shares'!$C:$FB,45)*100</f>
        <v>-37.08</v>
      </c>
      <c r="J148" s="49">
        <f>VLOOKUP($A148,'Data shares'!$C:$FB,58)</f>
        <v>953000</v>
      </c>
      <c r="K148" s="49">
        <f>VLOOKUP($A148,'Data shares'!$C:$FB,59)</f>
        <v>735000</v>
      </c>
      <c r="L148" s="50">
        <f>VLOOKUP($A148,'Data shares'!$C:$FB,61)*100</f>
        <v>29.659999999999997</v>
      </c>
      <c r="M148" s="49">
        <f>VLOOKUP($A148,'Data shares'!$C:$FB,62)</f>
        <v>200500</v>
      </c>
      <c r="N148" s="49">
        <f>VLOOKUP($A148,'Data shares'!$C:$FB,63)</f>
        <v>503000</v>
      </c>
      <c r="O148" s="140">
        <f>VLOOKUP($A148,'Data shares'!$C:$FB,65)*100</f>
        <v>-60.140000000000008</v>
      </c>
    </row>
    <row r="149" spans="1:15" x14ac:dyDescent="0.25">
      <c r="A149" s="101" t="str">
        <f>'Data Vlaue (Cr)'!C144</f>
        <v>NYKAA</v>
      </c>
      <c r="B149" s="50">
        <f>VLOOKUP($A149,'Data shares'!$C:$FB,7)</f>
        <v>260.8</v>
      </c>
      <c r="C149" s="50">
        <f>VLOOKUP($A149,'Data shares'!$C:$FB,10)*100</f>
        <v>1.9900000000000002</v>
      </c>
      <c r="D149" s="49">
        <f>VLOOKUP($A149,'Data shares'!$C:$FB,66)</f>
        <v>10193750</v>
      </c>
      <c r="E149" s="49">
        <f>VLOOKUP($A149,'Data shares'!$C:$FB,67)</f>
        <v>16353125</v>
      </c>
      <c r="F149" s="50">
        <f>VLOOKUP($A149,'Data shares'!$C:$FB,69)*100</f>
        <v>-37.659999999999997</v>
      </c>
      <c r="G149" s="49">
        <f>VLOOKUP($A149,'Data shares'!$C:$FB,42)</f>
        <v>4409375</v>
      </c>
      <c r="H149" s="49">
        <f>VLOOKUP($A149,'Data shares'!$C:$FB,43)</f>
        <v>5634375</v>
      </c>
      <c r="I149" s="50">
        <f>VLOOKUP($A149,'Data shares'!$C:$FB,45)*100</f>
        <v>-21.740000000000002</v>
      </c>
      <c r="J149" s="49">
        <f>VLOOKUP($A149,'Data shares'!$C:$FB,58)</f>
        <v>4312500</v>
      </c>
      <c r="K149" s="49">
        <f>VLOOKUP($A149,'Data shares'!$C:$FB,59)</f>
        <v>6581250</v>
      </c>
      <c r="L149" s="50">
        <f>VLOOKUP($A149,'Data shares'!$C:$FB,61)*100</f>
        <v>-34.47</v>
      </c>
      <c r="M149" s="49">
        <f>VLOOKUP($A149,'Data shares'!$C:$FB,62)</f>
        <v>1471875</v>
      </c>
      <c r="N149" s="49">
        <f>VLOOKUP($A149,'Data shares'!$C:$FB,63)</f>
        <v>4137500</v>
      </c>
      <c r="O149" s="140">
        <f>VLOOKUP($A149,'Data shares'!$C:$FB,65)*100</f>
        <v>-64.429999999999993</v>
      </c>
    </row>
    <row r="150" spans="1:15" x14ac:dyDescent="0.25">
      <c r="A150" s="101" t="str">
        <f>'Data Vlaue (Cr)'!C145</f>
        <v>OBEROIRLTY</v>
      </c>
      <c r="B150" s="50">
        <f>VLOOKUP($A150,'Data shares'!$C:$FB,7)</f>
        <v>1482.1</v>
      </c>
      <c r="C150" s="50">
        <f>VLOOKUP($A150,'Data shares'!$C:$FB,10)*100</f>
        <v>1.9</v>
      </c>
      <c r="D150" s="49">
        <f>VLOOKUP($A150,'Data shares'!$C:$FB,66)</f>
        <v>2804200</v>
      </c>
      <c r="E150" s="49">
        <f>VLOOKUP($A150,'Data shares'!$C:$FB,67)</f>
        <v>5389300</v>
      </c>
      <c r="F150" s="50">
        <f>VLOOKUP($A150,'Data shares'!$C:$FB,69)*100</f>
        <v>-47.97</v>
      </c>
      <c r="G150" s="49">
        <f>VLOOKUP($A150,'Data shares'!$C:$FB,42)</f>
        <v>1162000</v>
      </c>
      <c r="H150" s="49">
        <f>VLOOKUP($A150,'Data shares'!$C:$FB,43)</f>
        <v>1260700</v>
      </c>
      <c r="I150" s="50">
        <f>VLOOKUP($A150,'Data shares'!$C:$FB,45)*100</f>
        <v>-7.8299999999999992</v>
      </c>
      <c r="J150" s="49">
        <f>VLOOKUP($A150,'Data shares'!$C:$FB,58)</f>
        <v>991550</v>
      </c>
      <c r="K150" s="49">
        <f>VLOOKUP($A150,'Data shares'!$C:$FB,59)</f>
        <v>1627500</v>
      </c>
      <c r="L150" s="50">
        <f>VLOOKUP($A150,'Data shares'!$C:$FB,61)*100</f>
        <v>-39.08</v>
      </c>
      <c r="M150" s="49">
        <f>VLOOKUP($A150,'Data shares'!$C:$FB,62)</f>
        <v>650650</v>
      </c>
      <c r="N150" s="49">
        <f>VLOOKUP($A150,'Data shares'!$C:$FB,63)</f>
        <v>2501100</v>
      </c>
      <c r="O150" s="140">
        <f>VLOOKUP($A150,'Data shares'!$C:$FB,65)*100</f>
        <v>-73.989999999999995</v>
      </c>
    </row>
    <row r="151" spans="1:15" x14ac:dyDescent="0.25">
      <c r="A151" s="101" t="str">
        <f>'Data Vlaue (Cr)'!C146</f>
        <v>OFSS</v>
      </c>
      <c r="B151" s="50">
        <f>VLOOKUP($A151,'Data shares'!$C:$FB,7)</f>
        <v>6789.5</v>
      </c>
      <c r="C151" s="50">
        <f>VLOOKUP($A151,'Data shares'!$C:$FB,10)*100</f>
        <v>-0.62</v>
      </c>
      <c r="D151" s="49">
        <f>VLOOKUP($A151,'Data shares'!$C:$FB,66)</f>
        <v>1927875</v>
      </c>
      <c r="E151" s="49">
        <f>VLOOKUP($A151,'Data shares'!$C:$FB,67)</f>
        <v>1112550</v>
      </c>
      <c r="F151" s="50">
        <f>VLOOKUP($A151,'Data shares'!$C:$FB,69)*100</f>
        <v>73.28</v>
      </c>
      <c r="G151" s="49">
        <f>VLOOKUP($A151,'Data shares'!$C:$FB,42)</f>
        <v>177000</v>
      </c>
      <c r="H151" s="49">
        <f>VLOOKUP($A151,'Data shares'!$C:$FB,43)</f>
        <v>233400</v>
      </c>
      <c r="I151" s="50">
        <f>VLOOKUP($A151,'Data shares'!$C:$FB,45)*100</f>
        <v>-24.16</v>
      </c>
      <c r="J151" s="49">
        <f>VLOOKUP($A151,'Data shares'!$C:$FB,58)</f>
        <v>1122525</v>
      </c>
      <c r="K151" s="49">
        <f>VLOOKUP($A151,'Data shares'!$C:$FB,59)</f>
        <v>436575</v>
      </c>
      <c r="L151" s="50">
        <f>VLOOKUP($A151,'Data shares'!$C:$FB,61)*100</f>
        <v>157.12</v>
      </c>
      <c r="M151" s="49">
        <f>VLOOKUP($A151,'Data shares'!$C:$FB,62)</f>
        <v>628350</v>
      </c>
      <c r="N151" s="49">
        <f>VLOOKUP($A151,'Data shares'!$C:$FB,63)</f>
        <v>442575</v>
      </c>
      <c r="O151" s="140">
        <f>VLOOKUP($A151,'Data shares'!$C:$FB,65)*100</f>
        <v>41.980000000000004</v>
      </c>
    </row>
    <row r="152" spans="1:15" x14ac:dyDescent="0.25">
      <c r="A152" s="101" t="str">
        <f>'Data Vlaue (Cr)'!C147</f>
        <v>OIL</v>
      </c>
      <c r="B152" s="50">
        <f>VLOOKUP($A152,'Data shares'!$C:$FB,7)</f>
        <v>479.1</v>
      </c>
      <c r="C152" s="50">
        <f>VLOOKUP($A152,'Data shares'!$C:$FB,10)*100</f>
        <v>-2.64</v>
      </c>
      <c r="D152" s="49">
        <f>VLOOKUP($A152,'Data shares'!$C:$FB,66)</f>
        <v>47814200</v>
      </c>
      <c r="E152" s="49">
        <f>VLOOKUP($A152,'Data shares'!$C:$FB,67)</f>
        <v>108025400</v>
      </c>
      <c r="F152" s="50">
        <f>VLOOKUP($A152,'Data shares'!$C:$FB,69)*100</f>
        <v>-55.74</v>
      </c>
      <c r="G152" s="49">
        <f>VLOOKUP($A152,'Data shares'!$C:$FB,42)</f>
        <v>10087000</v>
      </c>
      <c r="H152" s="49">
        <f>VLOOKUP($A152,'Data shares'!$C:$FB,43)</f>
        <v>16732800</v>
      </c>
      <c r="I152" s="50">
        <f>VLOOKUP($A152,'Data shares'!$C:$FB,45)*100</f>
        <v>-39.72</v>
      </c>
      <c r="J152" s="49">
        <f>VLOOKUP($A152,'Data shares'!$C:$FB,58)</f>
        <v>28747600</v>
      </c>
      <c r="K152" s="49">
        <f>VLOOKUP($A152,'Data shares'!$C:$FB,59)</f>
        <v>74470200</v>
      </c>
      <c r="L152" s="50">
        <f>VLOOKUP($A152,'Data shares'!$C:$FB,61)*100</f>
        <v>-61.4</v>
      </c>
      <c r="M152" s="49">
        <f>VLOOKUP($A152,'Data shares'!$C:$FB,62)</f>
        <v>8979600</v>
      </c>
      <c r="N152" s="49">
        <f>VLOOKUP($A152,'Data shares'!$C:$FB,63)</f>
        <v>16822400</v>
      </c>
      <c r="O152" s="140">
        <f>VLOOKUP($A152,'Data shares'!$C:$FB,65)*100</f>
        <v>-46.62</v>
      </c>
    </row>
    <row r="153" spans="1:15" x14ac:dyDescent="0.25">
      <c r="A153" s="101" t="str">
        <f>'Data Vlaue (Cr)'!C148</f>
        <v>ONGC</v>
      </c>
      <c r="B153" s="50">
        <f>VLOOKUP($A153,'Data shares'!$C:$FB,7)</f>
        <v>276.35000000000002</v>
      </c>
      <c r="C153" s="50">
        <f>VLOOKUP($A153,'Data shares'!$C:$FB,10)*100</f>
        <v>-0.22</v>
      </c>
      <c r="D153" s="49">
        <f>VLOOKUP($A153,'Data shares'!$C:$FB,66)</f>
        <v>220767750</v>
      </c>
      <c r="E153" s="49">
        <f>VLOOKUP($A153,'Data shares'!$C:$FB,67)</f>
        <v>247743000</v>
      </c>
      <c r="F153" s="50">
        <f>VLOOKUP($A153,'Data shares'!$C:$FB,69)*100</f>
        <v>-10.89</v>
      </c>
      <c r="G153" s="49">
        <f>VLOOKUP($A153,'Data shares'!$C:$FB,42)</f>
        <v>43524000</v>
      </c>
      <c r="H153" s="49">
        <f>VLOOKUP($A153,'Data shares'!$C:$FB,43)</f>
        <v>47328750</v>
      </c>
      <c r="I153" s="50">
        <f>VLOOKUP($A153,'Data shares'!$C:$FB,45)*100</f>
        <v>-8.0399999999999991</v>
      </c>
      <c r="J153" s="49">
        <f>VLOOKUP($A153,'Data shares'!$C:$FB,58)</f>
        <v>122874750</v>
      </c>
      <c r="K153" s="49">
        <f>VLOOKUP($A153,'Data shares'!$C:$FB,59)</f>
        <v>141527250</v>
      </c>
      <c r="L153" s="50">
        <f>VLOOKUP($A153,'Data shares'!$C:$FB,61)*100</f>
        <v>-13.18</v>
      </c>
      <c r="M153" s="49">
        <f>VLOOKUP($A153,'Data shares'!$C:$FB,62)</f>
        <v>54369000</v>
      </c>
      <c r="N153" s="49">
        <f>VLOOKUP($A153,'Data shares'!$C:$FB,63)</f>
        <v>58887000</v>
      </c>
      <c r="O153" s="140">
        <f>VLOOKUP($A153,'Data shares'!$C:$FB,65)*100</f>
        <v>-7.6700000000000008</v>
      </c>
    </row>
    <row r="154" spans="1:15" x14ac:dyDescent="0.25">
      <c r="A154" s="101" t="str">
        <f>'Data Vlaue (Cr)'!C149</f>
        <v>PAGEIND</v>
      </c>
      <c r="B154" s="50">
        <f>VLOOKUP($A154,'Data shares'!$C:$FB,7)</f>
        <v>31525</v>
      </c>
      <c r="C154" s="50">
        <f>VLOOKUP($A154,'Data shares'!$C:$FB,10)*100</f>
        <v>1.76</v>
      </c>
      <c r="D154" s="49">
        <f>VLOOKUP($A154,'Data shares'!$C:$FB,66)</f>
        <v>145005</v>
      </c>
      <c r="E154" s="49">
        <f>VLOOKUP($A154,'Data shares'!$C:$FB,67)</f>
        <v>204885</v>
      </c>
      <c r="F154" s="50">
        <f>VLOOKUP($A154,'Data shares'!$C:$FB,69)*100</f>
        <v>-29.23</v>
      </c>
      <c r="G154" s="49">
        <f>VLOOKUP($A154,'Data shares'!$C:$FB,42)</f>
        <v>50820</v>
      </c>
      <c r="H154" s="49">
        <f>VLOOKUP($A154,'Data shares'!$C:$FB,43)</f>
        <v>31110</v>
      </c>
      <c r="I154" s="50">
        <f>VLOOKUP($A154,'Data shares'!$C:$FB,45)*100</f>
        <v>63.360000000000007</v>
      </c>
      <c r="J154" s="49">
        <f>VLOOKUP($A154,'Data shares'!$C:$FB,58)</f>
        <v>68340</v>
      </c>
      <c r="K154" s="49">
        <f>VLOOKUP($A154,'Data shares'!$C:$FB,59)</f>
        <v>148830</v>
      </c>
      <c r="L154" s="50">
        <f>VLOOKUP($A154,'Data shares'!$C:$FB,61)*100</f>
        <v>-54.08</v>
      </c>
      <c r="M154" s="49">
        <f>VLOOKUP($A154,'Data shares'!$C:$FB,62)</f>
        <v>25845</v>
      </c>
      <c r="N154" s="49">
        <f>VLOOKUP($A154,'Data shares'!$C:$FB,63)</f>
        <v>24945</v>
      </c>
      <c r="O154" s="140">
        <f>VLOOKUP($A154,'Data shares'!$C:$FB,65)*100</f>
        <v>3.61</v>
      </c>
    </row>
    <row r="155" spans="1:15" x14ac:dyDescent="0.25">
      <c r="A155" s="101" t="str">
        <f>'Data Vlaue (Cr)'!C150</f>
        <v>PATANJALI</v>
      </c>
      <c r="B155" s="50">
        <f>VLOOKUP($A155,'Data shares'!$C:$FB,7)</f>
        <v>499.8</v>
      </c>
      <c r="C155" s="50">
        <f>VLOOKUP($A155,'Data shares'!$C:$FB,10)*100</f>
        <v>-0.72</v>
      </c>
      <c r="D155" s="49">
        <f>VLOOKUP($A155,'Data shares'!$C:$FB,66)</f>
        <v>4457700</v>
      </c>
      <c r="E155" s="49">
        <f>VLOOKUP($A155,'Data shares'!$C:$FB,67)</f>
        <v>7859700</v>
      </c>
      <c r="F155" s="50">
        <f>VLOOKUP($A155,'Data shares'!$C:$FB,69)*100</f>
        <v>-43.28</v>
      </c>
      <c r="G155" s="49">
        <f>VLOOKUP($A155,'Data shares'!$C:$FB,42)</f>
        <v>2472300</v>
      </c>
      <c r="H155" s="49">
        <f>VLOOKUP($A155,'Data shares'!$C:$FB,43)</f>
        <v>4515300</v>
      </c>
      <c r="I155" s="50">
        <f>VLOOKUP($A155,'Data shares'!$C:$FB,45)*100</f>
        <v>-45.25</v>
      </c>
      <c r="J155" s="49">
        <f>VLOOKUP($A155,'Data shares'!$C:$FB,58)</f>
        <v>1486800</v>
      </c>
      <c r="K155" s="49">
        <f>VLOOKUP($A155,'Data shares'!$C:$FB,59)</f>
        <v>1933200</v>
      </c>
      <c r="L155" s="50">
        <f>VLOOKUP($A155,'Data shares'!$C:$FB,61)*100</f>
        <v>-23.09</v>
      </c>
      <c r="M155" s="49">
        <f>VLOOKUP($A155,'Data shares'!$C:$FB,62)</f>
        <v>498600</v>
      </c>
      <c r="N155" s="49">
        <f>VLOOKUP($A155,'Data shares'!$C:$FB,63)</f>
        <v>1411200</v>
      </c>
      <c r="O155" s="140">
        <f>VLOOKUP($A155,'Data shares'!$C:$FB,65)*100</f>
        <v>-64.67</v>
      </c>
    </row>
    <row r="156" spans="1:15" x14ac:dyDescent="0.25">
      <c r="A156" s="101" t="str">
        <f>'Data Vlaue (Cr)'!C151</f>
        <v>PAYTM</v>
      </c>
      <c r="B156" s="50">
        <f>VLOOKUP($A156,'Data shares'!$C:$FB,7)</f>
        <v>1052.9000000000001</v>
      </c>
      <c r="C156" s="50">
        <f>VLOOKUP($A156,'Data shares'!$C:$FB,10)*100</f>
        <v>0.71000000000000008</v>
      </c>
      <c r="D156" s="49">
        <f>VLOOKUP($A156,'Data shares'!$C:$FB,66)</f>
        <v>18151825</v>
      </c>
      <c r="E156" s="49">
        <f>VLOOKUP($A156,'Data shares'!$C:$FB,67)</f>
        <v>22110325</v>
      </c>
      <c r="F156" s="50">
        <f>VLOOKUP($A156,'Data shares'!$C:$FB,69)*100</f>
        <v>-17.899999999999999</v>
      </c>
      <c r="G156" s="49">
        <f>VLOOKUP($A156,'Data shares'!$C:$FB,42)</f>
        <v>4589975</v>
      </c>
      <c r="H156" s="49">
        <f>VLOOKUP($A156,'Data shares'!$C:$FB,43)</f>
        <v>6121900</v>
      </c>
      <c r="I156" s="50">
        <f>VLOOKUP($A156,'Data shares'!$C:$FB,45)*100</f>
        <v>-25.019999999999996</v>
      </c>
      <c r="J156" s="49">
        <f>VLOOKUP($A156,'Data shares'!$C:$FB,58)</f>
        <v>9318425</v>
      </c>
      <c r="K156" s="49">
        <f>VLOOKUP($A156,'Data shares'!$C:$FB,59)</f>
        <v>9314800</v>
      </c>
      <c r="L156" s="50">
        <f>VLOOKUP($A156,'Data shares'!$C:$FB,61)*100</f>
        <v>0.04</v>
      </c>
      <c r="M156" s="49">
        <f>VLOOKUP($A156,'Data shares'!$C:$FB,62)</f>
        <v>4243425</v>
      </c>
      <c r="N156" s="49">
        <f>VLOOKUP($A156,'Data shares'!$C:$FB,63)</f>
        <v>6673625</v>
      </c>
      <c r="O156" s="140">
        <f>VLOOKUP($A156,'Data shares'!$C:$FB,65)*100</f>
        <v>-36.409999999999997</v>
      </c>
    </row>
    <row r="157" spans="1:15" x14ac:dyDescent="0.25">
      <c r="A157" s="101" t="str">
        <f>'Data Vlaue (Cr)'!C152</f>
        <v>PERSISTENT</v>
      </c>
      <c r="B157" s="50">
        <f>VLOOKUP($A157,'Data shares'!$C:$FB,7)</f>
        <v>4641.7</v>
      </c>
      <c r="C157" s="50">
        <f>VLOOKUP($A157,'Data shares'!$C:$FB,10)*100</f>
        <v>-1.43</v>
      </c>
      <c r="D157" s="49">
        <f>VLOOKUP($A157,'Data shares'!$C:$FB,66)</f>
        <v>5221900</v>
      </c>
      <c r="E157" s="49">
        <f>VLOOKUP($A157,'Data shares'!$C:$FB,67)</f>
        <v>5074400</v>
      </c>
      <c r="F157" s="50">
        <f>VLOOKUP($A157,'Data shares'!$C:$FB,69)*100</f>
        <v>2.91</v>
      </c>
      <c r="G157" s="49">
        <f>VLOOKUP($A157,'Data shares'!$C:$FB,42)</f>
        <v>912000</v>
      </c>
      <c r="H157" s="49">
        <f>VLOOKUP($A157,'Data shares'!$C:$FB,43)</f>
        <v>1038900</v>
      </c>
      <c r="I157" s="50">
        <f>VLOOKUP($A157,'Data shares'!$C:$FB,45)*100</f>
        <v>-12.21</v>
      </c>
      <c r="J157" s="49">
        <f>VLOOKUP($A157,'Data shares'!$C:$FB,58)</f>
        <v>2370000</v>
      </c>
      <c r="K157" s="49">
        <f>VLOOKUP($A157,'Data shares'!$C:$FB,59)</f>
        <v>2509300</v>
      </c>
      <c r="L157" s="50">
        <f>VLOOKUP($A157,'Data shares'!$C:$FB,61)*100</f>
        <v>-5.55</v>
      </c>
      <c r="M157" s="49">
        <f>VLOOKUP($A157,'Data shares'!$C:$FB,62)</f>
        <v>1939900</v>
      </c>
      <c r="N157" s="49">
        <f>VLOOKUP($A157,'Data shares'!$C:$FB,63)</f>
        <v>1526200</v>
      </c>
      <c r="O157" s="140">
        <f>VLOOKUP($A157,'Data shares'!$C:$FB,65)*100</f>
        <v>27.11</v>
      </c>
    </row>
    <row r="158" spans="1:15" x14ac:dyDescent="0.25">
      <c r="A158" s="101" t="str">
        <f>'Data Vlaue (Cr)'!C153</f>
        <v>PETRONET</v>
      </c>
      <c r="B158" s="50">
        <f>VLOOKUP($A158,'Data shares'!$C:$FB,7)</f>
        <v>293.05</v>
      </c>
      <c r="C158" s="50">
        <f>VLOOKUP($A158,'Data shares'!$C:$FB,10)*100</f>
        <v>4.66</v>
      </c>
      <c r="D158" s="49">
        <f>VLOOKUP($A158,'Data shares'!$C:$FB,66)</f>
        <v>104564600</v>
      </c>
      <c r="E158" s="49">
        <f>VLOOKUP($A158,'Data shares'!$C:$FB,67)</f>
        <v>178332100</v>
      </c>
      <c r="F158" s="50">
        <f>VLOOKUP($A158,'Data shares'!$C:$FB,69)*100</f>
        <v>-41.370000000000005</v>
      </c>
      <c r="G158" s="49">
        <f>VLOOKUP($A158,'Data shares'!$C:$FB,42)</f>
        <v>20647300</v>
      </c>
      <c r="H158" s="49">
        <f>VLOOKUP($A158,'Data shares'!$C:$FB,43)</f>
        <v>38659300</v>
      </c>
      <c r="I158" s="50">
        <f>VLOOKUP($A158,'Data shares'!$C:$FB,45)*100</f>
        <v>-46.589999999999996</v>
      </c>
      <c r="J158" s="49">
        <f>VLOOKUP($A158,'Data shares'!$C:$FB,58)</f>
        <v>43853900</v>
      </c>
      <c r="K158" s="49">
        <f>VLOOKUP($A158,'Data shares'!$C:$FB,59)</f>
        <v>52510300</v>
      </c>
      <c r="L158" s="50">
        <f>VLOOKUP($A158,'Data shares'!$C:$FB,61)*100</f>
        <v>-16.489999999999998</v>
      </c>
      <c r="M158" s="49">
        <f>VLOOKUP($A158,'Data shares'!$C:$FB,62)</f>
        <v>40063400</v>
      </c>
      <c r="N158" s="49">
        <f>VLOOKUP($A158,'Data shares'!$C:$FB,63)</f>
        <v>87162500</v>
      </c>
      <c r="O158" s="140">
        <f>VLOOKUP($A158,'Data shares'!$C:$FB,65)*100</f>
        <v>-54.04</v>
      </c>
    </row>
    <row r="159" spans="1:15" x14ac:dyDescent="0.25">
      <c r="A159" s="101" t="str">
        <f>'Data Vlaue (Cr)'!C154</f>
        <v>PFC</v>
      </c>
      <c r="B159" s="50">
        <f>VLOOKUP($A159,'Data shares'!$C:$FB,7)</f>
        <v>413.65</v>
      </c>
      <c r="C159" s="50">
        <f>VLOOKUP($A159,'Data shares'!$C:$FB,10)*100</f>
        <v>4.3099999999999996</v>
      </c>
      <c r="D159" s="49">
        <f>VLOOKUP($A159,'Data shares'!$C:$FB,66)</f>
        <v>72846800</v>
      </c>
      <c r="E159" s="49">
        <f>VLOOKUP($A159,'Data shares'!$C:$FB,67)</f>
        <v>45818500</v>
      </c>
      <c r="F159" s="50">
        <f>VLOOKUP($A159,'Data shares'!$C:$FB,69)*100</f>
        <v>58.989999999999995</v>
      </c>
      <c r="G159" s="49">
        <f>VLOOKUP($A159,'Data shares'!$C:$FB,42)</f>
        <v>14606800</v>
      </c>
      <c r="H159" s="49">
        <f>VLOOKUP($A159,'Data shares'!$C:$FB,43)</f>
        <v>14743300</v>
      </c>
      <c r="I159" s="50">
        <f>VLOOKUP($A159,'Data shares'!$C:$FB,45)*100</f>
        <v>-0.92999999999999994</v>
      </c>
      <c r="J159" s="49">
        <f>VLOOKUP($A159,'Data shares'!$C:$FB,58)</f>
        <v>38586600</v>
      </c>
      <c r="K159" s="49">
        <f>VLOOKUP($A159,'Data shares'!$C:$FB,59)</f>
        <v>19259500</v>
      </c>
      <c r="L159" s="50">
        <f>VLOOKUP($A159,'Data shares'!$C:$FB,61)*100</f>
        <v>100.35000000000001</v>
      </c>
      <c r="M159" s="49">
        <f>VLOOKUP($A159,'Data shares'!$C:$FB,62)</f>
        <v>19653400</v>
      </c>
      <c r="N159" s="49">
        <f>VLOOKUP($A159,'Data shares'!$C:$FB,63)</f>
        <v>11815700</v>
      </c>
      <c r="O159" s="140">
        <f>VLOOKUP($A159,'Data shares'!$C:$FB,65)*100</f>
        <v>66.33</v>
      </c>
    </row>
    <row r="160" spans="1:15" x14ac:dyDescent="0.25">
      <c r="A160" s="101" t="str">
        <f>'Data Vlaue (Cr)'!C155</f>
        <v>PGEL</v>
      </c>
      <c r="B160" s="50">
        <f>VLOOKUP($A160,'Data shares'!$C:$FB,7)</f>
        <v>614.45000000000005</v>
      </c>
      <c r="C160" s="50">
        <f>VLOOKUP($A160,'Data shares'!$C:$FB,10)*100</f>
        <v>3.63</v>
      </c>
      <c r="D160" s="49">
        <f>VLOOKUP($A160,'Data shares'!$C:$FB,66)</f>
        <v>17339400</v>
      </c>
      <c r="E160" s="49">
        <f>VLOOKUP($A160,'Data shares'!$C:$FB,67)</f>
        <v>16061650</v>
      </c>
      <c r="F160" s="50">
        <f>VLOOKUP($A160,'Data shares'!$C:$FB,69)*100</f>
        <v>7.9600000000000009</v>
      </c>
      <c r="G160" s="49">
        <f>VLOOKUP($A160,'Data shares'!$C:$FB,42)</f>
        <v>4806050</v>
      </c>
      <c r="H160" s="49">
        <f>VLOOKUP($A160,'Data shares'!$C:$FB,43)</f>
        <v>3830400</v>
      </c>
      <c r="I160" s="50">
        <f>VLOOKUP($A160,'Data shares'!$C:$FB,45)*100</f>
        <v>25.47</v>
      </c>
      <c r="J160" s="49">
        <f>VLOOKUP($A160,'Data shares'!$C:$FB,58)</f>
        <v>8645000</v>
      </c>
      <c r="K160" s="49">
        <f>VLOOKUP($A160,'Data shares'!$C:$FB,59)</f>
        <v>6179750</v>
      </c>
      <c r="L160" s="50">
        <f>VLOOKUP($A160,'Data shares'!$C:$FB,61)*100</f>
        <v>39.89</v>
      </c>
      <c r="M160" s="49">
        <f>VLOOKUP($A160,'Data shares'!$C:$FB,62)</f>
        <v>3888350</v>
      </c>
      <c r="N160" s="49">
        <f>VLOOKUP($A160,'Data shares'!$C:$FB,63)</f>
        <v>6051500</v>
      </c>
      <c r="O160" s="140">
        <f>VLOOKUP($A160,'Data shares'!$C:$FB,65)*100</f>
        <v>-35.75</v>
      </c>
    </row>
    <row r="161" spans="1:15" x14ac:dyDescent="0.25">
      <c r="A161" s="101" t="str">
        <f>'Data Vlaue (Cr)'!C156</f>
        <v>PHOENIXLTD</v>
      </c>
      <c r="B161" s="50">
        <f>VLOOKUP($A161,'Data shares'!$C:$FB,7)</f>
        <v>1633.6</v>
      </c>
      <c r="C161" s="50">
        <f>VLOOKUP($A161,'Data shares'!$C:$FB,10)*100</f>
        <v>1.4000000000000001</v>
      </c>
      <c r="D161" s="49">
        <f>VLOOKUP($A161,'Data shares'!$C:$FB,66)</f>
        <v>6462750</v>
      </c>
      <c r="E161" s="49">
        <f>VLOOKUP($A161,'Data shares'!$C:$FB,67)</f>
        <v>1541400</v>
      </c>
      <c r="F161" s="50">
        <f>VLOOKUP($A161,'Data shares'!$C:$FB,69)*100</f>
        <v>319.28000000000003</v>
      </c>
      <c r="G161" s="49">
        <f>VLOOKUP($A161,'Data shares'!$C:$FB,42)</f>
        <v>1520750</v>
      </c>
      <c r="H161" s="49">
        <f>VLOOKUP($A161,'Data shares'!$C:$FB,43)</f>
        <v>407050</v>
      </c>
      <c r="I161" s="50">
        <f>VLOOKUP($A161,'Data shares'!$C:$FB,45)*100</f>
        <v>273.60000000000002</v>
      </c>
      <c r="J161" s="49">
        <f>VLOOKUP($A161,'Data shares'!$C:$FB,58)</f>
        <v>3165750</v>
      </c>
      <c r="K161" s="49">
        <f>VLOOKUP($A161,'Data shares'!$C:$FB,59)</f>
        <v>683550</v>
      </c>
      <c r="L161" s="50">
        <f>VLOOKUP($A161,'Data shares'!$C:$FB,61)*100</f>
        <v>363.13</v>
      </c>
      <c r="M161" s="49">
        <f>VLOOKUP($A161,'Data shares'!$C:$FB,62)</f>
        <v>1776250</v>
      </c>
      <c r="N161" s="49">
        <f>VLOOKUP($A161,'Data shares'!$C:$FB,63)</f>
        <v>450800</v>
      </c>
      <c r="O161" s="140">
        <f>VLOOKUP($A161,'Data shares'!$C:$FB,65)*100</f>
        <v>294.02</v>
      </c>
    </row>
    <row r="162" spans="1:15" x14ac:dyDescent="0.25">
      <c r="A162" s="101" t="str">
        <f>'Data Vlaue (Cr)'!C157</f>
        <v>PIDILITIND</v>
      </c>
      <c r="B162" s="50">
        <f>VLOOKUP($A162,'Data shares'!$C:$FB,7)</f>
        <v>1445.9</v>
      </c>
      <c r="C162" s="50">
        <f>VLOOKUP($A162,'Data shares'!$C:$FB,10)*100</f>
        <v>0.47000000000000003</v>
      </c>
      <c r="D162" s="49">
        <f>VLOOKUP($A162,'Data shares'!$C:$FB,66)</f>
        <v>2797000</v>
      </c>
      <c r="E162" s="49">
        <f>VLOOKUP($A162,'Data shares'!$C:$FB,67)</f>
        <v>3642500</v>
      </c>
      <c r="F162" s="50">
        <f>VLOOKUP($A162,'Data shares'!$C:$FB,69)*100</f>
        <v>-23.21</v>
      </c>
      <c r="G162" s="49">
        <f>VLOOKUP($A162,'Data shares'!$C:$FB,42)</f>
        <v>1060500</v>
      </c>
      <c r="H162" s="49">
        <f>VLOOKUP($A162,'Data shares'!$C:$FB,43)</f>
        <v>1270000</v>
      </c>
      <c r="I162" s="50">
        <f>VLOOKUP($A162,'Data shares'!$C:$FB,45)*100</f>
        <v>-16.5</v>
      </c>
      <c r="J162" s="49">
        <f>VLOOKUP($A162,'Data shares'!$C:$FB,58)</f>
        <v>1201000</v>
      </c>
      <c r="K162" s="49">
        <f>VLOOKUP($A162,'Data shares'!$C:$FB,59)</f>
        <v>1475500</v>
      </c>
      <c r="L162" s="50">
        <f>VLOOKUP($A162,'Data shares'!$C:$FB,61)*100</f>
        <v>-18.600000000000001</v>
      </c>
      <c r="M162" s="49">
        <f>VLOOKUP($A162,'Data shares'!$C:$FB,62)</f>
        <v>535500</v>
      </c>
      <c r="N162" s="49">
        <f>VLOOKUP($A162,'Data shares'!$C:$FB,63)</f>
        <v>897000</v>
      </c>
      <c r="O162" s="140">
        <f>VLOOKUP($A162,'Data shares'!$C:$FB,65)*100</f>
        <v>-40.300000000000004</v>
      </c>
    </row>
    <row r="163" spans="1:15" x14ac:dyDescent="0.25">
      <c r="A163" s="101" t="str">
        <f>'Data Vlaue (Cr)'!C158</f>
        <v>PIIND</v>
      </c>
      <c r="B163" s="50">
        <f>VLOOKUP($A163,'Data shares'!$C:$FB,7)</f>
        <v>3089</v>
      </c>
      <c r="C163" s="50">
        <f>VLOOKUP($A163,'Data shares'!$C:$FB,10)*100</f>
        <v>0.83</v>
      </c>
      <c r="D163" s="49">
        <f>VLOOKUP($A163,'Data shares'!$C:$FB,66)</f>
        <v>1044400</v>
      </c>
      <c r="E163" s="49">
        <f>VLOOKUP($A163,'Data shares'!$C:$FB,67)</f>
        <v>1416100</v>
      </c>
      <c r="F163" s="50">
        <f>VLOOKUP($A163,'Data shares'!$C:$FB,69)*100</f>
        <v>-26.25</v>
      </c>
      <c r="G163" s="49">
        <f>VLOOKUP($A163,'Data shares'!$C:$FB,42)</f>
        <v>369075</v>
      </c>
      <c r="H163" s="49">
        <f>VLOOKUP($A163,'Data shares'!$C:$FB,43)</f>
        <v>440475</v>
      </c>
      <c r="I163" s="50">
        <f>VLOOKUP($A163,'Data shares'!$C:$FB,45)*100</f>
        <v>-16.21</v>
      </c>
      <c r="J163" s="49">
        <f>VLOOKUP($A163,'Data shares'!$C:$FB,58)</f>
        <v>486150</v>
      </c>
      <c r="K163" s="49">
        <f>VLOOKUP($A163,'Data shares'!$C:$FB,59)</f>
        <v>581350</v>
      </c>
      <c r="L163" s="50">
        <f>VLOOKUP($A163,'Data shares'!$C:$FB,61)*100</f>
        <v>-16.38</v>
      </c>
      <c r="M163" s="49">
        <f>VLOOKUP($A163,'Data shares'!$C:$FB,62)</f>
        <v>189175</v>
      </c>
      <c r="N163" s="49">
        <f>VLOOKUP($A163,'Data shares'!$C:$FB,63)</f>
        <v>394275</v>
      </c>
      <c r="O163" s="140">
        <f>VLOOKUP($A163,'Data shares'!$C:$FB,65)*100</f>
        <v>-52.019999999999996</v>
      </c>
    </row>
    <row r="164" spans="1:15" x14ac:dyDescent="0.25">
      <c r="A164" s="101" t="str">
        <f>'Data Vlaue (Cr)'!C159</f>
        <v>PNB</v>
      </c>
      <c r="B164" s="50">
        <f>VLOOKUP($A164,'Data shares'!$C:$FB,7)</f>
        <v>122.2</v>
      </c>
      <c r="C164" s="50">
        <f>VLOOKUP($A164,'Data shares'!$C:$FB,10)*100</f>
        <v>0.67999999999999994</v>
      </c>
      <c r="D164" s="49">
        <f>VLOOKUP($A164,'Data shares'!$C:$FB,66)</f>
        <v>234560000</v>
      </c>
      <c r="E164" s="49">
        <f>VLOOKUP($A164,'Data shares'!$C:$FB,67)</f>
        <v>301448000</v>
      </c>
      <c r="F164" s="50">
        <f>VLOOKUP($A164,'Data shares'!$C:$FB,69)*100</f>
        <v>-22.189999999999998</v>
      </c>
      <c r="G164" s="49">
        <f>VLOOKUP($A164,'Data shares'!$C:$FB,42)</f>
        <v>58800000</v>
      </c>
      <c r="H164" s="49">
        <f>VLOOKUP($A164,'Data shares'!$C:$FB,43)</f>
        <v>75432000</v>
      </c>
      <c r="I164" s="50">
        <f>VLOOKUP($A164,'Data shares'!$C:$FB,45)*100</f>
        <v>-22.05</v>
      </c>
      <c r="J164" s="49">
        <f>VLOOKUP($A164,'Data shares'!$C:$FB,58)</f>
        <v>99984000</v>
      </c>
      <c r="K164" s="49">
        <f>VLOOKUP($A164,'Data shares'!$C:$FB,59)</f>
        <v>124840000</v>
      </c>
      <c r="L164" s="50">
        <f>VLOOKUP($A164,'Data shares'!$C:$FB,61)*100</f>
        <v>-19.91</v>
      </c>
      <c r="M164" s="49">
        <f>VLOOKUP($A164,'Data shares'!$C:$FB,62)</f>
        <v>75776000</v>
      </c>
      <c r="N164" s="49">
        <f>VLOOKUP($A164,'Data shares'!$C:$FB,63)</f>
        <v>101176000</v>
      </c>
      <c r="O164" s="140">
        <f>VLOOKUP($A164,'Data shares'!$C:$FB,65)*100</f>
        <v>-25.1</v>
      </c>
    </row>
    <row r="165" spans="1:15" x14ac:dyDescent="0.25">
      <c r="A165" s="101" t="str">
        <f>'Data Vlaue (Cr)'!C160</f>
        <v>PNBHOUSING</v>
      </c>
      <c r="B165" s="50">
        <f>VLOOKUP($A165,'Data shares'!$C:$FB,7)</f>
        <v>790.65</v>
      </c>
      <c r="C165" s="50">
        <f>VLOOKUP($A165,'Data shares'!$C:$FB,10)*100</f>
        <v>0.96</v>
      </c>
      <c r="D165" s="49">
        <f>VLOOKUP($A165,'Data shares'!$C:$FB,66)</f>
        <v>3798600</v>
      </c>
      <c r="E165" s="49">
        <f>VLOOKUP($A165,'Data shares'!$C:$FB,67)</f>
        <v>5975450</v>
      </c>
      <c r="F165" s="50">
        <f>VLOOKUP($A165,'Data shares'!$C:$FB,69)*100</f>
        <v>-36.43</v>
      </c>
      <c r="G165" s="49">
        <f>VLOOKUP($A165,'Data shares'!$C:$FB,42)</f>
        <v>1764100</v>
      </c>
      <c r="H165" s="49">
        <f>VLOOKUP($A165,'Data shares'!$C:$FB,43)</f>
        <v>2163200</v>
      </c>
      <c r="I165" s="50">
        <f>VLOOKUP($A165,'Data shares'!$C:$FB,45)*100</f>
        <v>-18.45</v>
      </c>
      <c r="J165" s="49">
        <f>VLOOKUP($A165,'Data shares'!$C:$FB,58)</f>
        <v>1153100</v>
      </c>
      <c r="K165" s="49">
        <f>VLOOKUP($A165,'Data shares'!$C:$FB,59)</f>
        <v>2197650</v>
      </c>
      <c r="L165" s="50">
        <f>VLOOKUP($A165,'Data shares'!$C:$FB,61)*100</f>
        <v>-47.53</v>
      </c>
      <c r="M165" s="49">
        <f>VLOOKUP($A165,'Data shares'!$C:$FB,62)</f>
        <v>881400</v>
      </c>
      <c r="N165" s="49">
        <f>VLOOKUP($A165,'Data shares'!$C:$FB,63)</f>
        <v>1614600</v>
      </c>
      <c r="O165" s="140">
        <f>VLOOKUP($A165,'Data shares'!$C:$FB,65)*100</f>
        <v>-45.410000000000004</v>
      </c>
    </row>
    <row r="166" spans="1:15" x14ac:dyDescent="0.25">
      <c r="A166" s="101" t="str">
        <f>'Data Vlaue (Cr)'!C161</f>
        <v>POLICYBZR</v>
      </c>
      <c r="B166" s="50">
        <f>VLOOKUP($A166,'Data shares'!$C:$FB,7)</f>
        <v>1472.8</v>
      </c>
      <c r="C166" s="50">
        <f>VLOOKUP($A166,'Data shares'!$C:$FB,10)*100</f>
        <v>-0.49</v>
      </c>
      <c r="D166" s="49">
        <f>VLOOKUP($A166,'Data shares'!$C:$FB,66)</f>
        <v>3437000</v>
      </c>
      <c r="E166" s="49">
        <f>VLOOKUP($A166,'Data shares'!$C:$FB,67)</f>
        <v>4517100</v>
      </c>
      <c r="F166" s="50">
        <f>VLOOKUP($A166,'Data shares'!$C:$FB,69)*100</f>
        <v>-23.91</v>
      </c>
      <c r="G166" s="49">
        <f>VLOOKUP($A166,'Data shares'!$C:$FB,42)</f>
        <v>1391600</v>
      </c>
      <c r="H166" s="49">
        <f>VLOOKUP($A166,'Data shares'!$C:$FB,43)</f>
        <v>1615250</v>
      </c>
      <c r="I166" s="50">
        <f>VLOOKUP($A166,'Data shares'!$C:$FB,45)*100</f>
        <v>-13.850000000000001</v>
      </c>
      <c r="J166" s="49">
        <f>VLOOKUP($A166,'Data shares'!$C:$FB,58)</f>
        <v>1357300</v>
      </c>
      <c r="K166" s="49">
        <f>VLOOKUP($A166,'Data shares'!$C:$FB,59)</f>
        <v>1744050</v>
      </c>
      <c r="L166" s="50">
        <f>VLOOKUP($A166,'Data shares'!$C:$FB,61)*100</f>
        <v>-22.18</v>
      </c>
      <c r="M166" s="49">
        <f>VLOOKUP($A166,'Data shares'!$C:$FB,62)</f>
        <v>688100</v>
      </c>
      <c r="N166" s="49">
        <f>VLOOKUP($A166,'Data shares'!$C:$FB,63)</f>
        <v>1157800</v>
      </c>
      <c r="O166" s="140">
        <f>VLOOKUP($A166,'Data shares'!$C:$FB,65)*100</f>
        <v>-40.57</v>
      </c>
    </row>
    <row r="167" spans="1:15" x14ac:dyDescent="0.25">
      <c r="A167" s="101" t="str">
        <f>'Data Vlaue (Cr)'!C162</f>
        <v>POLYCAB</v>
      </c>
      <c r="B167" s="50">
        <f>VLOOKUP($A167,'Data shares'!$C:$FB,7)</f>
        <v>8564</v>
      </c>
      <c r="C167" s="50">
        <f>VLOOKUP($A167,'Data shares'!$C:$FB,10)*100</f>
        <v>3.38</v>
      </c>
      <c r="D167" s="49">
        <f>VLOOKUP($A167,'Data shares'!$C:$FB,66)</f>
        <v>5454375</v>
      </c>
      <c r="E167" s="49">
        <f>VLOOKUP($A167,'Data shares'!$C:$FB,67)</f>
        <v>6490125</v>
      </c>
      <c r="F167" s="50">
        <f>VLOOKUP($A167,'Data shares'!$C:$FB,69)*100</f>
        <v>-15.959999999999999</v>
      </c>
      <c r="G167" s="49">
        <f>VLOOKUP($A167,'Data shares'!$C:$FB,42)</f>
        <v>1181250</v>
      </c>
      <c r="H167" s="49">
        <f>VLOOKUP($A167,'Data shares'!$C:$FB,43)</f>
        <v>914125</v>
      </c>
      <c r="I167" s="50">
        <f>VLOOKUP($A167,'Data shares'!$C:$FB,45)*100</f>
        <v>29.220000000000002</v>
      </c>
      <c r="J167" s="49">
        <f>VLOOKUP($A167,'Data shares'!$C:$FB,58)</f>
        <v>2248000</v>
      </c>
      <c r="K167" s="49">
        <f>VLOOKUP($A167,'Data shares'!$C:$FB,59)</f>
        <v>1838375</v>
      </c>
      <c r="L167" s="50">
        <f>VLOOKUP($A167,'Data shares'!$C:$FB,61)*100</f>
        <v>22.28</v>
      </c>
      <c r="M167" s="49">
        <f>VLOOKUP($A167,'Data shares'!$C:$FB,62)</f>
        <v>2025125</v>
      </c>
      <c r="N167" s="49">
        <f>VLOOKUP($A167,'Data shares'!$C:$FB,63)</f>
        <v>3737625</v>
      </c>
      <c r="O167" s="140">
        <f>VLOOKUP($A167,'Data shares'!$C:$FB,65)*100</f>
        <v>-45.82</v>
      </c>
    </row>
    <row r="168" spans="1:15" x14ac:dyDescent="0.25">
      <c r="A168" s="101" t="str">
        <f>'Data Vlaue (Cr)'!C163</f>
        <v>POWERGRID</v>
      </c>
      <c r="B168" s="50">
        <f>VLOOKUP($A168,'Data shares'!$C:$FB,7)</f>
        <v>299.45</v>
      </c>
      <c r="C168" s="50">
        <f>VLOOKUP($A168,'Data shares'!$C:$FB,10)*100</f>
        <v>2.5700000000000003</v>
      </c>
      <c r="D168" s="49">
        <f>VLOOKUP($A168,'Data shares'!$C:$FB,66)</f>
        <v>64738700</v>
      </c>
      <c r="E168" s="49">
        <f>VLOOKUP($A168,'Data shares'!$C:$FB,67)</f>
        <v>68403800</v>
      </c>
      <c r="F168" s="50">
        <f>VLOOKUP($A168,'Data shares'!$C:$FB,69)*100</f>
        <v>-5.36</v>
      </c>
      <c r="G168" s="49">
        <f>VLOOKUP($A168,'Data shares'!$C:$FB,42)</f>
        <v>10773000</v>
      </c>
      <c r="H168" s="49">
        <f>VLOOKUP($A168,'Data shares'!$C:$FB,43)</f>
        <v>10328400</v>
      </c>
      <c r="I168" s="50">
        <f>VLOOKUP($A168,'Data shares'!$C:$FB,45)*100</f>
        <v>4.3</v>
      </c>
      <c r="J168" s="49">
        <f>VLOOKUP($A168,'Data shares'!$C:$FB,58)</f>
        <v>37933500</v>
      </c>
      <c r="K168" s="49">
        <f>VLOOKUP($A168,'Data shares'!$C:$FB,59)</f>
        <v>35452100</v>
      </c>
      <c r="L168" s="50">
        <f>VLOOKUP($A168,'Data shares'!$C:$FB,61)*100</f>
        <v>7.0000000000000009</v>
      </c>
      <c r="M168" s="49">
        <f>VLOOKUP($A168,'Data shares'!$C:$FB,62)</f>
        <v>16032200</v>
      </c>
      <c r="N168" s="49">
        <f>VLOOKUP($A168,'Data shares'!$C:$FB,63)</f>
        <v>22623300</v>
      </c>
      <c r="O168" s="140">
        <f>VLOOKUP($A168,'Data shares'!$C:$FB,65)*100</f>
        <v>-29.13</v>
      </c>
    </row>
    <row r="169" spans="1:15" x14ac:dyDescent="0.25">
      <c r="A169" s="101" t="str">
        <f>'Data Vlaue (Cr)'!C164</f>
        <v>POWERINDIA</v>
      </c>
      <c r="B169" s="50">
        <f>VLOOKUP($A169,'Data shares'!$C:$FB,7)</f>
        <v>25305</v>
      </c>
      <c r="C169" s="50">
        <f>VLOOKUP($A169,'Data shares'!$C:$FB,10)*100</f>
        <v>3.29</v>
      </c>
      <c r="D169" s="49">
        <f>VLOOKUP($A169,'Data shares'!$C:$FB,66)</f>
        <v>624050</v>
      </c>
      <c r="E169" s="49">
        <f>VLOOKUP($A169,'Data shares'!$C:$FB,67)</f>
        <v>546650</v>
      </c>
      <c r="F169" s="50">
        <f>VLOOKUP($A169,'Data shares'!$C:$FB,69)*100</f>
        <v>14.16</v>
      </c>
      <c r="G169" s="49">
        <f>VLOOKUP($A169,'Data shares'!$C:$FB,42)</f>
        <v>127400</v>
      </c>
      <c r="H169" s="49">
        <f>VLOOKUP($A169,'Data shares'!$C:$FB,43)</f>
        <v>141850</v>
      </c>
      <c r="I169" s="50">
        <f>VLOOKUP($A169,'Data shares'!$C:$FB,45)*100</f>
        <v>-10.190000000000001</v>
      </c>
      <c r="J169" s="49">
        <f>VLOOKUP($A169,'Data shares'!$C:$FB,58)</f>
        <v>360250</v>
      </c>
      <c r="K169" s="49">
        <f>VLOOKUP($A169,'Data shares'!$C:$FB,59)</f>
        <v>197100</v>
      </c>
      <c r="L169" s="50">
        <f>VLOOKUP($A169,'Data shares'!$C:$FB,61)*100</f>
        <v>82.78</v>
      </c>
      <c r="M169" s="49">
        <f>VLOOKUP($A169,'Data shares'!$C:$FB,62)</f>
        <v>136400</v>
      </c>
      <c r="N169" s="49">
        <f>VLOOKUP($A169,'Data shares'!$C:$FB,63)</f>
        <v>207700</v>
      </c>
      <c r="O169" s="140">
        <f>VLOOKUP($A169,'Data shares'!$C:$FB,65)*100</f>
        <v>-34.33</v>
      </c>
    </row>
    <row r="170" spans="1:15" x14ac:dyDescent="0.25">
      <c r="A170" s="101" t="str">
        <f>'Data Vlaue (Cr)'!C165</f>
        <v>PPLPHARMA</v>
      </c>
      <c r="B170" s="50">
        <f>VLOOKUP($A170,'Data shares'!$C:$FB,7)</f>
        <v>153.30000000000001</v>
      </c>
      <c r="C170" s="50">
        <f>VLOOKUP($A170,'Data shares'!$C:$FB,10)*100</f>
        <v>0.65</v>
      </c>
      <c r="D170" s="49">
        <f>VLOOKUP($A170,'Data shares'!$C:$FB,66)</f>
        <v>6181875</v>
      </c>
      <c r="E170" s="49">
        <f>VLOOKUP($A170,'Data shares'!$C:$FB,67)</f>
        <v>7943250</v>
      </c>
      <c r="F170" s="50">
        <f>VLOOKUP($A170,'Data shares'!$C:$FB,69)*100</f>
        <v>-22.17</v>
      </c>
      <c r="G170" s="49">
        <f>VLOOKUP($A170,'Data shares'!$C:$FB,42)</f>
        <v>2596125</v>
      </c>
      <c r="H170" s="49">
        <f>VLOOKUP($A170,'Data shares'!$C:$FB,43)</f>
        <v>2606625</v>
      </c>
      <c r="I170" s="50">
        <f>VLOOKUP($A170,'Data shares'!$C:$FB,45)*100</f>
        <v>-0.4</v>
      </c>
      <c r="J170" s="49">
        <f>VLOOKUP($A170,'Data shares'!$C:$FB,58)</f>
        <v>2819250</v>
      </c>
      <c r="K170" s="49">
        <f>VLOOKUP($A170,'Data shares'!$C:$FB,59)</f>
        <v>3677625</v>
      </c>
      <c r="L170" s="50">
        <f>VLOOKUP($A170,'Data shares'!$C:$FB,61)*100</f>
        <v>-23.34</v>
      </c>
      <c r="M170" s="49">
        <f>VLOOKUP($A170,'Data shares'!$C:$FB,62)</f>
        <v>766500</v>
      </c>
      <c r="N170" s="49">
        <f>VLOOKUP($A170,'Data shares'!$C:$FB,63)</f>
        <v>1659000</v>
      </c>
      <c r="O170" s="140">
        <f>VLOOKUP($A170,'Data shares'!$C:$FB,65)*100</f>
        <v>-53.800000000000004</v>
      </c>
    </row>
    <row r="171" spans="1:15" x14ac:dyDescent="0.25">
      <c r="A171" s="101" t="str">
        <f>'Data Vlaue (Cr)'!C166</f>
        <v>PREMIERENE</v>
      </c>
      <c r="B171" s="50">
        <f>VLOOKUP($A171,'Data shares'!$C:$FB,7)</f>
        <v>720.1</v>
      </c>
      <c r="C171" s="50">
        <f>VLOOKUP($A171,'Data shares'!$C:$FB,10)*100</f>
        <v>1.97</v>
      </c>
      <c r="D171" s="49">
        <f>VLOOKUP($A171,'Data shares'!$C:$FB,66)</f>
        <v>6957500</v>
      </c>
      <c r="E171" s="49">
        <f>VLOOKUP($A171,'Data shares'!$C:$FB,67)</f>
        <v>4539050</v>
      </c>
      <c r="F171" s="50">
        <f>VLOOKUP($A171,'Data shares'!$C:$FB,69)*100</f>
        <v>53.280000000000008</v>
      </c>
      <c r="G171" s="49">
        <f>VLOOKUP($A171,'Data shares'!$C:$FB,42)</f>
        <v>2570825</v>
      </c>
      <c r="H171" s="49">
        <f>VLOOKUP($A171,'Data shares'!$C:$FB,43)</f>
        <v>1252350</v>
      </c>
      <c r="I171" s="50">
        <f>VLOOKUP($A171,'Data shares'!$C:$FB,45)*100</f>
        <v>105.28</v>
      </c>
      <c r="J171" s="49">
        <f>VLOOKUP($A171,'Data shares'!$C:$FB,58)</f>
        <v>2678925</v>
      </c>
      <c r="K171" s="49">
        <f>VLOOKUP($A171,'Data shares'!$C:$FB,59)</f>
        <v>2023425</v>
      </c>
      <c r="L171" s="50">
        <f>VLOOKUP($A171,'Data shares'!$C:$FB,61)*100</f>
        <v>32.4</v>
      </c>
      <c r="M171" s="49">
        <f>VLOOKUP($A171,'Data shares'!$C:$FB,62)</f>
        <v>1707750</v>
      </c>
      <c r="N171" s="49">
        <f>VLOOKUP($A171,'Data shares'!$C:$FB,63)</f>
        <v>1263275</v>
      </c>
      <c r="O171" s="140">
        <f>VLOOKUP($A171,'Data shares'!$C:$FB,65)*100</f>
        <v>35.18</v>
      </c>
    </row>
    <row r="172" spans="1:15" x14ac:dyDescent="0.25">
      <c r="A172" s="101" t="str">
        <f>'Data Vlaue (Cr)'!C167</f>
        <v>PRESTIGE</v>
      </c>
      <c r="B172" s="50">
        <f>VLOOKUP($A172,'Data shares'!$C:$FB,7)</f>
        <v>1375.6</v>
      </c>
      <c r="C172" s="50">
        <f>VLOOKUP($A172,'Data shares'!$C:$FB,10)*100</f>
        <v>1.8399999999999999</v>
      </c>
      <c r="D172" s="49">
        <f>VLOOKUP($A172,'Data shares'!$C:$FB,66)</f>
        <v>2493900</v>
      </c>
      <c r="E172" s="49">
        <f>VLOOKUP($A172,'Data shares'!$C:$FB,67)</f>
        <v>3022200</v>
      </c>
      <c r="F172" s="50">
        <f>VLOOKUP($A172,'Data shares'!$C:$FB,69)*100</f>
        <v>-17.48</v>
      </c>
      <c r="G172" s="49">
        <f>VLOOKUP($A172,'Data shares'!$C:$FB,42)</f>
        <v>862200</v>
      </c>
      <c r="H172" s="49">
        <f>VLOOKUP($A172,'Data shares'!$C:$FB,43)</f>
        <v>1118250</v>
      </c>
      <c r="I172" s="50">
        <f>VLOOKUP($A172,'Data shares'!$C:$FB,45)*100</f>
        <v>-22.900000000000002</v>
      </c>
      <c r="J172" s="49">
        <f>VLOOKUP($A172,'Data shares'!$C:$FB,58)</f>
        <v>1145700</v>
      </c>
      <c r="K172" s="49">
        <f>VLOOKUP($A172,'Data shares'!$C:$FB,59)</f>
        <v>752400</v>
      </c>
      <c r="L172" s="50">
        <f>VLOOKUP($A172,'Data shares'!$C:$FB,61)*100</f>
        <v>52.27</v>
      </c>
      <c r="M172" s="49">
        <f>VLOOKUP($A172,'Data shares'!$C:$FB,62)</f>
        <v>486000</v>
      </c>
      <c r="N172" s="49">
        <f>VLOOKUP($A172,'Data shares'!$C:$FB,63)</f>
        <v>1151550</v>
      </c>
      <c r="O172" s="140">
        <f>VLOOKUP($A172,'Data shares'!$C:$FB,65)*100</f>
        <v>-57.8</v>
      </c>
    </row>
    <row r="173" spans="1:15" x14ac:dyDescent="0.25">
      <c r="A173" s="101" t="str">
        <f>'Data Vlaue (Cr)'!C168</f>
        <v>RBLBANK</v>
      </c>
      <c r="B173" s="50">
        <f>VLOOKUP($A173,'Data shares'!$C:$FB,7)</f>
        <v>310.10000000000002</v>
      </c>
      <c r="C173" s="50">
        <f>VLOOKUP($A173,'Data shares'!$C:$FB,10)*100</f>
        <v>1.32</v>
      </c>
      <c r="D173" s="49">
        <f>VLOOKUP($A173,'Data shares'!$C:$FB,66)</f>
        <v>43322875</v>
      </c>
      <c r="E173" s="49">
        <f>VLOOKUP($A173,'Data shares'!$C:$FB,67)</f>
        <v>76120625</v>
      </c>
      <c r="F173" s="50">
        <f>VLOOKUP($A173,'Data shares'!$C:$FB,69)*100</f>
        <v>-43.09</v>
      </c>
      <c r="G173" s="49">
        <f>VLOOKUP($A173,'Data shares'!$C:$FB,42)</f>
        <v>15449550</v>
      </c>
      <c r="H173" s="49">
        <f>VLOOKUP($A173,'Data shares'!$C:$FB,43)</f>
        <v>19399250</v>
      </c>
      <c r="I173" s="50">
        <f>VLOOKUP($A173,'Data shares'!$C:$FB,45)*100</f>
        <v>-20.36</v>
      </c>
      <c r="J173" s="49">
        <f>VLOOKUP($A173,'Data shares'!$C:$FB,58)</f>
        <v>18945225</v>
      </c>
      <c r="K173" s="49">
        <f>VLOOKUP($A173,'Data shares'!$C:$FB,59)</f>
        <v>31178500</v>
      </c>
      <c r="L173" s="50">
        <f>VLOOKUP($A173,'Data shares'!$C:$FB,61)*100</f>
        <v>-39.24</v>
      </c>
      <c r="M173" s="49">
        <f>VLOOKUP($A173,'Data shares'!$C:$FB,62)</f>
        <v>8928100</v>
      </c>
      <c r="N173" s="49">
        <f>VLOOKUP($A173,'Data shares'!$C:$FB,63)</f>
        <v>25542875</v>
      </c>
      <c r="O173" s="140">
        <f>VLOOKUP($A173,'Data shares'!$C:$FB,65)*100</f>
        <v>-65.05</v>
      </c>
    </row>
    <row r="174" spans="1:15" x14ac:dyDescent="0.25">
      <c r="A174" s="101" t="str">
        <f>'Data Vlaue (Cr)'!C169</f>
        <v>RECLTD</v>
      </c>
      <c r="B174" s="50">
        <f>VLOOKUP($A174,'Data shares'!$C:$FB,7)</f>
        <v>341.85</v>
      </c>
      <c r="C174" s="50">
        <f>VLOOKUP($A174,'Data shares'!$C:$FB,10)*100</f>
        <v>3.9800000000000004</v>
      </c>
      <c r="D174" s="49">
        <f>VLOOKUP($A174,'Data shares'!$C:$FB,66)</f>
        <v>85047200</v>
      </c>
      <c r="E174" s="49">
        <f>VLOOKUP($A174,'Data shares'!$C:$FB,67)</f>
        <v>65325400</v>
      </c>
      <c r="F174" s="50">
        <f>VLOOKUP($A174,'Data shares'!$C:$FB,69)*100</f>
        <v>30.19</v>
      </c>
      <c r="G174" s="49">
        <f>VLOOKUP($A174,'Data shares'!$C:$FB,42)</f>
        <v>19815600</v>
      </c>
      <c r="H174" s="49">
        <f>VLOOKUP($A174,'Data shares'!$C:$FB,43)</f>
        <v>17248000</v>
      </c>
      <c r="I174" s="50">
        <f>VLOOKUP($A174,'Data shares'!$C:$FB,45)*100</f>
        <v>14.89</v>
      </c>
      <c r="J174" s="49">
        <f>VLOOKUP($A174,'Data shares'!$C:$FB,58)</f>
        <v>38544800</v>
      </c>
      <c r="K174" s="49">
        <f>VLOOKUP($A174,'Data shares'!$C:$FB,59)</f>
        <v>29702400</v>
      </c>
      <c r="L174" s="50">
        <f>VLOOKUP($A174,'Data shares'!$C:$FB,61)*100</f>
        <v>29.770000000000003</v>
      </c>
      <c r="M174" s="49">
        <f>VLOOKUP($A174,'Data shares'!$C:$FB,62)</f>
        <v>26686800</v>
      </c>
      <c r="N174" s="49">
        <f>VLOOKUP($A174,'Data shares'!$C:$FB,63)</f>
        <v>18375000</v>
      </c>
      <c r="O174" s="140">
        <f>VLOOKUP($A174,'Data shares'!$C:$FB,65)*100</f>
        <v>45.23</v>
      </c>
    </row>
    <row r="175" spans="1:15" x14ac:dyDescent="0.25">
      <c r="A175" s="101" t="str">
        <f>'Data Vlaue (Cr)'!C170</f>
        <v>RELIANCE</v>
      </c>
      <c r="B175" s="50">
        <f>VLOOKUP($A175,'Data shares'!$C:$FB,7)</f>
        <v>1389.4</v>
      </c>
      <c r="C175" s="50">
        <f>VLOOKUP($A175,'Data shares'!$C:$FB,10)*100</f>
        <v>3.3000000000000003</v>
      </c>
      <c r="D175" s="49">
        <f>VLOOKUP($A175,'Data shares'!$C:$FB,66)</f>
        <v>168469000</v>
      </c>
      <c r="E175" s="49">
        <f>VLOOKUP($A175,'Data shares'!$C:$FB,67)</f>
        <v>173345500</v>
      </c>
      <c r="F175" s="50">
        <f>VLOOKUP($A175,'Data shares'!$C:$FB,69)*100</f>
        <v>-2.81</v>
      </c>
      <c r="G175" s="49">
        <f>VLOOKUP($A175,'Data shares'!$C:$FB,42)</f>
        <v>20497000</v>
      </c>
      <c r="H175" s="49">
        <f>VLOOKUP($A175,'Data shares'!$C:$FB,43)</f>
        <v>20489500</v>
      </c>
      <c r="I175" s="50">
        <f>VLOOKUP($A175,'Data shares'!$C:$FB,45)*100</f>
        <v>0.04</v>
      </c>
      <c r="J175" s="49">
        <f>VLOOKUP($A175,'Data shares'!$C:$FB,58)</f>
        <v>84149500</v>
      </c>
      <c r="K175" s="49">
        <f>VLOOKUP($A175,'Data shares'!$C:$FB,59)</f>
        <v>85455000</v>
      </c>
      <c r="L175" s="50">
        <f>VLOOKUP($A175,'Data shares'!$C:$FB,61)*100</f>
        <v>-1.53</v>
      </c>
      <c r="M175" s="49">
        <f>VLOOKUP($A175,'Data shares'!$C:$FB,62)</f>
        <v>63822500</v>
      </c>
      <c r="N175" s="49">
        <f>VLOOKUP($A175,'Data shares'!$C:$FB,63)</f>
        <v>67401000</v>
      </c>
      <c r="O175" s="140">
        <f>VLOOKUP($A175,'Data shares'!$C:$FB,65)*100</f>
        <v>-5.3100000000000005</v>
      </c>
    </row>
    <row r="176" spans="1:15" x14ac:dyDescent="0.25">
      <c r="A176" s="101" t="str">
        <f>'Data Vlaue (Cr)'!C171</f>
        <v>RVNL</v>
      </c>
      <c r="B176" s="50">
        <f>VLOOKUP($A176,'Data shares'!$C:$FB,7)</f>
        <v>279.25</v>
      </c>
      <c r="C176" s="50">
        <f>VLOOKUP($A176,'Data shares'!$C:$FB,10)*100</f>
        <v>-0.9900000000000001</v>
      </c>
      <c r="D176" s="49">
        <f>VLOOKUP($A176,'Data shares'!$C:$FB,66)</f>
        <v>56986200</v>
      </c>
      <c r="E176" s="49">
        <f>VLOOKUP($A176,'Data shares'!$C:$FB,67)</f>
        <v>44813650</v>
      </c>
      <c r="F176" s="50">
        <f>VLOOKUP($A176,'Data shares'!$C:$FB,69)*100</f>
        <v>27.16</v>
      </c>
      <c r="G176" s="49">
        <f>VLOOKUP($A176,'Data shares'!$C:$FB,42)</f>
        <v>13796675</v>
      </c>
      <c r="H176" s="49">
        <f>VLOOKUP($A176,'Data shares'!$C:$FB,43)</f>
        <v>8059625</v>
      </c>
      <c r="I176" s="50">
        <f>VLOOKUP($A176,'Data shares'!$C:$FB,45)*100</f>
        <v>71.179999999999993</v>
      </c>
      <c r="J176" s="49">
        <f>VLOOKUP($A176,'Data shares'!$C:$FB,58)</f>
        <v>35123800</v>
      </c>
      <c r="K176" s="49">
        <f>VLOOKUP($A176,'Data shares'!$C:$FB,59)</f>
        <v>26551775</v>
      </c>
      <c r="L176" s="50">
        <f>VLOOKUP($A176,'Data shares'!$C:$FB,61)*100</f>
        <v>32.28</v>
      </c>
      <c r="M176" s="49">
        <f>VLOOKUP($A176,'Data shares'!$C:$FB,62)</f>
        <v>8065725</v>
      </c>
      <c r="N176" s="49">
        <f>VLOOKUP($A176,'Data shares'!$C:$FB,63)</f>
        <v>10202250</v>
      </c>
      <c r="O176" s="140">
        <f>VLOOKUP($A176,'Data shares'!$C:$FB,65)*100</f>
        <v>-20.94</v>
      </c>
    </row>
    <row r="177" spans="1:15" x14ac:dyDescent="0.25">
      <c r="A177" s="101" t="str">
        <f>'Data Vlaue (Cr)'!C172</f>
        <v>SAIL</v>
      </c>
      <c r="B177" s="50">
        <f>VLOOKUP($A177,'Data shares'!$C:$FB,7)</f>
        <v>156.15</v>
      </c>
      <c r="C177" s="50">
        <f>VLOOKUP($A177,'Data shares'!$C:$FB,10)*100</f>
        <v>0.33999999999999997</v>
      </c>
      <c r="D177" s="49">
        <f>VLOOKUP($A177,'Data shares'!$C:$FB,66)</f>
        <v>7017100</v>
      </c>
      <c r="E177" s="49">
        <f>VLOOKUP($A177,'Data shares'!$C:$FB,67)</f>
        <v>127135000</v>
      </c>
      <c r="F177" s="50">
        <f>VLOOKUP($A177,'Data shares'!$C:$FB,69)*100</f>
        <v>-94.48</v>
      </c>
      <c r="G177" s="49">
        <f>VLOOKUP($A177,'Data shares'!$C:$FB,42)</f>
        <v>4023200</v>
      </c>
      <c r="H177" s="49">
        <f>VLOOKUP($A177,'Data shares'!$C:$FB,43)</f>
        <v>47253800</v>
      </c>
      <c r="I177" s="50">
        <f>VLOOKUP($A177,'Data shares'!$C:$FB,45)*100</f>
        <v>-91.490000000000009</v>
      </c>
      <c r="J177" s="49">
        <f>VLOOKUP($A177,'Data shares'!$C:$FB,58)</f>
        <v>2185500</v>
      </c>
      <c r="K177" s="49">
        <f>VLOOKUP($A177,'Data shares'!$C:$FB,59)</f>
        <v>40034600</v>
      </c>
      <c r="L177" s="50">
        <f>VLOOKUP($A177,'Data shares'!$C:$FB,61)*100</f>
        <v>-94.54</v>
      </c>
      <c r="M177" s="49">
        <f>VLOOKUP($A177,'Data shares'!$C:$FB,62)</f>
        <v>808400</v>
      </c>
      <c r="N177" s="49">
        <f>VLOOKUP($A177,'Data shares'!$C:$FB,63)</f>
        <v>39846600</v>
      </c>
      <c r="O177" s="140">
        <f>VLOOKUP($A177,'Data shares'!$C:$FB,65)*100</f>
        <v>-97.97</v>
      </c>
    </row>
    <row r="178" spans="1:15" x14ac:dyDescent="0.25">
      <c r="A178" s="101" t="str">
        <f>'Data Vlaue (Cr)'!C173</f>
        <v>SAMMAANCAP</v>
      </c>
      <c r="B178" s="50">
        <f>VLOOKUP($A178,'Data shares'!$C:$FB,7)</f>
        <v>145.21</v>
      </c>
      <c r="C178" s="50">
        <f>VLOOKUP($A178,'Data shares'!$C:$FB,10)*100</f>
        <v>2.08</v>
      </c>
      <c r="D178" s="49">
        <f>VLOOKUP($A178,'Data shares'!$C:$FB,66)</f>
        <v>438600</v>
      </c>
      <c r="E178" s="49">
        <f>VLOOKUP($A178,'Data shares'!$C:$FB,67)</f>
        <v>2838000</v>
      </c>
      <c r="F178" s="50">
        <f>VLOOKUP($A178,'Data shares'!$C:$FB,69)*100</f>
        <v>-84.55</v>
      </c>
      <c r="G178" s="49">
        <f>VLOOKUP($A178,'Data shares'!$C:$FB,42)</f>
        <v>262300</v>
      </c>
      <c r="H178" s="49">
        <f>VLOOKUP($A178,'Data shares'!$C:$FB,43)</f>
        <v>2481100</v>
      </c>
      <c r="I178" s="50">
        <f>VLOOKUP($A178,'Data shares'!$C:$FB,45)*100</f>
        <v>-89.429999999999993</v>
      </c>
      <c r="J178" s="49">
        <f>VLOOKUP($A178,'Data shares'!$C:$FB,58)</f>
        <v>172000</v>
      </c>
      <c r="K178" s="49">
        <f>VLOOKUP($A178,'Data shares'!$C:$FB,59)</f>
        <v>258000</v>
      </c>
      <c r="L178" s="50">
        <f>VLOOKUP($A178,'Data shares'!$C:$FB,61)*100</f>
        <v>-33.33</v>
      </c>
      <c r="M178" s="49">
        <f>VLOOKUP($A178,'Data shares'!$C:$FB,62)</f>
        <v>4300</v>
      </c>
      <c r="N178" s="49">
        <f>VLOOKUP($A178,'Data shares'!$C:$FB,63)</f>
        <v>98900</v>
      </c>
      <c r="O178" s="140">
        <f>VLOOKUP($A178,'Data shares'!$C:$FB,65)*100</f>
        <v>-95.65</v>
      </c>
    </row>
    <row r="179" spans="1:15" x14ac:dyDescent="0.25">
      <c r="A179" s="101" t="str">
        <f>'Data Vlaue (Cr)'!C174</f>
        <v>SBICARD</v>
      </c>
      <c r="B179" s="50">
        <f>VLOOKUP($A179,'Data shares'!$C:$FB,7)</f>
        <v>730.55</v>
      </c>
      <c r="C179" s="50">
        <f>VLOOKUP($A179,'Data shares'!$C:$FB,10)*100</f>
        <v>0.54</v>
      </c>
      <c r="D179" s="49">
        <f>VLOOKUP($A179,'Data shares'!$C:$FB,66)</f>
        <v>9357600</v>
      </c>
      <c r="E179" s="49">
        <f>VLOOKUP($A179,'Data shares'!$C:$FB,67)</f>
        <v>13679200</v>
      </c>
      <c r="F179" s="50">
        <f>VLOOKUP($A179,'Data shares'!$C:$FB,69)*100</f>
        <v>-31.59</v>
      </c>
      <c r="G179" s="49">
        <f>VLOOKUP($A179,'Data shares'!$C:$FB,42)</f>
        <v>3128000</v>
      </c>
      <c r="H179" s="49">
        <f>VLOOKUP($A179,'Data shares'!$C:$FB,43)</f>
        <v>3612000</v>
      </c>
      <c r="I179" s="50">
        <f>VLOOKUP($A179,'Data shares'!$C:$FB,45)*100</f>
        <v>-13.4</v>
      </c>
      <c r="J179" s="49">
        <f>VLOOKUP($A179,'Data shares'!$C:$FB,58)</f>
        <v>4092000</v>
      </c>
      <c r="K179" s="49">
        <f>VLOOKUP($A179,'Data shares'!$C:$FB,59)</f>
        <v>5309600</v>
      </c>
      <c r="L179" s="50">
        <f>VLOOKUP($A179,'Data shares'!$C:$FB,61)*100</f>
        <v>-22.93</v>
      </c>
      <c r="M179" s="49">
        <f>VLOOKUP($A179,'Data shares'!$C:$FB,62)</f>
        <v>2137600</v>
      </c>
      <c r="N179" s="49">
        <f>VLOOKUP($A179,'Data shares'!$C:$FB,63)</f>
        <v>4757600</v>
      </c>
      <c r="O179" s="140">
        <f>VLOOKUP($A179,'Data shares'!$C:$FB,65)*100</f>
        <v>-55.069999999999993</v>
      </c>
    </row>
    <row r="180" spans="1:15" x14ac:dyDescent="0.25">
      <c r="A180" s="101" t="str">
        <f>'Data Vlaue (Cr)'!C175</f>
        <v>SBILIFE</v>
      </c>
      <c r="B180" s="50">
        <f>VLOOKUP($A180,'Data shares'!$C:$FB,7)</f>
        <v>1945</v>
      </c>
      <c r="C180" s="50">
        <f>VLOOKUP($A180,'Data shares'!$C:$FB,10)*100</f>
        <v>0.75</v>
      </c>
      <c r="D180" s="49">
        <f>VLOOKUP($A180,'Data shares'!$C:$FB,66)</f>
        <v>7873125</v>
      </c>
      <c r="E180" s="49">
        <f>VLOOKUP($A180,'Data shares'!$C:$FB,67)</f>
        <v>6792375</v>
      </c>
      <c r="F180" s="50">
        <f>VLOOKUP($A180,'Data shares'!$C:$FB,69)*100</f>
        <v>15.909999999999998</v>
      </c>
      <c r="G180" s="49">
        <f>VLOOKUP($A180,'Data shares'!$C:$FB,42)</f>
        <v>1473375</v>
      </c>
      <c r="H180" s="49">
        <f>VLOOKUP($A180,'Data shares'!$C:$FB,43)</f>
        <v>1440000</v>
      </c>
      <c r="I180" s="50">
        <f>VLOOKUP($A180,'Data shares'!$C:$FB,45)*100</f>
        <v>2.3199999999999998</v>
      </c>
      <c r="J180" s="49">
        <f>VLOOKUP($A180,'Data shares'!$C:$FB,58)</f>
        <v>4232250</v>
      </c>
      <c r="K180" s="49">
        <f>VLOOKUP($A180,'Data shares'!$C:$FB,59)</f>
        <v>2965500</v>
      </c>
      <c r="L180" s="50">
        <f>VLOOKUP($A180,'Data shares'!$C:$FB,61)*100</f>
        <v>42.72</v>
      </c>
      <c r="M180" s="49">
        <f>VLOOKUP($A180,'Data shares'!$C:$FB,62)</f>
        <v>2167500</v>
      </c>
      <c r="N180" s="49">
        <f>VLOOKUP($A180,'Data shares'!$C:$FB,63)</f>
        <v>2386875</v>
      </c>
      <c r="O180" s="140">
        <f>VLOOKUP($A180,'Data shares'!$C:$FB,65)*100</f>
        <v>-9.19</v>
      </c>
    </row>
    <row r="181" spans="1:15" x14ac:dyDescent="0.25">
      <c r="A181" s="101" t="str">
        <f>'Data Vlaue (Cr)'!C176</f>
        <v>SBIN</v>
      </c>
      <c r="B181" s="50">
        <f>VLOOKUP($A181,'Data shares'!$C:$FB,7)</f>
        <v>1169.5</v>
      </c>
      <c r="C181" s="50">
        <f>VLOOKUP($A181,'Data shares'!$C:$FB,10)*100</f>
        <v>-0.43</v>
      </c>
      <c r="D181" s="49">
        <f>VLOOKUP($A181,'Data shares'!$C:$FB,66)</f>
        <v>140653500</v>
      </c>
      <c r="E181" s="49">
        <f>VLOOKUP($A181,'Data shares'!$C:$FB,67)</f>
        <v>172572000</v>
      </c>
      <c r="F181" s="50">
        <f>VLOOKUP($A181,'Data shares'!$C:$FB,69)*100</f>
        <v>-18.5</v>
      </c>
      <c r="G181" s="49">
        <f>VLOOKUP($A181,'Data shares'!$C:$FB,42)</f>
        <v>20752500</v>
      </c>
      <c r="H181" s="49">
        <f>VLOOKUP($A181,'Data shares'!$C:$FB,43)</f>
        <v>21896250</v>
      </c>
      <c r="I181" s="50">
        <f>VLOOKUP($A181,'Data shares'!$C:$FB,45)*100</f>
        <v>-5.2200000000000006</v>
      </c>
      <c r="J181" s="49">
        <f>VLOOKUP($A181,'Data shares'!$C:$FB,58)</f>
        <v>66978750</v>
      </c>
      <c r="K181" s="49">
        <f>VLOOKUP($A181,'Data shares'!$C:$FB,59)</f>
        <v>68717250</v>
      </c>
      <c r="L181" s="50">
        <f>VLOOKUP($A181,'Data shares'!$C:$FB,61)*100</f>
        <v>-2.5299999999999998</v>
      </c>
      <c r="M181" s="49">
        <f>VLOOKUP($A181,'Data shares'!$C:$FB,62)</f>
        <v>52922250</v>
      </c>
      <c r="N181" s="49">
        <f>VLOOKUP($A181,'Data shares'!$C:$FB,63)</f>
        <v>81958500</v>
      </c>
      <c r="O181" s="140">
        <f>VLOOKUP($A181,'Data shares'!$C:$FB,65)*100</f>
        <v>-35.43</v>
      </c>
    </row>
    <row r="182" spans="1:15" x14ac:dyDescent="0.25">
      <c r="A182" s="101" t="str">
        <f>'Data Vlaue (Cr)'!C177</f>
        <v>SHREECEM</v>
      </c>
      <c r="B182" s="50">
        <f>VLOOKUP($A182,'Data shares'!$C:$FB,7)</f>
        <v>25200</v>
      </c>
      <c r="C182" s="50">
        <f>VLOOKUP($A182,'Data shares'!$C:$FB,10)*100</f>
        <v>-0.61</v>
      </c>
      <c r="D182" s="49">
        <f>VLOOKUP($A182,'Data shares'!$C:$FB,66)</f>
        <v>162100</v>
      </c>
      <c r="E182" s="49">
        <f>VLOOKUP($A182,'Data shares'!$C:$FB,67)</f>
        <v>164075</v>
      </c>
      <c r="F182" s="50">
        <f>VLOOKUP($A182,'Data shares'!$C:$FB,69)*100</f>
        <v>-1.2</v>
      </c>
      <c r="G182" s="49">
        <f>VLOOKUP($A182,'Data shares'!$C:$FB,42)</f>
        <v>60950</v>
      </c>
      <c r="H182" s="49">
        <f>VLOOKUP($A182,'Data shares'!$C:$FB,43)</f>
        <v>52700</v>
      </c>
      <c r="I182" s="50">
        <f>VLOOKUP($A182,'Data shares'!$C:$FB,45)*100</f>
        <v>15.65</v>
      </c>
      <c r="J182" s="49">
        <f>VLOOKUP($A182,'Data shares'!$C:$FB,58)</f>
        <v>73150</v>
      </c>
      <c r="K182" s="49">
        <f>VLOOKUP($A182,'Data shares'!$C:$FB,59)</f>
        <v>73300</v>
      </c>
      <c r="L182" s="50">
        <f>VLOOKUP($A182,'Data shares'!$C:$FB,61)*100</f>
        <v>-0.2</v>
      </c>
      <c r="M182" s="49">
        <f>VLOOKUP($A182,'Data shares'!$C:$FB,62)</f>
        <v>28000</v>
      </c>
      <c r="N182" s="49">
        <f>VLOOKUP($A182,'Data shares'!$C:$FB,63)</f>
        <v>38075</v>
      </c>
      <c r="O182" s="140">
        <f>VLOOKUP($A182,'Data shares'!$C:$FB,65)*100</f>
        <v>-26.46</v>
      </c>
    </row>
    <row r="183" spans="1:15" x14ac:dyDescent="0.25">
      <c r="A183" s="101" t="str">
        <f>'Data Vlaue (Cr)'!C178</f>
        <v>SHRIRAMFIN</v>
      </c>
      <c r="B183" s="50">
        <f>VLOOKUP($A183,'Data shares'!$C:$FB,7)</f>
        <v>1039.5</v>
      </c>
      <c r="C183" s="50">
        <f>VLOOKUP($A183,'Data shares'!$C:$FB,10)*100</f>
        <v>2.92</v>
      </c>
      <c r="D183" s="49">
        <f>VLOOKUP($A183,'Data shares'!$C:$FB,66)</f>
        <v>27814875</v>
      </c>
      <c r="E183" s="49">
        <f>VLOOKUP($A183,'Data shares'!$C:$FB,67)</f>
        <v>40375500</v>
      </c>
      <c r="F183" s="50">
        <f>VLOOKUP($A183,'Data shares'!$C:$FB,69)*100</f>
        <v>-31.11</v>
      </c>
      <c r="G183" s="49">
        <f>VLOOKUP($A183,'Data shares'!$C:$FB,42)</f>
        <v>7254225</v>
      </c>
      <c r="H183" s="49">
        <f>VLOOKUP($A183,'Data shares'!$C:$FB,43)</f>
        <v>9713550</v>
      </c>
      <c r="I183" s="50">
        <f>VLOOKUP($A183,'Data shares'!$C:$FB,45)*100</f>
        <v>-25.319999999999997</v>
      </c>
      <c r="J183" s="49">
        <f>VLOOKUP($A183,'Data shares'!$C:$FB,58)</f>
        <v>12472350</v>
      </c>
      <c r="K183" s="49">
        <f>VLOOKUP($A183,'Data shares'!$C:$FB,59)</f>
        <v>16377900</v>
      </c>
      <c r="L183" s="50">
        <f>VLOOKUP($A183,'Data shares'!$C:$FB,61)*100</f>
        <v>-23.849999999999998</v>
      </c>
      <c r="M183" s="49">
        <f>VLOOKUP($A183,'Data shares'!$C:$FB,62)</f>
        <v>8088300</v>
      </c>
      <c r="N183" s="49">
        <f>VLOOKUP($A183,'Data shares'!$C:$FB,63)</f>
        <v>14284050</v>
      </c>
      <c r="O183" s="140">
        <f>VLOOKUP($A183,'Data shares'!$C:$FB,65)*100</f>
        <v>-43.38</v>
      </c>
    </row>
    <row r="184" spans="1:15" x14ac:dyDescent="0.25">
      <c r="A184" s="101" t="str">
        <f>'Data Vlaue (Cr)'!C179</f>
        <v>SIEMENS</v>
      </c>
      <c r="B184" s="50">
        <f>VLOOKUP($A184,'Data shares'!$C:$FB,7)</f>
        <v>3215.7</v>
      </c>
      <c r="C184" s="50">
        <f>VLOOKUP($A184,'Data shares'!$C:$FB,10)*100</f>
        <v>1.73</v>
      </c>
      <c r="D184" s="49">
        <f>VLOOKUP($A184,'Data shares'!$C:$FB,66)</f>
        <v>2977625</v>
      </c>
      <c r="E184" s="49">
        <f>VLOOKUP($A184,'Data shares'!$C:$FB,67)</f>
        <v>4433625</v>
      </c>
      <c r="F184" s="50">
        <f>VLOOKUP($A184,'Data shares'!$C:$FB,69)*100</f>
        <v>-32.840000000000003</v>
      </c>
      <c r="G184" s="49">
        <f>VLOOKUP($A184,'Data shares'!$C:$FB,42)</f>
        <v>459550</v>
      </c>
      <c r="H184" s="49">
        <f>VLOOKUP($A184,'Data shares'!$C:$FB,43)</f>
        <v>651000</v>
      </c>
      <c r="I184" s="50">
        <f>VLOOKUP($A184,'Data shares'!$C:$FB,45)*100</f>
        <v>-29.409999999999997</v>
      </c>
      <c r="J184" s="49">
        <f>VLOOKUP($A184,'Data shares'!$C:$FB,58)</f>
        <v>1843975</v>
      </c>
      <c r="K184" s="49">
        <f>VLOOKUP($A184,'Data shares'!$C:$FB,59)</f>
        <v>2256975</v>
      </c>
      <c r="L184" s="50">
        <f>VLOOKUP($A184,'Data shares'!$C:$FB,61)*100</f>
        <v>-18.3</v>
      </c>
      <c r="M184" s="49">
        <f>VLOOKUP($A184,'Data shares'!$C:$FB,62)</f>
        <v>674100</v>
      </c>
      <c r="N184" s="49">
        <f>VLOOKUP($A184,'Data shares'!$C:$FB,63)</f>
        <v>1525650</v>
      </c>
      <c r="O184" s="140">
        <f>VLOOKUP($A184,'Data shares'!$C:$FB,65)*100</f>
        <v>-55.82</v>
      </c>
    </row>
    <row r="185" spans="1:15" x14ac:dyDescent="0.25">
      <c r="A185" s="101" t="str">
        <f>'Data Vlaue (Cr)'!C180</f>
        <v>SOLARINDS</v>
      </c>
      <c r="B185" s="50">
        <f>VLOOKUP($A185,'Data shares'!$C:$FB,7)</f>
        <v>14671</v>
      </c>
      <c r="C185" s="50">
        <f>VLOOKUP($A185,'Data shares'!$C:$FB,10)*100</f>
        <v>1.02</v>
      </c>
      <c r="D185" s="49">
        <f>VLOOKUP($A185,'Data shares'!$C:$FB,66)</f>
        <v>1991450</v>
      </c>
      <c r="E185" s="49">
        <f>VLOOKUP($A185,'Data shares'!$C:$FB,67)</f>
        <v>3559150</v>
      </c>
      <c r="F185" s="50">
        <f>VLOOKUP($A185,'Data shares'!$C:$FB,69)*100</f>
        <v>-44.05</v>
      </c>
      <c r="G185" s="49">
        <f>VLOOKUP($A185,'Data shares'!$C:$FB,42)</f>
        <v>290250</v>
      </c>
      <c r="H185" s="49">
        <f>VLOOKUP($A185,'Data shares'!$C:$FB,43)</f>
        <v>543150</v>
      </c>
      <c r="I185" s="50">
        <f>VLOOKUP($A185,'Data shares'!$C:$FB,45)*100</f>
        <v>-46.56</v>
      </c>
      <c r="J185" s="49">
        <f>VLOOKUP($A185,'Data shares'!$C:$FB,58)</f>
        <v>1255150</v>
      </c>
      <c r="K185" s="49">
        <f>VLOOKUP($A185,'Data shares'!$C:$FB,59)</f>
        <v>2402000</v>
      </c>
      <c r="L185" s="50">
        <f>VLOOKUP($A185,'Data shares'!$C:$FB,61)*100</f>
        <v>-47.75</v>
      </c>
      <c r="M185" s="49">
        <f>VLOOKUP($A185,'Data shares'!$C:$FB,62)</f>
        <v>446050</v>
      </c>
      <c r="N185" s="49">
        <f>VLOOKUP($A185,'Data shares'!$C:$FB,63)</f>
        <v>614000</v>
      </c>
      <c r="O185" s="140">
        <f>VLOOKUP($A185,'Data shares'!$C:$FB,65)*100</f>
        <v>-27.35</v>
      </c>
    </row>
    <row r="186" spans="1:15" x14ac:dyDescent="0.25">
      <c r="A186" s="101" t="str">
        <f>'Data Vlaue (Cr)'!C181</f>
        <v>SONACOMS</v>
      </c>
      <c r="B186" s="50">
        <f>VLOOKUP($A186,'Data shares'!$C:$FB,7)</f>
        <v>510.95</v>
      </c>
      <c r="C186" s="50">
        <f>VLOOKUP($A186,'Data shares'!$C:$FB,10)*100</f>
        <v>1.9</v>
      </c>
      <c r="D186" s="49">
        <f>VLOOKUP($A186,'Data shares'!$C:$FB,66)</f>
        <v>5370400</v>
      </c>
      <c r="E186" s="49">
        <f>VLOOKUP($A186,'Data shares'!$C:$FB,67)</f>
        <v>6027000</v>
      </c>
      <c r="F186" s="50">
        <f>VLOOKUP($A186,'Data shares'!$C:$FB,69)*100</f>
        <v>-10.89</v>
      </c>
      <c r="G186" s="49">
        <f>VLOOKUP($A186,'Data shares'!$C:$FB,42)</f>
        <v>1152725</v>
      </c>
      <c r="H186" s="49">
        <f>VLOOKUP($A186,'Data shares'!$C:$FB,43)</f>
        <v>1743175</v>
      </c>
      <c r="I186" s="50">
        <f>VLOOKUP($A186,'Data shares'!$C:$FB,45)*100</f>
        <v>-33.869999999999997</v>
      </c>
      <c r="J186" s="49">
        <f>VLOOKUP($A186,'Data shares'!$C:$FB,58)</f>
        <v>1760325</v>
      </c>
      <c r="K186" s="49">
        <f>VLOOKUP($A186,'Data shares'!$C:$FB,59)</f>
        <v>2517375</v>
      </c>
      <c r="L186" s="50">
        <f>VLOOKUP($A186,'Data shares'!$C:$FB,61)*100</f>
        <v>-30.070000000000004</v>
      </c>
      <c r="M186" s="49">
        <f>VLOOKUP($A186,'Data shares'!$C:$FB,62)</f>
        <v>2457350</v>
      </c>
      <c r="N186" s="49">
        <f>VLOOKUP($A186,'Data shares'!$C:$FB,63)</f>
        <v>1766450</v>
      </c>
      <c r="O186" s="140">
        <f>VLOOKUP($A186,'Data shares'!$C:$FB,65)*100</f>
        <v>39.11</v>
      </c>
    </row>
    <row r="187" spans="1:15" x14ac:dyDescent="0.25">
      <c r="A187" s="101" t="str">
        <f>'Data Vlaue (Cr)'!C182</f>
        <v>SRF</v>
      </c>
      <c r="B187" s="50">
        <f>VLOOKUP($A187,'Data shares'!$C:$FB,7)</f>
        <v>2563.1</v>
      </c>
      <c r="C187" s="50">
        <f>VLOOKUP($A187,'Data shares'!$C:$FB,10)*100</f>
        <v>1.04</v>
      </c>
      <c r="D187" s="49">
        <f>VLOOKUP($A187,'Data shares'!$C:$FB,66)</f>
        <v>1534800</v>
      </c>
      <c r="E187" s="49">
        <f>VLOOKUP($A187,'Data shares'!$C:$FB,67)</f>
        <v>2475800</v>
      </c>
      <c r="F187" s="50">
        <f>VLOOKUP($A187,'Data shares'!$C:$FB,69)*100</f>
        <v>-38.01</v>
      </c>
      <c r="G187" s="49">
        <f>VLOOKUP($A187,'Data shares'!$C:$FB,42)</f>
        <v>553000</v>
      </c>
      <c r="H187" s="49">
        <f>VLOOKUP($A187,'Data shares'!$C:$FB,43)</f>
        <v>538000</v>
      </c>
      <c r="I187" s="50">
        <f>VLOOKUP($A187,'Data shares'!$C:$FB,45)*100</f>
        <v>2.79</v>
      </c>
      <c r="J187" s="49">
        <f>VLOOKUP($A187,'Data shares'!$C:$FB,58)</f>
        <v>664800</v>
      </c>
      <c r="K187" s="49">
        <f>VLOOKUP($A187,'Data shares'!$C:$FB,59)</f>
        <v>1264200</v>
      </c>
      <c r="L187" s="50">
        <f>VLOOKUP($A187,'Data shares'!$C:$FB,61)*100</f>
        <v>-47.410000000000004</v>
      </c>
      <c r="M187" s="49">
        <f>VLOOKUP($A187,'Data shares'!$C:$FB,62)</f>
        <v>317000</v>
      </c>
      <c r="N187" s="49">
        <f>VLOOKUP($A187,'Data shares'!$C:$FB,63)</f>
        <v>673600</v>
      </c>
      <c r="O187" s="140">
        <f>VLOOKUP($A187,'Data shares'!$C:$FB,65)*100</f>
        <v>-52.94</v>
      </c>
    </row>
    <row r="188" spans="1:15" x14ac:dyDescent="0.25">
      <c r="A188" s="101" t="str">
        <f>'Data Vlaue (Cr)'!C183</f>
        <v>SUNPHARMA</v>
      </c>
      <c r="B188" s="50">
        <f>VLOOKUP($A188,'Data shares'!$C:$FB,7)</f>
        <v>1784.5</v>
      </c>
      <c r="C188" s="50">
        <f>VLOOKUP($A188,'Data shares'!$C:$FB,10)*100</f>
        <v>1.94</v>
      </c>
      <c r="D188" s="49">
        <f>VLOOKUP($A188,'Data shares'!$C:$FB,66)</f>
        <v>22699600</v>
      </c>
      <c r="E188" s="49">
        <f>VLOOKUP($A188,'Data shares'!$C:$FB,67)</f>
        <v>20177150</v>
      </c>
      <c r="F188" s="50">
        <f>VLOOKUP($A188,'Data shares'!$C:$FB,69)*100</f>
        <v>12.5</v>
      </c>
      <c r="G188" s="49">
        <f>VLOOKUP($A188,'Data shares'!$C:$FB,42)</f>
        <v>3320450</v>
      </c>
      <c r="H188" s="49">
        <f>VLOOKUP($A188,'Data shares'!$C:$FB,43)</f>
        <v>3395700</v>
      </c>
      <c r="I188" s="50">
        <f>VLOOKUP($A188,'Data shares'!$C:$FB,45)*100</f>
        <v>-2.2200000000000002</v>
      </c>
      <c r="J188" s="49">
        <f>VLOOKUP($A188,'Data shares'!$C:$FB,58)</f>
        <v>12713750</v>
      </c>
      <c r="K188" s="49">
        <f>VLOOKUP($A188,'Data shares'!$C:$FB,59)</f>
        <v>10639650</v>
      </c>
      <c r="L188" s="50">
        <f>VLOOKUP($A188,'Data shares'!$C:$FB,61)*100</f>
        <v>19.489999999999998</v>
      </c>
      <c r="M188" s="49">
        <f>VLOOKUP($A188,'Data shares'!$C:$FB,62)</f>
        <v>6665400</v>
      </c>
      <c r="N188" s="49">
        <f>VLOOKUP($A188,'Data shares'!$C:$FB,63)</f>
        <v>6141800</v>
      </c>
      <c r="O188" s="140">
        <f>VLOOKUP($A188,'Data shares'!$C:$FB,65)*100</f>
        <v>8.5299999999999994</v>
      </c>
    </row>
    <row r="189" spans="1:15" x14ac:dyDescent="0.25">
      <c r="A189" s="101" t="str">
        <f>'Data Vlaue (Cr)'!C184</f>
        <v>SUPREMEIND</v>
      </c>
      <c r="B189" s="50">
        <f>VLOOKUP($A189,'Data shares'!$C:$FB,7)</f>
        <v>3950.2</v>
      </c>
      <c r="C189" s="50">
        <f>VLOOKUP($A189,'Data shares'!$C:$FB,10)*100</f>
        <v>1.3299999999999998</v>
      </c>
      <c r="D189" s="49">
        <f>VLOOKUP($A189,'Data shares'!$C:$FB,66)</f>
        <v>922775</v>
      </c>
      <c r="E189" s="49">
        <f>VLOOKUP($A189,'Data shares'!$C:$FB,67)</f>
        <v>985950</v>
      </c>
      <c r="F189" s="50">
        <f>VLOOKUP($A189,'Data shares'!$C:$FB,69)*100</f>
        <v>-6.41</v>
      </c>
      <c r="G189" s="49">
        <f>VLOOKUP($A189,'Data shares'!$C:$FB,42)</f>
        <v>363300</v>
      </c>
      <c r="H189" s="49">
        <f>VLOOKUP($A189,'Data shares'!$C:$FB,43)</f>
        <v>448525</v>
      </c>
      <c r="I189" s="50">
        <f>VLOOKUP($A189,'Data shares'!$C:$FB,45)*100</f>
        <v>-19</v>
      </c>
      <c r="J189" s="49">
        <f>VLOOKUP($A189,'Data shares'!$C:$FB,58)</f>
        <v>425425</v>
      </c>
      <c r="K189" s="49">
        <f>VLOOKUP($A189,'Data shares'!$C:$FB,59)</f>
        <v>390950</v>
      </c>
      <c r="L189" s="50">
        <f>VLOOKUP($A189,'Data shares'!$C:$FB,61)*100</f>
        <v>8.82</v>
      </c>
      <c r="M189" s="49">
        <f>VLOOKUP($A189,'Data shares'!$C:$FB,62)</f>
        <v>134050</v>
      </c>
      <c r="N189" s="49">
        <f>VLOOKUP($A189,'Data shares'!$C:$FB,63)</f>
        <v>146475</v>
      </c>
      <c r="O189" s="140">
        <f>VLOOKUP($A189,'Data shares'!$C:$FB,65)*100</f>
        <v>-8.48</v>
      </c>
    </row>
    <row r="190" spans="1:15" x14ac:dyDescent="0.25">
      <c r="A190" s="101" t="str">
        <f>'Data Vlaue (Cr)'!C185</f>
        <v>SUZLON</v>
      </c>
      <c r="B190" s="50">
        <f>VLOOKUP($A190,'Data shares'!$C:$FB,7)</f>
        <v>40.25</v>
      </c>
      <c r="C190" s="50">
        <f>VLOOKUP($A190,'Data shares'!$C:$FB,10)*100</f>
        <v>0.8</v>
      </c>
      <c r="D190" s="49">
        <f>VLOOKUP($A190,'Data shares'!$C:$FB,66)</f>
        <v>271851050</v>
      </c>
      <c r="E190" s="49">
        <f>VLOOKUP($A190,'Data shares'!$C:$FB,67)</f>
        <v>198071675</v>
      </c>
      <c r="F190" s="50">
        <f>VLOOKUP($A190,'Data shares'!$C:$FB,69)*100</f>
        <v>37.25</v>
      </c>
      <c r="G190" s="49">
        <f>VLOOKUP($A190,'Data shares'!$C:$FB,42)</f>
        <v>55296175</v>
      </c>
      <c r="H190" s="49">
        <f>VLOOKUP($A190,'Data shares'!$C:$FB,43)</f>
        <v>49971425</v>
      </c>
      <c r="I190" s="50">
        <f>VLOOKUP($A190,'Data shares'!$C:$FB,45)*100</f>
        <v>10.66</v>
      </c>
      <c r="J190" s="49">
        <f>VLOOKUP($A190,'Data shares'!$C:$FB,58)</f>
        <v>181023450</v>
      </c>
      <c r="K190" s="49">
        <f>VLOOKUP($A190,'Data shares'!$C:$FB,59)</f>
        <v>96937525</v>
      </c>
      <c r="L190" s="50">
        <f>VLOOKUP($A190,'Data shares'!$C:$FB,61)*100</f>
        <v>86.74</v>
      </c>
      <c r="M190" s="49">
        <f>VLOOKUP($A190,'Data shares'!$C:$FB,62)</f>
        <v>35531425</v>
      </c>
      <c r="N190" s="49">
        <f>VLOOKUP($A190,'Data shares'!$C:$FB,63)</f>
        <v>51162725</v>
      </c>
      <c r="O190" s="140">
        <f>VLOOKUP($A190,'Data shares'!$C:$FB,65)*100</f>
        <v>-30.55</v>
      </c>
    </row>
    <row r="191" spans="1:15" x14ac:dyDescent="0.25">
      <c r="A191" s="101" t="str">
        <f>'Data Vlaue (Cr)'!C186</f>
        <v>SWIGGY</v>
      </c>
      <c r="B191" s="50">
        <f>VLOOKUP($A191,'Data shares'!$C:$FB,7)</f>
        <v>298.39999999999998</v>
      </c>
      <c r="C191" s="50">
        <f>VLOOKUP($A191,'Data shares'!$C:$FB,10)*100</f>
        <v>0.22</v>
      </c>
      <c r="D191" s="49">
        <f>VLOOKUP($A191,'Data shares'!$C:$FB,66)</f>
        <v>18735600</v>
      </c>
      <c r="E191" s="49">
        <f>VLOOKUP($A191,'Data shares'!$C:$FB,67)</f>
        <v>32457100</v>
      </c>
      <c r="F191" s="50">
        <f>VLOOKUP($A191,'Data shares'!$C:$FB,69)*100</f>
        <v>-42.28</v>
      </c>
      <c r="G191" s="49">
        <f>VLOOKUP($A191,'Data shares'!$C:$FB,42)</f>
        <v>7096700</v>
      </c>
      <c r="H191" s="49">
        <f>VLOOKUP($A191,'Data shares'!$C:$FB,43)</f>
        <v>11394500</v>
      </c>
      <c r="I191" s="50">
        <f>VLOOKUP($A191,'Data shares'!$C:$FB,45)*100</f>
        <v>-37.72</v>
      </c>
      <c r="J191" s="49">
        <f>VLOOKUP($A191,'Data shares'!$C:$FB,58)</f>
        <v>6711900</v>
      </c>
      <c r="K191" s="49">
        <f>VLOOKUP($A191,'Data shares'!$C:$FB,59)</f>
        <v>13968500</v>
      </c>
      <c r="L191" s="50">
        <f>VLOOKUP($A191,'Data shares'!$C:$FB,61)*100</f>
        <v>-51.949999999999996</v>
      </c>
      <c r="M191" s="49">
        <f>VLOOKUP($A191,'Data shares'!$C:$FB,62)</f>
        <v>4927000</v>
      </c>
      <c r="N191" s="49">
        <f>VLOOKUP($A191,'Data shares'!$C:$FB,63)</f>
        <v>7094100</v>
      </c>
      <c r="O191" s="140">
        <f>VLOOKUP($A191,'Data shares'!$C:$FB,65)*100</f>
        <v>-30.55</v>
      </c>
    </row>
    <row r="192" spans="1:15" x14ac:dyDescent="0.25">
      <c r="A192" s="101" t="str">
        <f>'Data Vlaue (Cr)'!C187</f>
        <v>SYNGENE</v>
      </c>
      <c r="B192" s="50">
        <f>VLOOKUP($A192,'Data shares'!$C:$FB,7)</f>
        <v>403.7</v>
      </c>
      <c r="C192" s="50">
        <f>VLOOKUP($A192,'Data shares'!$C:$FB,10)*100</f>
        <v>0.75</v>
      </c>
      <c r="D192" s="49">
        <f>VLOOKUP($A192,'Data shares'!$C:$FB,66)</f>
        <v>3903000</v>
      </c>
      <c r="E192" s="49">
        <f>VLOOKUP($A192,'Data shares'!$C:$FB,67)</f>
        <v>5220000</v>
      </c>
      <c r="F192" s="50">
        <f>VLOOKUP($A192,'Data shares'!$C:$FB,69)*100</f>
        <v>-25.230000000000004</v>
      </c>
      <c r="G192" s="49">
        <f>VLOOKUP($A192,'Data shares'!$C:$FB,42)</f>
        <v>889000</v>
      </c>
      <c r="H192" s="49">
        <f>VLOOKUP($A192,'Data shares'!$C:$FB,43)</f>
        <v>1192000</v>
      </c>
      <c r="I192" s="50">
        <f>VLOOKUP($A192,'Data shares'!$C:$FB,45)*100</f>
        <v>-25.419999999999998</v>
      </c>
      <c r="J192" s="49">
        <f>VLOOKUP($A192,'Data shares'!$C:$FB,58)</f>
        <v>2207000</v>
      </c>
      <c r="K192" s="49">
        <f>VLOOKUP($A192,'Data shares'!$C:$FB,59)</f>
        <v>2730000</v>
      </c>
      <c r="L192" s="50">
        <f>VLOOKUP($A192,'Data shares'!$C:$FB,61)*100</f>
        <v>-19.16</v>
      </c>
      <c r="M192" s="49">
        <f>VLOOKUP($A192,'Data shares'!$C:$FB,62)</f>
        <v>807000</v>
      </c>
      <c r="N192" s="49">
        <f>VLOOKUP($A192,'Data shares'!$C:$FB,63)</f>
        <v>1298000</v>
      </c>
      <c r="O192" s="140">
        <f>VLOOKUP($A192,'Data shares'!$C:$FB,65)*100</f>
        <v>-37.830000000000005</v>
      </c>
    </row>
    <row r="193" spans="1:15" x14ac:dyDescent="0.25">
      <c r="A193" s="101" t="str">
        <f>'Data Vlaue (Cr)'!C188</f>
        <v>TATACONSUM</v>
      </c>
      <c r="B193" s="50">
        <f>VLOOKUP($A193,'Data shares'!$C:$FB,7)</f>
        <v>1119.0999999999999</v>
      </c>
      <c r="C193" s="50">
        <f>VLOOKUP($A193,'Data shares'!$C:$FB,10)*100</f>
        <v>0.77</v>
      </c>
      <c r="D193" s="49">
        <f>VLOOKUP($A193,'Data shares'!$C:$FB,66)</f>
        <v>3836800</v>
      </c>
      <c r="E193" s="49">
        <f>VLOOKUP($A193,'Data shares'!$C:$FB,67)</f>
        <v>4291100</v>
      </c>
      <c r="F193" s="50">
        <f>VLOOKUP($A193,'Data shares'!$C:$FB,69)*100</f>
        <v>-10.59</v>
      </c>
      <c r="G193" s="49">
        <f>VLOOKUP($A193,'Data shares'!$C:$FB,42)</f>
        <v>1520200</v>
      </c>
      <c r="H193" s="49">
        <f>VLOOKUP($A193,'Data shares'!$C:$FB,43)</f>
        <v>1785300</v>
      </c>
      <c r="I193" s="50">
        <f>VLOOKUP($A193,'Data shares'!$C:$FB,45)*100</f>
        <v>-14.85</v>
      </c>
      <c r="J193" s="49">
        <f>VLOOKUP($A193,'Data shares'!$C:$FB,58)</f>
        <v>1423950</v>
      </c>
      <c r="K193" s="49">
        <f>VLOOKUP($A193,'Data shares'!$C:$FB,59)</f>
        <v>1215500</v>
      </c>
      <c r="L193" s="50">
        <f>VLOOKUP($A193,'Data shares'!$C:$FB,61)*100</f>
        <v>17.150000000000002</v>
      </c>
      <c r="M193" s="49">
        <f>VLOOKUP($A193,'Data shares'!$C:$FB,62)</f>
        <v>892650</v>
      </c>
      <c r="N193" s="49">
        <f>VLOOKUP($A193,'Data shares'!$C:$FB,63)</f>
        <v>1290300</v>
      </c>
      <c r="O193" s="140">
        <f>VLOOKUP($A193,'Data shares'!$C:$FB,65)*100</f>
        <v>-30.819999999999997</v>
      </c>
    </row>
    <row r="194" spans="1:15" x14ac:dyDescent="0.25">
      <c r="A194" s="101" t="str">
        <f>'Data Vlaue (Cr)'!C189</f>
        <v>TATAELXSI</v>
      </c>
      <c r="B194" s="50">
        <f>VLOOKUP($A194,'Data shares'!$C:$FB,7)</f>
        <v>4400</v>
      </c>
      <c r="C194" s="50">
        <f>VLOOKUP($A194,'Data shares'!$C:$FB,10)*100</f>
        <v>0.97</v>
      </c>
      <c r="D194" s="49">
        <f>VLOOKUP($A194,'Data shares'!$C:$FB,66)</f>
        <v>1606900</v>
      </c>
      <c r="E194" s="49">
        <f>VLOOKUP($A194,'Data shares'!$C:$FB,67)</f>
        <v>1886700</v>
      </c>
      <c r="F194" s="50">
        <f>VLOOKUP($A194,'Data shares'!$C:$FB,69)*100</f>
        <v>-14.829999999999998</v>
      </c>
      <c r="G194" s="49">
        <f>VLOOKUP($A194,'Data shares'!$C:$FB,42)</f>
        <v>334500</v>
      </c>
      <c r="H194" s="49">
        <f>VLOOKUP($A194,'Data shares'!$C:$FB,43)</f>
        <v>204700</v>
      </c>
      <c r="I194" s="50">
        <f>VLOOKUP($A194,'Data shares'!$C:$FB,45)*100</f>
        <v>63.41</v>
      </c>
      <c r="J194" s="49">
        <f>VLOOKUP($A194,'Data shares'!$C:$FB,58)</f>
        <v>963900</v>
      </c>
      <c r="K194" s="49">
        <f>VLOOKUP($A194,'Data shares'!$C:$FB,59)</f>
        <v>1035100</v>
      </c>
      <c r="L194" s="50">
        <f>VLOOKUP($A194,'Data shares'!$C:$FB,61)*100</f>
        <v>-6.88</v>
      </c>
      <c r="M194" s="49">
        <f>VLOOKUP($A194,'Data shares'!$C:$FB,62)</f>
        <v>308500</v>
      </c>
      <c r="N194" s="49">
        <f>VLOOKUP($A194,'Data shares'!$C:$FB,63)</f>
        <v>646900</v>
      </c>
      <c r="O194" s="140">
        <f>VLOOKUP($A194,'Data shares'!$C:$FB,65)*100</f>
        <v>-52.31</v>
      </c>
    </row>
    <row r="195" spans="1:15" x14ac:dyDescent="0.25">
      <c r="A195" s="101" t="str">
        <f>'Data Vlaue (Cr)'!C190</f>
        <v>TATAPOWER</v>
      </c>
      <c r="B195" s="50">
        <f>VLOOKUP($A195,'Data shares'!$C:$FB,7)</f>
        <v>376.85</v>
      </c>
      <c r="C195" s="50">
        <f>VLOOKUP($A195,'Data shares'!$C:$FB,10)*100</f>
        <v>3.01</v>
      </c>
      <c r="D195" s="49">
        <f>VLOOKUP($A195,'Data shares'!$C:$FB,66)</f>
        <v>68353000</v>
      </c>
      <c r="E195" s="49">
        <f>VLOOKUP($A195,'Data shares'!$C:$FB,67)</f>
        <v>57797000</v>
      </c>
      <c r="F195" s="50">
        <f>VLOOKUP($A195,'Data shares'!$C:$FB,69)*100</f>
        <v>18.260000000000002</v>
      </c>
      <c r="G195" s="49">
        <f>VLOOKUP($A195,'Data shares'!$C:$FB,42)</f>
        <v>11586950</v>
      </c>
      <c r="H195" s="49">
        <f>VLOOKUP($A195,'Data shares'!$C:$FB,43)</f>
        <v>9330750</v>
      </c>
      <c r="I195" s="50">
        <f>VLOOKUP($A195,'Data shares'!$C:$FB,45)*100</f>
        <v>24.18</v>
      </c>
      <c r="J195" s="49">
        <f>VLOOKUP($A195,'Data shares'!$C:$FB,58)</f>
        <v>37853700</v>
      </c>
      <c r="K195" s="49">
        <f>VLOOKUP($A195,'Data shares'!$C:$FB,59)</f>
        <v>29917850</v>
      </c>
      <c r="L195" s="50">
        <f>VLOOKUP($A195,'Data shares'!$C:$FB,61)*100</f>
        <v>26.529999999999998</v>
      </c>
      <c r="M195" s="49">
        <f>VLOOKUP($A195,'Data shares'!$C:$FB,62)</f>
        <v>18912350</v>
      </c>
      <c r="N195" s="49">
        <f>VLOOKUP($A195,'Data shares'!$C:$FB,63)</f>
        <v>18548400</v>
      </c>
      <c r="O195" s="140">
        <f>VLOOKUP($A195,'Data shares'!$C:$FB,65)*100</f>
        <v>1.96</v>
      </c>
    </row>
    <row r="196" spans="1:15" x14ac:dyDescent="0.25">
      <c r="A196" s="101" t="str">
        <f>'Data Vlaue (Cr)'!C191</f>
        <v>TATASTEEL</v>
      </c>
      <c r="B196" s="50">
        <f>VLOOKUP($A196,'Data shares'!$C:$FB,7)</f>
        <v>200.57</v>
      </c>
      <c r="C196" s="50">
        <f>VLOOKUP($A196,'Data shares'!$C:$FB,10)*100</f>
        <v>1.95</v>
      </c>
      <c r="D196" s="49">
        <f>VLOOKUP($A196,'Data shares'!$C:$FB,66)</f>
        <v>369831000</v>
      </c>
      <c r="E196" s="49">
        <f>VLOOKUP($A196,'Data shares'!$C:$FB,67)</f>
        <v>646684500</v>
      </c>
      <c r="F196" s="50">
        <f>VLOOKUP($A196,'Data shares'!$C:$FB,69)*100</f>
        <v>-42.809999999999995</v>
      </c>
      <c r="G196" s="49">
        <f>VLOOKUP($A196,'Data shares'!$C:$FB,42)</f>
        <v>78320000</v>
      </c>
      <c r="H196" s="49">
        <f>VLOOKUP($A196,'Data shares'!$C:$FB,43)</f>
        <v>118772500</v>
      </c>
      <c r="I196" s="50">
        <f>VLOOKUP($A196,'Data shares'!$C:$FB,45)*100</f>
        <v>-34.06</v>
      </c>
      <c r="J196" s="49">
        <f>VLOOKUP($A196,'Data shares'!$C:$FB,58)</f>
        <v>192439500</v>
      </c>
      <c r="K196" s="49">
        <f>VLOOKUP($A196,'Data shares'!$C:$FB,59)</f>
        <v>272195000</v>
      </c>
      <c r="L196" s="50">
        <f>VLOOKUP($A196,'Data shares'!$C:$FB,61)*100</f>
        <v>-29.299999999999997</v>
      </c>
      <c r="M196" s="49">
        <f>VLOOKUP($A196,'Data shares'!$C:$FB,62)</f>
        <v>99071500</v>
      </c>
      <c r="N196" s="49">
        <f>VLOOKUP($A196,'Data shares'!$C:$FB,63)</f>
        <v>255717000</v>
      </c>
      <c r="O196" s="140">
        <f>VLOOKUP($A196,'Data shares'!$C:$FB,65)*100</f>
        <v>-61.260000000000005</v>
      </c>
    </row>
    <row r="197" spans="1:15" x14ac:dyDescent="0.25">
      <c r="A197" s="101" t="str">
        <f>'Data Vlaue (Cr)'!C192</f>
        <v>TATATECH</v>
      </c>
      <c r="B197" s="50">
        <f>VLOOKUP($A197,'Data shares'!$C:$FB,7)</f>
        <v>576.1</v>
      </c>
      <c r="C197" s="50">
        <f>VLOOKUP($A197,'Data shares'!$C:$FB,10)*100</f>
        <v>0.73</v>
      </c>
      <c r="D197" s="49">
        <f>VLOOKUP($A197,'Data shares'!$C:$FB,66)</f>
        <v>3522400</v>
      </c>
      <c r="E197" s="49">
        <f>VLOOKUP($A197,'Data shares'!$C:$FB,67)</f>
        <v>3944000</v>
      </c>
      <c r="F197" s="50">
        <f>VLOOKUP($A197,'Data shares'!$C:$FB,69)*100</f>
        <v>-10.69</v>
      </c>
      <c r="G197" s="49">
        <f>VLOOKUP($A197,'Data shares'!$C:$FB,42)</f>
        <v>1412000</v>
      </c>
      <c r="H197" s="49">
        <f>VLOOKUP($A197,'Data shares'!$C:$FB,43)</f>
        <v>1716800</v>
      </c>
      <c r="I197" s="50">
        <f>VLOOKUP($A197,'Data shares'!$C:$FB,45)*100</f>
        <v>-17.75</v>
      </c>
      <c r="J197" s="49">
        <f>VLOOKUP($A197,'Data shares'!$C:$FB,58)</f>
        <v>1468800</v>
      </c>
      <c r="K197" s="49">
        <f>VLOOKUP($A197,'Data shares'!$C:$FB,59)</f>
        <v>1606400</v>
      </c>
      <c r="L197" s="50">
        <f>VLOOKUP($A197,'Data shares'!$C:$FB,61)*100</f>
        <v>-8.57</v>
      </c>
      <c r="M197" s="49">
        <f>VLOOKUP($A197,'Data shares'!$C:$FB,62)</f>
        <v>641600</v>
      </c>
      <c r="N197" s="49">
        <f>VLOOKUP($A197,'Data shares'!$C:$FB,63)</f>
        <v>620800</v>
      </c>
      <c r="O197" s="140">
        <f>VLOOKUP($A197,'Data shares'!$C:$FB,65)*100</f>
        <v>3.35</v>
      </c>
    </row>
    <row r="198" spans="1:15" x14ac:dyDescent="0.25">
      <c r="A198" s="101" t="str">
        <f>'Data Vlaue (Cr)'!C193</f>
        <v>TCS</v>
      </c>
      <c r="B198" s="50">
        <f>VLOOKUP($A198,'Data shares'!$C:$FB,7)</f>
        <v>2578.8000000000002</v>
      </c>
      <c r="C198" s="50">
        <f>VLOOKUP($A198,'Data shares'!$C:$FB,10)*100</f>
        <v>-0.35000000000000003</v>
      </c>
      <c r="D198" s="49">
        <f>VLOOKUP($A198,'Data shares'!$C:$FB,66)</f>
        <v>22386350</v>
      </c>
      <c r="E198" s="49">
        <f>VLOOKUP($A198,'Data shares'!$C:$FB,67)</f>
        <v>21390775</v>
      </c>
      <c r="F198" s="50">
        <f>VLOOKUP($A198,'Data shares'!$C:$FB,69)*100</f>
        <v>4.6500000000000004</v>
      </c>
      <c r="G198" s="49">
        <f>VLOOKUP($A198,'Data shares'!$C:$FB,42)</f>
        <v>3547600</v>
      </c>
      <c r="H198" s="49">
        <f>VLOOKUP($A198,'Data shares'!$C:$FB,43)</f>
        <v>3848425</v>
      </c>
      <c r="I198" s="50">
        <f>VLOOKUP($A198,'Data shares'!$C:$FB,45)*100</f>
        <v>-7.82</v>
      </c>
      <c r="J198" s="49">
        <f>VLOOKUP($A198,'Data shares'!$C:$FB,58)</f>
        <v>11327575</v>
      </c>
      <c r="K198" s="49">
        <f>VLOOKUP($A198,'Data shares'!$C:$FB,59)</f>
        <v>11986100</v>
      </c>
      <c r="L198" s="50">
        <f>VLOOKUP($A198,'Data shares'!$C:$FB,61)*100</f>
        <v>-5.4899999999999993</v>
      </c>
      <c r="M198" s="49">
        <f>VLOOKUP($A198,'Data shares'!$C:$FB,62)</f>
        <v>7511175</v>
      </c>
      <c r="N198" s="49">
        <f>VLOOKUP($A198,'Data shares'!$C:$FB,63)</f>
        <v>5556250</v>
      </c>
      <c r="O198" s="140">
        <f>VLOOKUP($A198,'Data shares'!$C:$FB,65)*100</f>
        <v>35.18</v>
      </c>
    </row>
    <row r="199" spans="1:15" x14ac:dyDescent="0.25">
      <c r="A199" s="101" t="str">
        <f>'Data Vlaue (Cr)'!C194</f>
        <v>TECHM</v>
      </c>
      <c r="B199" s="50">
        <f>VLOOKUP($A199,'Data shares'!$C:$FB,7)</f>
        <v>1333.3</v>
      </c>
      <c r="C199" s="50">
        <f>VLOOKUP($A199,'Data shares'!$C:$FB,10)*100</f>
        <v>-1.32</v>
      </c>
      <c r="D199" s="49">
        <f>VLOOKUP($A199,'Data shares'!$C:$FB,66)</f>
        <v>12769200</v>
      </c>
      <c r="E199" s="49">
        <f>VLOOKUP($A199,'Data shares'!$C:$FB,67)</f>
        <v>15203400</v>
      </c>
      <c r="F199" s="50">
        <f>VLOOKUP($A199,'Data shares'!$C:$FB,69)*100</f>
        <v>-16.009999999999998</v>
      </c>
      <c r="G199" s="49">
        <f>VLOOKUP($A199,'Data shares'!$C:$FB,42)</f>
        <v>2449800</v>
      </c>
      <c r="H199" s="49">
        <f>VLOOKUP($A199,'Data shares'!$C:$FB,43)</f>
        <v>3322200</v>
      </c>
      <c r="I199" s="50">
        <f>VLOOKUP($A199,'Data shares'!$C:$FB,45)*100</f>
        <v>-26.26</v>
      </c>
      <c r="J199" s="49">
        <f>VLOOKUP($A199,'Data shares'!$C:$FB,58)</f>
        <v>6791400</v>
      </c>
      <c r="K199" s="49">
        <f>VLOOKUP($A199,'Data shares'!$C:$FB,59)</f>
        <v>8188200</v>
      </c>
      <c r="L199" s="50">
        <f>VLOOKUP($A199,'Data shares'!$C:$FB,61)*100</f>
        <v>-17.059999999999999</v>
      </c>
      <c r="M199" s="49">
        <f>VLOOKUP($A199,'Data shares'!$C:$FB,62)</f>
        <v>3528000</v>
      </c>
      <c r="N199" s="49">
        <f>VLOOKUP($A199,'Data shares'!$C:$FB,63)</f>
        <v>3693000</v>
      </c>
      <c r="O199" s="140">
        <f>VLOOKUP($A199,'Data shares'!$C:$FB,65)*100</f>
        <v>-4.47</v>
      </c>
    </row>
    <row r="200" spans="1:15" x14ac:dyDescent="0.25">
      <c r="A200" s="101" t="str">
        <f>'Data Vlaue (Cr)'!C195</f>
        <v>TIINDIA</v>
      </c>
      <c r="B200" s="50">
        <f>VLOOKUP($A200,'Data shares'!$C:$FB,7)</f>
        <v>2781.9</v>
      </c>
      <c r="C200" s="50">
        <f>VLOOKUP($A200,'Data shares'!$C:$FB,10)*100</f>
        <v>0.38999999999999996</v>
      </c>
      <c r="D200" s="49">
        <f>VLOOKUP($A200,'Data shares'!$C:$FB,66)</f>
        <v>1376000</v>
      </c>
      <c r="E200" s="49">
        <f>VLOOKUP($A200,'Data shares'!$C:$FB,67)</f>
        <v>2323000</v>
      </c>
      <c r="F200" s="50">
        <f>VLOOKUP($A200,'Data shares'!$C:$FB,69)*100</f>
        <v>-40.770000000000003</v>
      </c>
      <c r="G200" s="49">
        <f>VLOOKUP($A200,'Data shares'!$C:$FB,42)</f>
        <v>568800</v>
      </c>
      <c r="H200" s="49">
        <f>VLOOKUP($A200,'Data shares'!$C:$FB,43)</f>
        <v>740600</v>
      </c>
      <c r="I200" s="50">
        <f>VLOOKUP($A200,'Data shares'!$C:$FB,45)*100</f>
        <v>-23.200000000000003</v>
      </c>
      <c r="J200" s="49">
        <f>VLOOKUP($A200,'Data shares'!$C:$FB,58)</f>
        <v>559400</v>
      </c>
      <c r="K200" s="49">
        <f>VLOOKUP($A200,'Data shares'!$C:$FB,59)</f>
        <v>886600</v>
      </c>
      <c r="L200" s="50">
        <f>VLOOKUP($A200,'Data shares'!$C:$FB,61)*100</f>
        <v>-36.909999999999997</v>
      </c>
      <c r="M200" s="49">
        <f>VLOOKUP($A200,'Data shares'!$C:$FB,62)</f>
        <v>247800</v>
      </c>
      <c r="N200" s="49">
        <f>VLOOKUP($A200,'Data shares'!$C:$FB,63)</f>
        <v>695800</v>
      </c>
      <c r="O200" s="140">
        <f>VLOOKUP($A200,'Data shares'!$C:$FB,65)*100</f>
        <v>-64.39</v>
      </c>
    </row>
    <row r="201" spans="1:15" x14ac:dyDescent="0.25">
      <c r="A201" s="101" t="str">
        <f>'Data Vlaue (Cr)'!C196</f>
        <v>TITAN</v>
      </c>
      <c r="B201" s="50">
        <f>VLOOKUP($A201,'Data shares'!$C:$FB,7)</f>
        <v>4275.2</v>
      </c>
      <c r="C201" s="50">
        <f>VLOOKUP($A201,'Data shares'!$C:$FB,10)*100</f>
        <v>1.68</v>
      </c>
      <c r="D201" s="49">
        <f>VLOOKUP($A201,'Data shares'!$C:$FB,66)</f>
        <v>6215125</v>
      </c>
      <c r="E201" s="49">
        <f>VLOOKUP($A201,'Data shares'!$C:$FB,67)</f>
        <v>8947925</v>
      </c>
      <c r="F201" s="50">
        <f>VLOOKUP($A201,'Data shares'!$C:$FB,69)*100</f>
        <v>-30.54</v>
      </c>
      <c r="G201" s="49">
        <f>VLOOKUP($A201,'Data shares'!$C:$FB,42)</f>
        <v>958300</v>
      </c>
      <c r="H201" s="49">
        <f>VLOOKUP($A201,'Data shares'!$C:$FB,43)</f>
        <v>1316175</v>
      </c>
      <c r="I201" s="50">
        <f>VLOOKUP($A201,'Data shares'!$C:$FB,45)*100</f>
        <v>-27.189999999999998</v>
      </c>
      <c r="J201" s="49">
        <f>VLOOKUP($A201,'Data shares'!$C:$FB,58)</f>
        <v>3328150</v>
      </c>
      <c r="K201" s="49">
        <f>VLOOKUP($A201,'Data shares'!$C:$FB,59)</f>
        <v>3805550</v>
      </c>
      <c r="L201" s="50">
        <f>VLOOKUP($A201,'Data shares'!$C:$FB,61)*100</f>
        <v>-12.540000000000001</v>
      </c>
      <c r="M201" s="49">
        <f>VLOOKUP($A201,'Data shares'!$C:$FB,62)</f>
        <v>1928675</v>
      </c>
      <c r="N201" s="49">
        <f>VLOOKUP($A201,'Data shares'!$C:$FB,63)</f>
        <v>3826200</v>
      </c>
      <c r="O201" s="140">
        <f>VLOOKUP($A201,'Data shares'!$C:$FB,65)*100</f>
        <v>-49.59</v>
      </c>
    </row>
    <row r="202" spans="1:15" x14ac:dyDescent="0.25">
      <c r="A202" s="101" t="str">
        <f>'Data Vlaue (Cr)'!C197</f>
        <v>TMPV</v>
      </c>
      <c r="B202" s="50">
        <f>VLOOKUP($A202,'Data shares'!$C:$FB,7)</f>
        <v>355.15</v>
      </c>
      <c r="C202" s="50">
        <f>VLOOKUP($A202,'Data shares'!$C:$FB,10)*100</f>
        <v>1.1199999999999999</v>
      </c>
      <c r="D202" s="49">
        <f>VLOOKUP($A202,'Data shares'!$C:$FB,66)</f>
        <v>82723200</v>
      </c>
      <c r="E202" s="49">
        <f>VLOOKUP($A202,'Data shares'!$C:$FB,67)</f>
        <v>119021600</v>
      </c>
      <c r="F202" s="50">
        <f>VLOOKUP($A202,'Data shares'!$C:$FB,69)*100</f>
        <v>-30.5</v>
      </c>
      <c r="G202" s="49">
        <f>VLOOKUP($A202,'Data shares'!$C:$FB,42)</f>
        <v>14088000</v>
      </c>
      <c r="H202" s="49">
        <f>VLOOKUP($A202,'Data shares'!$C:$FB,43)</f>
        <v>15424800</v>
      </c>
      <c r="I202" s="50">
        <f>VLOOKUP($A202,'Data shares'!$C:$FB,45)*100</f>
        <v>-8.67</v>
      </c>
      <c r="J202" s="49">
        <f>VLOOKUP($A202,'Data shares'!$C:$FB,58)</f>
        <v>43876000</v>
      </c>
      <c r="K202" s="49">
        <f>VLOOKUP($A202,'Data shares'!$C:$FB,59)</f>
        <v>60799200</v>
      </c>
      <c r="L202" s="50">
        <f>VLOOKUP($A202,'Data shares'!$C:$FB,61)*100</f>
        <v>-27.83</v>
      </c>
      <c r="M202" s="49">
        <f>VLOOKUP($A202,'Data shares'!$C:$FB,62)</f>
        <v>24759200</v>
      </c>
      <c r="N202" s="49">
        <f>VLOOKUP($A202,'Data shares'!$C:$FB,63)</f>
        <v>42797600</v>
      </c>
      <c r="O202" s="140">
        <f>VLOOKUP($A202,'Data shares'!$C:$FB,65)*100</f>
        <v>-42.15</v>
      </c>
    </row>
    <row r="203" spans="1:15" x14ac:dyDescent="0.25">
      <c r="A203" s="101" t="str">
        <f>'Data Vlaue (Cr)'!C198</f>
        <v>TORNTPHARM</v>
      </c>
      <c r="B203" s="50">
        <f>VLOOKUP($A203,'Data shares'!$C:$FB,7)</f>
        <v>4353.3999999999996</v>
      </c>
      <c r="C203" s="50">
        <f>VLOOKUP($A203,'Data shares'!$C:$FB,10)*100</f>
        <v>0.28999999999999998</v>
      </c>
      <c r="D203" s="49">
        <f>VLOOKUP($A203,'Data shares'!$C:$FB,66)</f>
        <v>1035750</v>
      </c>
      <c r="E203" s="49">
        <f>VLOOKUP($A203,'Data shares'!$C:$FB,67)</f>
        <v>1609250</v>
      </c>
      <c r="F203" s="50">
        <f>VLOOKUP($A203,'Data shares'!$C:$FB,69)*100</f>
        <v>-35.64</v>
      </c>
      <c r="G203" s="49">
        <f>VLOOKUP($A203,'Data shares'!$C:$FB,42)</f>
        <v>386500</v>
      </c>
      <c r="H203" s="49">
        <f>VLOOKUP($A203,'Data shares'!$C:$FB,43)</f>
        <v>383250</v>
      </c>
      <c r="I203" s="50">
        <f>VLOOKUP($A203,'Data shares'!$C:$FB,45)*100</f>
        <v>0.85000000000000009</v>
      </c>
      <c r="J203" s="49">
        <f>VLOOKUP($A203,'Data shares'!$C:$FB,58)</f>
        <v>430000</v>
      </c>
      <c r="K203" s="49">
        <f>VLOOKUP($A203,'Data shares'!$C:$FB,59)</f>
        <v>668250</v>
      </c>
      <c r="L203" s="50">
        <f>VLOOKUP($A203,'Data shares'!$C:$FB,61)*100</f>
        <v>-35.65</v>
      </c>
      <c r="M203" s="49">
        <f>VLOOKUP($A203,'Data shares'!$C:$FB,62)</f>
        <v>219250</v>
      </c>
      <c r="N203" s="49">
        <f>VLOOKUP($A203,'Data shares'!$C:$FB,63)</f>
        <v>557750</v>
      </c>
      <c r="O203" s="140">
        <f>VLOOKUP($A203,'Data shares'!$C:$FB,65)*100</f>
        <v>-60.69</v>
      </c>
    </row>
    <row r="204" spans="1:15" x14ac:dyDescent="0.25">
      <c r="A204" s="101" t="str">
        <f>'Data Vlaue (Cr)'!C199</f>
        <v>TORNTPOWER</v>
      </c>
      <c r="B204" s="50">
        <f>VLOOKUP($A204,'Data shares'!$C:$FB,7)</f>
        <v>1503.9</v>
      </c>
      <c r="C204" s="50">
        <f>VLOOKUP($A204,'Data shares'!$C:$FB,10)*100</f>
        <v>1.9</v>
      </c>
      <c r="D204" s="49">
        <f>VLOOKUP($A204,'Data shares'!$C:$FB,66)</f>
        <v>3158175</v>
      </c>
      <c r="E204" s="49">
        <f>VLOOKUP($A204,'Data shares'!$C:$FB,67)</f>
        <v>6787675</v>
      </c>
      <c r="F204" s="50">
        <f>VLOOKUP($A204,'Data shares'!$C:$FB,69)*100</f>
        <v>-53.47</v>
      </c>
      <c r="G204" s="49">
        <f>VLOOKUP($A204,'Data shares'!$C:$FB,42)</f>
        <v>1093950</v>
      </c>
      <c r="H204" s="49">
        <f>VLOOKUP($A204,'Data shares'!$C:$FB,43)</f>
        <v>2411025</v>
      </c>
      <c r="I204" s="50">
        <f>VLOOKUP($A204,'Data shares'!$C:$FB,45)*100</f>
        <v>-54.63</v>
      </c>
      <c r="J204" s="49">
        <f>VLOOKUP($A204,'Data shares'!$C:$FB,58)</f>
        <v>1360000</v>
      </c>
      <c r="K204" s="49">
        <f>VLOOKUP($A204,'Data shares'!$C:$FB,59)</f>
        <v>2615450</v>
      </c>
      <c r="L204" s="50">
        <f>VLOOKUP($A204,'Data shares'!$C:$FB,61)*100</f>
        <v>-48</v>
      </c>
      <c r="M204" s="49">
        <f>VLOOKUP($A204,'Data shares'!$C:$FB,62)</f>
        <v>704225</v>
      </c>
      <c r="N204" s="49">
        <f>VLOOKUP($A204,'Data shares'!$C:$FB,63)</f>
        <v>1761200</v>
      </c>
      <c r="O204" s="140">
        <f>VLOOKUP($A204,'Data shares'!$C:$FB,65)*100</f>
        <v>-60.01</v>
      </c>
    </row>
    <row r="205" spans="1:15" x14ac:dyDescent="0.25">
      <c r="A205" s="101" t="str">
        <f>'Data Vlaue (Cr)'!C200</f>
        <v>TRENT</v>
      </c>
      <c r="B205" s="50">
        <f>VLOOKUP($A205,'Data shares'!$C:$FB,7)</f>
        <v>3790.9</v>
      </c>
      <c r="C205" s="50">
        <f>VLOOKUP($A205,'Data shares'!$C:$FB,10)*100</f>
        <v>0.91</v>
      </c>
      <c r="D205" s="49">
        <f>VLOOKUP($A205,'Data shares'!$C:$FB,66)</f>
        <v>3756900</v>
      </c>
      <c r="E205" s="49">
        <f>VLOOKUP($A205,'Data shares'!$C:$FB,67)</f>
        <v>4838500</v>
      </c>
      <c r="F205" s="50">
        <f>VLOOKUP($A205,'Data shares'!$C:$FB,69)*100</f>
        <v>-22.35</v>
      </c>
      <c r="G205" s="49">
        <f>VLOOKUP($A205,'Data shares'!$C:$FB,42)</f>
        <v>623400</v>
      </c>
      <c r="H205" s="49">
        <f>VLOOKUP($A205,'Data shares'!$C:$FB,43)</f>
        <v>794000</v>
      </c>
      <c r="I205" s="50">
        <f>VLOOKUP($A205,'Data shares'!$C:$FB,45)*100</f>
        <v>-21.490000000000002</v>
      </c>
      <c r="J205" s="49">
        <f>VLOOKUP($A205,'Data shares'!$C:$FB,58)</f>
        <v>2212100</v>
      </c>
      <c r="K205" s="49">
        <f>VLOOKUP($A205,'Data shares'!$C:$FB,59)</f>
        <v>2357900</v>
      </c>
      <c r="L205" s="50">
        <f>VLOOKUP($A205,'Data shares'!$C:$FB,61)*100</f>
        <v>-6.18</v>
      </c>
      <c r="M205" s="49">
        <f>VLOOKUP($A205,'Data shares'!$C:$FB,62)</f>
        <v>921400</v>
      </c>
      <c r="N205" s="49">
        <f>VLOOKUP($A205,'Data shares'!$C:$FB,63)</f>
        <v>1686600</v>
      </c>
      <c r="O205" s="140">
        <f>VLOOKUP($A205,'Data shares'!$C:$FB,65)*100</f>
        <v>-45.37</v>
      </c>
    </row>
    <row r="206" spans="1:15" x14ac:dyDescent="0.25">
      <c r="A206" s="101" t="str">
        <f>'Data Vlaue (Cr)'!C201</f>
        <v>TVSMOTOR</v>
      </c>
      <c r="B206" s="50">
        <f>VLOOKUP($A206,'Data shares'!$C:$FB,7)</f>
        <v>3818.4</v>
      </c>
      <c r="C206" s="50">
        <f>VLOOKUP($A206,'Data shares'!$C:$FB,10)*100</f>
        <v>1.91</v>
      </c>
      <c r="D206" s="49">
        <f>VLOOKUP($A206,'Data shares'!$C:$FB,66)</f>
        <v>3402175</v>
      </c>
      <c r="E206" s="49">
        <f>VLOOKUP($A206,'Data shares'!$C:$FB,67)</f>
        <v>6145650</v>
      </c>
      <c r="F206" s="50">
        <f>VLOOKUP($A206,'Data shares'!$C:$FB,69)*100</f>
        <v>-44.64</v>
      </c>
      <c r="G206" s="49">
        <f>VLOOKUP($A206,'Data shares'!$C:$FB,42)</f>
        <v>848925</v>
      </c>
      <c r="H206" s="49">
        <f>VLOOKUP($A206,'Data shares'!$C:$FB,43)</f>
        <v>1178625</v>
      </c>
      <c r="I206" s="50">
        <f>VLOOKUP($A206,'Data shares'!$C:$FB,45)*100</f>
        <v>-27.97</v>
      </c>
      <c r="J206" s="49">
        <f>VLOOKUP($A206,'Data shares'!$C:$FB,58)</f>
        <v>1780625</v>
      </c>
      <c r="K206" s="49">
        <f>VLOOKUP($A206,'Data shares'!$C:$FB,59)</f>
        <v>2674000</v>
      </c>
      <c r="L206" s="50">
        <f>VLOOKUP($A206,'Data shares'!$C:$FB,61)*100</f>
        <v>-33.410000000000004</v>
      </c>
      <c r="M206" s="49">
        <f>VLOOKUP($A206,'Data shares'!$C:$FB,62)</f>
        <v>772625</v>
      </c>
      <c r="N206" s="49">
        <f>VLOOKUP($A206,'Data shares'!$C:$FB,63)</f>
        <v>2293025</v>
      </c>
      <c r="O206" s="140">
        <f>VLOOKUP($A206,'Data shares'!$C:$FB,65)*100</f>
        <v>-66.31</v>
      </c>
    </row>
    <row r="207" spans="1:15" x14ac:dyDescent="0.25">
      <c r="A207" s="101" t="str">
        <f>'Data Vlaue (Cr)'!C202</f>
        <v>ULTRACEMCO</v>
      </c>
      <c r="B207" s="50">
        <f>VLOOKUP($A207,'Data shares'!$C:$FB,7)</f>
        <v>12288</v>
      </c>
      <c r="C207" s="50">
        <f>VLOOKUP($A207,'Data shares'!$C:$FB,10)*100</f>
        <v>1.5</v>
      </c>
      <c r="D207" s="49">
        <f>VLOOKUP($A207,'Data shares'!$C:$FB,66)</f>
        <v>1648950</v>
      </c>
      <c r="E207" s="49">
        <f>VLOOKUP($A207,'Data shares'!$C:$FB,67)</f>
        <v>2546150</v>
      </c>
      <c r="F207" s="50">
        <f>VLOOKUP($A207,'Data shares'!$C:$FB,69)*100</f>
        <v>-35.24</v>
      </c>
      <c r="G207" s="49">
        <f>VLOOKUP($A207,'Data shares'!$C:$FB,42)</f>
        <v>418550</v>
      </c>
      <c r="H207" s="49">
        <f>VLOOKUP($A207,'Data shares'!$C:$FB,43)</f>
        <v>400350</v>
      </c>
      <c r="I207" s="50">
        <f>VLOOKUP($A207,'Data shares'!$C:$FB,45)*100</f>
        <v>4.55</v>
      </c>
      <c r="J207" s="49">
        <f>VLOOKUP($A207,'Data shares'!$C:$FB,58)</f>
        <v>846000</v>
      </c>
      <c r="K207" s="49">
        <f>VLOOKUP($A207,'Data shares'!$C:$FB,59)</f>
        <v>1268400</v>
      </c>
      <c r="L207" s="50">
        <f>VLOOKUP($A207,'Data shares'!$C:$FB,61)*100</f>
        <v>-33.300000000000004</v>
      </c>
      <c r="M207" s="49">
        <f>VLOOKUP($A207,'Data shares'!$C:$FB,62)</f>
        <v>384400</v>
      </c>
      <c r="N207" s="49">
        <f>VLOOKUP($A207,'Data shares'!$C:$FB,63)</f>
        <v>877400</v>
      </c>
      <c r="O207" s="140">
        <f>VLOOKUP($A207,'Data shares'!$C:$FB,65)*100</f>
        <v>-56.19</v>
      </c>
    </row>
    <row r="208" spans="1:15" x14ac:dyDescent="0.25">
      <c r="A208" s="101" t="str">
        <f>'Data Vlaue (Cr)'!C203</f>
        <v>UNIONBANK</v>
      </c>
      <c r="B208" s="50">
        <f>VLOOKUP($A208,'Data shares'!$C:$FB,7)</f>
        <v>191.2</v>
      </c>
      <c r="C208" s="50">
        <f>VLOOKUP($A208,'Data shares'!$C:$FB,10)*100</f>
        <v>0.04</v>
      </c>
      <c r="D208" s="49">
        <f>VLOOKUP($A208,'Data shares'!$C:$FB,66)</f>
        <v>96186225</v>
      </c>
      <c r="E208" s="49">
        <f>VLOOKUP($A208,'Data shares'!$C:$FB,67)</f>
        <v>126258525</v>
      </c>
      <c r="F208" s="50">
        <f>VLOOKUP($A208,'Data shares'!$C:$FB,69)*100</f>
        <v>-23.82</v>
      </c>
      <c r="G208" s="49">
        <f>VLOOKUP($A208,'Data shares'!$C:$FB,42)</f>
        <v>38847075</v>
      </c>
      <c r="H208" s="49">
        <f>VLOOKUP($A208,'Data shares'!$C:$FB,43)</f>
        <v>38395725</v>
      </c>
      <c r="I208" s="50">
        <f>VLOOKUP($A208,'Data shares'!$C:$FB,45)*100</f>
        <v>1.18</v>
      </c>
      <c r="J208" s="49">
        <f>VLOOKUP($A208,'Data shares'!$C:$FB,58)</f>
        <v>39413475</v>
      </c>
      <c r="K208" s="49">
        <f>VLOOKUP($A208,'Data shares'!$C:$FB,59)</f>
        <v>52507050</v>
      </c>
      <c r="L208" s="50">
        <f>VLOOKUP($A208,'Data shares'!$C:$FB,61)*100</f>
        <v>-24.94</v>
      </c>
      <c r="M208" s="49">
        <f>VLOOKUP($A208,'Data shares'!$C:$FB,62)</f>
        <v>17925675</v>
      </c>
      <c r="N208" s="49">
        <f>VLOOKUP($A208,'Data shares'!$C:$FB,63)</f>
        <v>35355750</v>
      </c>
      <c r="O208" s="140">
        <f>VLOOKUP($A208,'Data shares'!$C:$FB,65)*100</f>
        <v>-49.3</v>
      </c>
    </row>
    <row r="209" spans="1:15" x14ac:dyDescent="0.25">
      <c r="A209" s="101" t="str">
        <f>'Data Vlaue (Cr)'!C204</f>
        <v>UNITDSPR</v>
      </c>
      <c r="B209" s="50">
        <f>VLOOKUP($A209,'Data shares'!$C:$FB,7)</f>
        <v>1325.8</v>
      </c>
      <c r="C209" s="50">
        <f>VLOOKUP($A209,'Data shares'!$C:$FB,10)*100</f>
        <v>0.67999999999999994</v>
      </c>
      <c r="D209" s="49">
        <f>VLOOKUP($A209,'Data shares'!$C:$FB,66)</f>
        <v>4336800</v>
      </c>
      <c r="E209" s="49">
        <f>VLOOKUP($A209,'Data shares'!$C:$FB,67)</f>
        <v>4568400</v>
      </c>
      <c r="F209" s="50">
        <f>VLOOKUP($A209,'Data shares'!$C:$FB,69)*100</f>
        <v>-5.07</v>
      </c>
      <c r="G209" s="49">
        <f>VLOOKUP($A209,'Data shares'!$C:$FB,42)</f>
        <v>1226000</v>
      </c>
      <c r="H209" s="49">
        <f>VLOOKUP($A209,'Data shares'!$C:$FB,43)</f>
        <v>1248800</v>
      </c>
      <c r="I209" s="50">
        <f>VLOOKUP($A209,'Data shares'!$C:$FB,45)*100</f>
        <v>-1.83</v>
      </c>
      <c r="J209" s="49">
        <f>VLOOKUP($A209,'Data shares'!$C:$FB,58)</f>
        <v>2095200</v>
      </c>
      <c r="K209" s="49">
        <f>VLOOKUP($A209,'Data shares'!$C:$FB,59)</f>
        <v>1860800</v>
      </c>
      <c r="L209" s="50">
        <f>VLOOKUP($A209,'Data shares'!$C:$FB,61)*100</f>
        <v>12.6</v>
      </c>
      <c r="M209" s="49">
        <f>VLOOKUP($A209,'Data shares'!$C:$FB,62)</f>
        <v>1015600</v>
      </c>
      <c r="N209" s="49">
        <f>VLOOKUP($A209,'Data shares'!$C:$FB,63)</f>
        <v>1458800</v>
      </c>
      <c r="O209" s="140">
        <f>VLOOKUP($A209,'Data shares'!$C:$FB,65)*100</f>
        <v>-30.380000000000003</v>
      </c>
    </row>
    <row r="210" spans="1:15" x14ac:dyDescent="0.25">
      <c r="A210" s="101" t="str">
        <f>'Data Vlaue (Cr)'!C205</f>
        <v>UNOMINDA</v>
      </c>
      <c r="B210" s="50">
        <f>VLOOKUP($A210,'Data shares'!$C:$FB,7)</f>
        <v>1118.3</v>
      </c>
      <c r="C210" s="50">
        <f>VLOOKUP($A210,'Data shares'!$C:$FB,10)*100</f>
        <v>-0.54999999999999993</v>
      </c>
      <c r="D210" s="49">
        <f>VLOOKUP($A210,'Data shares'!$C:$FB,66)</f>
        <v>3137200</v>
      </c>
      <c r="E210" s="49">
        <f>VLOOKUP($A210,'Data shares'!$C:$FB,67)</f>
        <v>3144900</v>
      </c>
      <c r="F210" s="50">
        <f>VLOOKUP($A210,'Data shares'!$C:$FB,69)*100</f>
        <v>-0.24</v>
      </c>
      <c r="G210" s="49">
        <f>VLOOKUP($A210,'Data shares'!$C:$FB,42)</f>
        <v>1453650</v>
      </c>
      <c r="H210" s="49">
        <f>VLOOKUP($A210,'Data shares'!$C:$FB,43)</f>
        <v>1505900</v>
      </c>
      <c r="I210" s="50">
        <f>VLOOKUP($A210,'Data shares'!$C:$FB,45)*100</f>
        <v>-3.47</v>
      </c>
      <c r="J210" s="49">
        <f>VLOOKUP($A210,'Data shares'!$C:$FB,58)</f>
        <v>1144550</v>
      </c>
      <c r="K210" s="49">
        <f>VLOOKUP($A210,'Data shares'!$C:$FB,59)</f>
        <v>1117050</v>
      </c>
      <c r="L210" s="50">
        <f>VLOOKUP($A210,'Data shares'!$C:$FB,61)*100</f>
        <v>2.46</v>
      </c>
      <c r="M210" s="49">
        <f>VLOOKUP($A210,'Data shares'!$C:$FB,62)</f>
        <v>539000</v>
      </c>
      <c r="N210" s="49">
        <f>VLOOKUP($A210,'Data shares'!$C:$FB,63)</f>
        <v>521950</v>
      </c>
      <c r="O210" s="140">
        <f>VLOOKUP($A210,'Data shares'!$C:$FB,65)*100</f>
        <v>3.27</v>
      </c>
    </row>
    <row r="211" spans="1:15" x14ac:dyDescent="0.25">
      <c r="A211" s="101" t="str">
        <f>'Data Vlaue (Cr)'!C206</f>
        <v>UPL</v>
      </c>
      <c r="B211" s="50">
        <f>VLOOKUP($A211,'Data shares'!$C:$FB,7)</f>
        <v>629.6</v>
      </c>
      <c r="C211" s="50">
        <f>VLOOKUP($A211,'Data shares'!$C:$FB,10)*100</f>
        <v>2.52</v>
      </c>
      <c r="D211" s="49">
        <f>VLOOKUP($A211,'Data shares'!$C:$FB,66)</f>
        <v>21728780</v>
      </c>
      <c r="E211" s="49">
        <f>VLOOKUP($A211,'Data shares'!$C:$FB,67)</f>
        <v>30369615</v>
      </c>
      <c r="F211" s="50">
        <f>VLOOKUP($A211,'Data shares'!$C:$FB,69)*100</f>
        <v>-28.449999999999996</v>
      </c>
      <c r="G211" s="49">
        <f>VLOOKUP($A211,'Data shares'!$C:$FB,42)</f>
        <v>5303470</v>
      </c>
      <c r="H211" s="49">
        <f>VLOOKUP($A211,'Data shares'!$C:$FB,43)</f>
        <v>5791270</v>
      </c>
      <c r="I211" s="50">
        <f>VLOOKUP($A211,'Data shares'!$C:$FB,45)*100</f>
        <v>-8.42</v>
      </c>
      <c r="J211" s="49">
        <f>VLOOKUP($A211,'Data shares'!$C:$FB,58)</f>
        <v>11953810</v>
      </c>
      <c r="K211" s="49">
        <f>VLOOKUP($A211,'Data shares'!$C:$FB,59)</f>
        <v>15736970</v>
      </c>
      <c r="L211" s="50">
        <f>VLOOKUP($A211,'Data shares'!$C:$FB,61)*100</f>
        <v>-24.04</v>
      </c>
      <c r="M211" s="49">
        <f>VLOOKUP($A211,'Data shares'!$C:$FB,62)</f>
        <v>4471500</v>
      </c>
      <c r="N211" s="49">
        <f>VLOOKUP($A211,'Data shares'!$C:$FB,63)</f>
        <v>8841375</v>
      </c>
      <c r="O211" s="140">
        <f>VLOOKUP($A211,'Data shares'!$C:$FB,65)*100</f>
        <v>-49.43</v>
      </c>
    </row>
    <row r="212" spans="1:15" x14ac:dyDescent="0.25">
      <c r="A212" s="101" t="str">
        <f>'Data Vlaue (Cr)'!C207</f>
        <v>VBL</v>
      </c>
      <c r="B212" s="50">
        <f>VLOOKUP($A212,'Data shares'!$C:$FB,7)</f>
        <v>445.75</v>
      </c>
      <c r="C212" s="50">
        <f>VLOOKUP($A212,'Data shares'!$C:$FB,10)*100</f>
        <v>3.7199999999999998</v>
      </c>
      <c r="D212" s="49">
        <f>VLOOKUP($A212,'Data shares'!$C:$FB,66)</f>
        <v>26875125</v>
      </c>
      <c r="E212" s="49">
        <f>VLOOKUP($A212,'Data shares'!$C:$FB,67)</f>
        <v>20160000</v>
      </c>
      <c r="F212" s="50">
        <f>VLOOKUP($A212,'Data shares'!$C:$FB,69)*100</f>
        <v>33.31</v>
      </c>
      <c r="G212" s="49">
        <f>VLOOKUP($A212,'Data shares'!$C:$FB,42)</f>
        <v>8175375</v>
      </c>
      <c r="H212" s="49">
        <f>VLOOKUP($A212,'Data shares'!$C:$FB,43)</f>
        <v>6231375</v>
      </c>
      <c r="I212" s="50">
        <f>VLOOKUP($A212,'Data shares'!$C:$FB,45)*100</f>
        <v>31.2</v>
      </c>
      <c r="J212" s="49">
        <f>VLOOKUP($A212,'Data shares'!$C:$FB,58)</f>
        <v>12993750</v>
      </c>
      <c r="K212" s="49">
        <f>VLOOKUP($A212,'Data shares'!$C:$FB,59)</f>
        <v>9237375</v>
      </c>
      <c r="L212" s="50">
        <f>VLOOKUP($A212,'Data shares'!$C:$FB,61)*100</f>
        <v>40.660000000000004</v>
      </c>
      <c r="M212" s="49">
        <f>VLOOKUP($A212,'Data shares'!$C:$FB,62)</f>
        <v>5706000</v>
      </c>
      <c r="N212" s="49">
        <f>VLOOKUP($A212,'Data shares'!$C:$FB,63)</f>
        <v>4691250</v>
      </c>
      <c r="O212" s="140">
        <f>VLOOKUP($A212,'Data shares'!$C:$FB,65)*100</f>
        <v>21.63</v>
      </c>
    </row>
    <row r="213" spans="1:15" x14ac:dyDescent="0.25">
      <c r="A213" s="101" t="str">
        <f>'Data Vlaue (Cr)'!C208</f>
        <v>VEDL</v>
      </c>
      <c r="B213" s="50">
        <f>VLOOKUP($A213,'Data shares'!$C:$FB,7)</f>
        <v>711.25</v>
      </c>
      <c r="C213" s="50">
        <f>VLOOKUP($A213,'Data shares'!$C:$FB,10)*100</f>
        <v>1.46</v>
      </c>
      <c r="D213" s="49">
        <f>VLOOKUP($A213,'Data shares'!$C:$FB,66)</f>
        <v>157738600</v>
      </c>
      <c r="E213" s="49">
        <f>VLOOKUP($A213,'Data shares'!$C:$FB,67)</f>
        <v>95116500</v>
      </c>
      <c r="F213" s="50">
        <f>VLOOKUP($A213,'Data shares'!$C:$FB,69)*100</f>
        <v>65.84</v>
      </c>
      <c r="G213" s="49">
        <f>VLOOKUP($A213,'Data shares'!$C:$FB,42)</f>
        <v>30075950</v>
      </c>
      <c r="H213" s="49">
        <f>VLOOKUP($A213,'Data shares'!$C:$FB,43)</f>
        <v>21960400</v>
      </c>
      <c r="I213" s="50">
        <f>VLOOKUP($A213,'Data shares'!$C:$FB,45)*100</f>
        <v>36.96</v>
      </c>
      <c r="J213" s="49">
        <f>VLOOKUP($A213,'Data shares'!$C:$FB,58)</f>
        <v>88590250</v>
      </c>
      <c r="K213" s="49">
        <f>VLOOKUP($A213,'Data shares'!$C:$FB,59)</f>
        <v>41175750</v>
      </c>
      <c r="L213" s="50">
        <f>VLOOKUP($A213,'Data shares'!$C:$FB,61)*100</f>
        <v>115.14999999999999</v>
      </c>
      <c r="M213" s="49">
        <f>VLOOKUP($A213,'Data shares'!$C:$FB,62)</f>
        <v>39072400</v>
      </c>
      <c r="N213" s="49">
        <f>VLOOKUP($A213,'Data shares'!$C:$FB,63)</f>
        <v>31980350</v>
      </c>
      <c r="O213" s="140">
        <f>VLOOKUP($A213,'Data shares'!$C:$FB,65)*100</f>
        <v>22.18</v>
      </c>
    </row>
    <row r="214" spans="1:15" x14ac:dyDescent="0.25">
      <c r="A214" s="101" t="str">
        <f>'Data Vlaue (Cr)'!C209</f>
        <v>VOLTAS</v>
      </c>
      <c r="B214" s="50">
        <f>VLOOKUP($A214,'Data shares'!$C:$FB,7)</f>
        <v>1485.3</v>
      </c>
      <c r="C214" s="50">
        <f>VLOOKUP($A214,'Data shares'!$C:$FB,10)*100</f>
        <v>3.2199999999999998</v>
      </c>
      <c r="D214" s="49">
        <f>VLOOKUP($A214,'Data shares'!$C:$FB,66)</f>
        <v>15951000</v>
      </c>
      <c r="E214" s="49">
        <f>VLOOKUP($A214,'Data shares'!$C:$FB,67)</f>
        <v>10684500</v>
      </c>
      <c r="F214" s="50">
        <f>VLOOKUP($A214,'Data shares'!$C:$FB,69)*100</f>
        <v>49.29</v>
      </c>
      <c r="G214" s="49">
        <f>VLOOKUP($A214,'Data shares'!$C:$FB,42)</f>
        <v>2660625</v>
      </c>
      <c r="H214" s="49">
        <f>VLOOKUP($A214,'Data shares'!$C:$FB,43)</f>
        <v>2135625</v>
      </c>
      <c r="I214" s="50">
        <f>VLOOKUP($A214,'Data shares'!$C:$FB,45)*100</f>
        <v>24.58</v>
      </c>
      <c r="J214" s="49">
        <f>VLOOKUP($A214,'Data shares'!$C:$FB,58)</f>
        <v>9518250</v>
      </c>
      <c r="K214" s="49">
        <f>VLOOKUP($A214,'Data shares'!$C:$FB,59)</f>
        <v>5557125</v>
      </c>
      <c r="L214" s="50">
        <f>VLOOKUP($A214,'Data shares'!$C:$FB,61)*100</f>
        <v>71.28</v>
      </c>
      <c r="M214" s="49">
        <f>VLOOKUP($A214,'Data shares'!$C:$FB,62)</f>
        <v>3772125</v>
      </c>
      <c r="N214" s="49">
        <f>VLOOKUP($A214,'Data shares'!$C:$FB,63)</f>
        <v>2991750</v>
      </c>
      <c r="O214" s="140">
        <f>VLOOKUP($A214,'Data shares'!$C:$FB,65)*100</f>
        <v>26.08</v>
      </c>
    </row>
    <row r="215" spans="1:15" x14ac:dyDescent="0.25">
      <c r="A215" s="101" t="str">
        <f>'Data Vlaue (Cr)'!C210</f>
        <v>WAAREEENER</v>
      </c>
      <c r="B215" s="50">
        <f>VLOOKUP($A215,'Data shares'!$C:$FB,7)</f>
        <v>2646.2</v>
      </c>
      <c r="C215" s="50">
        <f>VLOOKUP($A215,'Data shares'!$C:$FB,10)*100</f>
        <v>0.45999999999999996</v>
      </c>
      <c r="D215" s="49">
        <f>VLOOKUP($A215,'Data shares'!$C:$FB,66)</f>
        <v>5091450</v>
      </c>
      <c r="E215" s="49">
        <f>VLOOKUP($A215,'Data shares'!$C:$FB,67)</f>
        <v>4183725</v>
      </c>
      <c r="F215" s="50">
        <f>VLOOKUP($A215,'Data shares'!$C:$FB,69)*100</f>
        <v>21.7</v>
      </c>
      <c r="G215" s="49">
        <f>VLOOKUP($A215,'Data shares'!$C:$FB,42)</f>
        <v>1174600</v>
      </c>
      <c r="H215" s="49">
        <f>VLOOKUP($A215,'Data shares'!$C:$FB,43)</f>
        <v>780850</v>
      </c>
      <c r="I215" s="50">
        <f>VLOOKUP($A215,'Data shares'!$C:$FB,45)*100</f>
        <v>50.43</v>
      </c>
      <c r="J215" s="49">
        <f>VLOOKUP($A215,'Data shares'!$C:$FB,58)</f>
        <v>2797725</v>
      </c>
      <c r="K215" s="49">
        <f>VLOOKUP($A215,'Data shares'!$C:$FB,59)</f>
        <v>2364600</v>
      </c>
      <c r="L215" s="50">
        <f>VLOOKUP($A215,'Data shares'!$C:$FB,61)*100</f>
        <v>18.32</v>
      </c>
      <c r="M215" s="49">
        <f>VLOOKUP($A215,'Data shares'!$C:$FB,62)</f>
        <v>1119125</v>
      </c>
      <c r="N215" s="49">
        <f>VLOOKUP($A215,'Data shares'!$C:$FB,63)</f>
        <v>1038275</v>
      </c>
      <c r="O215" s="140">
        <f>VLOOKUP($A215,'Data shares'!$C:$FB,65)*100</f>
        <v>7.79</v>
      </c>
    </row>
    <row r="216" spans="1:15" x14ac:dyDescent="0.25">
      <c r="A216" s="101" t="str">
        <f>'Data Vlaue (Cr)'!C211</f>
        <v>WIPRO</v>
      </c>
      <c r="B216" s="50">
        <f>VLOOKUP($A216,'Data shares'!$C:$FB,7)</f>
        <v>195.68</v>
      </c>
      <c r="C216" s="50">
        <f>VLOOKUP($A216,'Data shares'!$C:$FB,10)*100</f>
        <v>6.9999999999999993E-2</v>
      </c>
      <c r="D216" s="49">
        <f>VLOOKUP($A216,'Data shares'!$C:$FB,66)</f>
        <v>94773000</v>
      </c>
      <c r="E216" s="49">
        <f>VLOOKUP($A216,'Data shares'!$C:$FB,67)</f>
        <v>151371000</v>
      </c>
      <c r="F216" s="50">
        <f>VLOOKUP($A216,'Data shares'!$C:$FB,69)*100</f>
        <v>-37.39</v>
      </c>
      <c r="G216" s="49">
        <f>VLOOKUP($A216,'Data shares'!$C:$FB,42)</f>
        <v>22632000</v>
      </c>
      <c r="H216" s="49">
        <f>VLOOKUP($A216,'Data shares'!$C:$FB,43)</f>
        <v>38250000</v>
      </c>
      <c r="I216" s="50">
        <f>VLOOKUP($A216,'Data shares'!$C:$FB,45)*100</f>
        <v>-40.83</v>
      </c>
      <c r="J216" s="49">
        <f>VLOOKUP($A216,'Data shares'!$C:$FB,58)</f>
        <v>46500000</v>
      </c>
      <c r="K216" s="49">
        <f>VLOOKUP($A216,'Data shares'!$C:$FB,59)</f>
        <v>74271000</v>
      </c>
      <c r="L216" s="50">
        <f>VLOOKUP($A216,'Data shares'!$C:$FB,61)*100</f>
        <v>-37.39</v>
      </c>
      <c r="M216" s="49">
        <f>VLOOKUP($A216,'Data shares'!$C:$FB,62)</f>
        <v>25641000</v>
      </c>
      <c r="N216" s="49">
        <f>VLOOKUP($A216,'Data shares'!$C:$FB,63)</f>
        <v>38850000</v>
      </c>
      <c r="O216" s="140">
        <f>VLOOKUP($A216,'Data shares'!$C:$FB,65)*100</f>
        <v>-34</v>
      </c>
    </row>
    <row r="217" spans="1:15" x14ac:dyDescent="0.25">
      <c r="A217" s="101" t="str">
        <f>'Data Vlaue (Cr)'!C213</f>
        <v>ZYDUSLIFE</v>
      </c>
      <c r="B217" s="50">
        <f>VLOOKUP($A217,'Data shares'!$C:$FB,7)</f>
        <v>914.65</v>
      </c>
      <c r="C217" s="50">
        <f>VLOOKUP($A217,'Data shares'!$C:$FB,10)*100</f>
        <v>1.9800000000000002</v>
      </c>
      <c r="D217" s="49">
        <f>VLOOKUP($A217,'Data shares'!$C:$FB,66)</f>
        <v>7759800</v>
      </c>
      <c r="E217" s="49">
        <f>VLOOKUP($A217,'Data shares'!$C:$FB,67)</f>
        <v>7312500</v>
      </c>
      <c r="F217" s="50">
        <f>VLOOKUP($A217,'Data shares'!$C:$FB,69)*100</f>
        <v>6.12</v>
      </c>
      <c r="G217" s="49">
        <f>VLOOKUP($A217,'Data shares'!$C:$FB,42)</f>
        <v>1249200</v>
      </c>
      <c r="H217" s="49">
        <f>VLOOKUP($A217,'Data shares'!$C:$FB,43)</f>
        <v>1807200</v>
      </c>
      <c r="I217" s="50">
        <f>VLOOKUP($A217,'Data shares'!$C:$FB,45)*100</f>
        <v>-30.880000000000003</v>
      </c>
      <c r="J217" s="49">
        <f>VLOOKUP($A217,'Data shares'!$C:$FB,58)</f>
        <v>5110200</v>
      </c>
      <c r="K217" s="49">
        <f>VLOOKUP($A217,'Data shares'!$C:$FB,59)</f>
        <v>3519000</v>
      </c>
      <c r="L217" s="50">
        <f>VLOOKUP($A217,'Data shares'!$C:$FB,61)*100</f>
        <v>45.22</v>
      </c>
      <c r="M217" s="49">
        <f>VLOOKUP($A217,'Data shares'!$C:$FB,62)</f>
        <v>1400400</v>
      </c>
      <c r="N217" s="49">
        <f>VLOOKUP($A217,'Data shares'!$C:$FB,63)</f>
        <v>1986300</v>
      </c>
      <c r="O217" s="140">
        <f>VLOOKUP($A217,'Data shares'!$C:$FB,65)*100</f>
        <v>-29.5</v>
      </c>
    </row>
    <row r="218" spans="1:15" x14ac:dyDescent="0.25">
      <c r="A218" s="101"/>
      <c r="B218" s="50"/>
      <c r="C218" s="50"/>
      <c r="D218" s="49"/>
      <c r="E218" s="49"/>
      <c r="F218" s="50"/>
      <c r="G218" s="49"/>
      <c r="H218" s="49"/>
      <c r="I218" s="50"/>
      <c r="J218" s="49"/>
      <c r="K218" s="49"/>
      <c r="L218" s="50"/>
      <c r="M218" s="49"/>
      <c r="N218" s="49"/>
      <c r="O218" s="140"/>
    </row>
    <row r="219" spans="1:15" x14ac:dyDescent="0.25">
      <c r="A219" s="101"/>
      <c r="B219" s="50"/>
      <c r="C219" s="50"/>
      <c r="D219" s="49"/>
      <c r="E219" s="49"/>
      <c r="F219" s="50"/>
      <c r="G219" s="49"/>
      <c r="H219" s="49"/>
      <c r="I219" s="50"/>
      <c r="J219" s="49"/>
      <c r="K219" s="49"/>
      <c r="L219" s="50"/>
      <c r="M219" s="49"/>
      <c r="N219" s="49"/>
      <c r="O219" s="140"/>
    </row>
    <row r="220" spans="1:15" x14ac:dyDescent="0.25">
      <c r="A220" s="101"/>
      <c r="B220" s="50"/>
      <c r="C220" s="50"/>
      <c r="D220" s="49"/>
      <c r="E220" s="49"/>
      <c r="F220" s="50"/>
      <c r="G220" s="49"/>
      <c r="H220" s="49"/>
      <c r="I220" s="50"/>
      <c r="J220" s="49"/>
      <c r="K220" s="49"/>
      <c r="L220" s="50"/>
      <c r="M220" s="49"/>
      <c r="N220" s="49"/>
      <c r="O220" s="140"/>
    </row>
    <row r="221" spans="1:15" x14ac:dyDescent="0.25">
      <c r="A221" s="101"/>
      <c r="B221" s="50"/>
      <c r="C221" s="50"/>
      <c r="D221" s="49"/>
      <c r="E221" s="49"/>
      <c r="F221" s="50"/>
      <c r="G221" s="49"/>
      <c r="H221" s="49"/>
      <c r="I221" s="50"/>
      <c r="J221" s="49"/>
      <c r="K221" s="49"/>
      <c r="L221" s="50"/>
      <c r="M221" s="49"/>
      <c r="N221" s="49"/>
      <c r="O221" s="140"/>
    </row>
    <row r="222" spans="1:15" x14ac:dyDescent="0.25">
      <c r="A222" s="101"/>
      <c r="B222" s="50"/>
      <c r="C222" s="50"/>
      <c r="D222" s="49"/>
      <c r="E222" s="49"/>
      <c r="F222" s="50"/>
      <c r="G222" s="49"/>
      <c r="H222" s="49"/>
      <c r="I222" s="50"/>
      <c r="J222" s="49"/>
      <c r="K222" s="49"/>
      <c r="L222" s="50"/>
      <c r="M222" s="49"/>
      <c r="N222" s="49"/>
      <c r="O222" s="140"/>
    </row>
    <row r="223" spans="1:15" x14ac:dyDescent="0.25">
      <c r="A223" s="101"/>
      <c r="B223" s="50"/>
      <c r="C223" s="50"/>
      <c r="D223" s="49"/>
      <c r="E223" s="49"/>
      <c r="F223" s="50"/>
      <c r="G223" s="49"/>
      <c r="H223" s="49"/>
      <c r="I223" s="50"/>
      <c r="J223" s="49"/>
      <c r="K223" s="49"/>
      <c r="L223" s="50"/>
      <c r="M223" s="49"/>
      <c r="N223" s="49"/>
      <c r="O223" s="140"/>
    </row>
    <row r="224" spans="1:15" x14ac:dyDescent="0.25">
      <c r="A224" s="101"/>
      <c r="B224" s="50"/>
      <c r="C224" s="50"/>
      <c r="D224" s="49"/>
      <c r="E224" s="49"/>
      <c r="F224" s="50"/>
      <c r="G224" s="49"/>
      <c r="H224" s="49"/>
      <c r="I224" s="50"/>
      <c r="J224" s="49"/>
      <c r="K224" s="49"/>
      <c r="L224" s="50"/>
      <c r="M224" s="49"/>
      <c r="N224" s="49"/>
      <c r="O224" s="140"/>
    </row>
    <row r="225" spans="1:15" x14ac:dyDescent="0.25">
      <c r="A225" s="101"/>
      <c r="B225" s="17"/>
      <c r="C225" s="17"/>
      <c r="D225" s="17"/>
      <c r="E225" s="17"/>
      <c r="F225" s="17"/>
      <c r="G225" s="17"/>
      <c r="H225" s="17"/>
      <c r="I225" s="17"/>
      <c r="J225" s="17"/>
      <c r="K225" s="17"/>
      <c r="L225" s="17"/>
      <c r="M225" s="17"/>
      <c r="N225" s="17"/>
      <c r="O225" s="17"/>
    </row>
    <row r="226" spans="1:15" x14ac:dyDescent="0.25">
      <c r="A226" s="102"/>
      <c r="B226" s="17"/>
      <c r="C226" s="17"/>
      <c r="D226" s="17"/>
      <c r="E226" s="17"/>
      <c r="F226" s="17"/>
      <c r="G226" s="17"/>
      <c r="H226" s="17"/>
      <c r="I226" s="17"/>
      <c r="J226" s="17"/>
      <c r="K226" s="17"/>
      <c r="L226" s="17"/>
      <c r="M226" s="17"/>
      <c r="N226" s="17"/>
      <c r="O226" s="17"/>
    </row>
    <row r="227" spans="1:15" x14ac:dyDescent="0.25">
      <c r="A227" s="133" t="s">
        <v>391</v>
      </c>
      <c r="B227" s="133"/>
      <c r="C227" s="133"/>
      <c r="D227" s="133">
        <f>SUM(D7:D221)</f>
        <v>16244507523</v>
      </c>
      <c r="E227" s="133">
        <f>SUM(E7:E221)</f>
        <v>14611732913</v>
      </c>
      <c r="F227" s="134">
        <f>(D227-E227)/E227</f>
        <v>0.11174407715510096</v>
      </c>
      <c r="G227" s="133">
        <f>SUM(G7:G221)</f>
        <v>2856005682</v>
      </c>
      <c r="H227" s="133">
        <f>SUM(H7:H221)</f>
        <v>2641064887</v>
      </c>
      <c r="I227" s="134">
        <f>(G227-H227)/H227</f>
        <v>8.1384140184511872E-2</v>
      </c>
      <c r="J227" s="133">
        <f>SUM(J7:J221)</f>
        <v>8646098576</v>
      </c>
      <c r="K227" s="133">
        <f>SUM(K7:K221)</f>
        <v>6942921073</v>
      </c>
      <c r="L227" s="134">
        <f>(J227-K227)/K227</f>
        <v>0.24531137328111177</v>
      </c>
      <c r="M227" s="133">
        <f>SUM(M7:M221)</f>
        <v>4742403265</v>
      </c>
      <c r="N227" s="133">
        <f>SUM(N7:N221)</f>
        <v>5027746953</v>
      </c>
      <c r="O227" s="134">
        <f>(M227-N227)/N227</f>
        <v>-5.6753788658703008E-2</v>
      </c>
    </row>
    <row r="228" spans="1:15" x14ac:dyDescent="0.25">
      <c r="A228" s="133" t="s">
        <v>398</v>
      </c>
      <c r="B228" s="133"/>
      <c r="C228" s="133"/>
      <c r="D228" s="133">
        <f>D227/10000000</f>
        <v>1624.4507523</v>
      </c>
      <c r="E228" s="133">
        <f>E227/10000000</f>
        <v>1461.1732913000001</v>
      </c>
      <c r="F228" s="134">
        <f>(D228-E228)/E228</f>
        <v>0.11174407715510089</v>
      </c>
      <c r="G228" s="133">
        <f>G227/10000000</f>
        <v>285.6005682</v>
      </c>
      <c r="H228" s="133">
        <f>H227/10000000</f>
        <v>264.1064887</v>
      </c>
      <c r="I228" s="134">
        <f>(G228-H228)/H228</f>
        <v>8.1384140184511858E-2</v>
      </c>
      <c r="J228" s="133">
        <f>J227/10000000</f>
        <v>864.60985760000005</v>
      </c>
      <c r="K228" s="133">
        <f>K227/10000000</f>
        <v>694.2921073</v>
      </c>
      <c r="L228" s="134">
        <f>(J228-K228)/K228</f>
        <v>0.24531137328111186</v>
      </c>
      <c r="M228" s="133">
        <f>M227/10000000</f>
        <v>474.24032649999998</v>
      </c>
      <c r="N228" s="133">
        <f>N227/10000000</f>
        <v>502.77469530000002</v>
      </c>
      <c r="O228" s="134">
        <f>(M228-N228)/N228</f>
        <v>-5.6753788658703085E-2</v>
      </c>
    </row>
    <row r="229" spans="1:15" x14ac:dyDescent="0.25">
      <c r="A229" s="17"/>
      <c r="B229" s="17"/>
      <c r="C229" s="17"/>
      <c r="D229" s="17"/>
      <c r="E229" s="17"/>
      <c r="F229" s="17"/>
      <c r="G229" s="17"/>
      <c r="H229" s="17"/>
      <c r="I229" s="17"/>
      <c r="J229" s="17"/>
      <c r="K229" s="17"/>
      <c r="L229" s="17"/>
      <c r="M229" s="17"/>
      <c r="N229" s="17"/>
      <c r="O229"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2"/>
  <sheetViews>
    <sheetView workbookViewId="0">
      <pane ySplit="6" topLeftCell="A207" activePane="bottomLeft" state="frozen"/>
      <selection pane="bottomLeft" activeCell="A218" sqref="A218:O218"/>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8" t="s">
        <v>311</v>
      </c>
      <c r="B3" s="309"/>
      <c r="C3" s="309"/>
      <c r="D3" s="309"/>
      <c r="E3" s="309"/>
      <c r="F3" s="309"/>
      <c r="G3" s="309"/>
      <c r="H3" s="309"/>
      <c r="I3" s="309"/>
      <c r="J3" s="309"/>
      <c r="K3" s="309"/>
      <c r="L3" s="268"/>
      <c r="M3" s="268"/>
      <c r="N3" s="268"/>
      <c r="O3" s="310"/>
    </row>
    <row r="4" spans="1:19" s="104" customFormat="1" x14ac:dyDescent="0.25">
      <c r="A4" s="287" t="s">
        <v>330</v>
      </c>
      <c r="B4" s="287" t="s">
        <v>311</v>
      </c>
      <c r="C4" s="287"/>
      <c r="D4" s="287"/>
      <c r="E4" s="287"/>
      <c r="F4" s="287"/>
      <c r="G4" s="287"/>
      <c r="H4" s="287" t="s">
        <v>365</v>
      </c>
      <c r="I4" s="287"/>
      <c r="J4" s="287"/>
      <c r="K4" s="287"/>
      <c r="L4" s="287" t="s">
        <v>309</v>
      </c>
      <c r="M4" s="287"/>
      <c r="N4" s="287"/>
      <c r="O4" s="287"/>
    </row>
    <row r="5" spans="1:19" s="104" customFormat="1" x14ac:dyDescent="0.25">
      <c r="A5" s="306"/>
      <c r="B5" s="306" t="s">
        <v>316</v>
      </c>
      <c r="C5" s="306"/>
      <c r="D5" s="306"/>
      <c r="E5" s="306" t="s">
        <v>317</v>
      </c>
      <c r="F5" s="306"/>
      <c r="G5" s="306"/>
      <c r="H5" s="306" t="s">
        <v>336</v>
      </c>
      <c r="I5" s="306"/>
      <c r="J5" s="306" t="s">
        <v>342</v>
      </c>
      <c r="K5" s="306"/>
      <c r="L5" s="306" t="s">
        <v>336</v>
      </c>
      <c r="M5" s="306"/>
      <c r="N5" s="306" t="s">
        <v>342</v>
      </c>
      <c r="O5" s="307"/>
    </row>
    <row r="6" spans="1:19" s="104" customFormat="1" x14ac:dyDescent="0.25">
      <c r="A6" s="76" t="s">
        <v>318</v>
      </c>
      <c r="B6" s="3">
        <f>'Total Valume'!B6</f>
        <v>46086</v>
      </c>
      <c r="C6" s="76" t="s">
        <v>322</v>
      </c>
      <c r="D6" s="76" t="s">
        <v>328</v>
      </c>
      <c r="E6" s="3">
        <f>B6</f>
        <v>46086</v>
      </c>
      <c r="F6" s="76" t="s">
        <v>322</v>
      </c>
      <c r="G6" s="76" t="s">
        <v>328</v>
      </c>
      <c r="H6" s="3">
        <f>E6</f>
        <v>46086</v>
      </c>
      <c r="I6" s="76" t="s">
        <v>333</v>
      </c>
      <c r="J6" s="3">
        <f>E6</f>
        <v>46086</v>
      </c>
      <c r="K6" s="76" t="s">
        <v>333</v>
      </c>
      <c r="L6" s="3">
        <f>E6</f>
        <v>46086</v>
      </c>
      <c r="M6" s="76" t="s">
        <v>333</v>
      </c>
      <c r="N6" s="3">
        <f>E6</f>
        <v>46086</v>
      </c>
      <c r="O6" s="76" t="s">
        <v>333</v>
      </c>
    </row>
    <row r="7" spans="1:19" x14ac:dyDescent="0.25">
      <c r="A7" s="105" t="str">
        <f>'Data Vlaue (Cr)'!C2</f>
        <v>360ONE</v>
      </c>
      <c r="B7" s="143">
        <f>VLOOKUP($A7,'Data shares'!$C:$FA,118)</f>
        <v>0.52</v>
      </c>
      <c r="C7" s="143">
        <f>VLOOKUP($A7,'Data shares'!$C:$FA,119)</f>
        <v>0.59</v>
      </c>
      <c r="D7" s="143">
        <f>VLOOKUP($A7,'Data shares'!$C:$FA,121)*100</f>
        <v>-11.86</v>
      </c>
      <c r="E7" s="143">
        <f>VLOOKUP($A7,'Data shares'!$C:$FA,124)</f>
        <v>0.23</v>
      </c>
      <c r="F7" s="143">
        <f>VLOOKUP($A7,'Data shares'!$C:$FA,125)</f>
        <v>0.68</v>
      </c>
      <c r="G7" s="143">
        <f>VLOOKUP($A7,'Data shares'!$C:$FA,127)*100</f>
        <v>-66.180000000000007</v>
      </c>
      <c r="H7" s="103">
        <f>VLOOKUP($A7,'OI(Volume)'!$A$7:$O$440,8)</f>
        <v>785500</v>
      </c>
      <c r="I7" s="103">
        <f>VLOOKUP($A7,'OI(Volume)'!$A$7:$O$440,9)</f>
        <v>81500</v>
      </c>
      <c r="J7" s="103">
        <f>VLOOKUP($A7,'OI(Volume)'!$A$7:$O$440,11)</f>
        <v>407500</v>
      </c>
      <c r="K7" s="103">
        <f>VLOOKUP($A7,'OI(Volume)'!$A$7:$O$440,12)</f>
        <v>-5500</v>
      </c>
      <c r="L7" s="103">
        <f>VLOOKUP($A7,'OI(Value)'!$A$7:$O$323,8,0)</f>
        <v>85</v>
      </c>
      <c r="M7" s="103">
        <f>VLOOKUP($A7,'OI(Value)'!$A$7:$O$323,9,0)</f>
        <v>9</v>
      </c>
      <c r="N7" s="103">
        <f>VLOOKUP($A7,'OI(Value)'!$A$7:$O$323,11,0)</f>
        <v>44</v>
      </c>
      <c r="O7" s="103">
        <f>VLOOKUP($A7,'OI(Value)'!$A$7:$O$323,12,0)</f>
        <v>-1</v>
      </c>
      <c r="P7" s="179">
        <f>VLOOKUP(A7,'OI(Value)'!A7:O182,8,0)</f>
        <v>85</v>
      </c>
      <c r="Q7" s="179">
        <f>VLOOKUP(A7,'OI(Value)'!A7:O182,9,0)</f>
        <v>9</v>
      </c>
      <c r="R7" s="179">
        <f>VLOOKUP(A7,'OI(Value)'!A7:O182,11,0)</f>
        <v>44</v>
      </c>
      <c r="S7" s="179">
        <f>VLOOKUP(A7,'OI(Value)'!A7:O182,12,0)</f>
        <v>-1</v>
      </c>
    </row>
    <row r="8" spans="1:19" x14ac:dyDescent="0.25">
      <c r="A8" s="105" t="str">
        <f>'Data Vlaue (Cr)'!C3</f>
        <v>ABB</v>
      </c>
      <c r="B8" s="143">
        <f>VLOOKUP($A8,'Data shares'!$C:$FA,118)</f>
        <v>0.68</v>
      </c>
      <c r="C8" s="143">
        <f>VLOOKUP($A8,'Data shares'!$C:$FA,119)</f>
        <v>0.7</v>
      </c>
      <c r="D8" s="143">
        <f>VLOOKUP($A8,'Data shares'!$C:$FA,121)*100</f>
        <v>-2.86</v>
      </c>
      <c r="E8" s="143">
        <f>VLOOKUP($A8,'Data shares'!$C:$FA,124)</f>
        <v>0.66</v>
      </c>
      <c r="F8" s="143">
        <f>VLOOKUP($A8,'Data shares'!$C:$FA,125)</f>
        <v>1.06</v>
      </c>
      <c r="G8" s="143">
        <f>VLOOKUP($A8,'Data shares'!$C:$FA,127)*100</f>
        <v>-37.74</v>
      </c>
      <c r="H8" s="103">
        <f>VLOOKUP($A8,'OI(Volume)'!$A$7:$O$440,8)</f>
        <v>1069625</v>
      </c>
      <c r="I8" s="103">
        <f>VLOOKUP($A8,'OI(Volume)'!$A$7:$O$440,9)</f>
        <v>13000</v>
      </c>
      <c r="J8" s="103">
        <f>VLOOKUP($A8,'OI(Volume)'!$A$7:$O$440,11)</f>
        <v>727000</v>
      </c>
      <c r="K8" s="103">
        <f>VLOOKUP($A8,'OI(Volume)'!$A$7:$O$440,12)</f>
        <v>-13500</v>
      </c>
      <c r="L8" s="103">
        <f>VLOOKUP($A8,'OI(Value)'!$A$7:$O$323,8,0)</f>
        <v>636</v>
      </c>
      <c r="M8" s="103">
        <f>VLOOKUP($A8,'OI(Value)'!$A$7:$O$323,9,0)</f>
        <v>8</v>
      </c>
      <c r="N8" s="103">
        <f>VLOOKUP($A8,'OI(Value)'!$A$7:$O$323,11,0)</f>
        <v>432</v>
      </c>
      <c r="O8" s="103">
        <f>VLOOKUP($A8,'OI(Value)'!$A$7:$O$323,12,0)</f>
        <v>-8</v>
      </c>
      <c r="P8" s="179">
        <f>VLOOKUP(A8,'OI(Value)'!A8:O226,8,0)</f>
        <v>636</v>
      </c>
      <c r="Q8" s="179">
        <f>VLOOKUP(A8,'OI(Value)'!A8:O226,9,0)</f>
        <v>8</v>
      </c>
      <c r="R8" s="179">
        <f>VLOOKUP(A8,'OI(Value)'!A8:O226,11,0)</f>
        <v>432</v>
      </c>
      <c r="S8" s="179">
        <f>VLOOKUP(A8,'OI(Value)'!A8:O226,11,0)</f>
        <v>432</v>
      </c>
    </row>
    <row r="9" spans="1:19" x14ac:dyDescent="0.25">
      <c r="A9" s="105" t="str">
        <f>'Data Vlaue (Cr)'!C4</f>
        <v>ABCAPITAL</v>
      </c>
      <c r="B9" s="143">
        <f>VLOOKUP($A9,'Data shares'!$C:$FA,118)</f>
        <v>0.62</v>
      </c>
      <c r="C9" s="143">
        <f>VLOOKUP($A9,'Data shares'!$C:$FA,119)</f>
        <v>0.61</v>
      </c>
      <c r="D9" s="143">
        <f>VLOOKUP($A9,'Data shares'!$C:$FA,121)*100</f>
        <v>1.6400000000000001</v>
      </c>
      <c r="E9" s="143">
        <f>VLOOKUP($A9,'Data shares'!$C:$FA,124)</f>
        <v>0.52</v>
      </c>
      <c r="F9" s="143">
        <f>VLOOKUP($A9,'Data shares'!$C:$FA,125)</f>
        <v>0.49</v>
      </c>
      <c r="G9" s="143">
        <f>VLOOKUP($A9,'Data shares'!$C:$FA,127)*100</f>
        <v>6.12</v>
      </c>
      <c r="H9" s="103">
        <f>VLOOKUP($A9,'OI(Volume)'!$A$7:$O$440,8)</f>
        <v>16402100</v>
      </c>
      <c r="I9" s="103">
        <f>VLOOKUP($A9,'OI(Volume)'!$A$7:$O$440,9)</f>
        <v>-306900</v>
      </c>
      <c r="J9" s="103">
        <f>VLOOKUP($A9,'OI(Volume)'!$A$7:$O$440,11)</f>
        <v>10143200</v>
      </c>
      <c r="K9" s="103">
        <f>VLOOKUP($A9,'OI(Volume)'!$A$7:$O$440,12)</f>
        <v>-3100</v>
      </c>
      <c r="L9" s="103">
        <f>VLOOKUP($A9,'OI(Value)'!$A$7:$O$323,8,0)</f>
        <v>539</v>
      </c>
      <c r="M9" s="103">
        <f>VLOOKUP($A9,'OI(Value)'!$A$7:$O$323,9,0)</f>
        <v>-10</v>
      </c>
      <c r="N9" s="103">
        <f>VLOOKUP($A9,'OI(Value)'!$A$7:$O$323,11,0)</f>
        <v>333</v>
      </c>
      <c r="O9" s="103">
        <f>VLOOKUP($A9,'OI(Value)'!$A$7:$O$323,12,0)</f>
        <v>0</v>
      </c>
      <c r="P9" s="179">
        <f>VLOOKUP(A9,'OI(Value)'!A9:O227,8,0)</f>
        <v>539</v>
      </c>
      <c r="Q9" s="179">
        <f>VLOOKUP(A9,'OI(Value)'!A9:O227,9,0)</f>
        <v>-10</v>
      </c>
      <c r="R9" s="179">
        <f>VLOOKUP(A9,'OI(Value)'!A9:O227,11,0)</f>
        <v>333</v>
      </c>
      <c r="S9" s="179">
        <f>VLOOKUP(A9,'OI(Value)'!A9:O227,11,0)</f>
        <v>333</v>
      </c>
    </row>
    <row r="10" spans="1:19" x14ac:dyDescent="0.25">
      <c r="A10" s="105" t="str">
        <f>'Data Vlaue (Cr)'!C5</f>
        <v>ADANIENSOL</v>
      </c>
      <c r="B10" s="143">
        <f>VLOOKUP($A10,'Data shares'!$C:$FA,118)</f>
        <v>0.78</v>
      </c>
      <c r="C10" s="143">
        <f>VLOOKUP($A10,'Data shares'!$C:$FA,119)</f>
        <v>0.73</v>
      </c>
      <c r="D10" s="143">
        <f>VLOOKUP($A10,'Data shares'!$C:$FA,121)*100</f>
        <v>6.8500000000000005</v>
      </c>
      <c r="E10" s="143">
        <f>VLOOKUP($A10,'Data shares'!$C:$FA,124)</f>
        <v>0.66</v>
      </c>
      <c r="F10" s="143">
        <f>VLOOKUP($A10,'Data shares'!$C:$FA,125)</f>
        <v>0.92</v>
      </c>
      <c r="G10" s="143">
        <f>VLOOKUP($A10,'Data shares'!$C:$FA,127)*100</f>
        <v>-28.26</v>
      </c>
      <c r="H10" s="103">
        <f>VLOOKUP($A10,'OI(Volume)'!$A$7:$O$440,8)</f>
        <v>2259900</v>
      </c>
      <c r="I10" s="103">
        <f>VLOOKUP($A10,'OI(Volume)'!$A$7:$O$440,9)</f>
        <v>187650</v>
      </c>
      <c r="J10" s="103">
        <f>VLOOKUP($A10,'OI(Volume)'!$A$7:$O$440,11)</f>
        <v>1763100</v>
      </c>
      <c r="K10" s="103">
        <f>VLOOKUP($A10,'OI(Volume)'!$A$7:$O$440,12)</f>
        <v>242325</v>
      </c>
      <c r="L10" s="103">
        <f>VLOOKUP($A10,'OI(Value)'!$A$7:$O$323,8,0)</f>
        <v>224</v>
      </c>
      <c r="M10" s="103">
        <f>VLOOKUP($A10,'OI(Value)'!$A$7:$O$323,9,0)</f>
        <v>19</v>
      </c>
      <c r="N10" s="103">
        <f>VLOOKUP($A10,'OI(Value)'!$A$7:$O$323,11,0)</f>
        <v>175</v>
      </c>
      <c r="O10" s="103">
        <f>VLOOKUP($A10,'OI(Value)'!$A$7:$O$323,12,0)</f>
        <v>24</v>
      </c>
      <c r="P10" s="179">
        <f>VLOOKUP(A10,'OI(Value)'!A10:O228,8,0)</f>
        <v>224</v>
      </c>
      <c r="Q10" s="179">
        <f>VLOOKUP(A10,'OI(Value)'!A10:O228,9,0)</f>
        <v>19</v>
      </c>
      <c r="R10" s="179">
        <f>VLOOKUP(A10,'OI(Value)'!A10:O228,11,0)</f>
        <v>175</v>
      </c>
      <c r="S10" s="179">
        <f>VLOOKUP(A10,'OI(Value)'!A10:O228,11,0)</f>
        <v>175</v>
      </c>
    </row>
    <row r="11" spans="1:19" x14ac:dyDescent="0.25">
      <c r="A11" s="105" t="str">
        <f>'Data Vlaue (Cr)'!C6</f>
        <v>ADANIENT</v>
      </c>
      <c r="B11" s="143">
        <f>VLOOKUP($A11,'Data shares'!$C:$FA,118)</f>
        <v>0.95</v>
      </c>
      <c r="C11" s="143">
        <f>VLOOKUP($A11,'Data shares'!$C:$FA,119)</f>
        <v>0.98</v>
      </c>
      <c r="D11" s="143">
        <f>VLOOKUP($A11,'Data shares'!$C:$FA,121)*100</f>
        <v>-3.06</v>
      </c>
      <c r="E11" s="143">
        <f>VLOOKUP($A11,'Data shares'!$C:$FA,124)</f>
        <v>0.67</v>
      </c>
      <c r="F11" s="143">
        <f>VLOOKUP($A11,'Data shares'!$C:$FA,125)</f>
        <v>0.97</v>
      </c>
      <c r="G11" s="143">
        <f>VLOOKUP($A11,'Data shares'!$C:$FA,127)*100</f>
        <v>-30.930000000000003</v>
      </c>
      <c r="H11" s="103">
        <f>VLOOKUP($A11,'OI(Volume)'!$A$7:$O$440,8)</f>
        <v>5054004</v>
      </c>
      <c r="I11" s="103">
        <f>VLOOKUP($A11,'OI(Volume)'!$A$7:$O$440,9)</f>
        <v>426420</v>
      </c>
      <c r="J11" s="103">
        <f>VLOOKUP($A11,'OI(Volume)'!$A$7:$O$440,11)</f>
        <v>4777758</v>
      </c>
      <c r="K11" s="103">
        <f>VLOOKUP($A11,'OI(Volume)'!$A$7:$O$440,12)</f>
        <v>230205</v>
      </c>
      <c r="L11" s="103">
        <f>VLOOKUP($A11,'OI(Value)'!$A$7:$O$323,8,0)</f>
        <v>1059</v>
      </c>
      <c r="M11" s="103">
        <f>VLOOKUP($A11,'OI(Value)'!$A$7:$O$323,9,0)</f>
        <v>89</v>
      </c>
      <c r="N11" s="103">
        <f>VLOOKUP($A11,'OI(Value)'!$A$7:$O$323,11,0)</f>
        <v>1002</v>
      </c>
      <c r="O11" s="103">
        <f>VLOOKUP($A11,'OI(Value)'!$A$7:$O$323,12,0)</f>
        <v>48</v>
      </c>
      <c r="P11" s="179">
        <f>VLOOKUP(A11,'OI(Value)'!A11:O229,8,0)</f>
        <v>1059</v>
      </c>
      <c r="Q11" s="179">
        <f>VLOOKUP(A11,'OI(Value)'!A11:O229,9,0)</f>
        <v>89</v>
      </c>
      <c r="R11" s="179">
        <f>VLOOKUP(A11,'OI(Value)'!A11:O229,11,0)</f>
        <v>1002</v>
      </c>
      <c r="S11" s="179">
        <f>VLOOKUP(A11,'OI(Value)'!A11:O229,11,0)</f>
        <v>1002</v>
      </c>
    </row>
    <row r="12" spans="1:19" x14ac:dyDescent="0.25">
      <c r="A12" s="105" t="str">
        <f>'Data Vlaue (Cr)'!C7</f>
        <v>ADANIGREEN</v>
      </c>
      <c r="B12" s="143">
        <f>VLOOKUP($A12,'Data shares'!$C:$FA,118)</f>
        <v>0.62</v>
      </c>
      <c r="C12" s="143">
        <f>VLOOKUP($A12,'Data shares'!$C:$FA,119)</f>
        <v>0.74</v>
      </c>
      <c r="D12" s="143">
        <f>VLOOKUP($A12,'Data shares'!$C:$FA,121)*100</f>
        <v>-16.220000000000002</v>
      </c>
      <c r="E12" s="143">
        <f>VLOOKUP($A12,'Data shares'!$C:$FA,124)</f>
        <v>0.39</v>
      </c>
      <c r="F12" s="143">
        <f>VLOOKUP($A12,'Data shares'!$C:$FA,125)</f>
        <v>0.78</v>
      </c>
      <c r="G12" s="143">
        <f>VLOOKUP($A12,'Data shares'!$C:$FA,127)*100</f>
        <v>-50</v>
      </c>
      <c r="H12" s="103">
        <f>VLOOKUP($A12,'OI(Volume)'!$A$7:$O$440,8)</f>
        <v>7704600</v>
      </c>
      <c r="I12" s="103">
        <f>VLOOKUP($A12,'OI(Volume)'!$A$7:$O$440,9)</f>
        <v>1579800</v>
      </c>
      <c r="J12" s="103">
        <f>VLOOKUP($A12,'OI(Volume)'!$A$7:$O$440,11)</f>
        <v>4785000</v>
      </c>
      <c r="K12" s="103">
        <f>VLOOKUP($A12,'OI(Volume)'!$A$7:$O$440,12)</f>
        <v>277800</v>
      </c>
      <c r="L12" s="103">
        <f>VLOOKUP($A12,'OI(Value)'!$A$7:$O$323,8,0)</f>
        <v>684</v>
      </c>
      <c r="M12" s="103">
        <f>VLOOKUP($A12,'OI(Value)'!$A$7:$O$323,9,0)</f>
        <v>140</v>
      </c>
      <c r="N12" s="103">
        <f>VLOOKUP($A12,'OI(Value)'!$A$7:$O$323,11,0)</f>
        <v>425</v>
      </c>
      <c r="O12" s="103">
        <f>VLOOKUP($A12,'OI(Value)'!$A$7:$O$323,12,0)</f>
        <v>25</v>
      </c>
      <c r="P12" s="179">
        <f>VLOOKUP(A12,'OI(Value)'!A12:O230,8,0)</f>
        <v>684</v>
      </c>
      <c r="Q12" s="179">
        <f>VLOOKUP(A12,'OI(Value)'!A12:O230,9,0)</f>
        <v>140</v>
      </c>
      <c r="R12" s="179">
        <f>VLOOKUP(A12,'OI(Value)'!A12:O230,11,0)</f>
        <v>425</v>
      </c>
      <c r="S12" s="179">
        <f>VLOOKUP(A12,'OI(Value)'!A12:O230,11,0)</f>
        <v>425</v>
      </c>
    </row>
    <row r="13" spans="1:19" x14ac:dyDescent="0.25">
      <c r="A13" s="105" t="str">
        <f>'Data Vlaue (Cr)'!C8</f>
        <v>ADANIPORTS</v>
      </c>
      <c r="B13" s="143">
        <f>VLOOKUP($A13,'Data shares'!$C:$FA,118)</f>
        <v>0.92</v>
      </c>
      <c r="C13" s="143">
        <f>VLOOKUP($A13,'Data shares'!$C:$FA,119)</f>
        <v>0.94</v>
      </c>
      <c r="D13" s="143">
        <f>VLOOKUP($A13,'Data shares'!$C:$FA,121)*100</f>
        <v>-2.13</v>
      </c>
      <c r="E13" s="143">
        <f>VLOOKUP($A13,'Data shares'!$C:$FA,124)</f>
        <v>0.83</v>
      </c>
      <c r="F13" s="143">
        <f>VLOOKUP($A13,'Data shares'!$C:$FA,125)</f>
        <v>1.6</v>
      </c>
      <c r="G13" s="143">
        <f>VLOOKUP($A13,'Data shares'!$C:$FA,127)*100</f>
        <v>-48.13</v>
      </c>
      <c r="H13" s="103">
        <f>VLOOKUP($A13,'OI(Volume)'!$A$7:$O$440,8)</f>
        <v>6978225</v>
      </c>
      <c r="I13" s="103">
        <f>VLOOKUP($A13,'OI(Volume)'!$A$7:$O$440,9)</f>
        <v>187150</v>
      </c>
      <c r="J13" s="103">
        <f>VLOOKUP($A13,'OI(Volume)'!$A$7:$O$440,11)</f>
        <v>6400625</v>
      </c>
      <c r="K13" s="103">
        <f>VLOOKUP($A13,'OI(Volume)'!$A$7:$O$440,12)</f>
        <v>37525</v>
      </c>
      <c r="L13" s="103">
        <f>VLOOKUP($A13,'OI(Value)'!$A$7:$O$323,8,0)</f>
        <v>1048</v>
      </c>
      <c r="M13" s="103">
        <f>VLOOKUP($A13,'OI(Value)'!$A$7:$O$323,9,0)</f>
        <v>28</v>
      </c>
      <c r="N13" s="103">
        <f>VLOOKUP($A13,'OI(Value)'!$A$7:$O$323,11,0)</f>
        <v>961</v>
      </c>
      <c r="O13" s="103">
        <f>VLOOKUP($A13,'OI(Value)'!$A$7:$O$323,12,0)</f>
        <v>6</v>
      </c>
      <c r="P13" s="179">
        <f>VLOOKUP(A13,'OI(Value)'!A13:O231,8,0)</f>
        <v>1048</v>
      </c>
      <c r="Q13" s="179">
        <f>VLOOKUP(A13,'OI(Value)'!A13:O231,9,0)</f>
        <v>28</v>
      </c>
      <c r="R13" s="179">
        <f>VLOOKUP(A13,'OI(Value)'!A13:O231,11,0)</f>
        <v>961</v>
      </c>
      <c r="S13" s="179">
        <f>VLOOKUP(A13,'OI(Value)'!A13:O231,11,0)</f>
        <v>961</v>
      </c>
    </row>
    <row r="14" spans="1:19" x14ac:dyDescent="0.25">
      <c r="A14" s="105" t="str">
        <f>'Data Vlaue (Cr)'!C9</f>
        <v>ALKEM</v>
      </c>
      <c r="B14" s="143">
        <f>VLOOKUP($A14,'Data shares'!$C:$FA,118)</f>
        <v>0.64</v>
      </c>
      <c r="C14" s="143">
        <f>VLOOKUP($A14,'Data shares'!$C:$FA,119)</f>
        <v>0.74</v>
      </c>
      <c r="D14" s="143">
        <f>VLOOKUP($A14,'Data shares'!$C:$FA,121)*100</f>
        <v>-13.51</v>
      </c>
      <c r="E14" s="143">
        <f>VLOOKUP($A14,'Data shares'!$C:$FA,124)</f>
        <v>0.21</v>
      </c>
      <c r="F14" s="143">
        <f>VLOOKUP($A14,'Data shares'!$C:$FA,125)</f>
        <v>0.74</v>
      </c>
      <c r="G14" s="143">
        <f>VLOOKUP($A14,'Data shares'!$C:$FA,127)*100</f>
        <v>-71.61999999999999</v>
      </c>
      <c r="H14" s="103">
        <f>VLOOKUP($A14,'OI(Volume)'!$A$7:$O$440,8)</f>
        <v>223375</v>
      </c>
      <c r="I14" s="103">
        <f>VLOOKUP($A14,'OI(Volume)'!$A$7:$O$440,9)</f>
        <v>31500</v>
      </c>
      <c r="J14" s="103">
        <f>VLOOKUP($A14,'OI(Volume)'!$A$7:$O$440,11)</f>
        <v>144000</v>
      </c>
      <c r="K14" s="103">
        <f>VLOOKUP($A14,'OI(Volume)'!$A$7:$O$440,12)</f>
        <v>2500</v>
      </c>
      <c r="L14" s="103">
        <f>VLOOKUP($A14,'OI(Value)'!$A$7:$O$323,8,0)</f>
        <v>125</v>
      </c>
      <c r="M14" s="103">
        <f>VLOOKUP($A14,'OI(Value)'!$A$7:$O$323,9,0)</f>
        <v>18</v>
      </c>
      <c r="N14" s="103">
        <f>VLOOKUP($A14,'OI(Value)'!$A$7:$O$323,11,0)</f>
        <v>80</v>
      </c>
      <c r="O14" s="103">
        <f>VLOOKUP($A14,'OI(Value)'!$A$7:$O$323,12,0)</f>
        <v>1</v>
      </c>
      <c r="P14" s="179">
        <f>VLOOKUP(A14,'OI(Value)'!A14:O232,8,0)</f>
        <v>125</v>
      </c>
      <c r="Q14" s="179">
        <f>VLOOKUP(A14,'OI(Value)'!A14:O232,9,0)</f>
        <v>18</v>
      </c>
      <c r="R14" s="179">
        <f>VLOOKUP(A14,'OI(Value)'!A14:O232,11,0)</f>
        <v>80</v>
      </c>
      <c r="S14" s="179">
        <f>VLOOKUP(A14,'OI(Value)'!A14:O232,11,0)</f>
        <v>80</v>
      </c>
    </row>
    <row r="15" spans="1:19" x14ac:dyDescent="0.25">
      <c r="A15" s="105" t="str">
        <f>'Data Vlaue (Cr)'!C10</f>
        <v>AMBER</v>
      </c>
      <c r="B15" s="143">
        <f>VLOOKUP($A15,'Data shares'!$C:$FA,118)</f>
        <v>0.66</v>
      </c>
      <c r="C15" s="143">
        <f>VLOOKUP($A15,'Data shares'!$C:$FA,119)</f>
        <v>0.56999999999999995</v>
      </c>
      <c r="D15" s="143">
        <f>VLOOKUP($A15,'Data shares'!$C:$FA,121)*100</f>
        <v>15.790000000000001</v>
      </c>
      <c r="E15" s="143">
        <f>VLOOKUP($A15,'Data shares'!$C:$FA,124)</f>
        <v>0.41</v>
      </c>
      <c r="F15" s="143">
        <f>VLOOKUP($A15,'Data shares'!$C:$FA,125)</f>
        <v>0.68</v>
      </c>
      <c r="G15" s="143">
        <f>VLOOKUP($A15,'Data shares'!$C:$FA,127)*100</f>
        <v>-39.71</v>
      </c>
      <c r="H15" s="103">
        <f>VLOOKUP($A15,'OI(Volume)'!$A$7:$O$440,8)</f>
        <v>588300</v>
      </c>
      <c r="I15" s="103">
        <f>VLOOKUP($A15,'OI(Volume)'!$A$7:$O$440,9)</f>
        <v>29100</v>
      </c>
      <c r="J15" s="103">
        <f>VLOOKUP($A15,'OI(Volume)'!$A$7:$O$440,11)</f>
        <v>390600</v>
      </c>
      <c r="K15" s="103">
        <f>VLOOKUP($A15,'OI(Volume)'!$A$7:$O$440,12)</f>
        <v>69600</v>
      </c>
      <c r="L15" s="103">
        <f>VLOOKUP($A15,'OI(Value)'!$A$7:$O$323,8,0)</f>
        <v>463</v>
      </c>
      <c r="M15" s="103">
        <f>VLOOKUP($A15,'OI(Value)'!$A$7:$O$323,9,0)</f>
        <v>23</v>
      </c>
      <c r="N15" s="103">
        <f>VLOOKUP($A15,'OI(Value)'!$A$7:$O$323,11,0)</f>
        <v>307</v>
      </c>
      <c r="O15" s="103">
        <f>VLOOKUP($A15,'OI(Value)'!$A$7:$O$323,12,0)</f>
        <v>55</v>
      </c>
      <c r="P15" s="179">
        <f>VLOOKUP(A15,'OI(Value)'!A15:O233,8,0)</f>
        <v>463</v>
      </c>
      <c r="Q15" s="179">
        <f>VLOOKUP(A15,'OI(Value)'!A15:O233,9,0)</f>
        <v>23</v>
      </c>
      <c r="R15" s="179">
        <f>VLOOKUP(A15,'OI(Value)'!A15:O233,11,0)</f>
        <v>307</v>
      </c>
      <c r="S15" s="179">
        <f>VLOOKUP(A15,'OI(Value)'!A15:O233,11,0)</f>
        <v>307</v>
      </c>
    </row>
    <row r="16" spans="1:19" x14ac:dyDescent="0.25">
      <c r="A16" s="105" t="str">
        <f>'Data Vlaue (Cr)'!C11</f>
        <v>AMBUJACEM</v>
      </c>
      <c r="B16" s="143">
        <f>VLOOKUP($A16,'Data shares'!$C:$FA,118)</f>
        <v>0.67</v>
      </c>
      <c r="C16" s="143">
        <f>VLOOKUP($A16,'Data shares'!$C:$FA,119)</f>
        <v>0.64</v>
      </c>
      <c r="D16" s="143">
        <f>VLOOKUP($A16,'Data shares'!$C:$FA,121)*100</f>
        <v>4.6899999999999995</v>
      </c>
      <c r="E16" s="143">
        <f>VLOOKUP($A16,'Data shares'!$C:$FA,124)</f>
        <v>0.41</v>
      </c>
      <c r="F16" s="143">
        <f>VLOOKUP($A16,'Data shares'!$C:$FA,125)</f>
        <v>0.46</v>
      </c>
      <c r="G16" s="143">
        <f>VLOOKUP($A16,'Data shares'!$C:$FA,127)*100</f>
        <v>-10.870000000000001</v>
      </c>
      <c r="H16" s="103">
        <f>VLOOKUP($A16,'OI(Volume)'!$A$7:$O$440,8)</f>
        <v>14665350</v>
      </c>
      <c r="I16" s="103">
        <f>VLOOKUP($A16,'OI(Volume)'!$A$7:$O$440,9)</f>
        <v>-110250</v>
      </c>
      <c r="J16" s="103">
        <f>VLOOKUP($A16,'OI(Volume)'!$A$7:$O$440,11)</f>
        <v>9808050</v>
      </c>
      <c r="K16" s="103">
        <f>VLOOKUP($A16,'OI(Volume)'!$A$7:$O$440,12)</f>
        <v>392700</v>
      </c>
      <c r="L16" s="103">
        <f>VLOOKUP($A16,'OI(Value)'!$A$7:$O$323,8,0)</f>
        <v>707</v>
      </c>
      <c r="M16" s="103">
        <f>VLOOKUP($A16,'OI(Value)'!$A$7:$O$323,9,0)</f>
        <v>-5</v>
      </c>
      <c r="N16" s="103">
        <f>VLOOKUP($A16,'OI(Value)'!$A$7:$O$323,11,0)</f>
        <v>473</v>
      </c>
      <c r="O16" s="103">
        <f>VLOOKUP($A16,'OI(Value)'!$A$7:$O$323,12,0)</f>
        <v>19</v>
      </c>
      <c r="P16" s="179">
        <f>VLOOKUP(A16,'OI(Value)'!A16:O234,8,0)</f>
        <v>707</v>
      </c>
      <c r="Q16" s="179">
        <f>VLOOKUP(A16,'OI(Value)'!A16:O234,9,0)</f>
        <v>-5</v>
      </c>
      <c r="R16" s="179">
        <f>VLOOKUP(A16,'OI(Value)'!A16:O234,11,0)</f>
        <v>473</v>
      </c>
      <c r="S16" s="179">
        <f>VLOOKUP(A16,'OI(Value)'!A16:O234,11,0)</f>
        <v>473</v>
      </c>
    </row>
    <row r="17" spans="1:19" x14ac:dyDescent="0.25">
      <c r="A17" s="105" t="str">
        <f>'Data Vlaue (Cr)'!C12</f>
        <v>ANGELONE</v>
      </c>
      <c r="B17" s="143">
        <f>VLOOKUP($A17,'Data shares'!$C:$FA,118)</f>
        <v>0.59</v>
      </c>
      <c r="C17" s="143">
        <f>VLOOKUP($A17,'Data shares'!$C:$FA,119)</f>
        <v>0.6</v>
      </c>
      <c r="D17" s="143">
        <f>VLOOKUP($A17,'Data shares'!$C:$FA,121)*100</f>
        <v>-1.67</v>
      </c>
      <c r="E17" s="143">
        <f>VLOOKUP($A17,'Data shares'!$C:$FA,124)</f>
        <v>0.3</v>
      </c>
      <c r="F17" s="143">
        <f>VLOOKUP($A17,'Data shares'!$C:$FA,125)</f>
        <v>0.51</v>
      </c>
      <c r="G17" s="143">
        <f>VLOOKUP($A17,'Data shares'!$C:$FA,127)*100</f>
        <v>-41.18</v>
      </c>
      <c r="H17" s="103">
        <f>VLOOKUP($A17,'OI(Volume)'!$A$7:$O$440,8)</f>
        <v>22267500</v>
      </c>
      <c r="I17" s="103">
        <f>VLOOKUP($A17,'OI(Volume)'!$A$7:$O$440,9)</f>
        <v>135000</v>
      </c>
      <c r="J17" s="103">
        <f>VLOOKUP($A17,'OI(Volume)'!$A$7:$O$440,11)</f>
        <v>13057500</v>
      </c>
      <c r="K17" s="103">
        <f>VLOOKUP($A17,'OI(Volume)'!$A$7:$O$440,12)</f>
        <v>-112500</v>
      </c>
      <c r="L17" s="103">
        <f>VLOOKUP($A17,'OI(Value)'!$A$7:$O$323,8,0)</f>
        <v>500</v>
      </c>
      <c r="M17" s="103">
        <f>VLOOKUP($A17,'OI(Value)'!$A$7:$O$323,9,0)</f>
        <v>3</v>
      </c>
      <c r="N17" s="103">
        <f>VLOOKUP($A17,'OI(Value)'!$A$7:$O$323,11,0)</f>
        <v>293</v>
      </c>
      <c r="O17" s="103">
        <f>VLOOKUP($A17,'OI(Value)'!$A$7:$O$323,12,0)</f>
        <v>-3</v>
      </c>
      <c r="P17" s="179">
        <f>VLOOKUP(A17,'OI(Value)'!A17:O235,8,0)</f>
        <v>500</v>
      </c>
      <c r="Q17" s="179">
        <f>VLOOKUP(A17,'OI(Value)'!A17:O235,9,0)</f>
        <v>3</v>
      </c>
      <c r="R17" s="179">
        <f>VLOOKUP(A17,'OI(Value)'!A17:O235,11,0)</f>
        <v>293</v>
      </c>
      <c r="S17" s="179">
        <f>VLOOKUP(A17,'OI(Value)'!A17:O235,11,0)</f>
        <v>293</v>
      </c>
    </row>
    <row r="18" spans="1:19" x14ac:dyDescent="0.25">
      <c r="A18" s="105" t="str">
        <f>'Data Vlaue (Cr)'!C13</f>
        <v>APLAPOLLO</v>
      </c>
      <c r="B18" s="143">
        <f>VLOOKUP($A18,'Data shares'!$C:$FA,118)</f>
        <v>0.93</v>
      </c>
      <c r="C18" s="143">
        <f>VLOOKUP($A18,'Data shares'!$C:$FA,119)</f>
        <v>0.88</v>
      </c>
      <c r="D18" s="143">
        <f>VLOOKUP($A18,'Data shares'!$C:$FA,121)*100</f>
        <v>5.6800000000000006</v>
      </c>
      <c r="E18" s="143">
        <f>VLOOKUP($A18,'Data shares'!$C:$FA,124)</f>
        <v>0.9</v>
      </c>
      <c r="F18" s="143">
        <f>VLOOKUP($A18,'Data shares'!$C:$FA,125)</f>
        <v>1.03</v>
      </c>
      <c r="G18" s="143">
        <f>VLOOKUP($A18,'Data shares'!$C:$FA,127)*100</f>
        <v>-12.620000000000001</v>
      </c>
      <c r="H18" s="103">
        <f>VLOOKUP($A18,'OI(Volume)'!$A$7:$O$440,8)</f>
        <v>1044400</v>
      </c>
      <c r="I18" s="103">
        <f>VLOOKUP($A18,'OI(Volume)'!$A$7:$O$440,9)</f>
        <v>-7700</v>
      </c>
      <c r="J18" s="103">
        <f>VLOOKUP($A18,'OI(Volume)'!$A$7:$O$440,11)</f>
        <v>969850</v>
      </c>
      <c r="K18" s="103">
        <f>VLOOKUP($A18,'OI(Volume)'!$A$7:$O$440,12)</f>
        <v>38850</v>
      </c>
      <c r="L18" s="103">
        <f>VLOOKUP($A18,'OI(Value)'!$A$7:$O$323,8,0)</f>
        <v>227</v>
      </c>
      <c r="M18" s="103">
        <f>VLOOKUP($A18,'OI(Value)'!$A$7:$O$323,9,0)</f>
        <v>-2</v>
      </c>
      <c r="N18" s="103">
        <f>VLOOKUP($A18,'OI(Value)'!$A$7:$O$323,11,0)</f>
        <v>210</v>
      </c>
      <c r="O18" s="103">
        <f>VLOOKUP($A18,'OI(Value)'!$A$7:$O$323,12,0)</f>
        <v>8</v>
      </c>
      <c r="P18" s="179">
        <f>VLOOKUP(A18,'OI(Value)'!A18:O236,8,0)</f>
        <v>227</v>
      </c>
      <c r="Q18" s="179">
        <f>VLOOKUP(A18,'OI(Value)'!A18:O236,9,0)</f>
        <v>-2</v>
      </c>
      <c r="R18" s="179">
        <f>VLOOKUP(A18,'OI(Value)'!A18:O236,11,0)</f>
        <v>210</v>
      </c>
      <c r="S18" s="179">
        <f>VLOOKUP(A18,'OI(Value)'!A18:O236,11,0)</f>
        <v>210</v>
      </c>
    </row>
    <row r="19" spans="1:19" x14ac:dyDescent="0.25">
      <c r="A19" s="105" t="str">
        <f>'Data Vlaue (Cr)'!C14</f>
        <v>APOLLOHOSP</v>
      </c>
      <c r="B19" s="143">
        <f>VLOOKUP($A19,'Data shares'!$C:$FA,118)</f>
        <v>0.75</v>
      </c>
      <c r="C19" s="143">
        <f>VLOOKUP($A19,'Data shares'!$C:$FA,119)</f>
        <v>0.68</v>
      </c>
      <c r="D19" s="143">
        <f>VLOOKUP($A19,'Data shares'!$C:$FA,121)*100</f>
        <v>10.290000000000001</v>
      </c>
      <c r="E19" s="143">
        <f>VLOOKUP($A19,'Data shares'!$C:$FA,124)</f>
        <v>0.56999999999999995</v>
      </c>
      <c r="F19" s="143">
        <f>VLOOKUP($A19,'Data shares'!$C:$FA,125)</f>
        <v>0.74</v>
      </c>
      <c r="G19" s="143">
        <f>VLOOKUP($A19,'Data shares'!$C:$FA,127)*100</f>
        <v>-22.97</v>
      </c>
      <c r="H19" s="103">
        <f>VLOOKUP($A19,'OI(Volume)'!$A$7:$O$440,8)</f>
        <v>923000</v>
      </c>
      <c r="I19" s="103">
        <f>VLOOKUP($A19,'OI(Volume)'!$A$7:$O$440,9)</f>
        <v>65500</v>
      </c>
      <c r="J19" s="103">
        <f>VLOOKUP($A19,'OI(Volume)'!$A$7:$O$440,11)</f>
        <v>691375</v>
      </c>
      <c r="K19" s="103">
        <f>VLOOKUP($A19,'OI(Volume)'!$A$7:$O$440,12)</f>
        <v>111000</v>
      </c>
      <c r="L19" s="103">
        <f>VLOOKUP($A19,'OI(Value)'!$A$7:$O$323,8,0)</f>
        <v>719</v>
      </c>
      <c r="M19" s="103">
        <f>VLOOKUP($A19,'OI(Value)'!$A$7:$O$323,9,0)</f>
        <v>51</v>
      </c>
      <c r="N19" s="103">
        <f>VLOOKUP($A19,'OI(Value)'!$A$7:$O$323,11,0)</f>
        <v>538</v>
      </c>
      <c r="O19" s="103">
        <f>VLOOKUP($A19,'OI(Value)'!$A$7:$O$323,12,0)</f>
        <v>86</v>
      </c>
      <c r="P19" s="179">
        <f>VLOOKUP(A19,'OI(Value)'!A19:O237,8,0)</f>
        <v>719</v>
      </c>
      <c r="Q19" s="179">
        <f>VLOOKUP(A19,'OI(Value)'!A19:O237,9,0)</f>
        <v>51</v>
      </c>
      <c r="R19" s="179">
        <f>VLOOKUP(A19,'OI(Value)'!A19:O237,11,0)</f>
        <v>538</v>
      </c>
      <c r="S19" s="179">
        <f>VLOOKUP(A19,'OI(Value)'!A19:O237,11,0)</f>
        <v>538</v>
      </c>
    </row>
    <row r="20" spans="1:19" x14ac:dyDescent="0.25">
      <c r="A20" s="105" t="str">
        <f>'Data Vlaue (Cr)'!C15</f>
        <v>ASHOKLEY</v>
      </c>
      <c r="B20" s="143">
        <f>VLOOKUP($A20,'Data shares'!$C:$FA,118)</f>
        <v>0.71</v>
      </c>
      <c r="C20" s="143">
        <f>VLOOKUP($A20,'Data shares'!$C:$FA,119)</f>
        <v>0.67</v>
      </c>
      <c r="D20" s="143">
        <f>VLOOKUP($A20,'Data shares'!$C:$FA,121)*100</f>
        <v>5.9700000000000006</v>
      </c>
      <c r="E20" s="143">
        <f>VLOOKUP($A20,'Data shares'!$C:$FA,124)</f>
        <v>0.56999999999999995</v>
      </c>
      <c r="F20" s="143">
        <f>VLOOKUP($A20,'Data shares'!$C:$FA,125)</f>
        <v>0.65</v>
      </c>
      <c r="G20" s="143">
        <f>VLOOKUP($A20,'Data shares'!$C:$FA,127)*100</f>
        <v>-12.31</v>
      </c>
      <c r="H20" s="103">
        <f>VLOOKUP($A20,'OI(Volume)'!$A$7:$O$440,8)</f>
        <v>41550000</v>
      </c>
      <c r="I20" s="103">
        <f>VLOOKUP($A20,'OI(Volume)'!$A$7:$O$440,9)</f>
        <v>-430000</v>
      </c>
      <c r="J20" s="103">
        <f>VLOOKUP($A20,'OI(Volume)'!$A$7:$O$440,11)</f>
        <v>29680000</v>
      </c>
      <c r="K20" s="103">
        <f>VLOOKUP($A20,'OI(Volume)'!$A$7:$O$440,12)</f>
        <v>1430000</v>
      </c>
      <c r="L20" s="103">
        <f>VLOOKUP($A20,'OI(Value)'!$A$7:$O$323,8,0)</f>
        <v>844</v>
      </c>
      <c r="M20" s="103">
        <f>VLOOKUP($A20,'OI(Value)'!$A$7:$O$323,9,0)</f>
        <v>-9</v>
      </c>
      <c r="N20" s="103">
        <f>VLOOKUP($A20,'OI(Value)'!$A$7:$O$323,11,0)</f>
        <v>603</v>
      </c>
      <c r="O20" s="103">
        <f>VLOOKUP($A20,'OI(Value)'!$A$7:$O$323,12,0)</f>
        <v>29</v>
      </c>
      <c r="P20" s="179">
        <f>VLOOKUP(A20,'OI(Value)'!A20:O238,8,0)</f>
        <v>844</v>
      </c>
      <c r="Q20" s="179">
        <f>VLOOKUP(A20,'OI(Value)'!A20:O238,9,0)</f>
        <v>-9</v>
      </c>
      <c r="R20" s="179">
        <f>VLOOKUP(A20,'OI(Value)'!A20:O238,11,0)</f>
        <v>603</v>
      </c>
      <c r="S20" s="179">
        <f>VLOOKUP(A20,'OI(Value)'!A20:O238,11,0)</f>
        <v>603</v>
      </c>
    </row>
    <row r="21" spans="1:19" x14ac:dyDescent="0.25">
      <c r="A21" s="105" t="str">
        <f>'Data Vlaue (Cr)'!C16</f>
        <v>ASIANPAINT</v>
      </c>
      <c r="B21" s="143">
        <f>VLOOKUP($A21,'Data shares'!$C:$FA,118)</f>
        <v>0.9</v>
      </c>
      <c r="C21" s="143">
        <f>VLOOKUP($A21,'Data shares'!$C:$FA,119)</f>
        <v>0.97</v>
      </c>
      <c r="D21" s="143">
        <f>VLOOKUP($A21,'Data shares'!$C:$FA,121)*100</f>
        <v>-7.22</v>
      </c>
      <c r="E21" s="143">
        <f>VLOOKUP($A21,'Data shares'!$C:$FA,124)</f>
        <v>0.88</v>
      </c>
      <c r="F21" s="143">
        <f>VLOOKUP($A21,'Data shares'!$C:$FA,125)</f>
        <v>1.63</v>
      </c>
      <c r="G21" s="143">
        <f>VLOOKUP($A21,'Data shares'!$C:$FA,127)*100</f>
        <v>-46.01</v>
      </c>
      <c r="H21" s="103">
        <f>VLOOKUP($A21,'OI(Volume)'!$A$7:$O$440,8)</f>
        <v>4314000</v>
      </c>
      <c r="I21" s="103">
        <f>VLOOKUP($A21,'OI(Volume)'!$A$7:$O$440,9)</f>
        <v>159500</v>
      </c>
      <c r="J21" s="103">
        <f>VLOOKUP($A21,'OI(Volume)'!$A$7:$O$440,11)</f>
        <v>3864750</v>
      </c>
      <c r="K21" s="103">
        <f>VLOOKUP($A21,'OI(Volume)'!$A$7:$O$440,12)</f>
        <v>-184000</v>
      </c>
      <c r="L21" s="103">
        <f>VLOOKUP($A21,'OI(Value)'!$A$7:$O$323,8,0)</f>
        <v>992</v>
      </c>
      <c r="M21" s="103">
        <f>VLOOKUP($A21,'OI(Value)'!$A$7:$O$323,9,0)</f>
        <v>37</v>
      </c>
      <c r="N21" s="103">
        <f>VLOOKUP($A21,'OI(Value)'!$A$7:$O$323,11,0)</f>
        <v>888</v>
      </c>
      <c r="O21" s="103">
        <f>VLOOKUP($A21,'OI(Value)'!$A$7:$O$323,12,0)</f>
        <v>-42</v>
      </c>
      <c r="P21" s="179">
        <f>VLOOKUP(A21,'OI(Value)'!A21:O239,8,0)</f>
        <v>992</v>
      </c>
      <c r="Q21" s="179">
        <f>VLOOKUP(A21,'OI(Value)'!A21:O239,9,0)</f>
        <v>37</v>
      </c>
      <c r="R21" s="179">
        <f>VLOOKUP(A21,'OI(Value)'!A21:O239,11,0)</f>
        <v>888</v>
      </c>
      <c r="S21" s="179">
        <f>VLOOKUP(A21,'OI(Value)'!A21:O239,11,0)</f>
        <v>888</v>
      </c>
    </row>
    <row r="22" spans="1:19" x14ac:dyDescent="0.25">
      <c r="A22" s="105" t="str">
        <f>'Data Vlaue (Cr)'!C17</f>
        <v>ASTRAL</v>
      </c>
      <c r="B22" s="143">
        <f>VLOOKUP($A22,'Data shares'!$C:$FA,118)</f>
        <v>0.53</v>
      </c>
      <c r="C22" s="143">
        <f>VLOOKUP($A22,'Data shares'!$C:$FA,119)</f>
        <v>0.55000000000000004</v>
      </c>
      <c r="D22" s="143">
        <f>VLOOKUP($A22,'Data shares'!$C:$FA,121)*100</f>
        <v>-3.64</v>
      </c>
      <c r="E22" s="143">
        <f>VLOOKUP($A22,'Data shares'!$C:$FA,124)</f>
        <v>0.38</v>
      </c>
      <c r="F22" s="143">
        <f>VLOOKUP($A22,'Data shares'!$C:$FA,125)</f>
        <v>0.72</v>
      </c>
      <c r="G22" s="143">
        <f>VLOOKUP($A22,'Data shares'!$C:$FA,127)*100</f>
        <v>-47.22</v>
      </c>
      <c r="H22" s="103">
        <f>VLOOKUP($A22,'OI(Volume)'!$A$7:$O$440,8)</f>
        <v>1808800</v>
      </c>
      <c r="I22" s="103">
        <f>VLOOKUP($A22,'OI(Volume)'!$A$7:$O$440,9)</f>
        <v>113900</v>
      </c>
      <c r="J22" s="103">
        <f>VLOOKUP($A22,'OI(Volume)'!$A$7:$O$440,11)</f>
        <v>949875</v>
      </c>
      <c r="K22" s="103">
        <f>VLOOKUP($A22,'OI(Volume)'!$A$7:$O$440,12)</f>
        <v>13175</v>
      </c>
      <c r="L22" s="103">
        <f>VLOOKUP($A22,'OI(Value)'!$A$7:$O$323,8,0)</f>
        <v>299</v>
      </c>
      <c r="M22" s="103">
        <f>VLOOKUP($A22,'OI(Value)'!$A$7:$O$323,9,0)</f>
        <v>19</v>
      </c>
      <c r="N22" s="103">
        <f>VLOOKUP($A22,'OI(Value)'!$A$7:$O$323,11,0)</f>
        <v>157</v>
      </c>
      <c r="O22" s="103">
        <f>VLOOKUP($A22,'OI(Value)'!$A$7:$O$323,12,0)</f>
        <v>2</v>
      </c>
      <c r="P22" s="179">
        <f>VLOOKUP(A22,'OI(Value)'!A22:O240,8,0)</f>
        <v>299</v>
      </c>
      <c r="Q22" s="179">
        <f>VLOOKUP(A22,'OI(Value)'!A22:O240,9,0)</f>
        <v>19</v>
      </c>
      <c r="R22" s="179">
        <f>VLOOKUP(A22,'OI(Value)'!A22:O240,11,0)</f>
        <v>157</v>
      </c>
      <c r="S22" s="179">
        <f>VLOOKUP(A22,'OI(Value)'!A22:O240,11,0)</f>
        <v>157</v>
      </c>
    </row>
    <row r="23" spans="1:19" x14ac:dyDescent="0.25">
      <c r="A23" s="105" t="str">
        <f>'Data Vlaue (Cr)'!C18</f>
        <v>AUBANK</v>
      </c>
      <c r="B23" s="143">
        <f>VLOOKUP($A23,'Data shares'!$C:$FA,118)</f>
        <v>0.72</v>
      </c>
      <c r="C23" s="143">
        <f>VLOOKUP($A23,'Data shares'!$C:$FA,119)</f>
        <v>0.64</v>
      </c>
      <c r="D23" s="143">
        <f>VLOOKUP($A23,'Data shares'!$C:$FA,121)*100</f>
        <v>12.5</v>
      </c>
      <c r="E23" s="143">
        <f>VLOOKUP($A23,'Data shares'!$C:$FA,124)</f>
        <v>0.9</v>
      </c>
      <c r="F23" s="143">
        <f>VLOOKUP($A23,'Data shares'!$C:$FA,125)</f>
        <v>0.99</v>
      </c>
      <c r="G23" s="143">
        <f>VLOOKUP($A23,'Data shares'!$C:$FA,127)*100</f>
        <v>-9.09</v>
      </c>
      <c r="H23" s="103">
        <f>VLOOKUP($A23,'OI(Volume)'!$A$7:$O$440,8)</f>
        <v>6690000</v>
      </c>
      <c r="I23" s="103">
        <f>VLOOKUP($A23,'OI(Volume)'!$A$7:$O$440,9)</f>
        <v>-548000</v>
      </c>
      <c r="J23" s="103">
        <f>VLOOKUP($A23,'OI(Volume)'!$A$7:$O$440,11)</f>
        <v>4835000</v>
      </c>
      <c r="K23" s="103">
        <f>VLOOKUP($A23,'OI(Volume)'!$A$7:$O$440,12)</f>
        <v>190000</v>
      </c>
      <c r="L23" s="103">
        <f>VLOOKUP($A23,'OI(Value)'!$A$7:$O$323,8,0)</f>
        <v>652</v>
      </c>
      <c r="M23" s="103">
        <f>VLOOKUP($A23,'OI(Value)'!$A$7:$O$323,9,0)</f>
        <v>-53</v>
      </c>
      <c r="N23" s="103">
        <f>VLOOKUP($A23,'OI(Value)'!$A$7:$O$323,11,0)</f>
        <v>471</v>
      </c>
      <c r="O23" s="103">
        <f>VLOOKUP($A23,'OI(Value)'!$A$7:$O$323,12,0)</f>
        <v>19</v>
      </c>
      <c r="P23" s="179">
        <f>VLOOKUP(A23,'OI(Value)'!A23:O241,8,0)</f>
        <v>652</v>
      </c>
      <c r="Q23" s="179">
        <f>VLOOKUP(A23,'OI(Value)'!A23:O241,9,0)</f>
        <v>-53</v>
      </c>
      <c r="R23" s="179">
        <f>VLOOKUP(A23,'OI(Value)'!A23:O241,11,0)</f>
        <v>471</v>
      </c>
      <c r="S23" s="179">
        <f>VLOOKUP(A23,'OI(Value)'!A23:O241,11,0)</f>
        <v>471</v>
      </c>
    </row>
    <row r="24" spans="1:19" x14ac:dyDescent="0.25">
      <c r="A24" s="105" t="str">
        <f>'Data Vlaue (Cr)'!C19</f>
        <v>AUROPHARMA</v>
      </c>
      <c r="B24" s="143">
        <f>VLOOKUP($A24,'Data shares'!$C:$FA,118)</f>
        <v>0.66</v>
      </c>
      <c r="C24" s="143">
        <f>VLOOKUP($A24,'Data shares'!$C:$FA,119)</f>
        <v>0.63</v>
      </c>
      <c r="D24" s="143">
        <f>VLOOKUP($A24,'Data shares'!$C:$FA,121)*100</f>
        <v>4.7600000000000007</v>
      </c>
      <c r="E24" s="143">
        <f>VLOOKUP($A24,'Data shares'!$C:$FA,124)</f>
        <v>0.31</v>
      </c>
      <c r="F24" s="143">
        <f>VLOOKUP($A24,'Data shares'!$C:$FA,125)</f>
        <v>0.59</v>
      </c>
      <c r="G24" s="143">
        <f>VLOOKUP($A24,'Data shares'!$C:$FA,127)*100</f>
        <v>-47.46</v>
      </c>
      <c r="H24" s="103">
        <f>VLOOKUP($A24,'OI(Volume)'!$A$7:$O$440,8)</f>
        <v>3853850</v>
      </c>
      <c r="I24" s="103">
        <f>VLOOKUP($A24,'OI(Volume)'!$A$7:$O$440,9)</f>
        <v>-29150</v>
      </c>
      <c r="J24" s="103">
        <f>VLOOKUP($A24,'OI(Volume)'!$A$7:$O$440,11)</f>
        <v>2542100</v>
      </c>
      <c r="K24" s="103">
        <f>VLOOKUP($A24,'OI(Volume)'!$A$7:$O$440,12)</f>
        <v>102850</v>
      </c>
      <c r="L24" s="103">
        <f>VLOOKUP($A24,'OI(Value)'!$A$7:$O$323,8,0)</f>
        <v>473</v>
      </c>
      <c r="M24" s="103">
        <f>VLOOKUP($A24,'OI(Value)'!$A$7:$O$323,9,0)</f>
        <v>-4</v>
      </c>
      <c r="N24" s="103">
        <f>VLOOKUP($A24,'OI(Value)'!$A$7:$O$323,11,0)</f>
        <v>312</v>
      </c>
      <c r="O24" s="103">
        <f>VLOOKUP($A24,'OI(Value)'!$A$7:$O$323,12,0)</f>
        <v>13</v>
      </c>
      <c r="P24" s="179">
        <f>VLOOKUP(A24,'OI(Value)'!A24:O242,8,0)</f>
        <v>473</v>
      </c>
      <c r="Q24" s="179">
        <f>VLOOKUP(A24,'OI(Value)'!A24:O242,9,0)</f>
        <v>-4</v>
      </c>
      <c r="R24" s="179">
        <f>VLOOKUP(A24,'OI(Value)'!A24:O242,11,0)</f>
        <v>312</v>
      </c>
      <c r="S24" s="179">
        <f>VLOOKUP(A24,'OI(Value)'!A24:O242,11,0)</f>
        <v>312</v>
      </c>
    </row>
    <row r="25" spans="1:19" x14ac:dyDescent="0.25">
      <c r="A25" s="105" t="str">
        <f>'Data Vlaue (Cr)'!C20</f>
        <v>AXISBANK</v>
      </c>
      <c r="B25" s="143">
        <f>VLOOKUP($A25,'Data shares'!$C:$FA,118)</f>
        <v>0.57999999999999996</v>
      </c>
      <c r="C25" s="143">
        <f>VLOOKUP($A25,'Data shares'!$C:$FA,119)</f>
        <v>0.62</v>
      </c>
      <c r="D25" s="143">
        <f>VLOOKUP($A25,'Data shares'!$C:$FA,121)*100</f>
        <v>-6.45</v>
      </c>
      <c r="E25" s="143">
        <f>VLOOKUP($A25,'Data shares'!$C:$FA,124)</f>
        <v>0.77</v>
      </c>
      <c r="F25" s="143">
        <f>VLOOKUP($A25,'Data shares'!$C:$FA,125)</f>
        <v>0.73</v>
      </c>
      <c r="G25" s="143">
        <f>VLOOKUP($A25,'Data shares'!$C:$FA,127)*100</f>
        <v>5.48</v>
      </c>
      <c r="H25" s="103">
        <f>VLOOKUP($A25,'OI(Volume)'!$A$7:$O$440,8)</f>
        <v>15836250</v>
      </c>
      <c r="I25" s="103">
        <f>VLOOKUP($A25,'OI(Volume)'!$A$7:$O$440,9)</f>
        <v>1140625</v>
      </c>
      <c r="J25" s="103">
        <f>VLOOKUP($A25,'OI(Volume)'!$A$7:$O$440,11)</f>
        <v>9182500</v>
      </c>
      <c r="K25" s="103">
        <f>VLOOKUP($A25,'OI(Volume)'!$A$7:$O$440,12)</f>
        <v>143125</v>
      </c>
      <c r="L25" s="103">
        <f>VLOOKUP($A25,'OI(Value)'!$A$7:$O$323,8,0)</f>
        <v>2148</v>
      </c>
      <c r="M25" s="103">
        <f>VLOOKUP($A25,'OI(Value)'!$A$7:$O$323,9,0)</f>
        <v>155</v>
      </c>
      <c r="N25" s="103">
        <f>VLOOKUP($A25,'OI(Value)'!$A$7:$O$323,11,0)</f>
        <v>1245</v>
      </c>
      <c r="O25" s="103">
        <f>VLOOKUP($A25,'OI(Value)'!$A$7:$O$323,12,0)</f>
        <v>19</v>
      </c>
      <c r="P25" s="179">
        <f>VLOOKUP(A25,'OI(Value)'!A25:O243,8,0)</f>
        <v>2148</v>
      </c>
      <c r="Q25" s="179">
        <f>VLOOKUP(A25,'OI(Value)'!A25:O243,9,0)</f>
        <v>155</v>
      </c>
      <c r="R25" s="179">
        <f>VLOOKUP(A25,'OI(Value)'!A25:O243,11,0)</f>
        <v>1245</v>
      </c>
      <c r="S25" s="179">
        <f>VLOOKUP(A25,'OI(Value)'!A25:O243,11,0)</f>
        <v>1245</v>
      </c>
    </row>
    <row r="26" spans="1:19" x14ac:dyDescent="0.25">
      <c r="A26" s="105" t="str">
        <f>'Data Vlaue (Cr)'!C21</f>
        <v>BAJAJ-AUTO</v>
      </c>
      <c r="B26" s="143">
        <f>VLOOKUP($A26,'Data shares'!$C:$FA,118)</f>
        <v>0.52</v>
      </c>
      <c r="C26" s="143">
        <f>VLOOKUP($A26,'Data shares'!$C:$FA,119)</f>
        <v>0.48</v>
      </c>
      <c r="D26" s="143">
        <f>VLOOKUP($A26,'Data shares'!$C:$FA,121)*100</f>
        <v>8.33</v>
      </c>
      <c r="E26" s="143">
        <f>VLOOKUP($A26,'Data shares'!$C:$FA,124)</f>
        <v>0.68</v>
      </c>
      <c r="F26" s="143">
        <f>VLOOKUP($A26,'Data shares'!$C:$FA,125)</f>
        <v>0.74</v>
      </c>
      <c r="G26" s="143">
        <f>VLOOKUP($A26,'Data shares'!$C:$FA,127)*100</f>
        <v>-8.1100000000000012</v>
      </c>
      <c r="H26" s="103">
        <f>VLOOKUP($A26,'OI(Volume)'!$A$7:$O$440,8)</f>
        <v>1316850</v>
      </c>
      <c r="I26" s="103">
        <f>VLOOKUP($A26,'OI(Volume)'!$A$7:$O$440,9)</f>
        <v>-70500</v>
      </c>
      <c r="J26" s="103">
        <f>VLOOKUP($A26,'OI(Volume)'!$A$7:$O$440,11)</f>
        <v>690525</v>
      </c>
      <c r="K26" s="103">
        <f>VLOOKUP($A26,'OI(Volume)'!$A$7:$O$440,12)</f>
        <v>22500</v>
      </c>
      <c r="L26" s="103">
        <f>VLOOKUP($A26,'OI(Value)'!$A$7:$O$323,8,0)</f>
        <v>1289</v>
      </c>
      <c r="M26" s="103">
        <f>VLOOKUP($A26,'OI(Value)'!$A$7:$O$323,9,0)</f>
        <v>-69</v>
      </c>
      <c r="N26" s="103">
        <f>VLOOKUP($A26,'OI(Value)'!$A$7:$O$323,11,0)</f>
        <v>676</v>
      </c>
      <c r="O26" s="103">
        <f>VLOOKUP($A26,'OI(Value)'!$A$7:$O$323,12,0)</f>
        <v>22</v>
      </c>
      <c r="P26" s="179">
        <f>VLOOKUP(A26,'OI(Value)'!A26:O244,8,0)</f>
        <v>1289</v>
      </c>
      <c r="Q26" s="179">
        <f>VLOOKUP(A26,'OI(Value)'!A26:O244,9,0)</f>
        <v>-69</v>
      </c>
      <c r="R26" s="179">
        <f>VLOOKUP(A26,'OI(Value)'!A26:O244,11,0)</f>
        <v>676</v>
      </c>
      <c r="S26" s="179">
        <f>VLOOKUP(A26,'OI(Value)'!A26:O244,11,0)</f>
        <v>676</v>
      </c>
    </row>
    <row r="27" spans="1:19" x14ac:dyDescent="0.25">
      <c r="A27" s="105" t="str">
        <f>'Data Vlaue (Cr)'!C22</f>
        <v>BAJAJFINSV</v>
      </c>
      <c r="B27" s="143">
        <f>VLOOKUP($A27,'Data shares'!$C:$FA,118)</f>
        <v>0.56999999999999995</v>
      </c>
      <c r="C27" s="143">
        <f>VLOOKUP($A27,'Data shares'!$C:$FA,119)</f>
        <v>0.62</v>
      </c>
      <c r="D27" s="143">
        <f>VLOOKUP($A27,'Data shares'!$C:$FA,121)*100</f>
        <v>-8.06</v>
      </c>
      <c r="E27" s="143">
        <f>VLOOKUP($A27,'Data shares'!$C:$FA,124)</f>
        <v>0.4</v>
      </c>
      <c r="F27" s="143">
        <f>VLOOKUP($A27,'Data shares'!$C:$FA,125)</f>
        <v>0.56999999999999995</v>
      </c>
      <c r="G27" s="143">
        <f>VLOOKUP($A27,'Data shares'!$C:$FA,127)*100</f>
        <v>-29.82</v>
      </c>
      <c r="H27" s="103">
        <f>VLOOKUP($A27,'OI(Volume)'!$A$7:$O$440,8)</f>
        <v>5583000</v>
      </c>
      <c r="I27" s="103">
        <f>VLOOKUP($A27,'OI(Volume)'!$A$7:$O$440,9)</f>
        <v>413750</v>
      </c>
      <c r="J27" s="103">
        <f>VLOOKUP($A27,'OI(Volume)'!$A$7:$O$440,11)</f>
        <v>3198250</v>
      </c>
      <c r="K27" s="103">
        <f>VLOOKUP($A27,'OI(Volume)'!$A$7:$O$440,12)</f>
        <v>1500</v>
      </c>
      <c r="L27" s="103">
        <f>VLOOKUP($A27,'OI(Value)'!$A$7:$O$323,8,0)</f>
        <v>1071</v>
      </c>
      <c r="M27" s="103">
        <f>VLOOKUP($A27,'OI(Value)'!$A$7:$O$323,9,0)</f>
        <v>79</v>
      </c>
      <c r="N27" s="103">
        <f>VLOOKUP($A27,'OI(Value)'!$A$7:$O$323,11,0)</f>
        <v>613</v>
      </c>
      <c r="O27" s="103">
        <f>VLOOKUP($A27,'OI(Value)'!$A$7:$O$323,12,0)</f>
        <v>0</v>
      </c>
      <c r="P27" s="179">
        <f>VLOOKUP(A27,'OI(Value)'!A27:O245,8,0)</f>
        <v>1071</v>
      </c>
      <c r="Q27" s="179">
        <f>VLOOKUP(A27,'OI(Value)'!A27:O245,9,0)</f>
        <v>79</v>
      </c>
      <c r="R27" s="179">
        <f>VLOOKUP(A27,'OI(Value)'!A27:O245,11,0)</f>
        <v>613</v>
      </c>
      <c r="S27" s="179">
        <f>VLOOKUP(A27,'OI(Value)'!A27:O245,11,0)</f>
        <v>613</v>
      </c>
    </row>
    <row r="28" spans="1:19" x14ac:dyDescent="0.25">
      <c r="A28" s="105" t="str">
        <f>'Data Vlaue (Cr)'!C23</f>
        <v>BAJAJHLDNG</v>
      </c>
      <c r="B28" s="143">
        <f>VLOOKUP($A28,'Data shares'!$C:$FA,118)</f>
        <v>0.49</v>
      </c>
      <c r="C28" s="143">
        <f>VLOOKUP($A28,'Data shares'!$C:$FA,119)</f>
        <v>0.49</v>
      </c>
      <c r="D28" s="143">
        <f>VLOOKUP($A28,'Data shares'!$C:$FA,121)*100</f>
        <v>0</v>
      </c>
      <c r="E28" s="143">
        <f>VLOOKUP($A28,'Data shares'!$C:$FA,124)</f>
        <v>0.48</v>
      </c>
      <c r="F28" s="143">
        <f>VLOOKUP($A28,'Data shares'!$C:$FA,125)</f>
        <v>1.41</v>
      </c>
      <c r="G28" s="143">
        <f>VLOOKUP($A28,'Data shares'!$C:$FA,127)*100</f>
        <v>-65.959999999999994</v>
      </c>
      <c r="H28" s="103">
        <f>VLOOKUP($A28,'OI(Volume)'!$A$7:$O$440,8)</f>
        <v>95800</v>
      </c>
      <c r="I28" s="103">
        <f>VLOOKUP($A28,'OI(Volume)'!$A$7:$O$440,9)</f>
        <v>850</v>
      </c>
      <c r="J28" s="103">
        <f>VLOOKUP($A28,'OI(Volume)'!$A$7:$O$440,11)</f>
        <v>46650</v>
      </c>
      <c r="K28" s="103">
        <f>VLOOKUP($A28,'OI(Volume)'!$A$7:$O$440,12)</f>
        <v>200</v>
      </c>
      <c r="L28" s="103">
        <f>VLOOKUP($A28,'OI(Value)'!$A$7:$O$323,8,0)</f>
        <v>103</v>
      </c>
      <c r="M28" s="103">
        <f>VLOOKUP($A28,'OI(Value)'!$A$7:$O$323,9,0)</f>
        <v>1</v>
      </c>
      <c r="N28" s="103">
        <f>VLOOKUP($A28,'OI(Value)'!$A$7:$O$323,11,0)</f>
        <v>50</v>
      </c>
      <c r="O28" s="103">
        <f>VLOOKUP($A28,'OI(Value)'!$A$7:$O$323,12,0)</f>
        <v>0</v>
      </c>
      <c r="P28" s="179">
        <f>VLOOKUP(A28,'OI(Value)'!A28:O246,8,0)</f>
        <v>103</v>
      </c>
      <c r="Q28" s="179">
        <f>VLOOKUP(A28,'OI(Value)'!A28:O246,9,0)</f>
        <v>1</v>
      </c>
      <c r="R28" s="179">
        <f>VLOOKUP(A28,'OI(Value)'!A28:O246,11,0)</f>
        <v>50</v>
      </c>
      <c r="S28" s="179">
        <f>VLOOKUP(A28,'OI(Value)'!A28:O246,11,0)</f>
        <v>50</v>
      </c>
    </row>
    <row r="29" spans="1:19" x14ac:dyDescent="0.25">
      <c r="A29" s="105" t="str">
        <f>'Data Vlaue (Cr)'!C24</f>
        <v>BAJFINANCE</v>
      </c>
      <c r="B29" s="143">
        <f>VLOOKUP($A29,'Data shares'!$C:$FA,118)</f>
        <v>0.87</v>
      </c>
      <c r="C29" s="143">
        <f>VLOOKUP($A29,'Data shares'!$C:$FA,119)</f>
        <v>0.89</v>
      </c>
      <c r="D29" s="143">
        <f>VLOOKUP($A29,'Data shares'!$C:$FA,121)*100</f>
        <v>-2.25</v>
      </c>
      <c r="E29" s="143">
        <f>VLOOKUP($A29,'Data shares'!$C:$FA,124)</f>
        <v>0.72</v>
      </c>
      <c r="F29" s="143">
        <f>VLOOKUP($A29,'Data shares'!$C:$FA,125)</f>
        <v>0.9</v>
      </c>
      <c r="G29" s="143">
        <f>VLOOKUP($A29,'Data shares'!$C:$FA,127)*100</f>
        <v>-20</v>
      </c>
      <c r="H29" s="103">
        <f>VLOOKUP($A29,'OI(Volume)'!$A$7:$O$440,8)</f>
        <v>14562750</v>
      </c>
      <c r="I29" s="103">
        <f>VLOOKUP($A29,'OI(Volume)'!$A$7:$O$440,9)</f>
        <v>588750</v>
      </c>
      <c r="J29" s="103">
        <f>VLOOKUP($A29,'OI(Volume)'!$A$7:$O$440,11)</f>
        <v>12646500</v>
      </c>
      <c r="K29" s="103">
        <f>VLOOKUP($A29,'OI(Volume)'!$A$7:$O$440,12)</f>
        <v>264750</v>
      </c>
      <c r="L29" s="103">
        <f>VLOOKUP($A29,'OI(Value)'!$A$7:$O$323,8,0)</f>
        <v>1404</v>
      </c>
      <c r="M29" s="103">
        <f>VLOOKUP($A29,'OI(Value)'!$A$7:$O$323,9,0)</f>
        <v>57</v>
      </c>
      <c r="N29" s="103">
        <f>VLOOKUP($A29,'OI(Value)'!$A$7:$O$323,11,0)</f>
        <v>1219</v>
      </c>
      <c r="O29" s="103">
        <f>VLOOKUP($A29,'OI(Value)'!$A$7:$O$323,12,0)</f>
        <v>26</v>
      </c>
      <c r="P29" s="179">
        <f>VLOOKUP(A29,'OI(Value)'!A29:O247,8,0)</f>
        <v>1404</v>
      </c>
      <c r="Q29" s="179">
        <f>VLOOKUP(A29,'OI(Value)'!A29:O247,9,0)</f>
        <v>57</v>
      </c>
      <c r="R29" s="179">
        <f>VLOOKUP(A29,'OI(Value)'!A29:O247,11,0)</f>
        <v>1219</v>
      </c>
      <c r="S29" s="179">
        <f>VLOOKUP(A29,'OI(Value)'!A29:O247,11,0)</f>
        <v>1219</v>
      </c>
    </row>
    <row r="30" spans="1:19" x14ac:dyDescent="0.25">
      <c r="A30" s="105" t="str">
        <f>'Data Vlaue (Cr)'!C25</f>
        <v>BANDHANBNK</v>
      </c>
      <c r="B30" s="143">
        <f>VLOOKUP($A30,'Data shares'!$C:$FA,118)</f>
        <v>0.66</v>
      </c>
      <c r="C30" s="143">
        <f>VLOOKUP($A30,'Data shares'!$C:$FA,119)</f>
        <v>0.59</v>
      </c>
      <c r="D30" s="143">
        <f>VLOOKUP($A30,'Data shares'!$C:$FA,121)*100</f>
        <v>11.86</v>
      </c>
      <c r="E30" s="143">
        <f>VLOOKUP($A30,'Data shares'!$C:$FA,124)</f>
        <v>0.43</v>
      </c>
      <c r="F30" s="143">
        <f>VLOOKUP($A30,'Data shares'!$C:$FA,125)</f>
        <v>0.54</v>
      </c>
      <c r="G30" s="143">
        <f>VLOOKUP($A30,'Data shares'!$C:$FA,127)*100</f>
        <v>-20.369999999999997</v>
      </c>
      <c r="H30" s="103">
        <f>VLOOKUP($A30,'OI(Volume)'!$A$7:$O$440,8)</f>
        <v>28375200</v>
      </c>
      <c r="I30" s="103">
        <f>VLOOKUP($A30,'OI(Volume)'!$A$7:$O$440,9)</f>
        <v>-720000</v>
      </c>
      <c r="J30" s="103">
        <f>VLOOKUP($A30,'OI(Volume)'!$A$7:$O$440,11)</f>
        <v>18766800</v>
      </c>
      <c r="K30" s="103">
        <f>VLOOKUP($A30,'OI(Volume)'!$A$7:$O$440,12)</f>
        <v>1486800</v>
      </c>
      <c r="L30" s="103">
        <f>VLOOKUP($A30,'OI(Value)'!$A$7:$O$323,8,0)</f>
        <v>527</v>
      </c>
      <c r="M30" s="103">
        <f>VLOOKUP($A30,'OI(Value)'!$A$7:$O$323,9,0)</f>
        <v>-13</v>
      </c>
      <c r="N30" s="103">
        <f>VLOOKUP($A30,'OI(Value)'!$A$7:$O$323,11,0)</f>
        <v>348</v>
      </c>
      <c r="O30" s="103">
        <f>VLOOKUP($A30,'OI(Value)'!$A$7:$O$323,12,0)</f>
        <v>28</v>
      </c>
      <c r="P30" s="179">
        <f>VLOOKUP(A30,'OI(Value)'!A30:O248,8,0)</f>
        <v>527</v>
      </c>
      <c r="Q30" s="179">
        <f>VLOOKUP(A30,'OI(Value)'!A30:O248,9,0)</f>
        <v>-13</v>
      </c>
      <c r="R30" s="179">
        <f>VLOOKUP(A30,'OI(Value)'!A30:O248,11,0)</f>
        <v>348</v>
      </c>
      <c r="S30" s="179">
        <f>VLOOKUP(A30,'OI(Value)'!A30:O248,11,0)</f>
        <v>348</v>
      </c>
    </row>
    <row r="31" spans="1:19" x14ac:dyDescent="0.25">
      <c r="A31" s="105" t="str">
        <f>'Data Vlaue (Cr)'!C26</f>
        <v>BANKBARODA</v>
      </c>
      <c r="B31" s="143">
        <f>VLOOKUP($A31,'Data shares'!$C:$FA,118)</f>
        <v>0.83</v>
      </c>
      <c r="C31" s="143">
        <f>VLOOKUP($A31,'Data shares'!$C:$FA,119)</f>
        <v>0.87</v>
      </c>
      <c r="D31" s="143">
        <f>VLOOKUP($A31,'Data shares'!$C:$FA,121)*100</f>
        <v>-4.5999999999999996</v>
      </c>
      <c r="E31" s="143">
        <f>VLOOKUP($A31,'Data shares'!$C:$FA,124)</f>
        <v>0.79</v>
      </c>
      <c r="F31" s="143">
        <f>VLOOKUP($A31,'Data shares'!$C:$FA,125)</f>
        <v>0.82</v>
      </c>
      <c r="G31" s="143">
        <f>VLOOKUP($A31,'Data shares'!$C:$FA,127)*100</f>
        <v>-3.66</v>
      </c>
      <c r="H31" s="103">
        <f>VLOOKUP($A31,'OI(Volume)'!$A$7:$O$440,8)</f>
        <v>35231625</v>
      </c>
      <c r="I31" s="103">
        <f>VLOOKUP($A31,'OI(Volume)'!$A$7:$O$440,9)</f>
        <v>2328300</v>
      </c>
      <c r="J31" s="103">
        <f>VLOOKUP($A31,'OI(Volume)'!$A$7:$O$440,11)</f>
        <v>29217825</v>
      </c>
      <c r="K31" s="103">
        <f>VLOOKUP($A31,'OI(Volume)'!$A$7:$O$440,12)</f>
        <v>444600</v>
      </c>
      <c r="L31" s="103">
        <f>VLOOKUP($A31,'OI(Value)'!$A$7:$O$323,8,0)</f>
        <v>1069</v>
      </c>
      <c r="M31" s="103">
        <f>VLOOKUP($A31,'OI(Value)'!$A$7:$O$323,9,0)</f>
        <v>71</v>
      </c>
      <c r="N31" s="103">
        <f>VLOOKUP($A31,'OI(Value)'!$A$7:$O$323,11,0)</f>
        <v>886</v>
      </c>
      <c r="O31" s="103">
        <f>VLOOKUP($A31,'OI(Value)'!$A$7:$O$323,12,0)</f>
        <v>13</v>
      </c>
      <c r="P31" s="179">
        <f>VLOOKUP(A31,'OI(Value)'!A31:O249,8,0)</f>
        <v>1069</v>
      </c>
      <c r="Q31" s="179">
        <f>VLOOKUP(A31,'OI(Value)'!A31:O249,9,0)</f>
        <v>71</v>
      </c>
      <c r="R31" s="179">
        <f>VLOOKUP(A31,'OI(Value)'!A31:O249,11,0)</f>
        <v>886</v>
      </c>
      <c r="S31" s="179">
        <f>VLOOKUP(A31,'OI(Value)'!A31:O249,11,0)</f>
        <v>886</v>
      </c>
    </row>
    <row r="32" spans="1:19" x14ac:dyDescent="0.25">
      <c r="A32" s="105" t="str">
        <f>'Data Vlaue (Cr)'!C27</f>
        <v>BANKINDIA</v>
      </c>
      <c r="B32" s="143">
        <f>VLOOKUP($A32,'Data shares'!$C:$FA,118)</f>
        <v>0.84</v>
      </c>
      <c r="C32" s="143">
        <f>VLOOKUP($A32,'Data shares'!$C:$FA,119)</f>
        <v>0.88</v>
      </c>
      <c r="D32" s="143">
        <f>VLOOKUP($A32,'Data shares'!$C:$FA,121)*100</f>
        <v>-4.55</v>
      </c>
      <c r="E32" s="143">
        <f>VLOOKUP($A32,'Data shares'!$C:$FA,124)</f>
        <v>0.65</v>
      </c>
      <c r="F32" s="143">
        <f>VLOOKUP($A32,'Data shares'!$C:$FA,125)</f>
        <v>0.88</v>
      </c>
      <c r="G32" s="143">
        <f>VLOOKUP($A32,'Data shares'!$C:$FA,127)*100</f>
        <v>-26.14</v>
      </c>
      <c r="H32" s="103">
        <f>VLOOKUP($A32,'OI(Volume)'!$A$7:$O$440,8)</f>
        <v>18855200</v>
      </c>
      <c r="I32" s="103">
        <f>VLOOKUP($A32,'OI(Volume)'!$A$7:$O$440,9)</f>
        <v>1414400</v>
      </c>
      <c r="J32" s="103">
        <f>VLOOKUP($A32,'OI(Volume)'!$A$7:$O$440,11)</f>
        <v>15802800</v>
      </c>
      <c r="K32" s="103">
        <f>VLOOKUP($A32,'OI(Volume)'!$A$7:$O$440,12)</f>
        <v>483600</v>
      </c>
      <c r="L32" s="103">
        <f>VLOOKUP($A32,'OI(Value)'!$A$7:$O$323,8,0)</f>
        <v>311</v>
      </c>
      <c r="M32" s="103">
        <f>VLOOKUP($A32,'OI(Value)'!$A$7:$O$323,9,0)</f>
        <v>23</v>
      </c>
      <c r="N32" s="103">
        <f>VLOOKUP($A32,'OI(Value)'!$A$7:$O$323,11,0)</f>
        <v>261</v>
      </c>
      <c r="O32" s="103">
        <f>VLOOKUP($A32,'OI(Value)'!$A$7:$O$323,12,0)</f>
        <v>8</v>
      </c>
      <c r="P32" s="179">
        <f>VLOOKUP(A32,'OI(Value)'!A32:O250,8,0)</f>
        <v>311</v>
      </c>
      <c r="Q32" s="179">
        <f>VLOOKUP(A32,'OI(Value)'!A32:O250,9,0)</f>
        <v>23</v>
      </c>
      <c r="R32" s="179">
        <f>VLOOKUP(A32,'OI(Value)'!A32:O250,11,0)</f>
        <v>261</v>
      </c>
      <c r="S32" s="179">
        <f>VLOOKUP(A32,'OI(Value)'!A32:O250,11,0)</f>
        <v>261</v>
      </c>
    </row>
    <row r="33" spans="1:19" x14ac:dyDescent="0.25">
      <c r="A33" s="105" t="str">
        <f>'Data Vlaue (Cr)'!C28</f>
        <v>BANKNIFTY</v>
      </c>
      <c r="B33" s="143">
        <f>VLOOKUP($A33,'Data shares'!$C:$FA,118)</f>
        <v>0.92</v>
      </c>
      <c r="C33" s="143">
        <f>VLOOKUP($A33,'Data shares'!$C:$FA,119)</f>
        <v>0.93</v>
      </c>
      <c r="D33" s="143">
        <f>VLOOKUP($A33,'Data shares'!$C:$FA,121)*100</f>
        <v>-1.08</v>
      </c>
      <c r="E33" s="143">
        <f>VLOOKUP($A33,'Data shares'!$C:$FA,124)</f>
        <v>0.86</v>
      </c>
      <c r="F33" s="143">
        <f>VLOOKUP($A33,'Data shares'!$C:$FA,125)</f>
        <v>1.1299999999999999</v>
      </c>
      <c r="G33" s="143">
        <f>VLOOKUP($A33,'Data shares'!$C:$FA,127)*100</f>
        <v>-23.89</v>
      </c>
      <c r="H33" s="103">
        <f>VLOOKUP($A33,'OI(Volume)'!$A$7:$O$440,8)</f>
        <v>14063830</v>
      </c>
      <c r="I33" s="103">
        <f>VLOOKUP($A33,'OI(Volume)'!$A$7:$O$440,9)</f>
        <v>991895</v>
      </c>
      <c r="J33" s="103">
        <f>VLOOKUP($A33,'OI(Volume)'!$A$7:$O$440,11)</f>
        <v>12927400</v>
      </c>
      <c r="K33" s="103">
        <f>VLOOKUP($A33,'OI(Volume)'!$A$7:$O$440,12)</f>
        <v>749925</v>
      </c>
      <c r="L33" s="103">
        <f>VLOOKUP($A33,'OI(Value)'!$A$7:$O$323,8,0)</f>
        <v>83504</v>
      </c>
      <c r="M33" s="103">
        <f>VLOOKUP($A33,'OI(Value)'!$A$7:$O$323,9,0)</f>
        <v>5889</v>
      </c>
      <c r="N33" s="103">
        <f>VLOOKUP($A33,'OI(Value)'!$A$7:$O$323,11,0)</f>
        <v>76757</v>
      </c>
      <c r="O33" s="103">
        <f>VLOOKUP($A33,'OI(Value)'!$A$7:$O$323,12,0)</f>
        <v>4453</v>
      </c>
      <c r="P33" s="179">
        <f>VLOOKUP(A33,'OI(Value)'!A33:O251,8,0)</f>
        <v>83504</v>
      </c>
      <c r="Q33" s="179">
        <f>VLOOKUP(A33,'OI(Value)'!A33:O251,9,0)</f>
        <v>5889</v>
      </c>
      <c r="R33" s="179">
        <f>VLOOKUP(A33,'OI(Value)'!A33:O251,11,0)</f>
        <v>76757</v>
      </c>
      <c r="S33" s="179">
        <f>VLOOKUP(A33,'OI(Value)'!A33:O251,11,0)</f>
        <v>76757</v>
      </c>
    </row>
    <row r="34" spans="1:19" x14ac:dyDescent="0.25">
      <c r="A34" s="105" t="str">
        <f>'Data Vlaue (Cr)'!C29</f>
        <v>BDL</v>
      </c>
      <c r="B34" s="143">
        <f>VLOOKUP($A34,'Data shares'!$C:$FA,118)</f>
        <v>0.62</v>
      </c>
      <c r="C34" s="143">
        <f>VLOOKUP($A34,'Data shares'!$C:$FA,119)</f>
        <v>0.57999999999999996</v>
      </c>
      <c r="D34" s="143">
        <f>VLOOKUP($A34,'Data shares'!$C:$FA,121)*100</f>
        <v>6.9</v>
      </c>
      <c r="E34" s="143">
        <f>VLOOKUP($A34,'Data shares'!$C:$FA,124)</f>
        <v>0.21</v>
      </c>
      <c r="F34" s="143">
        <f>VLOOKUP($A34,'Data shares'!$C:$FA,125)</f>
        <v>0.3</v>
      </c>
      <c r="G34" s="143">
        <f>VLOOKUP($A34,'Data shares'!$C:$FA,127)*100</f>
        <v>-30</v>
      </c>
      <c r="H34" s="103">
        <f>VLOOKUP($A34,'OI(Volume)'!$A$7:$O$440,8)</f>
        <v>3806950</v>
      </c>
      <c r="I34" s="103">
        <f>VLOOKUP($A34,'OI(Volume)'!$A$7:$O$440,9)</f>
        <v>-245000</v>
      </c>
      <c r="J34" s="103">
        <f>VLOOKUP($A34,'OI(Volume)'!$A$7:$O$440,11)</f>
        <v>2344300</v>
      </c>
      <c r="K34" s="103">
        <f>VLOOKUP($A34,'OI(Volume)'!$A$7:$O$440,12)</f>
        <v>-3850</v>
      </c>
      <c r="L34" s="103">
        <f>VLOOKUP($A34,'OI(Value)'!$A$7:$O$323,8,0)</f>
        <v>488</v>
      </c>
      <c r="M34" s="103">
        <f>VLOOKUP($A34,'OI(Value)'!$A$7:$O$323,9,0)</f>
        <v>-31</v>
      </c>
      <c r="N34" s="103">
        <f>VLOOKUP($A34,'OI(Value)'!$A$7:$O$323,11,0)</f>
        <v>301</v>
      </c>
      <c r="O34" s="103">
        <f>VLOOKUP($A34,'OI(Value)'!$A$7:$O$323,12,0)</f>
        <v>0</v>
      </c>
      <c r="P34" s="179">
        <f>VLOOKUP(A34,'OI(Value)'!A34:O252,8,0)</f>
        <v>488</v>
      </c>
      <c r="Q34" s="179">
        <f>VLOOKUP(A34,'OI(Value)'!A34:O252,9,0)</f>
        <v>-31</v>
      </c>
      <c r="R34" s="179">
        <f>VLOOKUP(A34,'OI(Value)'!A34:O252,11,0)</f>
        <v>301</v>
      </c>
      <c r="S34" s="179">
        <f>VLOOKUP(A34,'OI(Value)'!A34:O252,11,0)</f>
        <v>301</v>
      </c>
    </row>
    <row r="35" spans="1:19" x14ac:dyDescent="0.25">
      <c r="A35" s="105" t="str">
        <f>'Data Vlaue (Cr)'!C30</f>
        <v>BEL</v>
      </c>
      <c r="B35" s="143">
        <f>VLOOKUP($A35,'Data shares'!$C:$FA,118)</f>
        <v>0.67</v>
      </c>
      <c r="C35" s="143">
        <f>VLOOKUP($A35,'Data shares'!$C:$FA,119)</f>
        <v>0.53</v>
      </c>
      <c r="D35" s="143">
        <f>VLOOKUP($A35,'Data shares'!$C:$FA,121)*100</f>
        <v>26.419999999999998</v>
      </c>
      <c r="E35" s="143">
        <f>VLOOKUP($A35,'Data shares'!$C:$FA,124)</f>
        <v>0.47</v>
      </c>
      <c r="F35" s="143">
        <f>VLOOKUP($A35,'Data shares'!$C:$FA,125)</f>
        <v>0.46</v>
      </c>
      <c r="G35" s="143">
        <f>VLOOKUP($A35,'Data shares'!$C:$FA,127)*100</f>
        <v>2.17</v>
      </c>
      <c r="H35" s="103">
        <f>VLOOKUP($A35,'OI(Volume)'!$A$7:$O$440,8)</f>
        <v>41847975</v>
      </c>
      <c r="I35" s="103">
        <f>VLOOKUP($A35,'OI(Volume)'!$A$7:$O$440,9)</f>
        <v>-6244350</v>
      </c>
      <c r="J35" s="103">
        <f>VLOOKUP($A35,'OI(Volume)'!$A$7:$O$440,11)</f>
        <v>27925725</v>
      </c>
      <c r="K35" s="103">
        <f>VLOOKUP($A35,'OI(Volume)'!$A$7:$O$440,12)</f>
        <v>2667600</v>
      </c>
      <c r="L35" s="103">
        <f>VLOOKUP($A35,'OI(Value)'!$A$7:$O$323,8,0)</f>
        <v>1924</v>
      </c>
      <c r="M35" s="103">
        <f>VLOOKUP($A35,'OI(Value)'!$A$7:$O$323,9,0)</f>
        <v>-287</v>
      </c>
      <c r="N35" s="103">
        <f>VLOOKUP($A35,'OI(Value)'!$A$7:$O$323,11,0)</f>
        <v>1284</v>
      </c>
      <c r="O35" s="103">
        <f>VLOOKUP($A35,'OI(Value)'!$A$7:$O$323,12,0)</f>
        <v>123</v>
      </c>
      <c r="P35" s="179">
        <f>VLOOKUP(A35,'OI(Value)'!A35:O253,8,0)</f>
        <v>1924</v>
      </c>
      <c r="Q35" s="179">
        <f>VLOOKUP(A35,'OI(Value)'!A35:O253,9,0)</f>
        <v>-287</v>
      </c>
      <c r="R35" s="179">
        <f>VLOOKUP(A35,'OI(Value)'!A35:O253,11,0)</f>
        <v>1284</v>
      </c>
      <c r="S35" s="179">
        <f>VLOOKUP(A35,'OI(Value)'!A35:O253,11,0)</f>
        <v>1284</v>
      </c>
    </row>
    <row r="36" spans="1:19" x14ac:dyDescent="0.25">
      <c r="A36" s="105" t="str">
        <f>'Data Vlaue (Cr)'!C31</f>
        <v>BHARATFORG</v>
      </c>
      <c r="B36" s="143">
        <f>VLOOKUP($A36,'Data shares'!$C:$FA,118)</f>
        <v>0.74</v>
      </c>
      <c r="C36" s="143">
        <f>VLOOKUP($A36,'Data shares'!$C:$FA,119)</f>
        <v>0.9</v>
      </c>
      <c r="D36" s="143">
        <f>VLOOKUP($A36,'Data shares'!$C:$FA,121)*100</f>
        <v>-17.78</v>
      </c>
      <c r="E36" s="143">
        <f>VLOOKUP($A36,'Data shares'!$C:$FA,124)</f>
        <v>0.32</v>
      </c>
      <c r="F36" s="143">
        <f>VLOOKUP($A36,'Data shares'!$C:$FA,125)</f>
        <v>0.85</v>
      </c>
      <c r="G36" s="143">
        <f>VLOOKUP($A36,'Data shares'!$C:$FA,127)*100</f>
        <v>-62.350000000000009</v>
      </c>
      <c r="H36" s="103">
        <f>VLOOKUP($A36,'OI(Volume)'!$A$7:$O$440,8)</f>
        <v>3483000</v>
      </c>
      <c r="I36" s="103">
        <f>VLOOKUP($A36,'OI(Volume)'!$A$7:$O$440,9)</f>
        <v>750000</v>
      </c>
      <c r="J36" s="103">
        <f>VLOOKUP($A36,'OI(Volume)'!$A$7:$O$440,11)</f>
        <v>2562500</v>
      </c>
      <c r="K36" s="103">
        <f>VLOOKUP($A36,'OI(Volume)'!$A$7:$O$440,12)</f>
        <v>108000</v>
      </c>
      <c r="L36" s="103">
        <f>VLOOKUP($A36,'OI(Value)'!$A$7:$O$323,8,0)</f>
        <v>662</v>
      </c>
      <c r="M36" s="103">
        <f>VLOOKUP($A36,'OI(Value)'!$A$7:$O$323,9,0)</f>
        <v>143</v>
      </c>
      <c r="N36" s="103">
        <f>VLOOKUP($A36,'OI(Value)'!$A$7:$O$323,11,0)</f>
        <v>487</v>
      </c>
      <c r="O36" s="103">
        <f>VLOOKUP($A36,'OI(Value)'!$A$7:$O$323,12,0)</f>
        <v>21</v>
      </c>
      <c r="P36" s="179">
        <f>VLOOKUP(A36,'OI(Value)'!A36:O254,8,0)</f>
        <v>662</v>
      </c>
      <c r="Q36" s="179">
        <f>VLOOKUP(A36,'OI(Value)'!A36:O254,9,0)</f>
        <v>143</v>
      </c>
      <c r="R36" s="179">
        <f>VLOOKUP(A36,'OI(Value)'!A36:O254,11,0)</f>
        <v>487</v>
      </c>
      <c r="S36" s="179">
        <f>VLOOKUP(A36,'OI(Value)'!A36:O254,11,0)</f>
        <v>487</v>
      </c>
    </row>
    <row r="37" spans="1:19" x14ac:dyDescent="0.25">
      <c r="A37" s="105" t="str">
        <f>'Data Vlaue (Cr)'!C32</f>
        <v>BHARTIARTL</v>
      </c>
      <c r="B37" s="143">
        <f>VLOOKUP($A37,'Data shares'!$C:$FA,118)</f>
        <v>0.56000000000000005</v>
      </c>
      <c r="C37" s="143">
        <f>VLOOKUP($A37,'Data shares'!$C:$FA,119)</f>
        <v>0.61</v>
      </c>
      <c r="D37" s="143">
        <f>VLOOKUP($A37,'Data shares'!$C:$FA,121)*100</f>
        <v>-8.2000000000000011</v>
      </c>
      <c r="E37" s="143">
        <f>VLOOKUP($A37,'Data shares'!$C:$FA,124)</f>
        <v>0.64</v>
      </c>
      <c r="F37" s="143">
        <f>VLOOKUP($A37,'Data shares'!$C:$FA,125)</f>
        <v>0.48</v>
      </c>
      <c r="G37" s="143">
        <f>VLOOKUP($A37,'Data shares'!$C:$FA,127)*100</f>
        <v>33.33</v>
      </c>
      <c r="H37" s="103">
        <f>VLOOKUP($A37,'OI(Volume)'!$A$7:$O$440,8)</f>
        <v>14461850</v>
      </c>
      <c r="I37" s="103">
        <f>VLOOKUP($A37,'OI(Volume)'!$A$7:$O$440,9)</f>
        <v>53675</v>
      </c>
      <c r="J37" s="103">
        <f>VLOOKUP($A37,'OI(Volume)'!$A$7:$O$440,11)</f>
        <v>8076425</v>
      </c>
      <c r="K37" s="103">
        <f>VLOOKUP($A37,'OI(Volume)'!$A$7:$O$440,12)</f>
        <v>-646950</v>
      </c>
      <c r="L37" s="103">
        <f>VLOOKUP($A37,'OI(Value)'!$A$7:$O$323,8,0)</f>
        <v>2769</v>
      </c>
      <c r="M37" s="103">
        <f>VLOOKUP($A37,'OI(Value)'!$A$7:$O$323,9,0)</f>
        <v>10</v>
      </c>
      <c r="N37" s="103">
        <f>VLOOKUP($A37,'OI(Value)'!$A$7:$O$323,11,0)</f>
        <v>1546</v>
      </c>
      <c r="O37" s="103">
        <f>VLOOKUP($A37,'OI(Value)'!$A$7:$O$323,12,0)</f>
        <v>-124</v>
      </c>
      <c r="P37" s="179">
        <f>VLOOKUP(A37,'OI(Value)'!A37:O255,8,0)</f>
        <v>2769</v>
      </c>
      <c r="Q37" s="179">
        <f>VLOOKUP(A37,'OI(Value)'!A37:O255,9,0)</f>
        <v>10</v>
      </c>
      <c r="R37" s="179">
        <f>VLOOKUP(A37,'OI(Value)'!A37:O255,11,0)</f>
        <v>1546</v>
      </c>
      <c r="S37" s="179">
        <f>VLOOKUP(A37,'OI(Value)'!A37:O255,11,0)</f>
        <v>1546</v>
      </c>
    </row>
    <row r="38" spans="1:19" x14ac:dyDescent="0.25">
      <c r="A38" s="105" t="str">
        <f>'Data Vlaue (Cr)'!C33</f>
        <v>BHEL</v>
      </c>
      <c r="B38" s="143">
        <f>VLOOKUP($A38,'Data shares'!$C:$FA,118)</f>
        <v>0.75</v>
      </c>
      <c r="C38" s="143">
        <f>VLOOKUP($A38,'Data shares'!$C:$FA,119)</f>
        <v>0.74</v>
      </c>
      <c r="D38" s="143">
        <f>VLOOKUP($A38,'Data shares'!$C:$FA,121)*100</f>
        <v>1.35</v>
      </c>
      <c r="E38" s="143">
        <f>VLOOKUP($A38,'Data shares'!$C:$FA,124)</f>
        <v>0.48</v>
      </c>
      <c r="F38" s="143">
        <f>VLOOKUP($A38,'Data shares'!$C:$FA,125)</f>
        <v>0.52</v>
      </c>
      <c r="G38" s="143">
        <f>VLOOKUP($A38,'Data shares'!$C:$FA,127)*100</f>
        <v>-7.6899999999999995</v>
      </c>
      <c r="H38" s="103">
        <f>VLOOKUP($A38,'OI(Volume)'!$A$7:$O$440,8)</f>
        <v>30195375</v>
      </c>
      <c r="I38" s="103">
        <f>VLOOKUP($A38,'OI(Volume)'!$A$7:$O$440,9)</f>
        <v>136500</v>
      </c>
      <c r="J38" s="103">
        <f>VLOOKUP($A38,'OI(Volume)'!$A$7:$O$440,11)</f>
        <v>22561875</v>
      </c>
      <c r="K38" s="103">
        <f>VLOOKUP($A38,'OI(Volume)'!$A$7:$O$440,12)</f>
        <v>443625</v>
      </c>
      <c r="L38" s="103">
        <f>VLOOKUP($A38,'OI(Value)'!$A$7:$O$323,8,0)</f>
        <v>778</v>
      </c>
      <c r="M38" s="103">
        <f>VLOOKUP($A38,'OI(Value)'!$A$7:$O$323,9,0)</f>
        <v>4</v>
      </c>
      <c r="N38" s="103">
        <f>VLOOKUP($A38,'OI(Value)'!$A$7:$O$323,11,0)</f>
        <v>581</v>
      </c>
      <c r="O38" s="103">
        <f>VLOOKUP($A38,'OI(Value)'!$A$7:$O$323,12,0)</f>
        <v>11</v>
      </c>
      <c r="P38" s="179">
        <f>VLOOKUP(A38,'OI(Value)'!A38:O256,8,0)</f>
        <v>778</v>
      </c>
      <c r="Q38" s="179">
        <f>VLOOKUP(A38,'OI(Value)'!A38:O256,9,0)</f>
        <v>4</v>
      </c>
      <c r="R38" s="179">
        <f>VLOOKUP(A38,'OI(Value)'!A38:O256,11,0)</f>
        <v>581</v>
      </c>
      <c r="S38" s="179">
        <f>VLOOKUP(A38,'OI(Value)'!A38:O256,11,0)</f>
        <v>581</v>
      </c>
    </row>
    <row r="39" spans="1:19" x14ac:dyDescent="0.25">
      <c r="A39" s="105" t="str">
        <f>'Data Vlaue (Cr)'!C34</f>
        <v>BIOCON</v>
      </c>
      <c r="B39" s="143">
        <f>VLOOKUP($A39,'Data shares'!$C:$FA,118)</f>
        <v>0.66</v>
      </c>
      <c r="C39" s="143">
        <f>VLOOKUP($A39,'Data shares'!$C:$FA,119)</f>
        <v>0.67</v>
      </c>
      <c r="D39" s="143">
        <f>VLOOKUP($A39,'Data shares'!$C:$FA,121)*100</f>
        <v>-1.49</v>
      </c>
      <c r="E39" s="143">
        <f>VLOOKUP($A39,'Data shares'!$C:$FA,124)</f>
        <v>0.4</v>
      </c>
      <c r="F39" s="143">
        <f>VLOOKUP($A39,'Data shares'!$C:$FA,125)</f>
        <v>0.35</v>
      </c>
      <c r="G39" s="143">
        <f>VLOOKUP($A39,'Data shares'!$C:$FA,127)*100</f>
        <v>14.29</v>
      </c>
      <c r="H39" s="103">
        <f>VLOOKUP($A39,'OI(Volume)'!$A$7:$O$440,8)</f>
        <v>15480000</v>
      </c>
      <c r="I39" s="103">
        <f>VLOOKUP($A39,'OI(Volume)'!$A$7:$O$440,9)</f>
        <v>230000</v>
      </c>
      <c r="J39" s="103">
        <f>VLOOKUP($A39,'OI(Volume)'!$A$7:$O$440,11)</f>
        <v>10237500</v>
      </c>
      <c r="K39" s="103">
        <f>VLOOKUP($A39,'OI(Volume)'!$A$7:$O$440,12)</f>
        <v>15000</v>
      </c>
      <c r="L39" s="103">
        <f>VLOOKUP($A39,'OI(Value)'!$A$7:$O$323,8,0)</f>
        <v>602</v>
      </c>
      <c r="M39" s="103">
        <f>VLOOKUP($A39,'OI(Value)'!$A$7:$O$323,9,0)</f>
        <v>9</v>
      </c>
      <c r="N39" s="103">
        <f>VLOOKUP($A39,'OI(Value)'!$A$7:$O$323,11,0)</f>
        <v>398</v>
      </c>
      <c r="O39" s="103">
        <f>VLOOKUP($A39,'OI(Value)'!$A$7:$O$323,12,0)</f>
        <v>1</v>
      </c>
      <c r="P39" s="179">
        <f>VLOOKUP(A39,'OI(Value)'!A39:O257,8,0)</f>
        <v>602</v>
      </c>
      <c r="Q39" s="179">
        <f>VLOOKUP(A39,'OI(Value)'!A39:O257,9,0)</f>
        <v>9</v>
      </c>
      <c r="R39" s="179">
        <f>VLOOKUP(A39,'OI(Value)'!A39:O257,11,0)</f>
        <v>398</v>
      </c>
      <c r="S39" s="179">
        <f>VLOOKUP(A39,'OI(Value)'!A39:O257,11,0)</f>
        <v>398</v>
      </c>
    </row>
    <row r="40" spans="1:19" x14ac:dyDescent="0.25">
      <c r="A40" s="105" t="str">
        <f>'Data Vlaue (Cr)'!C35</f>
        <v>BLUESTARCO</v>
      </c>
      <c r="B40" s="143">
        <f>VLOOKUP($A40,'Data shares'!$C:$FA,118)</f>
        <v>0.49</v>
      </c>
      <c r="C40" s="143">
        <f>VLOOKUP($A40,'Data shares'!$C:$FA,119)</f>
        <v>0.45</v>
      </c>
      <c r="D40" s="143">
        <f>VLOOKUP($A40,'Data shares'!$C:$FA,121)*100</f>
        <v>8.89</v>
      </c>
      <c r="E40" s="143">
        <f>VLOOKUP($A40,'Data shares'!$C:$FA,124)</f>
        <v>0.15</v>
      </c>
      <c r="F40" s="143">
        <f>VLOOKUP($A40,'Data shares'!$C:$FA,125)</f>
        <v>0.56000000000000005</v>
      </c>
      <c r="G40" s="143">
        <f>VLOOKUP($A40,'Data shares'!$C:$FA,127)*100</f>
        <v>-73.209999999999994</v>
      </c>
      <c r="H40" s="103">
        <f>VLOOKUP($A40,'OI(Volume)'!$A$7:$O$440,8)</f>
        <v>1046825</v>
      </c>
      <c r="I40" s="103">
        <f>VLOOKUP($A40,'OI(Volume)'!$A$7:$O$440,9)</f>
        <v>131300</v>
      </c>
      <c r="J40" s="103">
        <f>VLOOKUP($A40,'OI(Volume)'!$A$7:$O$440,11)</f>
        <v>514150</v>
      </c>
      <c r="K40" s="103">
        <f>VLOOKUP($A40,'OI(Volume)'!$A$7:$O$440,12)</f>
        <v>98800</v>
      </c>
      <c r="L40" s="103">
        <f>VLOOKUP($A40,'OI(Value)'!$A$7:$O$323,8,0)</f>
        <v>204</v>
      </c>
      <c r="M40" s="103">
        <f>VLOOKUP($A40,'OI(Value)'!$A$7:$O$323,9,0)</f>
        <v>26</v>
      </c>
      <c r="N40" s="103">
        <f>VLOOKUP($A40,'OI(Value)'!$A$7:$O$323,11,0)</f>
        <v>100</v>
      </c>
      <c r="O40" s="103">
        <f>VLOOKUP($A40,'OI(Value)'!$A$7:$O$323,12,0)</f>
        <v>19</v>
      </c>
      <c r="P40" s="179">
        <f>VLOOKUP(A40,'OI(Value)'!A40:O258,8,0)</f>
        <v>204</v>
      </c>
      <c r="Q40" s="179">
        <f>VLOOKUP(A40,'OI(Value)'!A40:O258,9,0)</f>
        <v>26</v>
      </c>
      <c r="R40" s="179">
        <f>VLOOKUP(A40,'OI(Value)'!A40:O258,11,0)</f>
        <v>100</v>
      </c>
      <c r="S40" s="179">
        <f>VLOOKUP(A40,'OI(Value)'!A40:O258,11,0)</f>
        <v>100</v>
      </c>
    </row>
    <row r="41" spans="1:19" x14ac:dyDescent="0.25">
      <c r="A41" s="105" t="str">
        <f>'Data Vlaue (Cr)'!C36</f>
        <v>BOSCHLTD</v>
      </c>
      <c r="B41" s="143">
        <f>VLOOKUP($A41,'Data shares'!$C:$FA,118)</f>
        <v>0.48</v>
      </c>
      <c r="C41" s="143">
        <f>VLOOKUP($A41,'Data shares'!$C:$FA,119)</f>
        <v>0.53</v>
      </c>
      <c r="D41" s="143">
        <f>VLOOKUP($A41,'Data shares'!$C:$FA,121)*100</f>
        <v>-9.43</v>
      </c>
      <c r="E41" s="143">
        <f>VLOOKUP($A41,'Data shares'!$C:$FA,124)</f>
        <v>0.54</v>
      </c>
      <c r="F41" s="143">
        <f>VLOOKUP($A41,'Data shares'!$C:$FA,125)</f>
        <v>0.97</v>
      </c>
      <c r="G41" s="143">
        <f>VLOOKUP($A41,'Data shares'!$C:$FA,127)*100</f>
        <v>-44.330000000000005</v>
      </c>
      <c r="H41" s="103">
        <f>VLOOKUP($A41,'OI(Volume)'!$A$7:$O$440,8)</f>
        <v>172575</v>
      </c>
      <c r="I41" s="103">
        <f>VLOOKUP($A41,'OI(Volume)'!$A$7:$O$440,9)</f>
        <v>17050</v>
      </c>
      <c r="J41" s="103">
        <f>VLOOKUP($A41,'OI(Volume)'!$A$7:$O$440,11)</f>
        <v>83000</v>
      </c>
      <c r="K41" s="103">
        <f>VLOOKUP($A41,'OI(Volume)'!$A$7:$O$440,12)</f>
        <v>700</v>
      </c>
      <c r="L41" s="103">
        <f>VLOOKUP($A41,'OI(Value)'!$A$7:$O$323,8,0)</f>
        <v>576</v>
      </c>
      <c r="M41" s="103">
        <f>VLOOKUP($A41,'OI(Value)'!$A$7:$O$323,9,0)</f>
        <v>57</v>
      </c>
      <c r="N41" s="103">
        <f>VLOOKUP($A41,'OI(Value)'!$A$7:$O$323,11,0)</f>
        <v>277</v>
      </c>
      <c r="O41" s="103">
        <f>VLOOKUP($A41,'OI(Value)'!$A$7:$O$323,12,0)</f>
        <v>2</v>
      </c>
      <c r="P41" s="179">
        <f>VLOOKUP(A41,'OI(Value)'!A41:O259,8,0)</f>
        <v>576</v>
      </c>
      <c r="Q41" s="179">
        <f>VLOOKUP(A41,'OI(Value)'!A41:O259,9,0)</f>
        <v>57</v>
      </c>
      <c r="R41" s="179">
        <f>VLOOKUP(A41,'OI(Value)'!A41:O259,11,0)</f>
        <v>277</v>
      </c>
      <c r="S41" s="179">
        <f>VLOOKUP(A41,'OI(Value)'!A41:O259,11,0)</f>
        <v>277</v>
      </c>
    </row>
    <row r="42" spans="1:19" x14ac:dyDescent="0.25">
      <c r="A42" s="105" t="str">
        <f>'Data Vlaue (Cr)'!C37</f>
        <v>BPCL</v>
      </c>
      <c r="B42" s="143">
        <f>VLOOKUP($A42,'Data shares'!$C:$FA,118)</f>
        <v>0.84</v>
      </c>
      <c r="C42" s="143">
        <f>VLOOKUP($A42,'Data shares'!$C:$FA,119)</f>
        <v>0.86</v>
      </c>
      <c r="D42" s="143">
        <f>VLOOKUP($A42,'Data shares'!$C:$FA,121)*100</f>
        <v>-2.33</v>
      </c>
      <c r="E42" s="143">
        <f>VLOOKUP($A42,'Data shares'!$C:$FA,124)</f>
        <v>1</v>
      </c>
      <c r="F42" s="143">
        <f>VLOOKUP($A42,'Data shares'!$C:$FA,125)</f>
        <v>1.62</v>
      </c>
      <c r="G42" s="143">
        <f>VLOOKUP($A42,'Data shares'!$C:$FA,127)*100</f>
        <v>-38.269999999999996</v>
      </c>
      <c r="H42" s="103">
        <f>VLOOKUP($A42,'OI(Volume)'!$A$7:$O$440,8)</f>
        <v>17160775</v>
      </c>
      <c r="I42" s="103">
        <f>VLOOKUP($A42,'OI(Volume)'!$A$7:$O$440,9)</f>
        <v>2310750</v>
      </c>
      <c r="J42" s="103">
        <f>VLOOKUP($A42,'OI(Volume)'!$A$7:$O$440,11)</f>
        <v>14492550</v>
      </c>
      <c r="K42" s="103">
        <f>VLOOKUP($A42,'OI(Volume)'!$A$7:$O$440,12)</f>
        <v>1655050</v>
      </c>
      <c r="L42" s="103">
        <f>VLOOKUP($A42,'OI(Value)'!$A$7:$O$323,8,0)</f>
        <v>620</v>
      </c>
      <c r="M42" s="103">
        <f>VLOOKUP($A42,'OI(Value)'!$A$7:$O$323,9,0)</f>
        <v>84</v>
      </c>
      <c r="N42" s="103">
        <f>VLOOKUP($A42,'OI(Value)'!$A$7:$O$323,11,0)</f>
        <v>524</v>
      </c>
      <c r="O42" s="103">
        <f>VLOOKUP($A42,'OI(Value)'!$A$7:$O$323,12,0)</f>
        <v>60</v>
      </c>
      <c r="P42" s="179">
        <f>VLOOKUP(A42,'OI(Value)'!A42:O260,8,0)</f>
        <v>620</v>
      </c>
      <c r="Q42" s="179">
        <f>VLOOKUP(A42,'OI(Value)'!A42:O260,9,0)</f>
        <v>84</v>
      </c>
      <c r="R42" s="179">
        <f>VLOOKUP(A42,'OI(Value)'!A42:O260,11,0)</f>
        <v>524</v>
      </c>
      <c r="S42" s="179">
        <f>VLOOKUP(A42,'OI(Value)'!A42:O260,11,0)</f>
        <v>524</v>
      </c>
    </row>
    <row r="43" spans="1:19" x14ac:dyDescent="0.25">
      <c r="A43" s="105" t="str">
        <f>'Data Vlaue (Cr)'!C38</f>
        <v>BRITANNIA</v>
      </c>
      <c r="B43" s="143">
        <f>VLOOKUP($A43,'Data shares'!$C:$FA,118)</f>
        <v>0.51</v>
      </c>
      <c r="C43" s="143">
        <f>VLOOKUP($A43,'Data shares'!$C:$FA,119)</f>
        <v>0.49</v>
      </c>
      <c r="D43" s="143">
        <f>VLOOKUP($A43,'Data shares'!$C:$FA,121)*100</f>
        <v>4.08</v>
      </c>
      <c r="E43" s="143">
        <f>VLOOKUP($A43,'Data shares'!$C:$FA,124)</f>
        <v>0.66</v>
      </c>
      <c r="F43" s="143">
        <f>VLOOKUP($A43,'Data shares'!$C:$FA,125)</f>
        <v>0.73</v>
      </c>
      <c r="G43" s="143">
        <f>VLOOKUP($A43,'Data shares'!$C:$FA,127)*100</f>
        <v>-9.59</v>
      </c>
      <c r="H43" s="103">
        <f>VLOOKUP($A43,'OI(Volume)'!$A$7:$O$440,8)</f>
        <v>642250</v>
      </c>
      <c r="I43" s="103">
        <f>VLOOKUP($A43,'OI(Volume)'!$A$7:$O$440,9)</f>
        <v>36750</v>
      </c>
      <c r="J43" s="103">
        <f>VLOOKUP($A43,'OI(Volume)'!$A$7:$O$440,11)</f>
        <v>328000</v>
      </c>
      <c r="K43" s="103">
        <f>VLOOKUP($A43,'OI(Volume)'!$A$7:$O$440,12)</f>
        <v>29000</v>
      </c>
      <c r="L43" s="103">
        <f>VLOOKUP($A43,'OI(Value)'!$A$7:$O$323,8,0)</f>
        <v>384</v>
      </c>
      <c r="M43" s="103">
        <f>VLOOKUP($A43,'OI(Value)'!$A$7:$O$323,9,0)</f>
        <v>22</v>
      </c>
      <c r="N43" s="103">
        <f>VLOOKUP($A43,'OI(Value)'!$A$7:$O$323,11,0)</f>
        <v>196</v>
      </c>
      <c r="O43" s="103">
        <f>VLOOKUP($A43,'OI(Value)'!$A$7:$O$323,12,0)</f>
        <v>17</v>
      </c>
      <c r="P43" s="179">
        <f>VLOOKUP(A43,'OI(Value)'!A43:O261,8,0)</f>
        <v>384</v>
      </c>
      <c r="Q43" s="179">
        <f>VLOOKUP(A43,'OI(Value)'!A43:O261,9,0)</f>
        <v>22</v>
      </c>
      <c r="R43" s="179">
        <f>VLOOKUP(A43,'OI(Value)'!A43:O261,11,0)</f>
        <v>196</v>
      </c>
      <c r="S43" s="179">
        <f>VLOOKUP(A43,'OI(Value)'!A43:O261,11,0)</f>
        <v>196</v>
      </c>
    </row>
    <row r="44" spans="1:19" x14ac:dyDescent="0.25">
      <c r="A44" s="105" t="str">
        <f>'Data Vlaue (Cr)'!C39</f>
        <v>BSE</v>
      </c>
      <c r="B44" s="143">
        <f>VLOOKUP($A44,'Data shares'!$C:$FA,118)</f>
        <v>0.76</v>
      </c>
      <c r="C44" s="143">
        <f>VLOOKUP($A44,'Data shares'!$C:$FA,119)</f>
        <v>0.73</v>
      </c>
      <c r="D44" s="143">
        <f>VLOOKUP($A44,'Data shares'!$C:$FA,121)*100</f>
        <v>4.1099999999999994</v>
      </c>
      <c r="E44" s="143">
        <f>VLOOKUP($A44,'Data shares'!$C:$FA,124)</f>
        <v>0.51</v>
      </c>
      <c r="F44" s="143">
        <f>VLOOKUP($A44,'Data shares'!$C:$FA,125)</f>
        <v>0.71</v>
      </c>
      <c r="G44" s="143">
        <f>VLOOKUP($A44,'Data shares'!$C:$FA,127)*100</f>
        <v>-28.17</v>
      </c>
      <c r="H44" s="103">
        <f>VLOOKUP($A44,'OI(Volume)'!$A$7:$O$440,8)</f>
        <v>7206375</v>
      </c>
      <c r="I44" s="103">
        <f>VLOOKUP($A44,'OI(Volume)'!$A$7:$O$440,9)</f>
        <v>-35250</v>
      </c>
      <c r="J44" s="103">
        <f>VLOOKUP($A44,'OI(Volume)'!$A$7:$O$440,11)</f>
        <v>5457000</v>
      </c>
      <c r="K44" s="103">
        <f>VLOOKUP($A44,'OI(Volume)'!$A$7:$O$440,12)</f>
        <v>198000</v>
      </c>
      <c r="L44" s="103">
        <f>VLOOKUP($A44,'OI(Value)'!$A$7:$O$323,8,0)</f>
        <v>1993</v>
      </c>
      <c r="M44" s="103">
        <f>VLOOKUP($A44,'OI(Value)'!$A$7:$O$323,9,0)</f>
        <v>-10</v>
      </c>
      <c r="N44" s="103">
        <f>VLOOKUP($A44,'OI(Value)'!$A$7:$O$323,11,0)</f>
        <v>1509</v>
      </c>
      <c r="O44" s="103">
        <f>VLOOKUP($A44,'OI(Value)'!$A$7:$O$323,12,0)</f>
        <v>55</v>
      </c>
      <c r="P44" s="179">
        <f>VLOOKUP(A44,'OI(Value)'!A44:O262,8,0)</f>
        <v>1993</v>
      </c>
      <c r="Q44" s="179">
        <f>VLOOKUP(A44,'OI(Value)'!A44:O262,9,0)</f>
        <v>-10</v>
      </c>
      <c r="R44" s="179">
        <f>VLOOKUP(A44,'OI(Value)'!A44:O262,11,0)</f>
        <v>1509</v>
      </c>
      <c r="S44" s="179">
        <f>VLOOKUP(A44,'OI(Value)'!A44:O262,11,0)</f>
        <v>1509</v>
      </c>
    </row>
    <row r="45" spans="1:19" x14ac:dyDescent="0.25">
      <c r="A45" s="105" t="str">
        <f>'Data Vlaue (Cr)'!C40</f>
        <v>CAMS</v>
      </c>
      <c r="B45" s="143">
        <f>VLOOKUP($A45,'Data shares'!$C:$FA,118)</f>
        <v>0.81</v>
      </c>
      <c r="C45" s="143">
        <f>VLOOKUP($A45,'Data shares'!$C:$FA,119)</f>
        <v>0.79</v>
      </c>
      <c r="D45" s="143">
        <f>VLOOKUP($A45,'Data shares'!$C:$FA,121)*100</f>
        <v>2.5299999999999998</v>
      </c>
      <c r="E45" s="143">
        <f>VLOOKUP($A45,'Data shares'!$C:$FA,124)</f>
        <v>0.56999999999999995</v>
      </c>
      <c r="F45" s="143">
        <f>VLOOKUP($A45,'Data shares'!$C:$FA,125)</f>
        <v>0.79</v>
      </c>
      <c r="G45" s="143">
        <f>VLOOKUP($A45,'Data shares'!$C:$FA,127)*100</f>
        <v>-27.85</v>
      </c>
      <c r="H45" s="103">
        <f>VLOOKUP($A45,'OI(Volume)'!$A$7:$O$440,8)</f>
        <v>2868000</v>
      </c>
      <c r="I45" s="103">
        <f>VLOOKUP($A45,'OI(Volume)'!$A$7:$O$440,9)</f>
        <v>36000</v>
      </c>
      <c r="J45" s="103">
        <f>VLOOKUP($A45,'OI(Volume)'!$A$7:$O$440,11)</f>
        <v>2313750</v>
      </c>
      <c r="K45" s="103">
        <f>VLOOKUP($A45,'OI(Volume)'!$A$7:$O$440,12)</f>
        <v>72000</v>
      </c>
      <c r="L45" s="103">
        <f>VLOOKUP($A45,'OI(Value)'!$A$7:$O$323,8,0)</f>
        <v>188</v>
      </c>
      <c r="M45" s="103">
        <f>VLOOKUP($A45,'OI(Value)'!$A$7:$O$323,9,0)</f>
        <v>2</v>
      </c>
      <c r="N45" s="103">
        <f>VLOOKUP($A45,'OI(Value)'!$A$7:$O$323,11,0)</f>
        <v>152</v>
      </c>
      <c r="O45" s="103">
        <f>VLOOKUP($A45,'OI(Value)'!$A$7:$O$323,12,0)</f>
        <v>5</v>
      </c>
      <c r="P45" s="179">
        <f>VLOOKUP(A45,'OI(Value)'!A45:O263,8,0)</f>
        <v>188</v>
      </c>
      <c r="Q45" s="179">
        <f>VLOOKUP(A45,'OI(Value)'!A45:O263,9,0)</f>
        <v>2</v>
      </c>
      <c r="R45" s="179">
        <f>VLOOKUP(A45,'OI(Value)'!A45:O263,11,0)</f>
        <v>152</v>
      </c>
      <c r="S45" s="179">
        <f>VLOOKUP(A45,'OI(Value)'!A45:O263,11,0)</f>
        <v>152</v>
      </c>
    </row>
    <row r="46" spans="1:19" x14ac:dyDescent="0.25">
      <c r="A46" s="105" t="str">
        <f>'Data Vlaue (Cr)'!C41</f>
        <v>CANBK</v>
      </c>
      <c r="B46" s="143">
        <f>VLOOKUP($A46,'Data shares'!$C:$FA,118)</f>
        <v>0.76</v>
      </c>
      <c r="C46" s="143">
        <f>VLOOKUP($A46,'Data shares'!$C:$FA,119)</f>
        <v>0.79</v>
      </c>
      <c r="D46" s="143">
        <f>VLOOKUP($A46,'Data shares'!$C:$FA,121)*100</f>
        <v>-3.8</v>
      </c>
      <c r="E46" s="143">
        <f>VLOOKUP($A46,'Data shares'!$C:$FA,124)</f>
        <v>0.61</v>
      </c>
      <c r="F46" s="143">
        <f>VLOOKUP($A46,'Data shares'!$C:$FA,125)</f>
        <v>0.85</v>
      </c>
      <c r="G46" s="143">
        <f>VLOOKUP($A46,'Data shares'!$C:$FA,127)*100</f>
        <v>-28.24</v>
      </c>
      <c r="H46" s="103">
        <f>VLOOKUP($A46,'OI(Volume)'!$A$7:$O$440,8)</f>
        <v>92468250</v>
      </c>
      <c r="I46" s="103">
        <f>VLOOKUP($A46,'OI(Volume)'!$A$7:$O$440,9)</f>
        <v>11670750</v>
      </c>
      <c r="J46" s="103">
        <f>VLOOKUP($A46,'OI(Volume)'!$A$7:$O$440,11)</f>
        <v>70490250</v>
      </c>
      <c r="K46" s="103">
        <f>VLOOKUP($A46,'OI(Volume)'!$A$7:$O$440,12)</f>
        <v>6608250</v>
      </c>
      <c r="L46" s="103">
        <f>VLOOKUP($A46,'OI(Value)'!$A$7:$O$323,8,0)</f>
        <v>1380</v>
      </c>
      <c r="M46" s="103">
        <f>VLOOKUP($A46,'OI(Value)'!$A$7:$O$323,9,0)</f>
        <v>174</v>
      </c>
      <c r="N46" s="103">
        <f>VLOOKUP($A46,'OI(Value)'!$A$7:$O$323,11,0)</f>
        <v>1052</v>
      </c>
      <c r="O46" s="103">
        <f>VLOOKUP($A46,'OI(Value)'!$A$7:$O$323,12,0)</f>
        <v>99</v>
      </c>
      <c r="P46" s="179">
        <f>VLOOKUP(A46,'OI(Value)'!A46:O264,8,0)</f>
        <v>1380</v>
      </c>
      <c r="Q46" s="179">
        <f>VLOOKUP(A46,'OI(Value)'!A46:O264,9,0)</f>
        <v>174</v>
      </c>
      <c r="R46" s="179">
        <f>VLOOKUP(A46,'OI(Value)'!A46:O264,11,0)</f>
        <v>1052</v>
      </c>
      <c r="S46" s="179">
        <f>VLOOKUP(A46,'OI(Value)'!A46:O264,11,0)</f>
        <v>1052</v>
      </c>
    </row>
    <row r="47" spans="1:19" x14ac:dyDescent="0.25">
      <c r="A47" s="105" t="str">
        <f>'Data Vlaue (Cr)'!C42</f>
        <v>CDSL</v>
      </c>
      <c r="B47" s="143">
        <f>VLOOKUP($A47,'Data shares'!$C:$FA,118)</f>
        <v>0.77</v>
      </c>
      <c r="C47" s="143">
        <f>VLOOKUP($A47,'Data shares'!$C:$FA,119)</f>
        <v>0.79</v>
      </c>
      <c r="D47" s="143">
        <f>VLOOKUP($A47,'Data shares'!$C:$FA,121)*100</f>
        <v>-2.5299999999999998</v>
      </c>
      <c r="E47" s="143">
        <f>VLOOKUP($A47,'Data shares'!$C:$FA,124)</f>
        <v>0.41</v>
      </c>
      <c r="F47" s="143">
        <f>VLOOKUP($A47,'Data shares'!$C:$FA,125)</f>
        <v>0.56000000000000005</v>
      </c>
      <c r="G47" s="143">
        <f>VLOOKUP($A47,'Data shares'!$C:$FA,127)*100</f>
        <v>-26.790000000000003</v>
      </c>
      <c r="H47" s="103">
        <f>VLOOKUP($A47,'OI(Volume)'!$A$7:$O$440,8)</f>
        <v>6382575</v>
      </c>
      <c r="I47" s="103">
        <f>VLOOKUP($A47,'OI(Volume)'!$A$7:$O$440,9)</f>
        <v>105450</v>
      </c>
      <c r="J47" s="103">
        <f>VLOOKUP($A47,'OI(Volume)'!$A$7:$O$440,11)</f>
        <v>4889175</v>
      </c>
      <c r="K47" s="103">
        <f>VLOOKUP($A47,'OI(Volume)'!$A$7:$O$440,12)</f>
        <v>-42750</v>
      </c>
      <c r="L47" s="103">
        <f>VLOOKUP($A47,'OI(Value)'!$A$7:$O$323,8,0)</f>
        <v>793</v>
      </c>
      <c r="M47" s="103">
        <f>VLOOKUP($A47,'OI(Value)'!$A$7:$O$323,9,0)</f>
        <v>13</v>
      </c>
      <c r="N47" s="103">
        <f>VLOOKUP($A47,'OI(Value)'!$A$7:$O$323,11,0)</f>
        <v>607</v>
      </c>
      <c r="O47" s="103">
        <f>VLOOKUP($A47,'OI(Value)'!$A$7:$O$323,12,0)</f>
        <v>-5</v>
      </c>
      <c r="P47" s="179">
        <f>VLOOKUP(A47,'OI(Value)'!A47:O265,8,0)</f>
        <v>793</v>
      </c>
      <c r="Q47" s="179">
        <f>VLOOKUP(A47,'OI(Value)'!A47:O265,9,0)</f>
        <v>13</v>
      </c>
      <c r="R47" s="179">
        <f>VLOOKUP(A47,'OI(Value)'!A47:O265,11,0)</f>
        <v>607</v>
      </c>
      <c r="S47" s="179">
        <f>VLOOKUP(A47,'OI(Value)'!A47:O265,11,0)</f>
        <v>607</v>
      </c>
    </row>
    <row r="48" spans="1:19" x14ac:dyDescent="0.25">
      <c r="A48" s="105" t="str">
        <f>'Data Vlaue (Cr)'!C43</f>
        <v>CGPOWER</v>
      </c>
      <c r="B48" s="143">
        <f>VLOOKUP($A48,'Data shares'!$C:$FA,118)</f>
        <v>0.62</v>
      </c>
      <c r="C48" s="143">
        <f>VLOOKUP($A48,'Data shares'!$C:$FA,119)</f>
        <v>0.61</v>
      </c>
      <c r="D48" s="143">
        <f>VLOOKUP($A48,'Data shares'!$C:$FA,121)*100</f>
        <v>1.6400000000000001</v>
      </c>
      <c r="E48" s="143">
        <f>VLOOKUP($A48,'Data shares'!$C:$FA,124)</f>
        <v>0.45</v>
      </c>
      <c r="F48" s="143">
        <f>VLOOKUP($A48,'Data shares'!$C:$FA,125)</f>
        <v>0.69</v>
      </c>
      <c r="G48" s="143">
        <f>VLOOKUP($A48,'Data shares'!$C:$FA,127)*100</f>
        <v>-34.78</v>
      </c>
      <c r="H48" s="103">
        <f>VLOOKUP($A48,'OI(Volume)'!$A$7:$O$440,8)</f>
        <v>3432300</v>
      </c>
      <c r="I48" s="103">
        <f>VLOOKUP($A48,'OI(Volume)'!$A$7:$O$440,9)</f>
        <v>-95200</v>
      </c>
      <c r="J48" s="103">
        <f>VLOOKUP($A48,'OI(Volume)'!$A$7:$O$440,11)</f>
        <v>2120750</v>
      </c>
      <c r="K48" s="103">
        <f>VLOOKUP($A48,'OI(Volume)'!$A$7:$O$440,12)</f>
        <v>-26350</v>
      </c>
      <c r="L48" s="103">
        <f>VLOOKUP($A48,'OI(Value)'!$A$7:$O$323,8,0)</f>
        <v>241</v>
      </c>
      <c r="M48" s="103">
        <f>VLOOKUP($A48,'OI(Value)'!$A$7:$O$323,9,0)</f>
        <v>-7</v>
      </c>
      <c r="N48" s="103">
        <f>VLOOKUP($A48,'OI(Value)'!$A$7:$O$323,11,0)</f>
        <v>149</v>
      </c>
      <c r="O48" s="103">
        <f>VLOOKUP($A48,'OI(Value)'!$A$7:$O$323,12,0)</f>
        <v>-2</v>
      </c>
      <c r="P48" s="179">
        <f>VLOOKUP(A48,'OI(Value)'!A48:O266,8,0)</f>
        <v>241</v>
      </c>
      <c r="Q48" s="179">
        <f>VLOOKUP(A48,'OI(Value)'!A48:O266,9,0)</f>
        <v>-7</v>
      </c>
      <c r="R48" s="179">
        <f>VLOOKUP(A48,'OI(Value)'!A48:O266,11,0)</f>
        <v>149</v>
      </c>
      <c r="S48" s="179">
        <f>VLOOKUP(A48,'OI(Value)'!A48:O266,11,0)</f>
        <v>149</v>
      </c>
    </row>
    <row r="49" spans="1:19" x14ac:dyDescent="0.25">
      <c r="A49" s="105" t="str">
        <f>'Data Vlaue (Cr)'!C44</f>
        <v>CHOLAFIN</v>
      </c>
      <c r="B49" s="143">
        <f>VLOOKUP($A49,'Data shares'!$C:$FA,118)</f>
        <v>1</v>
      </c>
      <c r="C49" s="143">
        <f>VLOOKUP($A49,'Data shares'!$C:$FA,119)</f>
        <v>1.1000000000000001</v>
      </c>
      <c r="D49" s="143">
        <f>VLOOKUP($A49,'Data shares'!$C:$FA,121)*100</f>
        <v>-9.09</v>
      </c>
      <c r="E49" s="143">
        <f>VLOOKUP($A49,'Data shares'!$C:$FA,124)</f>
        <v>0.83</v>
      </c>
      <c r="F49" s="143">
        <f>VLOOKUP($A49,'Data shares'!$C:$FA,125)</f>
        <v>1.1200000000000001</v>
      </c>
      <c r="G49" s="143">
        <f>VLOOKUP($A49,'Data shares'!$C:$FA,127)*100</f>
        <v>-25.89</v>
      </c>
      <c r="H49" s="103">
        <f>VLOOKUP($A49,'OI(Volume)'!$A$7:$O$440,8)</f>
        <v>2863750</v>
      </c>
      <c r="I49" s="103">
        <f>VLOOKUP($A49,'OI(Volume)'!$A$7:$O$440,9)</f>
        <v>1250</v>
      </c>
      <c r="J49" s="103">
        <f>VLOOKUP($A49,'OI(Volume)'!$A$7:$O$440,11)</f>
        <v>2862500</v>
      </c>
      <c r="K49" s="103">
        <f>VLOOKUP($A49,'OI(Volume)'!$A$7:$O$440,12)</f>
        <v>-285625</v>
      </c>
      <c r="L49" s="103">
        <f>VLOOKUP($A49,'OI(Value)'!$A$7:$O$323,8,0)</f>
        <v>481</v>
      </c>
      <c r="M49" s="103">
        <f>VLOOKUP($A49,'OI(Value)'!$A$7:$O$323,9,0)</f>
        <v>0</v>
      </c>
      <c r="N49" s="103">
        <f>VLOOKUP($A49,'OI(Value)'!$A$7:$O$323,11,0)</f>
        <v>481</v>
      </c>
      <c r="O49" s="103">
        <f>VLOOKUP($A49,'OI(Value)'!$A$7:$O$323,12,0)</f>
        <v>-48</v>
      </c>
      <c r="P49" s="179">
        <f>VLOOKUP(A49,'OI(Value)'!A49:O267,8,0)</f>
        <v>481</v>
      </c>
      <c r="Q49" s="179">
        <f>VLOOKUP(A49,'OI(Value)'!A49:O267,9,0)</f>
        <v>0</v>
      </c>
      <c r="R49" s="179">
        <f>VLOOKUP(A49,'OI(Value)'!A49:O267,11,0)</f>
        <v>481</v>
      </c>
      <c r="S49" s="179">
        <f>VLOOKUP(A49,'OI(Value)'!A49:O267,11,0)</f>
        <v>481</v>
      </c>
    </row>
    <row r="50" spans="1:19" x14ac:dyDescent="0.25">
      <c r="A50" s="105" t="str">
        <f>'Data Vlaue (Cr)'!C45</f>
        <v>CIPLA</v>
      </c>
      <c r="B50" s="143">
        <f>VLOOKUP($A50,'Data shares'!$C:$FA,118)</f>
        <v>0.62</v>
      </c>
      <c r="C50" s="143">
        <f>VLOOKUP($A50,'Data shares'!$C:$FA,119)</f>
        <v>0.59</v>
      </c>
      <c r="D50" s="143">
        <f>VLOOKUP($A50,'Data shares'!$C:$FA,121)*100</f>
        <v>5.08</v>
      </c>
      <c r="E50" s="143">
        <f>VLOOKUP($A50,'Data shares'!$C:$FA,124)</f>
        <v>0.47</v>
      </c>
      <c r="F50" s="143">
        <f>VLOOKUP($A50,'Data shares'!$C:$FA,125)</f>
        <v>0.47</v>
      </c>
      <c r="G50" s="143">
        <f>VLOOKUP($A50,'Data shares'!$C:$FA,127)*100</f>
        <v>0</v>
      </c>
      <c r="H50" s="103">
        <f>VLOOKUP($A50,'OI(Volume)'!$A$7:$O$440,8)</f>
        <v>4858125</v>
      </c>
      <c r="I50" s="103">
        <f>VLOOKUP($A50,'OI(Volume)'!$A$7:$O$440,9)</f>
        <v>-258000</v>
      </c>
      <c r="J50" s="103">
        <f>VLOOKUP($A50,'OI(Volume)'!$A$7:$O$440,11)</f>
        <v>3033750</v>
      </c>
      <c r="K50" s="103">
        <f>VLOOKUP($A50,'OI(Volume)'!$A$7:$O$440,12)</f>
        <v>27375</v>
      </c>
      <c r="L50" s="103">
        <f>VLOOKUP($A50,'OI(Value)'!$A$7:$O$323,8,0)</f>
        <v>647</v>
      </c>
      <c r="M50" s="103">
        <f>VLOOKUP($A50,'OI(Value)'!$A$7:$O$323,9,0)</f>
        <v>-34</v>
      </c>
      <c r="N50" s="103">
        <f>VLOOKUP($A50,'OI(Value)'!$A$7:$O$323,11,0)</f>
        <v>404</v>
      </c>
      <c r="O50" s="103">
        <f>VLOOKUP($A50,'OI(Value)'!$A$7:$O$323,12,0)</f>
        <v>4</v>
      </c>
      <c r="P50" s="179">
        <f>VLOOKUP(A50,'OI(Value)'!A50:O268,8,0)</f>
        <v>647</v>
      </c>
      <c r="Q50" s="179">
        <f>VLOOKUP(A50,'OI(Value)'!A50:O268,9,0)</f>
        <v>-34</v>
      </c>
      <c r="R50" s="179">
        <f>VLOOKUP(A50,'OI(Value)'!A50:O268,11,0)</f>
        <v>404</v>
      </c>
      <c r="S50" s="179">
        <f>VLOOKUP(A50,'OI(Value)'!A50:O268,11,0)</f>
        <v>404</v>
      </c>
    </row>
    <row r="51" spans="1:19" x14ac:dyDescent="0.25">
      <c r="A51" s="105" t="str">
        <f>'Data Vlaue (Cr)'!C46</f>
        <v>COALINDIA</v>
      </c>
      <c r="B51" s="143">
        <f>VLOOKUP($A51,'Data shares'!$C:$FA,118)</f>
        <v>0.74</v>
      </c>
      <c r="C51" s="143">
        <f>VLOOKUP($A51,'Data shares'!$C:$FA,119)</f>
        <v>0.62</v>
      </c>
      <c r="D51" s="143">
        <f>VLOOKUP($A51,'Data shares'!$C:$FA,121)*100</f>
        <v>19.350000000000001</v>
      </c>
      <c r="E51" s="143">
        <f>VLOOKUP($A51,'Data shares'!$C:$FA,124)</f>
        <v>0.43</v>
      </c>
      <c r="F51" s="143">
        <f>VLOOKUP($A51,'Data shares'!$C:$FA,125)</f>
        <v>0.39</v>
      </c>
      <c r="G51" s="143">
        <f>VLOOKUP($A51,'Data shares'!$C:$FA,127)*100</f>
        <v>10.26</v>
      </c>
      <c r="H51" s="103">
        <f>VLOOKUP($A51,'OI(Volume)'!$A$7:$O$440,8)</f>
        <v>28588950</v>
      </c>
      <c r="I51" s="103">
        <f>VLOOKUP($A51,'OI(Volume)'!$A$7:$O$440,9)</f>
        <v>3181950</v>
      </c>
      <c r="J51" s="103">
        <f>VLOOKUP($A51,'OI(Volume)'!$A$7:$O$440,11)</f>
        <v>21231450</v>
      </c>
      <c r="K51" s="103">
        <f>VLOOKUP($A51,'OI(Volume)'!$A$7:$O$440,12)</f>
        <v>5560650</v>
      </c>
      <c r="L51" s="103">
        <f>VLOOKUP($A51,'OI(Value)'!$A$7:$O$323,8,0)</f>
        <v>1288</v>
      </c>
      <c r="M51" s="103">
        <f>VLOOKUP($A51,'OI(Value)'!$A$7:$O$323,9,0)</f>
        <v>143</v>
      </c>
      <c r="N51" s="103">
        <f>VLOOKUP($A51,'OI(Value)'!$A$7:$O$323,11,0)</f>
        <v>956</v>
      </c>
      <c r="O51" s="103">
        <f>VLOOKUP($A51,'OI(Value)'!$A$7:$O$323,12,0)</f>
        <v>251</v>
      </c>
      <c r="P51" s="179">
        <f>VLOOKUP(A51,'OI(Value)'!A51:O269,8,0)</f>
        <v>1288</v>
      </c>
      <c r="Q51" s="179">
        <f>VLOOKUP(A51,'OI(Value)'!A51:O269,9,0)</f>
        <v>143</v>
      </c>
      <c r="R51" s="179">
        <f>VLOOKUP(A51,'OI(Value)'!A51:O269,11,0)</f>
        <v>956</v>
      </c>
      <c r="S51" s="179">
        <f>VLOOKUP(A51,'OI(Value)'!A51:O269,11,0)</f>
        <v>956</v>
      </c>
    </row>
    <row r="52" spans="1:19" x14ac:dyDescent="0.25">
      <c r="A52" s="105" t="str">
        <f>'Data Vlaue (Cr)'!C47</f>
        <v>COFORGE</v>
      </c>
      <c r="B52" s="143">
        <f>VLOOKUP($A52,'Data shares'!$C:$FA,118)</f>
        <v>0.43</v>
      </c>
      <c r="C52" s="143">
        <f>VLOOKUP($A52,'Data shares'!$C:$FA,119)</f>
        <v>0.44</v>
      </c>
      <c r="D52" s="143">
        <f>VLOOKUP($A52,'Data shares'!$C:$FA,121)*100</f>
        <v>-2.27</v>
      </c>
      <c r="E52" s="143">
        <f>VLOOKUP($A52,'Data shares'!$C:$FA,124)</f>
        <v>0.47</v>
      </c>
      <c r="F52" s="143">
        <f>VLOOKUP($A52,'Data shares'!$C:$FA,125)</f>
        <v>0.42</v>
      </c>
      <c r="G52" s="143">
        <f>VLOOKUP($A52,'Data shares'!$C:$FA,127)*100</f>
        <v>11.899999999999999</v>
      </c>
      <c r="H52" s="103">
        <f>VLOOKUP($A52,'OI(Volume)'!$A$7:$O$440,8)</f>
        <v>11232375</v>
      </c>
      <c r="I52" s="103">
        <f>VLOOKUP($A52,'OI(Volume)'!$A$7:$O$440,9)</f>
        <v>894750</v>
      </c>
      <c r="J52" s="103">
        <f>VLOOKUP($A52,'OI(Volume)'!$A$7:$O$440,11)</f>
        <v>4816500</v>
      </c>
      <c r="K52" s="103">
        <f>VLOOKUP($A52,'OI(Volume)'!$A$7:$O$440,12)</f>
        <v>254625</v>
      </c>
      <c r="L52" s="103">
        <f>VLOOKUP($A52,'OI(Value)'!$A$7:$O$323,8,0)</f>
        <v>1301</v>
      </c>
      <c r="M52" s="103">
        <f>VLOOKUP($A52,'OI(Value)'!$A$7:$O$323,9,0)</f>
        <v>104</v>
      </c>
      <c r="N52" s="103">
        <f>VLOOKUP($A52,'OI(Value)'!$A$7:$O$323,11,0)</f>
        <v>558</v>
      </c>
      <c r="O52" s="103">
        <f>VLOOKUP($A52,'OI(Value)'!$A$7:$O$323,12,0)</f>
        <v>29</v>
      </c>
      <c r="P52" s="179">
        <f>VLOOKUP(A52,'OI(Value)'!A52:O270,8,0)</f>
        <v>1301</v>
      </c>
      <c r="Q52" s="179">
        <f>VLOOKUP(A52,'OI(Value)'!A52:O270,9,0)</f>
        <v>104</v>
      </c>
      <c r="R52" s="179">
        <f>VLOOKUP(A52,'OI(Value)'!A52:O270,11,0)</f>
        <v>558</v>
      </c>
      <c r="S52" s="179">
        <f>VLOOKUP(A52,'OI(Value)'!A52:O270,11,0)</f>
        <v>558</v>
      </c>
    </row>
    <row r="53" spans="1:19" x14ac:dyDescent="0.25">
      <c r="A53" s="105" t="str">
        <f>'Data Vlaue (Cr)'!C48</f>
        <v>COLPAL</v>
      </c>
      <c r="B53" s="143">
        <f>VLOOKUP($A53,'Data shares'!$C:$FA,118)</f>
        <v>0.68</v>
      </c>
      <c r="C53" s="143">
        <f>VLOOKUP($A53,'Data shares'!$C:$FA,119)</f>
        <v>0.61</v>
      </c>
      <c r="D53" s="143">
        <f>VLOOKUP($A53,'Data shares'!$C:$FA,121)*100</f>
        <v>11.48</v>
      </c>
      <c r="E53" s="143">
        <f>VLOOKUP($A53,'Data shares'!$C:$FA,124)</f>
        <v>0.37</v>
      </c>
      <c r="F53" s="143">
        <f>VLOOKUP($A53,'Data shares'!$C:$FA,125)</f>
        <v>0.43</v>
      </c>
      <c r="G53" s="143">
        <f>VLOOKUP($A53,'Data shares'!$C:$FA,127)*100</f>
        <v>-13.950000000000001</v>
      </c>
      <c r="H53" s="103">
        <f>VLOOKUP($A53,'OI(Volume)'!$A$7:$O$440,8)</f>
        <v>1785825</v>
      </c>
      <c r="I53" s="103">
        <f>VLOOKUP($A53,'OI(Volume)'!$A$7:$O$440,9)</f>
        <v>-9675</v>
      </c>
      <c r="J53" s="103">
        <f>VLOOKUP($A53,'OI(Volume)'!$A$7:$O$440,11)</f>
        <v>1209825</v>
      </c>
      <c r="K53" s="103">
        <f>VLOOKUP($A53,'OI(Volume)'!$A$7:$O$440,12)</f>
        <v>106875</v>
      </c>
      <c r="L53" s="103">
        <f>VLOOKUP($A53,'OI(Value)'!$A$7:$O$323,8,0)</f>
        <v>395</v>
      </c>
      <c r="M53" s="103">
        <f>VLOOKUP($A53,'OI(Value)'!$A$7:$O$323,9,0)</f>
        <v>-2</v>
      </c>
      <c r="N53" s="103">
        <f>VLOOKUP($A53,'OI(Value)'!$A$7:$O$323,11,0)</f>
        <v>267</v>
      </c>
      <c r="O53" s="103">
        <f>VLOOKUP($A53,'OI(Value)'!$A$7:$O$323,12,0)</f>
        <v>24</v>
      </c>
      <c r="P53" s="179">
        <f>VLOOKUP(A53,'OI(Value)'!A53:O271,8,0)</f>
        <v>395</v>
      </c>
      <c r="Q53" s="179">
        <f>VLOOKUP(A53,'OI(Value)'!A53:O271,9,0)</f>
        <v>-2</v>
      </c>
      <c r="R53" s="179">
        <f>VLOOKUP(A53,'OI(Value)'!A53:O271,11,0)</f>
        <v>267</v>
      </c>
      <c r="S53" s="179">
        <f>VLOOKUP(A53,'OI(Value)'!A53:O271,11,0)</f>
        <v>267</v>
      </c>
    </row>
    <row r="54" spans="1:19" x14ac:dyDescent="0.25">
      <c r="A54" s="105" t="str">
        <f>'Data Vlaue (Cr)'!C49</f>
        <v>CONCOR</v>
      </c>
      <c r="B54" s="143">
        <f>VLOOKUP($A54,'Data shares'!$C:$FA,118)</f>
        <v>0.76</v>
      </c>
      <c r="C54" s="143">
        <f>VLOOKUP($A54,'Data shares'!$C:$FA,119)</f>
        <v>0.68</v>
      </c>
      <c r="D54" s="143">
        <f>VLOOKUP($A54,'Data shares'!$C:$FA,121)*100</f>
        <v>11.76</v>
      </c>
      <c r="E54" s="143">
        <f>VLOOKUP($A54,'Data shares'!$C:$FA,124)</f>
        <v>0.52</v>
      </c>
      <c r="F54" s="143">
        <f>VLOOKUP($A54,'Data shares'!$C:$FA,125)</f>
        <v>0.65</v>
      </c>
      <c r="G54" s="143">
        <f>VLOOKUP($A54,'Data shares'!$C:$FA,127)*100</f>
        <v>-20</v>
      </c>
      <c r="H54" s="103">
        <f>VLOOKUP($A54,'OI(Volume)'!$A$7:$O$440,8)</f>
        <v>10265000</v>
      </c>
      <c r="I54" s="103">
        <f>VLOOKUP($A54,'OI(Volume)'!$A$7:$O$440,9)</f>
        <v>-600000</v>
      </c>
      <c r="J54" s="103">
        <f>VLOOKUP($A54,'OI(Volume)'!$A$7:$O$440,11)</f>
        <v>7838750</v>
      </c>
      <c r="K54" s="103">
        <f>VLOOKUP($A54,'OI(Volume)'!$A$7:$O$440,12)</f>
        <v>501250</v>
      </c>
      <c r="L54" s="103">
        <f>VLOOKUP($A54,'OI(Value)'!$A$7:$O$323,8,0)</f>
        <v>494</v>
      </c>
      <c r="M54" s="103">
        <f>VLOOKUP($A54,'OI(Value)'!$A$7:$O$323,9,0)</f>
        <v>-29</v>
      </c>
      <c r="N54" s="103">
        <f>VLOOKUP($A54,'OI(Value)'!$A$7:$O$323,11,0)</f>
        <v>377</v>
      </c>
      <c r="O54" s="103">
        <f>VLOOKUP($A54,'OI(Value)'!$A$7:$O$323,12,0)</f>
        <v>24</v>
      </c>
      <c r="P54" s="179">
        <f>VLOOKUP(A54,'OI(Value)'!A54:O272,8,0)</f>
        <v>494</v>
      </c>
      <c r="Q54" s="179">
        <f>VLOOKUP(A54,'OI(Value)'!A54:O272,9,0)</f>
        <v>-29</v>
      </c>
      <c r="R54" s="179">
        <f>VLOOKUP(A54,'OI(Value)'!A54:O272,11,0)</f>
        <v>377</v>
      </c>
      <c r="S54" s="179">
        <f>VLOOKUP(A54,'OI(Value)'!A54:O272,11,0)</f>
        <v>377</v>
      </c>
    </row>
    <row r="55" spans="1:19" x14ac:dyDescent="0.25">
      <c r="A55" s="105" t="str">
        <f>'Data Vlaue (Cr)'!C50</f>
        <v>CROMPTON</v>
      </c>
      <c r="B55" s="143">
        <f>VLOOKUP($A55,'Data shares'!$C:$FA,118)</f>
        <v>0.51</v>
      </c>
      <c r="C55" s="143">
        <f>VLOOKUP($A55,'Data shares'!$C:$FA,119)</f>
        <v>0.5</v>
      </c>
      <c r="D55" s="143">
        <f>VLOOKUP($A55,'Data shares'!$C:$FA,121)*100</f>
        <v>2</v>
      </c>
      <c r="E55" s="143">
        <f>VLOOKUP($A55,'Data shares'!$C:$FA,124)</f>
        <v>0.36</v>
      </c>
      <c r="F55" s="143">
        <f>VLOOKUP($A55,'Data shares'!$C:$FA,125)</f>
        <v>0.46</v>
      </c>
      <c r="G55" s="143">
        <f>VLOOKUP($A55,'Data shares'!$C:$FA,127)*100</f>
        <v>-21.740000000000002</v>
      </c>
      <c r="H55" s="103">
        <f>VLOOKUP($A55,'OI(Volume)'!$A$7:$O$440,8)</f>
        <v>8816400</v>
      </c>
      <c r="I55" s="103">
        <f>VLOOKUP($A55,'OI(Volume)'!$A$7:$O$440,9)</f>
        <v>370800</v>
      </c>
      <c r="J55" s="103">
        <f>VLOOKUP($A55,'OI(Volume)'!$A$7:$O$440,11)</f>
        <v>4478400</v>
      </c>
      <c r="K55" s="103">
        <f>VLOOKUP($A55,'OI(Volume)'!$A$7:$O$440,12)</f>
        <v>216000</v>
      </c>
      <c r="L55" s="103">
        <f>VLOOKUP($A55,'OI(Value)'!$A$7:$O$323,8,0)</f>
        <v>221</v>
      </c>
      <c r="M55" s="103">
        <f>VLOOKUP($A55,'OI(Value)'!$A$7:$O$323,9,0)</f>
        <v>9</v>
      </c>
      <c r="N55" s="103">
        <f>VLOOKUP($A55,'OI(Value)'!$A$7:$O$323,11,0)</f>
        <v>112</v>
      </c>
      <c r="O55" s="103">
        <f>VLOOKUP($A55,'OI(Value)'!$A$7:$O$323,12,0)</f>
        <v>5</v>
      </c>
      <c r="P55" s="179">
        <f>VLOOKUP(A55,'OI(Value)'!A55:O273,8,0)</f>
        <v>221</v>
      </c>
      <c r="Q55" s="179">
        <f>VLOOKUP(A55,'OI(Value)'!A55:O273,9,0)</f>
        <v>9</v>
      </c>
      <c r="R55" s="179">
        <f>VLOOKUP(A55,'OI(Value)'!A55:O273,11,0)</f>
        <v>112</v>
      </c>
      <c r="S55" s="179">
        <f>VLOOKUP(A55,'OI(Value)'!A55:O273,11,0)</f>
        <v>112</v>
      </c>
    </row>
    <row r="56" spans="1:19" x14ac:dyDescent="0.25">
      <c r="A56" s="105" t="str">
        <f>'Data Vlaue (Cr)'!C51</f>
        <v>CUMMINSIND</v>
      </c>
      <c r="B56" s="143">
        <f>VLOOKUP($A56,'Data shares'!$C:$FA,118)</f>
        <v>0.71</v>
      </c>
      <c r="C56" s="143">
        <f>VLOOKUP($A56,'Data shares'!$C:$FA,119)</f>
        <v>0.81</v>
      </c>
      <c r="D56" s="143">
        <f>VLOOKUP($A56,'Data shares'!$C:$FA,121)*100</f>
        <v>-12.35</v>
      </c>
      <c r="E56" s="143">
        <f>VLOOKUP($A56,'Data shares'!$C:$FA,124)</f>
        <v>0.39</v>
      </c>
      <c r="F56" s="143">
        <f>VLOOKUP($A56,'Data shares'!$C:$FA,125)</f>
        <v>1.27</v>
      </c>
      <c r="G56" s="143">
        <f>VLOOKUP($A56,'Data shares'!$C:$FA,127)*100</f>
        <v>-69.289999999999992</v>
      </c>
      <c r="H56" s="103">
        <f>VLOOKUP($A56,'OI(Volume)'!$A$7:$O$440,8)</f>
        <v>832800</v>
      </c>
      <c r="I56" s="103">
        <f>VLOOKUP($A56,'OI(Volume)'!$A$7:$O$440,9)</f>
        <v>95800</v>
      </c>
      <c r="J56" s="103">
        <f>VLOOKUP($A56,'OI(Volume)'!$A$7:$O$440,11)</f>
        <v>590400</v>
      </c>
      <c r="K56" s="103">
        <f>VLOOKUP($A56,'OI(Volume)'!$A$7:$O$440,12)</f>
        <v>-8000</v>
      </c>
      <c r="L56" s="103">
        <f>VLOOKUP($A56,'OI(Value)'!$A$7:$O$323,8,0)</f>
        <v>400</v>
      </c>
      <c r="M56" s="103">
        <f>VLOOKUP($A56,'OI(Value)'!$A$7:$O$323,9,0)</f>
        <v>46</v>
      </c>
      <c r="N56" s="103">
        <f>VLOOKUP($A56,'OI(Value)'!$A$7:$O$323,11,0)</f>
        <v>283</v>
      </c>
      <c r="O56" s="103">
        <f>VLOOKUP($A56,'OI(Value)'!$A$7:$O$323,12,0)</f>
        <v>-4</v>
      </c>
      <c r="P56" s="179">
        <f>VLOOKUP(A56,'OI(Value)'!A56:O274,8,0)</f>
        <v>400</v>
      </c>
      <c r="Q56" s="179">
        <f>VLOOKUP(A56,'OI(Value)'!A56:O274,9,0)</f>
        <v>46</v>
      </c>
      <c r="R56" s="179">
        <f>VLOOKUP(A56,'OI(Value)'!A56:O274,11,0)</f>
        <v>283</v>
      </c>
      <c r="S56" s="179">
        <f>VLOOKUP(A56,'OI(Value)'!A56:O274,11,0)</f>
        <v>283</v>
      </c>
    </row>
    <row r="57" spans="1:19" x14ac:dyDescent="0.25">
      <c r="A57" s="105" t="str">
        <f>'Data Vlaue (Cr)'!C52</f>
        <v>DABUR</v>
      </c>
      <c r="B57" s="143">
        <f>VLOOKUP($A57,'Data shares'!$C:$FA,118)</f>
        <v>0.49</v>
      </c>
      <c r="C57" s="143">
        <f>VLOOKUP($A57,'Data shares'!$C:$FA,119)</f>
        <v>0.54</v>
      </c>
      <c r="D57" s="143">
        <f>VLOOKUP($A57,'Data shares'!$C:$FA,121)*100</f>
        <v>-9.26</v>
      </c>
      <c r="E57" s="143">
        <f>VLOOKUP($A57,'Data shares'!$C:$FA,124)</f>
        <v>0.56999999999999995</v>
      </c>
      <c r="F57" s="143">
        <f>VLOOKUP($A57,'Data shares'!$C:$FA,125)</f>
        <v>0.66</v>
      </c>
      <c r="G57" s="143">
        <f>VLOOKUP($A57,'Data shares'!$C:$FA,127)*100</f>
        <v>-13.639999999999999</v>
      </c>
      <c r="H57" s="103">
        <f>VLOOKUP($A57,'OI(Volume)'!$A$7:$O$440,8)</f>
        <v>8855000</v>
      </c>
      <c r="I57" s="103">
        <f>VLOOKUP($A57,'OI(Volume)'!$A$7:$O$440,9)</f>
        <v>1000000</v>
      </c>
      <c r="J57" s="103">
        <f>VLOOKUP($A57,'OI(Volume)'!$A$7:$O$440,11)</f>
        <v>4370000</v>
      </c>
      <c r="K57" s="103">
        <f>VLOOKUP($A57,'OI(Volume)'!$A$7:$O$440,12)</f>
        <v>141250</v>
      </c>
      <c r="L57" s="103">
        <f>VLOOKUP($A57,'OI(Value)'!$A$7:$O$323,8,0)</f>
        <v>434</v>
      </c>
      <c r="M57" s="103">
        <f>VLOOKUP($A57,'OI(Value)'!$A$7:$O$323,9,0)</f>
        <v>49</v>
      </c>
      <c r="N57" s="103">
        <f>VLOOKUP($A57,'OI(Value)'!$A$7:$O$323,11,0)</f>
        <v>214</v>
      </c>
      <c r="O57" s="103">
        <f>VLOOKUP($A57,'OI(Value)'!$A$7:$O$323,12,0)</f>
        <v>7</v>
      </c>
      <c r="P57" s="179">
        <f>VLOOKUP(A57,'OI(Value)'!A57:O275,8,0)</f>
        <v>434</v>
      </c>
      <c r="Q57" s="179">
        <f>VLOOKUP(A57,'OI(Value)'!A57:O275,9,0)</f>
        <v>49</v>
      </c>
      <c r="R57" s="179">
        <f>VLOOKUP(A57,'OI(Value)'!A57:O275,11,0)</f>
        <v>214</v>
      </c>
      <c r="S57" s="179">
        <f>VLOOKUP(A57,'OI(Value)'!A57:O275,11,0)</f>
        <v>214</v>
      </c>
    </row>
    <row r="58" spans="1:19" x14ac:dyDescent="0.25">
      <c r="A58" s="105" t="str">
        <f>'Data Vlaue (Cr)'!C53</f>
        <v>DALBHARAT</v>
      </c>
      <c r="B58" s="143">
        <f>VLOOKUP($A58,'Data shares'!$C:$FA,118)</f>
        <v>0.99</v>
      </c>
      <c r="C58" s="143">
        <f>VLOOKUP($A58,'Data shares'!$C:$FA,119)</f>
        <v>1.0900000000000001</v>
      </c>
      <c r="D58" s="143">
        <f>VLOOKUP($A58,'Data shares'!$C:$FA,121)*100</f>
        <v>-9.17</v>
      </c>
      <c r="E58" s="143">
        <f>VLOOKUP($A58,'Data shares'!$C:$FA,124)</f>
        <v>1.42</v>
      </c>
      <c r="F58" s="143">
        <f>VLOOKUP($A58,'Data shares'!$C:$FA,125)</f>
        <v>1.68</v>
      </c>
      <c r="G58" s="143">
        <f>VLOOKUP($A58,'Data shares'!$C:$FA,127)*100</f>
        <v>-15.479999999999999</v>
      </c>
      <c r="H58" s="103">
        <f>VLOOKUP($A58,'OI(Volume)'!$A$7:$O$440,8)</f>
        <v>944125</v>
      </c>
      <c r="I58" s="103">
        <f>VLOOKUP($A58,'OI(Volume)'!$A$7:$O$440,9)</f>
        <v>71825</v>
      </c>
      <c r="J58" s="103">
        <f>VLOOKUP($A58,'OI(Volume)'!$A$7:$O$440,11)</f>
        <v>937625</v>
      </c>
      <c r="K58" s="103">
        <f>VLOOKUP($A58,'OI(Volume)'!$A$7:$O$440,12)</f>
        <v>-14300</v>
      </c>
      <c r="L58" s="103">
        <f>VLOOKUP($A58,'OI(Value)'!$A$7:$O$323,8,0)</f>
        <v>182</v>
      </c>
      <c r="M58" s="103">
        <f>VLOOKUP($A58,'OI(Value)'!$A$7:$O$323,9,0)</f>
        <v>14</v>
      </c>
      <c r="N58" s="103">
        <f>VLOOKUP($A58,'OI(Value)'!$A$7:$O$323,11,0)</f>
        <v>181</v>
      </c>
      <c r="O58" s="103">
        <f>VLOOKUP($A58,'OI(Value)'!$A$7:$O$323,12,0)</f>
        <v>-3</v>
      </c>
      <c r="P58" s="179">
        <f>VLOOKUP(A58,'OI(Value)'!A58:O276,8,0)</f>
        <v>182</v>
      </c>
      <c r="Q58" s="179">
        <f>VLOOKUP(A58,'OI(Value)'!A58:O276,9,0)</f>
        <v>14</v>
      </c>
      <c r="R58" s="179">
        <f>VLOOKUP(A58,'OI(Value)'!A58:O276,11,0)</f>
        <v>181</v>
      </c>
      <c r="S58" s="179">
        <f>VLOOKUP(A58,'OI(Value)'!A58:O276,11,0)</f>
        <v>181</v>
      </c>
    </row>
    <row r="59" spans="1:19" x14ac:dyDescent="0.25">
      <c r="A59" s="105" t="str">
        <f>'Data Vlaue (Cr)'!C54</f>
        <v>DELHIVERY</v>
      </c>
      <c r="B59" s="143">
        <f>VLOOKUP($A59,'Data shares'!$C:$FA,118)</f>
        <v>0.44</v>
      </c>
      <c r="C59" s="143">
        <f>VLOOKUP($A59,'Data shares'!$C:$FA,119)</f>
        <v>0.47</v>
      </c>
      <c r="D59" s="143">
        <f>VLOOKUP($A59,'Data shares'!$C:$FA,121)*100</f>
        <v>-6.38</v>
      </c>
      <c r="E59" s="143">
        <f>VLOOKUP($A59,'Data shares'!$C:$FA,124)</f>
        <v>0.24</v>
      </c>
      <c r="F59" s="143">
        <f>VLOOKUP($A59,'Data shares'!$C:$FA,125)</f>
        <v>0.62</v>
      </c>
      <c r="G59" s="143">
        <f>VLOOKUP($A59,'Data shares'!$C:$FA,127)*100</f>
        <v>-61.29</v>
      </c>
      <c r="H59" s="103">
        <f>VLOOKUP($A59,'OI(Volume)'!$A$7:$O$440,8)</f>
        <v>6262350</v>
      </c>
      <c r="I59" s="103">
        <f>VLOOKUP($A59,'OI(Volume)'!$A$7:$O$440,9)</f>
        <v>1110125</v>
      </c>
      <c r="J59" s="103">
        <f>VLOOKUP($A59,'OI(Volume)'!$A$7:$O$440,11)</f>
        <v>2759750</v>
      </c>
      <c r="K59" s="103">
        <f>VLOOKUP($A59,'OI(Volume)'!$A$7:$O$440,12)</f>
        <v>350675</v>
      </c>
      <c r="L59" s="103">
        <f>VLOOKUP($A59,'OI(Value)'!$A$7:$O$323,8,0)</f>
        <v>269</v>
      </c>
      <c r="M59" s="103">
        <f>VLOOKUP($A59,'OI(Value)'!$A$7:$O$323,9,0)</f>
        <v>48</v>
      </c>
      <c r="N59" s="103">
        <f>VLOOKUP($A59,'OI(Value)'!$A$7:$O$323,11,0)</f>
        <v>118</v>
      </c>
      <c r="O59" s="103">
        <f>VLOOKUP($A59,'OI(Value)'!$A$7:$O$323,12,0)</f>
        <v>15</v>
      </c>
      <c r="P59" s="179">
        <f>VLOOKUP(A59,'OI(Value)'!A59:O277,8,0)</f>
        <v>269</v>
      </c>
      <c r="Q59" s="179">
        <f>VLOOKUP(A59,'OI(Value)'!A59:O277,9,0)</f>
        <v>48</v>
      </c>
      <c r="R59" s="179">
        <f>VLOOKUP(A59,'OI(Value)'!A59:O277,11,0)</f>
        <v>118</v>
      </c>
      <c r="S59" s="179">
        <f>VLOOKUP(A59,'OI(Value)'!A59:O277,11,0)</f>
        <v>118</v>
      </c>
    </row>
    <row r="60" spans="1:19" x14ac:dyDescent="0.25">
      <c r="A60" s="105" t="str">
        <f>'Data Vlaue (Cr)'!C55</f>
        <v>DIVISLAB</v>
      </c>
      <c r="B60" s="143">
        <f>VLOOKUP($A60,'Data shares'!$C:$FA,118)</f>
        <v>0.56999999999999995</v>
      </c>
      <c r="C60" s="143">
        <f>VLOOKUP($A60,'Data shares'!$C:$FA,119)</f>
        <v>0.57999999999999996</v>
      </c>
      <c r="D60" s="143">
        <f>VLOOKUP($A60,'Data shares'!$C:$FA,121)*100</f>
        <v>-1.72</v>
      </c>
      <c r="E60" s="143">
        <f>VLOOKUP($A60,'Data shares'!$C:$FA,124)</f>
        <v>0.27</v>
      </c>
      <c r="F60" s="143">
        <f>VLOOKUP($A60,'Data shares'!$C:$FA,125)</f>
        <v>0.71</v>
      </c>
      <c r="G60" s="143">
        <f>VLOOKUP($A60,'Data shares'!$C:$FA,127)*100</f>
        <v>-61.970000000000006</v>
      </c>
      <c r="H60" s="103">
        <f>VLOOKUP($A60,'OI(Volume)'!$A$7:$O$440,8)</f>
        <v>700000</v>
      </c>
      <c r="I60" s="103">
        <f>VLOOKUP($A60,'OI(Volume)'!$A$7:$O$440,9)</f>
        <v>39800</v>
      </c>
      <c r="J60" s="103">
        <f>VLOOKUP($A60,'OI(Volume)'!$A$7:$O$440,11)</f>
        <v>399400</v>
      </c>
      <c r="K60" s="103">
        <f>VLOOKUP($A60,'OI(Volume)'!$A$7:$O$440,12)</f>
        <v>16100</v>
      </c>
      <c r="L60" s="103">
        <f>VLOOKUP($A60,'OI(Value)'!$A$7:$O$323,8,0)</f>
        <v>447</v>
      </c>
      <c r="M60" s="103">
        <f>VLOOKUP($A60,'OI(Value)'!$A$7:$O$323,9,0)</f>
        <v>25</v>
      </c>
      <c r="N60" s="103">
        <f>VLOOKUP($A60,'OI(Value)'!$A$7:$O$323,11,0)</f>
        <v>255</v>
      </c>
      <c r="O60" s="103">
        <f>VLOOKUP($A60,'OI(Value)'!$A$7:$O$323,12,0)</f>
        <v>10</v>
      </c>
      <c r="P60" s="179">
        <f>VLOOKUP(A60,'OI(Value)'!A60:O278,8,0)</f>
        <v>447</v>
      </c>
      <c r="Q60" s="179">
        <f>VLOOKUP(A60,'OI(Value)'!A60:O278,9,0)</f>
        <v>25</v>
      </c>
      <c r="R60" s="179">
        <f>VLOOKUP(A60,'OI(Value)'!A60:O278,11,0)</f>
        <v>255</v>
      </c>
      <c r="S60" s="179">
        <f>VLOOKUP(A60,'OI(Value)'!A60:O278,11,0)</f>
        <v>255</v>
      </c>
    </row>
    <row r="61" spans="1:19" x14ac:dyDescent="0.25">
      <c r="A61" s="105" t="str">
        <f>'Data Vlaue (Cr)'!C56</f>
        <v>DIXON</v>
      </c>
      <c r="B61" s="143">
        <f>VLOOKUP($A61,'Data shares'!$C:$FA,118)</f>
        <v>0.61</v>
      </c>
      <c r="C61" s="143">
        <f>VLOOKUP($A61,'Data shares'!$C:$FA,119)</f>
        <v>0.61</v>
      </c>
      <c r="D61" s="143">
        <f>VLOOKUP($A61,'Data shares'!$C:$FA,121)*100</f>
        <v>0</v>
      </c>
      <c r="E61" s="143">
        <f>VLOOKUP($A61,'Data shares'!$C:$FA,124)</f>
        <v>0.48</v>
      </c>
      <c r="F61" s="143">
        <f>VLOOKUP($A61,'Data shares'!$C:$FA,125)</f>
        <v>0.59</v>
      </c>
      <c r="G61" s="143">
        <f>VLOOKUP($A61,'Data shares'!$C:$FA,127)*100</f>
        <v>-18.64</v>
      </c>
      <c r="H61" s="103">
        <f>VLOOKUP($A61,'OI(Volume)'!$A$7:$O$440,8)</f>
        <v>1867450</v>
      </c>
      <c r="I61" s="103">
        <f>VLOOKUP($A61,'OI(Volume)'!$A$7:$O$440,9)</f>
        <v>1100</v>
      </c>
      <c r="J61" s="103">
        <f>VLOOKUP($A61,'OI(Volume)'!$A$7:$O$440,11)</f>
        <v>1130400</v>
      </c>
      <c r="K61" s="103">
        <f>VLOOKUP($A61,'OI(Volume)'!$A$7:$O$440,12)</f>
        <v>-750</v>
      </c>
      <c r="L61" s="103">
        <f>VLOOKUP($A61,'OI(Value)'!$A$7:$O$323,8,0)</f>
        <v>1912</v>
      </c>
      <c r="M61" s="103">
        <f>VLOOKUP($A61,'OI(Value)'!$A$7:$O$323,9,0)</f>
        <v>1</v>
      </c>
      <c r="N61" s="103">
        <f>VLOOKUP($A61,'OI(Value)'!$A$7:$O$323,11,0)</f>
        <v>1157</v>
      </c>
      <c r="O61" s="103">
        <f>VLOOKUP($A61,'OI(Value)'!$A$7:$O$323,12,0)</f>
        <v>-1</v>
      </c>
      <c r="P61" s="179">
        <f>VLOOKUP(A61,'OI(Value)'!A61:O279,8,0)</f>
        <v>1912</v>
      </c>
      <c r="Q61" s="179">
        <f>VLOOKUP(A61,'OI(Value)'!A61:O279,9,0)</f>
        <v>1</v>
      </c>
      <c r="R61" s="179">
        <f>VLOOKUP(A61,'OI(Value)'!A61:O279,11,0)</f>
        <v>1157</v>
      </c>
      <c r="S61" s="179">
        <f>VLOOKUP(A61,'OI(Value)'!A61:O279,11,0)</f>
        <v>1157</v>
      </c>
    </row>
    <row r="62" spans="1:19" x14ac:dyDescent="0.25">
      <c r="A62" s="105" t="str">
        <f>'Data Vlaue (Cr)'!C57</f>
        <v>DLF</v>
      </c>
      <c r="B62" s="143">
        <f>VLOOKUP($A62,'Data shares'!$C:$FA,118)</f>
        <v>0.84</v>
      </c>
      <c r="C62" s="143">
        <f>VLOOKUP($A62,'Data shares'!$C:$FA,119)</f>
        <v>0.82</v>
      </c>
      <c r="D62" s="143">
        <f>VLOOKUP($A62,'Data shares'!$C:$FA,121)*100</f>
        <v>2.44</v>
      </c>
      <c r="E62" s="143">
        <f>VLOOKUP($A62,'Data shares'!$C:$FA,124)</f>
        <v>0.52</v>
      </c>
      <c r="F62" s="143">
        <f>VLOOKUP($A62,'Data shares'!$C:$FA,125)</f>
        <v>0.84</v>
      </c>
      <c r="G62" s="143">
        <f>VLOOKUP($A62,'Data shares'!$C:$FA,127)*100</f>
        <v>-38.1</v>
      </c>
      <c r="H62" s="103">
        <f>VLOOKUP($A62,'OI(Volume)'!$A$7:$O$440,8)</f>
        <v>11295900</v>
      </c>
      <c r="I62" s="103">
        <f>VLOOKUP($A62,'OI(Volume)'!$A$7:$O$440,9)</f>
        <v>-172425</v>
      </c>
      <c r="J62" s="103">
        <f>VLOOKUP($A62,'OI(Volume)'!$A$7:$O$440,11)</f>
        <v>9488325</v>
      </c>
      <c r="K62" s="103">
        <f>VLOOKUP($A62,'OI(Volume)'!$A$7:$O$440,12)</f>
        <v>68475</v>
      </c>
      <c r="L62" s="103">
        <f>VLOOKUP($A62,'OI(Value)'!$A$7:$O$323,8,0)</f>
        <v>663</v>
      </c>
      <c r="M62" s="103">
        <f>VLOOKUP($A62,'OI(Value)'!$A$7:$O$323,9,0)</f>
        <v>-10</v>
      </c>
      <c r="N62" s="103">
        <f>VLOOKUP($A62,'OI(Value)'!$A$7:$O$323,11,0)</f>
        <v>557</v>
      </c>
      <c r="O62" s="103">
        <f>VLOOKUP($A62,'OI(Value)'!$A$7:$O$323,12,0)</f>
        <v>4</v>
      </c>
      <c r="P62" s="179">
        <f>VLOOKUP(A62,'OI(Value)'!A62:O280,8,0)</f>
        <v>663</v>
      </c>
      <c r="Q62" s="179">
        <f>VLOOKUP(A62,'OI(Value)'!A62:O280,9,0)</f>
        <v>-10</v>
      </c>
      <c r="R62" s="179">
        <f>VLOOKUP(A62,'OI(Value)'!A62:O280,11,0)</f>
        <v>557</v>
      </c>
      <c r="S62" s="179">
        <f>VLOOKUP(A62,'OI(Value)'!A62:O280,11,0)</f>
        <v>557</v>
      </c>
    </row>
    <row r="63" spans="1:19" x14ac:dyDescent="0.25">
      <c r="A63" s="105" t="str">
        <f>'Data Vlaue (Cr)'!C58</f>
        <v>DMART</v>
      </c>
      <c r="B63" s="143">
        <f>VLOOKUP($A63,'Data shares'!$C:$FA,118)</f>
        <v>0.78</v>
      </c>
      <c r="C63" s="143">
        <f>VLOOKUP($A63,'Data shares'!$C:$FA,119)</f>
        <v>0.83</v>
      </c>
      <c r="D63" s="143">
        <f>VLOOKUP($A63,'Data shares'!$C:$FA,121)*100</f>
        <v>-6.02</v>
      </c>
      <c r="E63" s="143">
        <f>VLOOKUP($A63,'Data shares'!$C:$FA,124)</f>
        <v>0.4</v>
      </c>
      <c r="F63" s="143">
        <f>VLOOKUP($A63,'Data shares'!$C:$FA,125)</f>
        <v>0.93</v>
      </c>
      <c r="G63" s="143">
        <f>VLOOKUP($A63,'Data shares'!$C:$FA,127)*100</f>
        <v>-56.989999999999995</v>
      </c>
      <c r="H63" s="103">
        <f>VLOOKUP($A63,'OI(Volume)'!$A$7:$O$440,8)</f>
        <v>977400</v>
      </c>
      <c r="I63" s="103">
        <f>VLOOKUP($A63,'OI(Volume)'!$A$7:$O$440,9)</f>
        <v>105600</v>
      </c>
      <c r="J63" s="103">
        <f>VLOOKUP($A63,'OI(Volume)'!$A$7:$O$440,11)</f>
        <v>761700</v>
      </c>
      <c r="K63" s="103">
        <f>VLOOKUP($A63,'OI(Volume)'!$A$7:$O$440,12)</f>
        <v>35700</v>
      </c>
      <c r="L63" s="103">
        <f>VLOOKUP($A63,'OI(Value)'!$A$7:$O$323,8,0)</f>
        <v>376</v>
      </c>
      <c r="M63" s="103">
        <f>VLOOKUP($A63,'OI(Value)'!$A$7:$O$323,9,0)</f>
        <v>41</v>
      </c>
      <c r="N63" s="103">
        <f>VLOOKUP($A63,'OI(Value)'!$A$7:$O$323,11,0)</f>
        <v>293</v>
      </c>
      <c r="O63" s="103">
        <f>VLOOKUP($A63,'OI(Value)'!$A$7:$O$323,12,0)</f>
        <v>14</v>
      </c>
      <c r="P63" s="179">
        <f>VLOOKUP(A63,'OI(Value)'!A63:O281,8,0)</f>
        <v>376</v>
      </c>
      <c r="Q63" s="179">
        <f>VLOOKUP(A63,'OI(Value)'!A63:O281,9,0)</f>
        <v>41</v>
      </c>
      <c r="R63" s="179">
        <f>VLOOKUP(A63,'OI(Value)'!A63:O281,11,0)</f>
        <v>293</v>
      </c>
      <c r="S63" s="179">
        <f>VLOOKUP(A63,'OI(Value)'!A63:O281,11,0)</f>
        <v>293</v>
      </c>
    </row>
    <row r="64" spans="1:19" x14ac:dyDescent="0.25">
      <c r="A64" s="105" t="str">
        <f>'Data Vlaue (Cr)'!C59</f>
        <v>DRREDDY</v>
      </c>
      <c r="B64" s="143">
        <f>VLOOKUP($A64,'Data shares'!$C:$FA,118)</f>
        <v>0.66</v>
      </c>
      <c r="C64" s="143">
        <f>VLOOKUP($A64,'Data shares'!$C:$FA,119)</f>
        <v>0.67</v>
      </c>
      <c r="D64" s="143">
        <f>VLOOKUP($A64,'Data shares'!$C:$FA,121)*100</f>
        <v>-1.49</v>
      </c>
      <c r="E64" s="143">
        <f>VLOOKUP($A64,'Data shares'!$C:$FA,124)</f>
        <v>0.36</v>
      </c>
      <c r="F64" s="143">
        <f>VLOOKUP($A64,'Data shares'!$C:$FA,125)</f>
        <v>0.55000000000000004</v>
      </c>
      <c r="G64" s="143">
        <f>VLOOKUP($A64,'Data shares'!$C:$FA,127)*100</f>
        <v>-34.549999999999997</v>
      </c>
      <c r="H64" s="103">
        <f>VLOOKUP($A64,'OI(Volume)'!$A$7:$O$440,8)</f>
        <v>4626250</v>
      </c>
      <c r="I64" s="103">
        <f>VLOOKUP($A64,'OI(Volume)'!$A$7:$O$440,9)</f>
        <v>235625</v>
      </c>
      <c r="J64" s="103">
        <f>VLOOKUP($A64,'OI(Volume)'!$A$7:$O$440,11)</f>
        <v>3076250</v>
      </c>
      <c r="K64" s="103">
        <f>VLOOKUP($A64,'OI(Volume)'!$A$7:$O$440,12)</f>
        <v>150000</v>
      </c>
      <c r="L64" s="103">
        <f>VLOOKUP($A64,'OI(Value)'!$A$7:$O$323,8,0)</f>
        <v>610</v>
      </c>
      <c r="M64" s="103">
        <f>VLOOKUP($A64,'OI(Value)'!$A$7:$O$323,9,0)</f>
        <v>31</v>
      </c>
      <c r="N64" s="103">
        <f>VLOOKUP($A64,'OI(Value)'!$A$7:$O$323,11,0)</f>
        <v>405</v>
      </c>
      <c r="O64" s="103">
        <f>VLOOKUP($A64,'OI(Value)'!$A$7:$O$323,12,0)</f>
        <v>20</v>
      </c>
      <c r="P64" s="179">
        <f>VLOOKUP(A64,'OI(Value)'!A64:O282,8,0)</f>
        <v>610</v>
      </c>
      <c r="Q64" s="179">
        <f>VLOOKUP(A64,'OI(Value)'!A64:O282,9,0)</f>
        <v>31</v>
      </c>
      <c r="R64" s="179">
        <f>VLOOKUP(A64,'OI(Value)'!A64:O282,11,0)</f>
        <v>405</v>
      </c>
      <c r="S64" s="179">
        <f>VLOOKUP(A64,'OI(Value)'!A64:O282,11,0)</f>
        <v>405</v>
      </c>
    </row>
    <row r="65" spans="1:19" x14ac:dyDescent="0.25">
      <c r="A65" s="105" t="str">
        <f>'Data Vlaue (Cr)'!C60</f>
        <v>EICHERMOT</v>
      </c>
      <c r="B65" s="143">
        <f>VLOOKUP($A65,'Data shares'!$C:$FA,118)</f>
        <v>0.61</v>
      </c>
      <c r="C65" s="143">
        <f>VLOOKUP($A65,'Data shares'!$C:$FA,119)</f>
        <v>0.63</v>
      </c>
      <c r="D65" s="143">
        <f>VLOOKUP($A65,'Data shares'!$C:$FA,121)*100</f>
        <v>-3.17</v>
      </c>
      <c r="E65" s="143">
        <f>VLOOKUP($A65,'Data shares'!$C:$FA,124)</f>
        <v>0.47</v>
      </c>
      <c r="F65" s="143">
        <f>VLOOKUP($A65,'Data shares'!$C:$FA,125)</f>
        <v>0.96</v>
      </c>
      <c r="G65" s="143">
        <f>VLOOKUP($A65,'Data shares'!$C:$FA,127)*100</f>
        <v>-51.04</v>
      </c>
      <c r="H65" s="103">
        <f>VLOOKUP($A65,'OI(Volume)'!$A$7:$O$440,8)</f>
        <v>1786900</v>
      </c>
      <c r="I65" s="103">
        <f>VLOOKUP($A65,'OI(Volume)'!$A$7:$O$440,9)</f>
        <v>50900</v>
      </c>
      <c r="J65" s="103">
        <f>VLOOKUP($A65,'OI(Volume)'!$A$7:$O$440,11)</f>
        <v>1096200</v>
      </c>
      <c r="K65" s="103">
        <f>VLOOKUP($A65,'OI(Volume)'!$A$7:$O$440,12)</f>
        <v>5200</v>
      </c>
      <c r="L65" s="103">
        <f>VLOOKUP($A65,'OI(Value)'!$A$7:$O$323,8,0)</f>
        <v>1388</v>
      </c>
      <c r="M65" s="103">
        <f>VLOOKUP($A65,'OI(Value)'!$A$7:$O$323,9,0)</f>
        <v>40</v>
      </c>
      <c r="N65" s="103">
        <f>VLOOKUP($A65,'OI(Value)'!$A$7:$O$323,11,0)</f>
        <v>852</v>
      </c>
      <c r="O65" s="103">
        <f>VLOOKUP($A65,'OI(Value)'!$A$7:$O$323,12,0)</f>
        <v>4</v>
      </c>
      <c r="P65" s="179">
        <f>VLOOKUP(A65,'OI(Value)'!A65:O283,8,0)</f>
        <v>1388</v>
      </c>
      <c r="Q65" s="179">
        <f>VLOOKUP(A65,'OI(Value)'!A65:O283,9,0)</f>
        <v>40</v>
      </c>
      <c r="R65" s="179">
        <f>VLOOKUP(A65,'OI(Value)'!A65:O283,11,0)</f>
        <v>852</v>
      </c>
      <c r="S65" s="179">
        <f>VLOOKUP(A65,'OI(Value)'!A65:O283,11,0)</f>
        <v>852</v>
      </c>
    </row>
    <row r="66" spans="1:19" x14ac:dyDescent="0.25">
      <c r="A66" s="105" t="str">
        <f>'Data Vlaue (Cr)'!C61</f>
        <v>ETERNAL</v>
      </c>
      <c r="B66" s="143">
        <f>VLOOKUP($A66,'Data shares'!$C:$FA,118)</f>
        <v>0.49</v>
      </c>
      <c r="C66" s="143">
        <f>VLOOKUP($A66,'Data shares'!$C:$FA,119)</f>
        <v>0.49</v>
      </c>
      <c r="D66" s="143">
        <f>VLOOKUP($A66,'Data shares'!$C:$FA,121)*100</f>
        <v>0</v>
      </c>
      <c r="E66" s="143">
        <f>VLOOKUP($A66,'Data shares'!$C:$FA,124)</f>
        <v>0.47</v>
      </c>
      <c r="F66" s="143">
        <f>VLOOKUP($A66,'Data shares'!$C:$FA,125)</f>
        <v>0.48</v>
      </c>
      <c r="G66" s="143">
        <f>VLOOKUP($A66,'Data shares'!$C:$FA,127)*100</f>
        <v>-2.08</v>
      </c>
      <c r="H66" s="103">
        <f>VLOOKUP($A66,'OI(Volume)'!$A$7:$O$440,8)</f>
        <v>111225050</v>
      </c>
      <c r="I66" s="103">
        <f>VLOOKUP($A66,'OI(Volume)'!$A$7:$O$440,9)</f>
        <v>8494775</v>
      </c>
      <c r="J66" s="103">
        <f>VLOOKUP($A66,'OI(Volume)'!$A$7:$O$440,11)</f>
        <v>54623125</v>
      </c>
      <c r="K66" s="103">
        <f>VLOOKUP($A66,'OI(Volume)'!$A$7:$O$440,12)</f>
        <v>4200100</v>
      </c>
      <c r="L66" s="103">
        <f>VLOOKUP($A66,'OI(Value)'!$A$7:$O$323,8,0)</f>
        <v>2677</v>
      </c>
      <c r="M66" s="103">
        <f>VLOOKUP($A66,'OI(Value)'!$A$7:$O$323,9,0)</f>
        <v>204</v>
      </c>
      <c r="N66" s="103">
        <f>VLOOKUP($A66,'OI(Value)'!$A$7:$O$323,11,0)</f>
        <v>1315</v>
      </c>
      <c r="O66" s="103">
        <f>VLOOKUP($A66,'OI(Value)'!$A$7:$O$323,12,0)</f>
        <v>101</v>
      </c>
      <c r="P66" s="179">
        <f>VLOOKUP(A66,'OI(Value)'!A66:O284,8,0)</f>
        <v>2677</v>
      </c>
      <c r="Q66" s="179">
        <f>VLOOKUP(A66,'OI(Value)'!A66:O284,9,0)</f>
        <v>204</v>
      </c>
      <c r="R66" s="179">
        <f>VLOOKUP(A66,'OI(Value)'!A66:O284,11,0)</f>
        <v>1315</v>
      </c>
      <c r="S66" s="179">
        <f>VLOOKUP(A66,'OI(Value)'!A66:O284,11,0)</f>
        <v>1315</v>
      </c>
    </row>
    <row r="67" spans="1:19" x14ac:dyDescent="0.25">
      <c r="A67" s="105" t="str">
        <f>'Data Vlaue (Cr)'!C62</f>
        <v>EXIDEIND</v>
      </c>
      <c r="B67" s="143">
        <f>VLOOKUP($A67,'Data shares'!$C:$FA,118)</f>
        <v>0.94</v>
      </c>
      <c r="C67" s="143">
        <f>VLOOKUP($A67,'Data shares'!$C:$FA,119)</f>
        <v>0.91</v>
      </c>
      <c r="D67" s="143">
        <f>VLOOKUP($A67,'Data shares'!$C:$FA,121)*100</f>
        <v>3.3000000000000003</v>
      </c>
      <c r="E67" s="143">
        <f>VLOOKUP($A67,'Data shares'!$C:$FA,124)</f>
        <v>0.55000000000000004</v>
      </c>
      <c r="F67" s="143">
        <f>VLOOKUP($A67,'Data shares'!$C:$FA,125)</f>
        <v>0.39</v>
      </c>
      <c r="G67" s="143">
        <f>VLOOKUP($A67,'Data shares'!$C:$FA,127)*100</f>
        <v>41.03</v>
      </c>
      <c r="H67" s="103">
        <f>VLOOKUP($A67,'OI(Volume)'!$A$7:$O$440,8)</f>
        <v>9687600</v>
      </c>
      <c r="I67" s="103">
        <f>VLOOKUP($A67,'OI(Volume)'!$A$7:$O$440,9)</f>
        <v>343800</v>
      </c>
      <c r="J67" s="103">
        <f>VLOOKUP($A67,'OI(Volume)'!$A$7:$O$440,11)</f>
        <v>9073800</v>
      </c>
      <c r="K67" s="103">
        <f>VLOOKUP($A67,'OI(Volume)'!$A$7:$O$440,12)</f>
        <v>595800</v>
      </c>
      <c r="L67" s="103">
        <f>VLOOKUP($A67,'OI(Value)'!$A$7:$O$323,8,0)</f>
        <v>311</v>
      </c>
      <c r="M67" s="103">
        <f>VLOOKUP($A67,'OI(Value)'!$A$7:$O$323,9,0)</f>
        <v>11</v>
      </c>
      <c r="N67" s="103">
        <f>VLOOKUP($A67,'OI(Value)'!$A$7:$O$323,11,0)</f>
        <v>291</v>
      </c>
      <c r="O67" s="103">
        <f>VLOOKUP($A67,'OI(Value)'!$A$7:$O$323,12,0)</f>
        <v>19</v>
      </c>
      <c r="P67" s="179">
        <f>VLOOKUP(A67,'OI(Value)'!A67:O285,8,0)</f>
        <v>311</v>
      </c>
      <c r="Q67" s="179">
        <f>VLOOKUP(A67,'OI(Value)'!A67:O285,9,0)</f>
        <v>11</v>
      </c>
      <c r="R67" s="179">
        <f>VLOOKUP(A67,'OI(Value)'!A67:O285,11,0)</f>
        <v>291</v>
      </c>
      <c r="S67" s="179">
        <f>VLOOKUP(A67,'OI(Value)'!A67:O285,11,0)</f>
        <v>291</v>
      </c>
    </row>
    <row r="68" spans="1:19" x14ac:dyDescent="0.25">
      <c r="A68" s="105" t="str">
        <f>'Data Vlaue (Cr)'!C63</f>
        <v>FEDERALBNK</v>
      </c>
      <c r="B68" s="143">
        <f>VLOOKUP($A68,'Data shares'!$C:$FA,118)</f>
        <v>0.7</v>
      </c>
      <c r="C68" s="143">
        <f>VLOOKUP($A68,'Data shares'!$C:$FA,119)</f>
        <v>0.72</v>
      </c>
      <c r="D68" s="143">
        <f>VLOOKUP($A68,'Data shares'!$C:$FA,121)*100</f>
        <v>-2.78</v>
      </c>
      <c r="E68" s="143">
        <f>VLOOKUP($A68,'Data shares'!$C:$FA,124)</f>
        <v>0.7</v>
      </c>
      <c r="F68" s="143">
        <f>VLOOKUP($A68,'Data shares'!$C:$FA,125)</f>
        <v>0.96</v>
      </c>
      <c r="G68" s="143">
        <f>VLOOKUP($A68,'Data shares'!$C:$FA,127)*100</f>
        <v>-27.08</v>
      </c>
      <c r="H68" s="103">
        <f>VLOOKUP($A68,'OI(Volume)'!$A$7:$O$440,8)</f>
        <v>35730000</v>
      </c>
      <c r="I68" s="103">
        <f>VLOOKUP($A68,'OI(Volume)'!$A$7:$O$440,9)</f>
        <v>4830000</v>
      </c>
      <c r="J68" s="103">
        <f>VLOOKUP($A68,'OI(Volume)'!$A$7:$O$440,11)</f>
        <v>25185000</v>
      </c>
      <c r="K68" s="103">
        <f>VLOOKUP($A68,'OI(Volume)'!$A$7:$O$440,12)</f>
        <v>3045000</v>
      </c>
      <c r="L68" s="103">
        <f>VLOOKUP($A68,'OI(Value)'!$A$7:$O$323,8,0)</f>
        <v>1039</v>
      </c>
      <c r="M68" s="103">
        <f>VLOOKUP($A68,'OI(Value)'!$A$7:$O$323,9,0)</f>
        <v>140</v>
      </c>
      <c r="N68" s="103">
        <f>VLOOKUP($A68,'OI(Value)'!$A$7:$O$323,11,0)</f>
        <v>733</v>
      </c>
      <c r="O68" s="103">
        <f>VLOOKUP($A68,'OI(Value)'!$A$7:$O$323,12,0)</f>
        <v>89</v>
      </c>
      <c r="P68" s="179">
        <f>VLOOKUP(A68,'OI(Value)'!A68:O286,8,0)</f>
        <v>1039</v>
      </c>
      <c r="Q68" s="179">
        <f>VLOOKUP(A68,'OI(Value)'!A68:O286,9,0)</f>
        <v>140</v>
      </c>
      <c r="R68" s="179">
        <f>VLOOKUP(A68,'OI(Value)'!A68:O286,11,0)</f>
        <v>733</v>
      </c>
      <c r="S68" s="179">
        <f>VLOOKUP(A68,'OI(Value)'!A68:O286,11,0)</f>
        <v>733</v>
      </c>
    </row>
    <row r="69" spans="1:19" x14ac:dyDescent="0.25">
      <c r="A69" s="105" t="str">
        <f>'Data Vlaue (Cr)'!C64</f>
        <v>FINNIFTY</v>
      </c>
      <c r="B69" s="143">
        <f>VLOOKUP($A69,'Data shares'!$C:$FA,118)</f>
        <v>0.85</v>
      </c>
      <c r="C69" s="143">
        <f>VLOOKUP($A69,'Data shares'!$C:$FA,119)</f>
        <v>0.84</v>
      </c>
      <c r="D69" s="143">
        <f>VLOOKUP($A69,'Data shares'!$C:$FA,121)*100</f>
        <v>1.1900000000000002</v>
      </c>
      <c r="E69" s="143">
        <f>VLOOKUP($A69,'Data shares'!$C:$FA,124)</f>
        <v>1.08</v>
      </c>
      <c r="F69" s="143">
        <f>VLOOKUP($A69,'Data shares'!$C:$FA,125)</f>
        <v>1.29</v>
      </c>
      <c r="G69" s="143">
        <f>VLOOKUP($A69,'Data shares'!$C:$FA,127)*100</f>
        <v>-16.28</v>
      </c>
      <c r="H69" s="103">
        <f>VLOOKUP($A69,'OI(Volume)'!$A$7:$O$440,8)</f>
        <v>721980</v>
      </c>
      <c r="I69" s="103">
        <f>VLOOKUP($A69,'OI(Volume)'!$A$7:$O$440,9)</f>
        <v>19320</v>
      </c>
      <c r="J69" s="103">
        <f>VLOOKUP($A69,'OI(Volume)'!$A$7:$O$440,11)</f>
        <v>616860</v>
      </c>
      <c r="K69" s="103">
        <f>VLOOKUP($A69,'OI(Volume)'!$A$7:$O$440,12)</f>
        <v>25260</v>
      </c>
      <c r="L69" s="103">
        <f>VLOOKUP($A69,'OI(Value)'!$A$7:$O$323,8,0)</f>
        <v>1975</v>
      </c>
      <c r="M69" s="103">
        <f>VLOOKUP($A69,'OI(Value)'!$A$7:$O$323,9,0)</f>
        <v>53</v>
      </c>
      <c r="N69" s="103">
        <f>VLOOKUP($A69,'OI(Value)'!$A$7:$O$323,11,0)</f>
        <v>1688</v>
      </c>
      <c r="O69" s="103">
        <f>VLOOKUP($A69,'OI(Value)'!$A$7:$O$323,12,0)</f>
        <v>69</v>
      </c>
      <c r="P69" s="179">
        <f>VLOOKUP(A69,'OI(Value)'!A69:O287,8,0)</f>
        <v>1975</v>
      </c>
      <c r="Q69" s="179">
        <f>VLOOKUP(A69,'OI(Value)'!A69:O287,9,0)</f>
        <v>53</v>
      </c>
      <c r="R69" s="179">
        <f>VLOOKUP(A69,'OI(Value)'!A69:O287,11,0)</f>
        <v>1688</v>
      </c>
      <c r="S69" s="179">
        <f>VLOOKUP(A69,'OI(Value)'!A69:O287,11,0)</f>
        <v>1688</v>
      </c>
    </row>
    <row r="70" spans="1:19" x14ac:dyDescent="0.25">
      <c r="A70" s="105" t="str">
        <f>'Data Vlaue (Cr)'!C65</f>
        <v>FORTIS</v>
      </c>
      <c r="B70" s="143">
        <f>VLOOKUP($A70,'Data shares'!$C:$FA,118)</f>
        <v>0.46</v>
      </c>
      <c r="C70" s="143">
        <f>VLOOKUP($A70,'Data shares'!$C:$FA,119)</f>
        <v>0.52</v>
      </c>
      <c r="D70" s="143">
        <f>VLOOKUP($A70,'Data shares'!$C:$FA,121)*100</f>
        <v>-11.540000000000001</v>
      </c>
      <c r="E70" s="143">
        <f>VLOOKUP($A70,'Data shares'!$C:$FA,124)</f>
        <v>0.5</v>
      </c>
      <c r="F70" s="143">
        <f>VLOOKUP($A70,'Data shares'!$C:$FA,125)</f>
        <v>0.46</v>
      </c>
      <c r="G70" s="143">
        <f>VLOOKUP($A70,'Data shares'!$C:$FA,127)*100</f>
        <v>8.6999999999999993</v>
      </c>
      <c r="H70" s="103">
        <f>VLOOKUP($A70,'OI(Volume)'!$A$7:$O$440,8)</f>
        <v>3658000</v>
      </c>
      <c r="I70" s="103">
        <f>VLOOKUP($A70,'OI(Volume)'!$A$7:$O$440,9)</f>
        <v>429350</v>
      </c>
      <c r="J70" s="103">
        <f>VLOOKUP($A70,'OI(Volume)'!$A$7:$O$440,11)</f>
        <v>1691825</v>
      </c>
      <c r="K70" s="103">
        <f>VLOOKUP($A70,'OI(Volume)'!$A$7:$O$440,12)</f>
        <v>17050</v>
      </c>
      <c r="L70" s="103">
        <f>VLOOKUP($A70,'OI(Value)'!$A$7:$O$323,8,0)</f>
        <v>338</v>
      </c>
      <c r="M70" s="103">
        <f>VLOOKUP($A70,'OI(Value)'!$A$7:$O$323,9,0)</f>
        <v>40</v>
      </c>
      <c r="N70" s="103">
        <f>VLOOKUP($A70,'OI(Value)'!$A$7:$O$323,11,0)</f>
        <v>156</v>
      </c>
      <c r="O70" s="103">
        <f>VLOOKUP($A70,'OI(Value)'!$A$7:$O$323,12,0)</f>
        <v>2</v>
      </c>
      <c r="P70" s="179">
        <f>VLOOKUP(A70,'OI(Value)'!A70:O288,8,0)</f>
        <v>338</v>
      </c>
      <c r="Q70" s="179">
        <f>VLOOKUP(A70,'OI(Value)'!A70:O288,9,0)</f>
        <v>40</v>
      </c>
      <c r="R70" s="179">
        <f>VLOOKUP(A70,'OI(Value)'!A70:O288,11,0)</f>
        <v>156</v>
      </c>
      <c r="S70" s="179">
        <f>VLOOKUP(A70,'OI(Value)'!A70:O288,11,0)</f>
        <v>156</v>
      </c>
    </row>
    <row r="71" spans="1:19" x14ac:dyDescent="0.25">
      <c r="A71" s="105" t="str">
        <f>'Data Vlaue (Cr)'!C66</f>
        <v>GAIL</v>
      </c>
      <c r="B71" s="143">
        <f>VLOOKUP($A71,'Data shares'!$C:$FA,118)</f>
        <v>1.22</v>
      </c>
      <c r="C71" s="143">
        <f>VLOOKUP($A71,'Data shares'!$C:$FA,119)</f>
        <v>1.33</v>
      </c>
      <c r="D71" s="143">
        <f>VLOOKUP($A71,'Data shares'!$C:$FA,121)*100</f>
        <v>-8.27</v>
      </c>
      <c r="E71" s="143">
        <f>VLOOKUP($A71,'Data shares'!$C:$FA,124)</f>
        <v>0.93</v>
      </c>
      <c r="F71" s="143">
        <f>VLOOKUP($A71,'Data shares'!$C:$FA,125)</f>
        <v>1.46</v>
      </c>
      <c r="G71" s="143">
        <f>VLOOKUP($A71,'Data shares'!$C:$FA,127)*100</f>
        <v>-36.299999999999997</v>
      </c>
      <c r="H71" s="103">
        <f>VLOOKUP($A71,'OI(Volume)'!$A$7:$O$440,8)</f>
        <v>33207300</v>
      </c>
      <c r="I71" s="103">
        <f>VLOOKUP($A71,'OI(Volume)'!$A$7:$O$440,9)</f>
        <v>2853900</v>
      </c>
      <c r="J71" s="103">
        <f>VLOOKUP($A71,'OI(Volume)'!$A$7:$O$440,11)</f>
        <v>40486950</v>
      </c>
      <c r="K71" s="103">
        <f>VLOOKUP($A71,'OI(Volume)'!$A$7:$O$440,12)</f>
        <v>-6300</v>
      </c>
      <c r="L71" s="103">
        <f>VLOOKUP($A71,'OI(Value)'!$A$7:$O$323,8,0)</f>
        <v>521</v>
      </c>
      <c r="M71" s="103">
        <f>VLOOKUP($A71,'OI(Value)'!$A$7:$O$323,9,0)</f>
        <v>45</v>
      </c>
      <c r="N71" s="103">
        <f>VLOOKUP($A71,'OI(Value)'!$A$7:$O$323,11,0)</f>
        <v>635</v>
      </c>
      <c r="O71" s="103">
        <f>VLOOKUP($A71,'OI(Value)'!$A$7:$O$323,12,0)</f>
        <v>0</v>
      </c>
      <c r="P71" s="179">
        <f>VLOOKUP(A71,'OI(Value)'!A71:O289,8,0)</f>
        <v>521</v>
      </c>
      <c r="Q71" s="179">
        <f>VLOOKUP(A71,'OI(Value)'!A71:O289,9,0)</f>
        <v>45</v>
      </c>
      <c r="R71" s="179">
        <f>VLOOKUP(A71,'OI(Value)'!A71:O289,11,0)</f>
        <v>635</v>
      </c>
      <c r="S71" s="179">
        <f>VLOOKUP(A71,'OI(Value)'!A71:O289,11,0)</f>
        <v>635</v>
      </c>
    </row>
    <row r="72" spans="1:19" x14ac:dyDescent="0.25">
      <c r="A72" s="105" t="str">
        <f>'Data Vlaue (Cr)'!C67</f>
        <v>GLENMARK</v>
      </c>
      <c r="B72" s="143">
        <f>VLOOKUP($A72,'Data shares'!$C:$FA,118)</f>
        <v>0.47</v>
      </c>
      <c r="C72" s="143">
        <f>VLOOKUP($A72,'Data shares'!$C:$FA,119)</f>
        <v>0.47</v>
      </c>
      <c r="D72" s="143">
        <f>VLOOKUP($A72,'Data shares'!$C:$FA,121)*100</f>
        <v>0</v>
      </c>
      <c r="E72" s="143">
        <f>VLOOKUP($A72,'Data shares'!$C:$FA,124)</f>
        <v>0.32</v>
      </c>
      <c r="F72" s="143">
        <f>VLOOKUP($A72,'Data shares'!$C:$FA,125)</f>
        <v>0.5</v>
      </c>
      <c r="G72" s="143">
        <f>VLOOKUP($A72,'Data shares'!$C:$FA,127)*100</f>
        <v>-36</v>
      </c>
      <c r="H72" s="103">
        <f>VLOOKUP($A72,'OI(Volume)'!$A$7:$O$440,8)</f>
        <v>1606125</v>
      </c>
      <c r="I72" s="103">
        <f>VLOOKUP($A72,'OI(Volume)'!$A$7:$O$440,9)</f>
        <v>18750</v>
      </c>
      <c r="J72" s="103">
        <f>VLOOKUP($A72,'OI(Volume)'!$A$7:$O$440,11)</f>
        <v>761250</v>
      </c>
      <c r="K72" s="103">
        <f>VLOOKUP($A72,'OI(Volume)'!$A$7:$O$440,12)</f>
        <v>13875</v>
      </c>
      <c r="L72" s="103">
        <f>VLOOKUP($A72,'OI(Value)'!$A$7:$O$323,8,0)</f>
        <v>339</v>
      </c>
      <c r="M72" s="103">
        <f>VLOOKUP($A72,'OI(Value)'!$A$7:$O$323,9,0)</f>
        <v>4</v>
      </c>
      <c r="N72" s="103">
        <f>VLOOKUP($A72,'OI(Value)'!$A$7:$O$323,11,0)</f>
        <v>161</v>
      </c>
      <c r="O72" s="103">
        <f>VLOOKUP($A72,'OI(Value)'!$A$7:$O$323,12,0)</f>
        <v>3</v>
      </c>
      <c r="P72" s="179">
        <f>VLOOKUP(A72,'OI(Value)'!A72:O290,8,0)</f>
        <v>339</v>
      </c>
      <c r="Q72" s="179">
        <f>VLOOKUP(A72,'OI(Value)'!A72:O290,9,0)</f>
        <v>4</v>
      </c>
      <c r="R72" s="179">
        <f>VLOOKUP(A72,'OI(Value)'!A72:O290,11,0)</f>
        <v>161</v>
      </c>
      <c r="S72" s="179">
        <f>VLOOKUP(A72,'OI(Value)'!A72:O290,11,0)</f>
        <v>161</v>
      </c>
    </row>
    <row r="73" spans="1:19" x14ac:dyDescent="0.25">
      <c r="A73" s="105" t="str">
        <f>'Data Vlaue (Cr)'!C68</f>
        <v>GMRAIRPORT</v>
      </c>
      <c r="B73" s="143">
        <f>VLOOKUP($A73,'Data shares'!$C:$FA,118)</f>
        <v>0.71</v>
      </c>
      <c r="C73" s="143">
        <f>VLOOKUP($A73,'Data shares'!$C:$FA,119)</f>
        <v>0.69</v>
      </c>
      <c r="D73" s="143">
        <f>VLOOKUP($A73,'Data shares'!$C:$FA,121)*100</f>
        <v>2.9000000000000004</v>
      </c>
      <c r="E73" s="143">
        <f>VLOOKUP($A73,'Data shares'!$C:$FA,124)</f>
        <v>0.69</v>
      </c>
      <c r="F73" s="143">
        <f>VLOOKUP($A73,'Data shares'!$C:$FA,125)</f>
        <v>1.1499999999999999</v>
      </c>
      <c r="G73" s="143">
        <f>VLOOKUP($A73,'Data shares'!$C:$FA,127)*100</f>
        <v>-40</v>
      </c>
      <c r="H73" s="103">
        <f>VLOOKUP($A73,'OI(Volume)'!$A$7:$O$440,8)</f>
        <v>51384825</v>
      </c>
      <c r="I73" s="103">
        <f>VLOOKUP($A73,'OI(Volume)'!$A$7:$O$440,9)</f>
        <v>-160425</v>
      </c>
      <c r="J73" s="103">
        <f>VLOOKUP($A73,'OI(Volume)'!$A$7:$O$440,11)</f>
        <v>36493200</v>
      </c>
      <c r="K73" s="103">
        <f>VLOOKUP($A73,'OI(Volume)'!$A$7:$O$440,12)</f>
        <v>1032300</v>
      </c>
      <c r="L73" s="103">
        <f>VLOOKUP($A73,'OI(Value)'!$A$7:$O$323,8,0)</f>
        <v>505</v>
      </c>
      <c r="M73" s="103">
        <f>VLOOKUP($A73,'OI(Value)'!$A$7:$O$323,9,0)</f>
        <v>-2</v>
      </c>
      <c r="N73" s="103">
        <f>VLOOKUP($A73,'OI(Value)'!$A$7:$O$323,11,0)</f>
        <v>359</v>
      </c>
      <c r="O73" s="103">
        <f>VLOOKUP($A73,'OI(Value)'!$A$7:$O$323,12,0)</f>
        <v>10</v>
      </c>
      <c r="P73" s="179">
        <f>VLOOKUP(A73,'OI(Value)'!A73:O291,8,0)</f>
        <v>505</v>
      </c>
      <c r="Q73" s="179">
        <f>VLOOKUP(A73,'OI(Value)'!A73:O291,9,0)</f>
        <v>-2</v>
      </c>
      <c r="R73" s="179">
        <f>VLOOKUP(A73,'OI(Value)'!A73:O291,11,0)</f>
        <v>359</v>
      </c>
      <c r="S73" s="179">
        <f>VLOOKUP(A73,'OI(Value)'!A73:O291,11,0)</f>
        <v>359</v>
      </c>
    </row>
    <row r="74" spans="1:19" x14ac:dyDescent="0.25">
      <c r="A74" s="105" t="str">
        <f>'Data Vlaue (Cr)'!C69</f>
        <v>GODREJCP</v>
      </c>
      <c r="B74" s="143">
        <f>VLOOKUP($A74,'Data shares'!$C:$FA,118)</f>
        <v>0.85</v>
      </c>
      <c r="C74" s="143">
        <f>VLOOKUP($A74,'Data shares'!$C:$FA,119)</f>
        <v>0.78</v>
      </c>
      <c r="D74" s="143">
        <f>VLOOKUP($A74,'Data shares'!$C:$FA,121)*100</f>
        <v>8.9700000000000006</v>
      </c>
      <c r="E74" s="143">
        <f>VLOOKUP($A74,'Data shares'!$C:$FA,124)</f>
        <v>0.72</v>
      </c>
      <c r="F74" s="143">
        <f>VLOOKUP($A74,'Data shares'!$C:$FA,125)</f>
        <v>0.78</v>
      </c>
      <c r="G74" s="143">
        <f>VLOOKUP($A74,'Data shares'!$C:$FA,127)*100</f>
        <v>-7.6899999999999995</v>
      </c>
      <c r="H74" s="103">
        <f>VLOOKUP($A74,'OI(Volume)'!$A$7:$O$440,8)</f>
        <v>1262500</v>
      </c>
      <c r="I74" s="103">
        <f>VLOOKUP($A74,'OI(Volume)'!$A$7:$O$440,9)</f>
        <v>97000</v>
      </c>
      <c r="J74" s="103">
        <f>VLOOKUP($A74,'OI(Volume)'!$A$7:$O$440,11)</f>
        <v>1072000</v>
      </c>
      <c r="K74" s="103">
        <f>VLOOKUP($A74,'OI(Volume)'!$A$7:$O$440,12)</f>
        <v>165000</v>
      </c>
      <c r="L74" s="103">
        <f>VLOOKUP($A74,'OI(Value)'!$A$7:$O$323,8,0)</f>
        <v>144</v>
      </c>
      <c r="M74" s="103">
        <f>VLOOKUP($A74,'OI(Value)'!$A$7:$O$323,9,0)</f>
        <v>11</v>
      </c>
      <c r="N74" s="103">
        <f>VLOOKUP($A74,'OI(Value)'!$A$7:$O$323,11,0)</f>
        <v>122</v>
      </c>
      <c r="O74" s="103">
        <f>VLOOKUP($A74,'OI(Value)'!$A$7:$O$323,12,0)</f>
        <v>19</v>
      </c>
      <c r="P74" s="179">
        <f>VLOOKUP(A74,'OI(Value)'!A74:O292,8,0)</f>
        <v>144</v>
      </c>
      <c r="Q74" s="179">
        <f>VLOOKUP(A74,'OI(Value)'!A74:O292,9,0)</f>
        <v>11</v>
      </c>
      <c r="R74" s="179">
        <f>VLOOKUP(A74,'OI(Value)'!A74:O292,11,0)</f>
        <v>122</v>
      </c>
      <c r="S74" s="179">
        <f>VLOOKUP(A74,'OI(Value)'!A74:O292,11,0)</f>
        <v>122</v>
      </c>
    </row>
    <row r="75" spans="1:19" x14ac:dyDescent="0.25">
      <c r="A75" s="105" t="str">
        <f>'Data Vlaue (Cr)'!C70</f>
        <v>GODREJPROP</v>
      </c>
      <c r="B75" s="143">
        <f>VLOOKUP($A75,'Data shares'!$C:$FA,118)</f>
        <v>0.86</v>
      </c>
      <c r="C75" s="143">
        <f>VLOOKUP($A75,'Data shares'!$C:$FA,119)</f>
        <v>0.8</v>
      </c>
      <c r="D75" s="143">
        <f>VLOOKUP($A75,'Data shares'!$C:$FA,121)*100</f>
        <v>7.5</v>
      </c>
      <c r="E75" s="143">
        <f>VLOOKUP($A75,'Data shares'!$C:$FA,124)</f>
        <v>0.6</v>
      </c>
      <c r="F75" s="143">
        <f>VLOOKUP($A75,'Data shares'!$C:$FA,125)</f>
        <v>0.83</v>
      </c>
      <c r="G75" s="143">
        <f>VLOOKUP($A75,'Data shares'!$C:$FA,127)*100</f>
        <v>-27.71</v>
      </c>
      <c r="H75" s="103">
        <f>VLOOKUP($A75,'OI(Volume)'!$A$7:$O$440,8)</f>
        <v>2280575</v>
      </c>
      <c r="I75" s="103">
        <f>VLOOKUP($A75,'OI(Volume)'!$A$7:$O$440,9)</f>
        <v>-31625</v>
      </c>
      <c r="J75" s="103">
        <f>VLOOKUP($A75,'OI(Volume)'!$A$7:$O$440,11)</f>
        <v>1966250</v>
      </c>
      <c r="K75" s="103">
        <f>VLOOKUP($A75,'OI(Volume)'!$A$7:$O$440,12)</f>
        <v>114950</v>
      </c>
      <c r="L75" s="103">
        <f>VLOOKUP($A75,'OI(Value)'!$A$7:$O$323,8,0)</f>
        <v>398</v>
      </c>
      <c r="M75" s="103">
        <f>VLOOKUP($A75,'OI(Value)'!$A$7:$O$323,9,0)</f>
        <v>-6</v>
      </c>
      <c r="N75" s="103">
        <f>VLOOKUP($A75,'OI(Value)'!$A$7:$O$323,11,0)</f>
        <v>343</v>
      </c>
      <c r="O75" s="103">
        <f>VLOOKUP($A75,'OI(Value)'!$A$7:$O$323,12,0)</f>
        <v>20</v>
      </c>
      <c r="P75" s="179">
        <f>VLOOKUP(A75,'OI(Value)'!A75:O293,8,0)</f>
        <v>398</v>
      </c>
      <c r="Q75" s="179">
        <f>VLOOKUP(A75,'OI(Value)'!A75:O293,9,0)</f>
        <v>-6</v>
      </c>
      <c r="R75" s="179">
        <f>VLOOKUP(A75,'OI(Value)'!A75:O293,11,0)</f>
        <v>343</v>
      </c>
      <c r="S75" s="179">
        <f>VLOOKUP(A75,'OI(Value)'!A75:O293,11,0)</f>
        <v>343</v>
      </c>
    </row>
    <row r="76" spans="1:19" x14ac:dyDescent="0.25">
      <c r="A76" s="105" t="str">
        <f>'Data Vlaue (Cr)'!C71</f>
        <v>GRASIM</v>
      </c>
      <c r="B76" s="143">
        <f>VLOOKUP($A76,'Data shares'!$C:$FA,118)</f>
        <v>0.54</v>
      </c>
      <c r="C76" s="143">
        <f>VLOOKUP($A76,'Data shares'!$C:$FA,119)</f>
        <v>0.52</v>
      </c>
      <c r="D76" s="143">
        <f>VLOOKUP($A76,'Data shares'!$C:$FA,121)*100</f>
        <v>3.85</v>
      </c>
      <c r="E76" s="143">
        <f>VLOOKUP($A76,'Data shares'!$C:$FA,124)</f>
        <v>0.42</v>
      </c>
      <c r="F76" s="143">
        <f>VLOOKUP($A76,'Data shares'!$C:$FA,125)</f>
        <v>0.73</v>
      </c>
      <c r="G76" s="143">
        <f>VLOOKUP($A76,'Data shares'!$C:$FA,127)*100</f>
        <v>-42.47</v>
      </c>
      <c r="H76" s="103">
        <f>VLOOKUP($A76,'OI(Volume)'!$A$7:$O$440,8)</f>
        <v>1887750</v>
      </c>
      <c r="I76" s="103">
        <f>VLOOKUP($A76,'OI(Volume)'!$A$7:$O$440,9)</f>
        <v>94750</v>
      </c>
      <c r="J76" s="103">
        <f>VLOOKUP($A76,'OI(Volume)'!$A$7:$O$440,11)</f>
        <v>1016000</v>
      </c>
      <c r="K76" s="103">
        <f>VLOOKUP($A76,'OI(Volume)'!$A$7:$O$440,12)</f>
        <v>86500</v>
      </c>
      <c r="L76" s="103">
        <f>VLOOKUP($A76,'OI(Value)'!$A$7:$O$323,8,0)</f>
        <v>515</v>
      </c>
      <c r="M76" s="103">
        <f>VLOOKUP($A76,'OI(Value)'!$A$7:$O$323,9,0)</f>
        <v>26</v>
      </c>
      <c r="N76" s="103">
        <f>VLOOKUP($A76,'OI(Value)'!$A$7:$O$323,11,0)</f>
        <v>277</v>
      </c>
      <c r="O76" s="103">
        <f>VLOOKUP($A76,'OI(Value)'!$A$7:$O$323,12,0)</f>
        <v>24</v>
      </c>
      <c r="P76" s="179">
        <f>VLOOKUP(A76,'OI(Value)'!A76:O294,8,0)</f>
        <v>515</v>
      </c>
      <c r="Q76" s="179">
        <f>VLOOKUP(A76,'OI(Value)'!A76:O294,9,0)</f>
        <v>26</v>
      </c>
      <c r="R76" s="179">
        <f>VLOOKUP(A76,'OI(Value)'!A76:O294,11,0)</f>
        <v>277</v>
      </c>
      <c r="S76" s="179">
        <f>VLOOKUP(A76,'OI(Value)'!A76:O294,11,0)</f>
        <v>277</v>
      </c>
    </row>
    <row r="77" spans="1:19" x14ac:dyDescent="0.25">
      <c r="A77" s="105" t="str">
        <f>'Data Vlaue (Cr)'!C72</f>
        <v>HAL</v>
      </c>
      <c r="B77" s="143">
        <f>VLOOKUP($A77,'Data shares'!$C:$FA,118)</f>
        <v>0.64</v>
      </c>
      <c r="C77" s="143">
        <f>VLOOKUP($A77,'Data shares'!$C:$FA,119)</f>
        <v>0.66</v>
      </c>
      <c r="D77" s="143">
        <f>VLOOKUP($A77,'Data shares'!$C:$FA,121)*100</f>
        <v>-3.0300000000000002</v>
      </c>
      <c r="E77" s="143">
        <f>VLOOKUP($A77,'Data shares'!$C:$FA,124)</f>
        <v>0.35</v>
      </c>
      <c r="F77" s="143">
        <f>VLOOKUP($A77,'Data shares'!$C:$FA,125)</f>
        <v>0.4</v>
      </c>
      <c r="G77" s="143">
        <f>VLOOKUP($A77,'Data shares'!$C:$FA,127)*100</f>
        <v>-12.5</v>
      </c>
      <c r="H77" s="103">
        <f>VLOOKUP($A77,'OI(Volume)'!$A$7:$O$440,8)</f>
        <v>5796300</v>
      </c>
      <c r="I77" s="103">
        <f>VLOOKUP($A77,'OI(Volume)'!$A$7:$O$440,9)</f>
        <v>145200</v>
      </c>
      <c r="J77" s="103">
        <f>VLOOKUP($A77,'OI(Volume)'!$A$7:$O$440,11)</f>
        <v>3708750</v>
      </c>
      <c r="K77" s="103">
        <f>VLOOKUP($A77,'OI(Volume)'!$A$7:$O$440,12)</f>
        <v>-7500</v>
      </c>
      <c r="L77" s="103">
        <f>VLOOKUP($A77,'OI(Value)'!$A$7:$O$323,8,0)</f>
        <v>2267</v>
      </c>
      <c r="M77" s="103">
        <f>VLOOKUP($A77,'OI(Value)'!$A$7:$O$323,9,0)</f>
        <v>57</v>
      </c>
      <c r="N77" s="103">
        <f>VLOOKUP($A77,'OI(Value)'!$A$7:$O$323,11,0)</f>
        <v>1450</v>
      </c>
      <c r="O77" s="103">
        <f>VLOOKUP($A77,'OI(Value)'!$A$7:$O$323,12,0)</f>
        <v>-3</v>
      </c>
      <c r="P77" s="179">
        <f>VLOOKUP(A77,'OI(Value)'!A77:O295,8,0)</f>
        <v>2267</v>
      </c>
      <c r="Q77" s="179">
        <f>VLOOKUP(A77,'OI(Value)'!A77:O295,9,0)</f>
        <v>57</v>
      </c>
      <c r="R77" s="179">
        <f>VLOOKUP(A77,'OI(Value)'!A77:O295,11,0)</f>
        <v>1450</v>
      </c>
      <c r="S77" s="179">
        <f>VLOOKUP(A77,'OI(Value)'!A77:O295,11,0)</f>
        <v>1450</v>
      </c>
    </row>
    <row r="78" spans="1:19" x14ac:dyDescent="0.25">
      <c r="A78" s="105" t="str">
        <f>'Data Vlaue (Cr)'!C73</f>
        <v>HAVELLS</v>
      </c>
      <c r="B78" s="143">
        <f>VLOOKUP($A78,'Data shares'!$C:$FA,118)</f>
        <v>0.79</v>
      </c>
      <c r="C78" s="143">
        <f>VLOOKUP($A78,'Data shares'!$C:$FA,119)</f>
        <v>0.85</v>
      </c>
      <c r="D78" s="143">
        <f>VLOOKUP($A78,'Data shares'!$C:$FA,121)*100</f>
        <v>-7.06</v>
      </c>
      <c r="E78" s="143">
        <f>VLOOKUP($A78,'Data shares'!$C:$FA,124)</f>
        <v>0.32</v>
      </c>
      <c r="F78" s="143">
        <f>VLOOKUP($A78,'Data shares'!$C:$FA,125)</f>
        <v>0.91</v>
      </c>
      <c r="G78" s="143">
        <f>VLOOKUP($A78,'Data shares'!$C:$FA,127)*100</f>
        <v>-64.84</v>
      </c>
      <c r="H78" s="103">
        <f>VLOOKUP($A78,'OI(Volume)'!$A$7:$O$440,8)</f>
        <v>2478500</v>
      </c>
      <c r="I78" s="103">
        <f>VLOOKUP($A78,'OI(Volume)'!$A$7:$O$440,9)</f>
        <v>176000</v>
      </c>
      <c r="J78" s="103">
        <f>VLOOKUP($A78,'OI(Volume)'!$A$7:$O$440,11)</f>
        <v>1966000</v>
      </c>
      <c r="K78" s="103">
        <f>VLOOKUP($A78,'OI(Volume)'!$A$7:$O$440,12)</f>
        <v>2000</v>
      </c>
      <c r="L78" s="103">
        <f>VLOOKUP($A78,'OI(Value)'!$A$7:$O$323,8,0)</f>
        <v>336</v>
      </c>
      <c r="M78" s="103">
        <f>VLOOKUP($A78,'OI(Value)'!$A$7:$O$323,9,0)</f>
        <v>24</v>
      </c>
      <c r="N78" s="103">
        <f>VLOOKUP($A78,'OI(Value)'!$A$7:$O$323,11,0)</f>
        <v>266</v>
      </c>
      <c r="O78" s="103">
        <f>VLOOKUP($A78,'OI(Value)'!$A$7:$O$323,12,0)</f>
        <v>0</v>
      </c>
      <c r="P78" s="179">
        <f>VLOOKUP(A78,'OI(Value)'!A78:O296,8,0)</f>
        <v>336</v>
      </c>
      <c r="Q78" s="179">
        <f>VLOOKUP(A78,'OI(Value)'!A78:O296,9,0)</f>
        <v>24</v>
      </c>
      <c r="R78" s="179">
        <f>VLOOKUP(A78,'OI(Value)'!A78:O296,11,0)</f>
        <v>266</v>
      </c>
      <c r="S78" s="179">
        <f>VLOOKUP(A78,'OI(Value)'!A78:O296,11,0)</f>
        <v>266</v>
      </c>
    </row>
    <row r="79" spans="1:19" x14ac:dyDescent="0.25">
      <c r="A79" s="105" t="str">
        <f>'Data Vlaue (Cr)'!C74</f>
        <v>HCLTECH</v>
      </c>
      <c r="B79" s="143">
        <f>VLOOKUP($A79,'Data shares'!$C:$FA,118)</f>
        <v>0.6</v>
      </c>
      <c r="C79" s="143">
        <f>VLOOKUP($A79,'Data shares'!$C:$FA,119)</f>
        <v>0.6</v>
      </c>
      <c r="D79" s="143">
        <f>VLOOKUP($A79,'Data shares'!$C:$FA,121)*100</f>
        <v>0</v>
      </c>
      <c r="E79" s="143">
        <f>VLOOKUP($A79,'Data shares'!$C:$FA,124)</f>
        <v>0.77</v>
      </c>
      <c r="F79" s="143">
        <f>VLOOKUP($A79,'Data shares'!$C:$FA,125)</f>
        <v>0.57999999999999996</v>
      </c>
      <c r="G79" s="143">
        <f>VLOOKUP($A79,'Data shares'!$C:$FA,127)*100</f>
        <v>32.76</v>
      </c>
      <c r="H79" s="103">
        <f>VLOOKUP($A79,'OI(Volume)'!$A$7:$O$440,8)</f>
        <v>5676650</v>
      </c>
      <c r="I79" s="103">
        <f>VLOOKUP($A79,'OI(Volume)'!$A$7:$O$440,9)</f>
        <v>460250</v>
      </c>
      <c r="J79" s="103">
        <f>VLOOKUP($A79,'OI(Volume)'!$A$7:$O$440,11)</f>
        <v>3415650</v>
      </c>
      <c r="K79" s="103">
        <f>VLOOKUP($A79,'OI(Volume)'!$A$7:$O$440,12)</f>
        <v>270200</v>
      </c>
      <c r="L79" s="103">
        <f>VLOOKUP($A79,'OI(Value)'!$A$7:$O$323,8,0)</f>
        <v>770</v>
      </c>
      <c r="M79" s="103">
        <f>VLOOKUP($A79,'OI(Value)'!$A$7:$O$323,9,0)</f>
        <v>62</v>
      </c>
      <c r="N79" s="103">
        <f>VLOOKUP($A79,'OI(Value)'!$A$7:$O$323,11,0)</f>
        <v>463</v>
      </c>
      <c r="O79" s="103">
        <f>VLOOKUP($A79,'OI(Value)'!$A$7:$O$323,12,0)</f>
        <v>37</v>
      </c>
      <c r="P79" s="179">
        <f>VLOOKUP(A79,'OI(Value)'!A79:O297,8,0)</f>
        <v>770</v>
      </c>
      <c r="Q79" s="179">
        <f>VLOOKUP(A79,'OI(Value)'!A79:O297,9,0)</f>
        <v>62</v>
      </c>
      <c r="R79" s="179">
        <f>VLOOKUP(A79,'OI(Value)'!A79:O297,11,0)</f>
        <v>463</v>
      </c>
      <c r="S79" s="179">
        <f>VLOOKUP(A79,'OI(Value)'!A79:O297,11,0)</f>
        <v>463</v>
      </c>
    </row>
    <row r="80" spans="1:19" x14ac:dyDescent="0.25">
      <c r="A80" s="105" t="str">
        <f>'Data Vlaue (Cr)'!C75</f>
        <v>HDFCAMC</v>
      </c>
      <c r="B80" s="143">
        <f>VLOOKUP($A80,'Data shares'!$C:$FA,118)</f>
        <v>0.71</v>
      </c>
      <c r="C80" s="143">
        <f>VLOOKUP($A80,'Data shares'!$C:$FA,119)</f>
        <v>0.62</v>
      </c>
      <c r="D80" s="143">
        <f>VLOOKUP($A80,'Data shares'!$C:$FA,121)*100</f>
        <v>14.52</v>
      </c>
      <c r="E80" s="143">
        <f>VLOOKUP($A80,'Data shares'!$C:$FA,124)</f>
        <v>0.56000000000000005</v>
      </c>
      <c r="F80" s="143">
        <f>VLOOKUP($A80,'Data shares'!$C:$FA,125)</f>
        <v>0.67</v>
      </c>
      <c r="G80" s="143">
        <f>VLOOKUP($A80,'Data shares'!$C:$FA,127)*100</f>
        <v>-16.420000000000002</v>
      </c>
      <c r="H80" s="103">
        <f>VLOOKUP($A80,'OI(Volume)'!$A$7:$O$440,8)</f>
        <v>1093800</v>
      </c>
      <c r="I80" s="103">
        <f>VLOOKUP($A80,'OI(Volume)'!$A$7:$O$440,9)</f>
        <v>34200</v>
      </c>
      <c r="J80" s="103">
        <f>VLOOKUP($A80,'OI(Volume)'!$A$7:$O$440,11)</f>
        <v>781200</v>
      </c>
      <c r="K80" s="103">
        <f>VLOOKUP($A80,'OI(Volume)'!$A$7:$O$440,12)</f>
        <v>121800</v>
      </c>
      <c r="L80" s="103">
        <f>VLOOKUP($A80,'OI(Value)'!$A$7:$O$323,8,0)</f>
        <v>281</v>
      </c>
      <c r="M80" s="103">
        <f>VLOOKUP($A80,'OI(Value)'!$A$7:$O$323,9,0)</f>
        <v>9</v>
      </c>
      <c r="N80" s="103">
        <f>VLOOKUP($A80,'OI(Value)'!$A$7:$O$323,11,0)</f>
        <v>201</v>
      </c>
      <c r="O80" s="103">
        <f>VLOOKUP($A80,'OI(Value)'!$A$7:$O$323,12,0)</f>
        <v>31</v>
      </c>
      <c r="P80" s="179">
        <f>VLOOKUP(A80,'OI(Value)'!A80:O298,8,0)</f>
        <v>281</v>
      </c>
      <c r="Q80" s="179">
        <f>VLOOKUP(A80,'OI(Value)'!A80:O298,9,0)</f>
        <v>9</v>
      </c>
      <c r="R80" s="179">
        <f>VLOOKUP(A80,'OI(Value)'!A80:O298,11,0)</f>
        <v>201</v>
      </c>
      <c r="S80" s="179">
        <f>VLOOKUP(A80,'OI(Value)'!A80:O298,11,0)</f>
        <v>201</v>
      </c>
    </row>
    <row r="81" spans="1:19" x14ac:dyDescent="0.25">
      <c r="A81" s="105" t="str">
        <f>'Data Vlaue (Cr)'!C76</f>
        <v>HDFCBANK</v>
      </c>
      <c r="B81" s="143">
        <f>VLOOKUP($A81,'Data shares'!$C:$FA,118)</f>
        <v>0.59</v>
      </c>
      <c r="C81" s="143">
        <f>VLOOKUP($A81,'Data shares'!$C:$FA,119)</f>
        <v>0.6</v>
      </c>
      <c r="D81" s="143">
        <f>VLOOKUP($A81,'Data shares'!$C:$FA,121)*100</f>
        <v>-1.67</v>
      </c>
      <c r="E81" s="143">
        <f>VLOOKUP($A81,'Data shares'!$C:$FA,124)</f>
        <v>0.65</v>
      </c>
      <c r="F81" s="143">
        <f>VLOOKUP($A81,'Data shares'!$C:$FA,125)</f>
        <v>0.89</v>
      </c>
      <c r="G81" s="143">
        <f>VLOOKUP($A81,'Data shares'!$C:$FA,127)*100</f>
        <v>-26.97</v>
      </c>
      <c r="H81" s="103">
        <f>VLOOKUP($A81,'OI(Volume)'!$A$7:$O$440,8)</f>
        <v>61264500</v>
      </c>
      <c r="I81" s="103">
        <f>VLOOKUP($A81,'OI(Volume)'!$A$7:$O$440,9)</f>
        <v>2405150</v>
      </c>
      <c r="J81" s="103">
        <f>VLOOKUP($A81,'OI(Volume)'!$A$7:$O$440,11)</f>
        <v>36359400</v>
      </c>
      <c r="K81" s="103">
        <f>VLOOKUP($A81,'OI(Volume)'!$A$7:$O$440,12)</f>
        <v>1224300</v>
      </c>
      <c r="L81" s="103">
        <f>VLOOKUP($A81,'OI(Value)'!$A$7:$O$323,8,0)</f>
        <v>5405</v>
      </c>
      <c r="M81" s="103">
        <f>VLOOKUP($A81,'OI(Value)'!$A$7:$O$323,9,0)</f>
        <v>212</v>
      </c>
      <c r="N81" s="103">
        <f>VLOOKUP($A81,'OI(Value)'!$A$7:$O$323,11,0)</f>
        <v>3208</v>
      </c>
      <c r="O81" s="103">
        <f>VLOOKUP($A81,'OI(Value)'!$A$7:$O$323,12,0)</f>
        <v>108</v>
      </c>
      <c r="P81" s="179">
        <f>VLOOKUP(A81,'OI(Value)'!A81:O299,8,0)</f>
        <v>5405</v>
      </c>
      <c r="Q81" s="179">
        <f>VLOOKUP(A81,'OI(Value)'!A81:O299,9,0)</f>
        <v>212</v>
      </c>
      <c r="R81" s="179">
        <f>VLOOKUP(A81,'OI(Value)'!A81:O299,11,0)</f>
        <v>3208</v>
      </c>
      <c r="S81" s="179">
        <f>VLOOKUP(A81,'OI(Value)'!A81:O299,11,0)</f>
        <v>3208</v>
      </c>
    </row>
    <row r="82" spans="1:19" x14ac:dyDescent="0.25">
      <c r="A82" s="105" t="str">
        <f>'Data Vlaue (Cr)'!C77</f>
        <v>HDFCLIFE</v>
      </c>
      <c r="B82" s="143">
        <f>VLOOKUP($A82,'Data shares'!$C:$FA,118)</f>
        <v>0.42</v>
      </c>
      <c r="C82" s="143">
        <f>VLOOKUP($A82,'Data shares'!$C:$FA,119)</f>
        <v>0.42</v>
      </c>
      <c r="D82" s="143">
        <f>VLOOKUP($A82,'Data shares'!$C:$FA,121)*100</f>
        <v>0</v>
      </c>
      <c r="E82" s="143">
        <f>VLOOKUP($A82,'Data shares'!$C:$FA,124)</f>
        <v>0.68</v>
      </c>
      <c r="F82" s="143">
        <f>VLOOKUP($A82,'Data shares'!$C:$FA,125)</f>
        <v>0.55000000000000004</v>
      </c>
      <c r="G82" s="143">
        <f>VLOOKUP($A82,'Data shares'!$C:$FA,127)*100</f>
        <v>23.64</v>
      </c>
      <c r="H82" s="103">
        <f>VLOOKUP($A82,'OI(Volume)'!$A$7:$O$440,8)</f>
        <v>12276000</v>
      </c>
      <c r="I82" s="103">
        <f>VLOOKUP($A82,'OI(Volume)'!$A$7:$O$440,9)</f>
        <v>1722600</v>
      </c>
      <c r="J82" s="103">
        <f>VLOOKUP($A82,'OI(Volume)'!$A$7:$O$440,11)</f>
        <v>5189800</v>
      </c>
      <c r="K82" s="103">
        <f>VLOOKUP($A82,'OI(Volume)'!$A$7:$O$440,12)</f>
        <v>743600</v>
      </c>
      <c r="L82" s="103">
        <f>VLOOKUP($A82,'OI(Value)'!$A$7:$O$323,8,0)</f>
        <v>843</v>
      </c>
      <c r="M82" s="103">
        <f>VLOOKUP($A82,'OI(Value)'!$A$7:$O$323,9,0)</f>
        <v>118</v>
      </c>
      <c r="N82" s="103">
        <f>VLOOKUP($A82,'OI(Value)'!$A$7:$O$323,11,0)</f>
        <v>356</v>
      </c>
      <c r="O82" s="103">
        <f>VLOOKUP($A82,'OI(Value)'!$A$7:$O$323,12,0)</f>
        <v>51</v>
      </c>
      <c r="P82" s="179">
        <f>VLOOKUP(A82,'OI(Value)'!A82:O300,8,0)</f>
        <v>843</v>
      </c>
      <c r="Q82" s="179">
        <f>VLOOKUP(A82,'OI(Value)'!A82:O300,9,0)</f>
        <v>118</v>
      </c>
      <c r="R82" s="179">
        <f>VLOOKUP(A82,'OI(Value)'!A82:O300,11,0)</f>
        <v>356</v>
      </c>
      <c r="S82" s="179">
        <f>VLOOKUP(A82,'OI(Value)'!A82:O300,11,0)</f>
        <v>356</v>
      </c>
    </row>
    <row r="83" spans="1:19" x14ac:dyDescent="0.25">
      <c r="A83" s="105" t="str">
        <f>'Data Vlaue (Cr)'!C78</f>
        <v>HEROMOTOCO</v>
      </c>
      <c r="B83" s="143">
        <f>VLOOKUP($A83,'Data shares'!$C:$FA,118)</f>
        <v>0.66</v>
      </c>
      <c r="C83" s="143">
        <f>VLOOKUP($A83,'Data shares'!$C:$FA,119)</f>
        <v>0.69</v>
      </c>
      <c r="D83" s="143">
        <f>VLOOKUP($A83,'Data shares'!$C:$FA,121)*100</f>
        <v>-4.3499999999999996</v>
      </c>
      <c r="E83" s="143">
        <f>VLOOKUP($A83,'Data shares'!$C:$FA,124)</f>
        <v>0.5</v>
      </c>
      <c r="F83" s="143">
        <f>VLOOKUP($A83,'Data shares'!$C:$FA,125)</f>
        <v>0.82</v>
      </c>
      <c r="G83" s="143">
        <f>VLOOKUP($A83,'Data shares'!$C:$FA,127)*100</f>
        <v>-39.019999999999996</v>
      </c>
      <c r="H83" s="103">
        <f>VLOOKUP($A83,'OI(Volume)'!$A$7:$O$440,8)</f>
        <v>1583100</v>
      </c>
      <c r="I83" s="103">
        <f>VLOOKUP($A83,'OI(Volume)'!$A$7:$O$440,9)</f>
        <v>26250</v>
      </c>
      <c r="J83" s="103">
        <f>VLOOKUP($A83,'OI(Volume)'!$A$7:$O$440,11)</f>
        <v>1038000</v>
      </c>
      <c r="K83" s="103">
        <f>VLOOKUP($A83,'OI(Volume)'!$A$7:$O$440,12)</f>
        <v>-32100</v>
      </c>
      <c r="L83" s="103">
        <f>VLOOKUP($A83,'OI(Value)'!$A$7:$O$323,8,0)</f>
        <v>887</v>
      </c>
      <c r="M83" s="103">
        <f>VLOOKUP($A83,'OI(Value)'!$A$7:$O$323,9,0)</f>
        <v>15</v>
      </c>
      <c r="N83" s="103">
        <f>VLOOKUP($A83,'OI(Value)'!$A$7:$O$323,11,0)</f>
        <v>581</v>
      </c>
      <c r="O83" s="103">
        <f>VLOOKUP($A83,'OI(Value)'!$A$7:$O$323,12,0)</f>
        <v>-18</v>
      </c>
      <c r="P83" s="179">
        <f>VLOOKUP(A83,'OI(Value)'!A83:O301,8,0)</f>
        <v>887</v>
      </c>
      <c r="Q83" s="179">
        <f>VLOOKUP(A83,'OI(Value)'!A83:O301,9,0)</f>
        <v>15</v>
      </c>
      <c r="R83" s="179">
        <f>VLOOKUP(A83,'OI(Value)'!A83:O301,11,0)</f>
        <v>581</v>
      </c>
      <c r="S83" s="179">
        <f>VLOOKUP(A83,'OI(Value)'!A83:O301,11,0)</f>
        <v>581</v>
      </c>
    </row>
    <row r="84" spans="1:19" x14ac:dyDescent="0.25">
      <c r="A84" s="105" t="str">
        <f>'Data Vlaue (Cr)'!C79</f>
        <v>HINDALCO</v>
      </c>
      <c r="B84" s="143">
        <f>VLOOKUP($A84,'Data shares'!$C:$FA,118)</f>
        <v>0.85</v>
      </c>
      <c r="C84" s="143">
        <f>VLOOKUP($A84,'Data shares'!$C:$FA,119)</f>
        <v>0.84</v>
      </c>
      <c r="D84" s="143">
        <f>VLOOKUP($A84,'Data shares'!$C:$FA,121)*100</f>
        <v>1.1900000000000002</v>
      </c>
      <c r="E84" s="143">
        <f>VLOOKUP($A84,'Data shares'!$C:$FA,124)</f>
        <v>0.47</v>
      </c>
      <c r="F84" s="143">
        <f>VLOOKUP($A84,'Data shares'!$C:$FA,125)</f>
        <v>0.98</v>
      </c>
      <c r="G84" s="143">
        <f>VLOOKUP($A84,'Data shares'!$C:$FA,127)*100</f>
        <v>-52.04</v>
      </c>
      <c r="H84" s="103">
        <f>VLOOKUP($A84,'OI(Volume)'!$A$7:$O$440,8)</f>
        <v>10821300</v>
      </c>
      <c r="I84" s="103">
        <f>VLOOKUP($A84,'OI(Volume)'!$A$7:$O$440,9)</f>
        <v>2188200</v>
      </c>
      <c r="J84" s="103">
        <f>VLOOKUP($A84,'OI(Volume)'!$A$7:$O$440,11)</f>
        <v>9162300</v>
      </c>
      <c r="K84" s="103">
        <f>VLOOKUP($A84,'OI(Volume)'!$A$7:$O$440,12)</f>
        <v>1908900</v>
      </c>
      <c r="L84" s="103">
        <f>VLOOKUP($A84,'OI(Value)'!$A$7:$O$323,8,0)</f>
        <v>1035</v>
      </c>
      <c r="M84" s="103">
        <f>VLOOKUP($A84,'OI(Value)'!$A$7:$O$323,9,0)</f>
        <v>209</v>
      </c>
      <c r="N84" s="103">
        <f>VLOOKUP($A84,'OI(Value)'!$A$7:$O$323,11,0)</f>
        <v>877</v>
      </c>
      <c r="O84" s="103">
        <f>VLOOKUP($A84,'OI(Value)'!$A$7:$O$323,12,0)</f>
        <v>183</v>
      </c>
      <c r="P84" s="179">
        <f>VLOOKUP(A84,'OI(Value)'!A84:O302,8,0)</f>
        <v>1035</v>
      </c>
      <c r="Q84" s="179">
        <f>VLOOKUP(A84,'OI(Value)'!A84:O302,9,0)</f>
        <v>209</v>
      </c>
      <c r="R84" s="179">
        <f>VLOOKUP(A84,'OI(Value)'!A84:O302,11,0)</f>
        <v>877</v>
      </c>
      <c r="S84" s="179">
        <f>VLOOKUP(A84,'OI(Value)'!A84:O302,11,0)</f>
        <v>877</v>
      </c>
    </row>
    <row r="85" spans="1:19" x14ac:dyDescent="0.25">
      <c r="A85" s="105" t="str">
        <f>'Data Vlaue (Cr)'!C80</f>
        <v>HINDPETRO</v>
      </c>
      <c r="B85" s="143">
        <f>VLOOKUP($A85,'Data shares'!$C:$FA,118)</f>
        <v>0.98</v>
      </c>
      <c r="C85" s="143">
        <f>VLOOKUP($A85,'Data shares'!$C:$FA,119)</f>
        <v>1.1200000000000001</v>
      </c>
      <c r="D85" s="143">
        <f>VLOOKUP($A85,'Data shares'!$C:$FA,121)*100</f>
        <v>-12.5</v>
      </c>
      <c r="E85" s="143">
        <f>VLOOKUP($A85,'Data shares'!$C:$FA,124)</f>
        <v>1.02</v>
      </c>
      <c r="F85" s="143">
        <f>VLOOKUP($A85,'Data shares'!$C:$FA,125)</f>
        <v>1.34</v>
      </c>
      <c r="G85" s="143">
        <f>VLOOKUP($A85,'Data shares'!$C:$FA,127)*100</f>
        <v>-23.880000000000003</v>
      </c>
      <c r="H85" s="103">
        <f>VLOOKUP($A85,'OI(Volume)'!$A$7:$O$440,8)</f>
        <v>13846950</v>
      </c>
      <c r="I85" s="103">
        <f>VLOOKUP($A85,'OI(Volume)'!$A$7:$O$440,9)</f>
        <v>2425950</v>
      </c>
      <c r="J85" s="103">
        <f>VLOOKUP($A85,'OI(Volume)'!$A$7:$O$440,11)</f>
        <v>13579650</v>
      </c>
      <c r="K85" s="103">
        <f>VLOOKUP($A85,'OI(Volume)'!$A$7:$O$440,12)</f>
        <v>822150</v>
      </c>
      <c r="L85" s="103">
        <f>VLOOKUP($A85,'OI(Value)'!$A$7:$O$323,8,0)</f>
        <v>579</v>
      </c>
      <c r="M85" s="103">
        <f>VLOOKUP($A85,'OI(Value)'!$A$7:$O$323,9,0)</f>
        <v>101</v>
      </c>
      <c r="N85" s="103">
        <f>VLOOKUP($A85,'OI(Value)'!$A$7:$O$323,11,0)</f>
        <v>567</v>
      </c>
      <c r="O85" s="103">
        <f>VLOOKUP($A85,'OI(Value)'!$A$7:$O$323,12,0)</f>
        <v>34</v>
      </c>
      <c r="P85" s="179">
        <f>VLOOKUP(A85,'OI(Value)'!A85:O303,8,0)</f>
        <v>579</v>
      </c>
      <c r="Q85" s="179">
        <f>VLOOKUP(A85,'OI(Value)'!A85:O303,9,0)</f>
        <v>101</v>
      </c>
      <c r="R85" s="179">
        <f>VLOOKUP(A85,'OI(Value)'!A85:O303,11,0)</f>
        <v>567</v>
      </c>
      <c r="S85" s="179">
        <f>VLOOKUP(A85,'OI(Value)'!A85:O303,11,0)</f>
        <v>567</v>
      </c>
    </row>
    <row r="86" spans="1:19" x14ac:dyDescent="0.25">
      <c r="A86" s="105" t="str">
        <f>'Data Vlaue (Cr)'!C81</f>
        <v>HINDUNILVR</v>
      </c>
      <c r="B86" s="143">
        <f>VLOOKUP($A86,'Data shares'!$C:$FA,118)</f>
        <v>0.55000000000000004</v>
      </c>
      <c r="C86" s="143">
        <f>VLOOKUP($A86,'Data shares'!$C:$FA,119)</f>
        <v>0.52</v>
      </c>
      <c r="D86" s="143">
        <f>VLOOKUP($A86,'Data shares'!$C:$FA,121)*100</f>
        <v>5.7700000000000005</v>
      </c>
      <c r="E86" s="143">
        <f>VLOOKUP($A86,'Data shares'!$C:$FA,124)</f>
        <v>0.54</v>
      </c>
      <c r="F86" s="143">
        <f>VLOOKUP($A86,'Data shares'!$C:$FA,125)</f>
        <v>0.73</v>
      </c>
      <c r="G86" s="143">
        <f>VLOOKUP($A86,'Data shares'!$C:$FA,127)*100</f>
        <v>-26.029999999999998</v>
      </c>
      <c r="H86" s="103">
        <f>VLOOKUP($A86,'OI(Volume)'!$A$7:$O$440,8)</f>
        <v>4847700</v>
      </c>
      <c r="I86" s="103">
        <f>VLOOKUP($A86,'OI(Volume)'!$A$7:$O$440,9)</f>
        <v>108600</v>
      </c>
      <c r="J86" s="103">
        <f>VLOOKUP($A86,'OI(Volume)'!$A$7:$O$440,11)</f>
        <v>2643300</v>
      </c>
      <c r="K86" s="103">
        <f>VLOOKUP($A86,'OI(Volume)'!$A$7:$O$440,12)</f>
        <v>198600</v>
      </c>
      <c r="L86" s="103">
        <f>VLOOKUP($A86,'OI(Value)'!$A$7:$O$323,8,0)</f>
        <v>1099</v>
      </c>
      <c r="M86" s="103">
        <f>VLOOKUP($A86,'OI(Value)'!$A$7:$O$323,9,0)</f>
        <v>25</v>
      </c>
      <c r="N86" s="103">
        <f>VLOOKUP($A86,'OI(Value)'!$A$7:$O$323,11,0)</f>
        <v>599</v>
      </c>
      <c r="O86" s="103">
        <f>VLOOKUP($A86,'OI(Value)'!$A$7:$O$323,12,0)</f>
        <v>45</v>
      </c>
      <c r="P86" s="179">
        <f>VLOOKUP(A86,'OI(Value)'!A86:O304,8,0)</f>
        <v>1099</v>
      </c>
      <c r="Q86" s="179">
        <f>VLOOKUP(A86,'OI(Value)'!A86:O304,9,0)</f>
        <v>25</v>
      </c>
      <c r="R86" s="179">
        <f>VLOOKUP(A86,'OI(Value)'!A86:O304,11,0)</f>
        <v>599</v>
      </c>
      <c r="S86" s="179">
        <f>VLOOKUP(A86,'OI(Value)'!A86:O304,11,0)</f>
        <v>599</v>
      </c>
    </row>
    <row r="87" spans="1:19" x14ac:dyDescent="0.25">
      <c r="A87" s="105" t="str">
        <f>'Data Vlaue (Cr)'!C82</f>
        <v>HINDZINC</v>
      </c>
      <c r="B87" s="143">
        <f>VLOOKUP($A87,'Data shares'!$C:$FA,118)</f>
        <v>0.56000000000000005</v>
      </c>
      <c r="C87" s="143">
        <f>VLOOKUP($A87,'Data shares'!$C:$FA,119)</f>
        <v>0.62</v>
      </c>
      <c r="D87" s="143">
        <f>VLOOKUP($A87,'Data shares'!$C:$FA,121)*100</f>
        <v>-9.68</v>
      </c>
      <c r="E87" s="143">
        <f>VLOOKUP($A87,'Data shares'!$C:$FA,124)</f>
        <v>0.42</v>
      </c>
      <c r="F87" s="143">
        <f>VLOOKUP($A87,'Data shares'!$C:$FA,125)</f>
        <v>0.75</v>
      </c>
      <c r="G87" s="143">
        <f>VLOOKUP($A87,'Data shares'!$C:$FA,127)*100</f>
        <v>-44</v>
      </c>
      <c r="H87" s="103">
        <f>VLOOKUP($A87,'OI(Volume)'!$A$7:$O$440,8)</f>
        <v>27084750</v>
      </c>
      <c r="I87" s="103">
        <f>VLOOKUP($A87,'OI(Volume)'!$A$7:$O$440,9)</f>
        <v>1751750</v>
      </c>
      <c r="J87" s="103">
        <f>VLOOKUP($A87,'OI(Volume)'!$A$7:$O$440,11)</f>
        <v>15294125</v>
      </c>
      <c r="K87" s="103">
        <f>VLOOKUP($A87,'OI(Volume)'!$A$7:$O$440,12)</f>
        <v>-313600</v>
      </c>
      <c r="L87" s="103">
        <f>VLOOKUP($A87,'OI(Value)'!$A$7:$O$323,8,0)</f>
        <v>1616</v>
      </c>
      <c r="M87" s="103">
        <f>VLOOKUP($A87,'OI(Value)'!$A$7:$O$323,9,0)</f>
        <v>105</v>
      </c>
      <c r="N87" s="103">
        <f>VLOOKUP($A87,'OI(Value)'!$A$7:$O$323,11,0)</f>
        <v>912</v>
      </c>
      <c r="O87" s="103">
        <f>VLOOKUP($A87,'OI(Value)'!$A$7:$O$323,12,0)</f>
        <v>-19</v>
      </c>
      <c r="P87" s="179">
        <f>VLOOKUP(A87,'OI(Value)'!A87:O305,8,0)</f>
        <v>1616</v>
      </c>
      <c r="Q87" s="179">
        <f>VLOOKUP(A87,'OI(Value)'!A87:O305,9,0)</f>
        <v>105</v>
      </c>
      <c r="R87" s="179">
        <f>VLOOKUP(A87,'OI(Value)'!A87:O305,11,0)</f>
        <v>912</v>
      </c>
      <c r="S87" s="179">
        <f>VLOOKUP(A87,'OI(Value)'!A87:O305,11,0)</f>
        <v>912</v>
      </c>
    </row>
    <row r="88" spans="1:19" x14ac:dyDescent="0.25">
      <c r="A88" s="105" t="str">
        <f>'Data Vlaue (Cr)'!C83</f>
        <v>HUDCO</v>
      </c>
      <c r="B88" s="143">
        <f>VLOOKUP($A88,'Data shares'!$C:$FA,118)</f>
        <v>0.72</v>
      </c>
      <c r="C88" s="143">
        <f>VLOOKUP($A88,'Data shares'!$C:$FA,119)</f>
        <v>0.73</v>
      </c>
      <c r="D88" s="143">
        <f>VLOOKUP($A88,'Data shares'!$C:$FA,121)*100</f>
        <v>-1.37</v>
      </c>
      <c r="E88" s="143">
        <f>VLOOKUP($A88,'Data shares'!$C:$FA,124)</f>
        <v>0.42</v>
      </c>
      <c r="F88" s="143">
        <f>VLOOKUP($A88,'Data shares'!$C:$FA,125)</f>
        <v>0.57999999999999996</v>
      </c>
      <c r="G88" s="143">
        <f>VLOOKUP($A88,'Data shares'!$C:$FA,127)*100</f>
        <v>-27.589999999999996</v>
      </c>
      <c r="H88" s="103">
        <f>VLOOKUP($A88,'OI(Volume)'!$A$7:$O$440,8)</f>
        <v>17657325</v>
      </c>
      <c r="I88" s="103">
        <f>VLOOKUP($A88,'OI(Volume)'!$A$7:$O$440,9)</f>
        <v>793650</v>
      </c>
      <c r="J88" s="103">
        <f>VLOOKUP($A88,'OI(Volume)'!$A$7:$O$440,11)</f>
        <v>12742800</v>
      </c>
      <c r="K88" s="103">
        <f>VLOOKUP($A88,'OI(Volume)'!$A$7:$O$440,12)</f>
        <v>352425</v>
      </c>
      <c r="L88" s="103">
        <f>VLOOKUP($A88,'OI(Value)'!$A$7:$O$323,8,0)</f>
        <v>316</v>
      </c>
      <c r="M88" s="103">
        <f>VLOOKUP($A88,'OI(Value)'!$A$7:$O$323,9,0)</f>
        <v>14</v>
      </c>
      <c r="N88" s="103">
        <f>VLOOKUP($A88,'OI(Value)'!$A$7:$O$323,11,0)</f>
        <v>228</v>
      </c>
      <c r="O88" s="103">
        <f>VLOOKUP($A88,'OI(Value)'!$A$7:$O$323,12,0)</f>
        <v>6</v>
      </c>
      <c r="P88" s="179">
        <f>VLOOKUP(A88,'OI(Value)'!A88:O306,8,0)</f>
        <v>316</v>
      </c>
      <c r="Q88" s="179">
        <f>VLOOKUP(A88,'OI(Value)'!A88:O306,9,0)</f>
        <v>14</v>
      </c>
      <c r="R88" s="179">
        <f>VLOOKUP(A88,'OI(Value)'!A88:O306,11,0)</f>
        <v>228</v>
      </c>
      <c r="S88" s="179">
        <f>VLOOKUP(A88,'OI(Value)'!A88:O306,11,0)</f>
        <v>228</v>
      </c>
    </row>
    <row r="89" spans="1:19" x14ac:dyDescent="0.25">
      <c r="A89" s="105" t="str">
        <f>'Data Vlaue (Cr)'!C84</f>
        <v>ICICIBANK</v>
      </c>
      <c r="B89" s="143">
        <f>VLOOKUP($A89,'Data shares'!$C:$FA,118)</f>
        <v>0.63</v>
      </c>
      <c r="C89" s="143">
        <f>VLOOKUP($A89,'Data shares'!$C:$FA,119)</f>
        <v>0.71</v>
      </c>
      <c r="D89" s="143">
        <f>VLOOKUP($A89,'Data shares'!$C:$FA,121)*100</f>
        <v>-11.27</v>
      </c>
      <c r="E89" s="143">
        <f>VLOOKUP($A89,'Data shares'!$C:$FA,124)</f>
        <v>0.52</v>
      </c>
      <c r="F89" s="143">
        <f>VLOOKUP($A89,'Data shares'!$C:$FA,125)</f>
        <v>0.69</v>
      </c>
      <c r="G89" s="143">
        <f>VLOOKUP($A89,'Data shares'!$C:$FA,127)*100</f>
        <v>-24.64</v>
      </c>
      <c r="H89" s="103">
        <f>VLOOKUP($A89,'OI(Volume)'!$A$7:$O$440,8)</f>
        <v>23703400</v>
      </c>
      <c r="I89" s="103">
        <f>VLOOKUP($A89,'OI(Volume)'!$A$7:$O$440,9)</f>
        <v>2365300</v>
      </c>
      <c r="J89" s="103">
        <f>VLOOKUP($A89,'OI(Volume)'!$A$7:$O$440,11)</f>
        <v>14872900</v>
      </c>
      <c r="K89" s="103">
        <f>VLOOKUP($A89,'OI(Volume)'!$A$7:$O$440,12)</f>
        <v>-244300</v>
      </c>
      <c r="L89" s="103">
        <f>VLOOKUP($A89,'OI(Value)'!$A$7:$O$323,8,0)</f>
        <v>3227</v>
      </c>
      <c r="M89" s="103">
        <f>VLOOKUP($A89,'OI(Value)'!$A$7:$O$323,9,0)</f>
        <v>322</v>
      </c>
      <c r="N89" s="103">
        <f>VLOOKUP($A89,'OI(Value)'!$A$7:$O$323,11,0)</f>
        <v>2025</v>
      </c>
      <c r="O89" s="103">
        <f>VLOOKUP($A89,'OI(Value)'!$A$7:$O$323,12,0)</f>
        <v>-33</v>
      </c>
      <c r="P89" s="179">
        <f>VLOOKUP(A89,'OI(Value)'!A89:O307,8,0)</f>
        <v>3227</v>
      </c>
      <c r="Q89" s="179">
        <f>VLOOKUP(A89,'OI(Value)'!A89:O307,9,0)</f>
        <v>322</v>
      </c>
      <c r="R89" s="179">
        <f>VLOOKUP(A89,'OI(Value)'!A89:O307,11,0)</f>
        <v>2025</v>
      </c>
      <c r="S89" s="179">
        <f>VLOOKUP(A89,'OI(Value)'!A89:O307,11,0)</f>
        <v>2025</v>
      </c>
    </row>
    <row r="90" spans="1:19" x14ac:dyDescent="0.25">
      <c r="A90" s="105" t="str">
        <f>'Data Vlaue (Cr)'!C85</f>
        <v>ICICIGI</v>
      </c>
      <c r="B90" s="143">
        <f>VLOOKUP($A90,'Data shares'!$C:$FA,118)</f>
        <v>0.75</v>
      </c>
      <c r="C90" s="143">
        <f>VLOOKUP($A90,'Data shares'!$C:$FA,119)</f>
        <v>0.86</v>
      </c>
      <c r="D90" s="143">
        <f>VLOOKUP($A90,'Data shares'!$C:$FA,121)*100</f>
        <v>-12.790000000000001</v>
      </c>
      <c r="E90" s="143">
        <f>VLOOKUP($A90,'Data shares'!$C:$FA,124)</f>
        <v>0.6</v>
      </c>
      <c r="F90" s="143">
        <f>VLOOKUP($A90,'Data shares'!$C:$FA,125)</f>
        <v>0.84</v>
      </c>
      <c r="G90" s="143">
        <f>VLOOKUP($A90,'Data shares'!$C:$FA,127)*100</f>
        <v>-28.57</v>
      </c>
      <c r="H90" s="103">
        <f>VLOOKUP($A90,'OI(Volume)'!$A$7:$O$440,8)</f>
        <v>815425</v>
      </c>
      <c r="I90" s="103">
        <f>VLOOKUP($A90,'OI(Volume)'!$A$7:$O$440,9)</f>
        <v>63375</v>
      </c>
      <c r="J90" s="103">
        <f>VLOOKUP($A90,'OI(Volume)'!$A$7:$O$440,11)</f>
        <v>609050</v>
      </c>
      <c r="K90" s="103">
        <f>VLOOKUP($A90,'OI(Volume)'!$A$7:$O$440,12)</f>
        <v>-34775</v>
      </c>
      <c r="L90" s="103">
        <f>VLOOKUP($A90,'OI(Value)'!$A$7:$O$323,8,0)</f>
        <v>153</v>
      </c>
      <c r="M90" s="103">
        <f>VLOOKUP($A90,'OI(Value)'!$A$7:$O$323,9,0)</f>
        <v>12</v>
      </c>
      <c r="N90" s="103">
        <f>VLOOKUP($A90,'OI(Value)'!$A$7:$O$323,11,0)</f>
        <v>114</v>
      </c>
      <c r="O90" s="103">
        <f>VLOOKUP($A90,'OI(Value)'!$A$7:$O$323,12,0)</f>
        <v>-7</v>
      </c>
      <c r="P90" s="179">
        <f>VLOOKUP(A90,'OI(Value)'!A90:O308,8,0)</f>
        <v>153</v>
      </c>
      <c r="Q90" s="179">
        <f>VLOOKUP(A90,'OI(Value)'!A90:O308,9,0)</f>
        <v>12</v>
      </c>
      <c r="R90" s="179">
        <f>VLOOKUP(A90,'OI(Value)'!A90:O308,11,0)</f>
        <v>114</v>
      </c>
      <c r="S90" s="179">
        <f>VLOOKUP(A90,'OI(Value)'!A90:O308,11,0)</f>
        <v>114</v>
      </c>
    </row>
    <row r="91" spans="1:19" x14ac:dyDescent="0.25">
      <c r="A91" s="105" t="str">
        <f>'Data Vlaue (Cr)'!C86</f>
        <v>ICICIPRULI</v>
      </c>
      <c r="B91" s="143">
        <f>VLOOKUP($A91,'Data shares'!$C:$FA,118)</f>
        <v>0.68</v>
      </c>
      <c r="C91" s="143">
        <f>VLOOKUP($A91,'Data shares'!$C:$FA,119)</f>
        <v>0.67</v>
      </c>
      <c r="D91" s="143">
        <f>VLOOKUP($A91,'Data shares'!$C:$FA,121)*100</f>
        <v>1.49</v>
      </c>
      <c r="E91" s="143">
        <f>VLOOKUP($A91,'Data shares'!$C:$FA,124)</f>
        <v>0.95</v>
      </c>
      <c r="F91" s="143">
        <f>VLOOKUP($A91,'Data shares'!$C:$FA,125)</f>
        <v>0.72</v>
      </c>
      <c r="G91" s="143">
        <f>VLOOKUP($A91,'Data shares'!$C:$FA,127)*100</f>
        <v>31.94</v>
      </c>
      <c r="H91" s="103">
        <f>VLOOKUP($A91,'OI(Volume)'!$A$7:$O$440,8)</f>
        <v>2842525</v>
      </c>
      <c r="I91" s="103">
        <f>VLOOKUP($A91,'OI(Volume)'!$A$7:$O$440,9)</f>
        <v>246975</v>
      </c>
      <c r="J91" s="103">
        <f>VLOOKUP($A91,'OI(Volume)'!$A$7:$O$440,11)</f>
        <v>1928625</v>
      </c>
      <c r="K91" s="103">
        <f>VLOOKUP($A91,'OI(Volume)'!$A$7:$O$440,12)</f>
        <v>183150</v>
      </c>
      <c r="L91" s="103">
        <f>VLOOKUP($A91,'OI(Value)'!$A$7:$O$323,8,0)</f>
        <v>179</v>
      </c>
      <c r="M91" s="103">
        <f>VLOOKUP($A91,'OI(Value)'!$A$7:$O$323,9,0)</f>
        <v>16</v>
      </c>
      <c r="N91" s="103">
        <f>VLOOKUP($A91,'OI(Value)'!$A$7:$O$323,11,0)</f>
        <v>121</v>
      </c>
      <c r="O91" s="103">
        <f>VLOOKUP($A91,'OI(Value)'!$A$7:$O$323,12,0)</f>
        <v>12</v>
      </c>
      <c r="P91" s="179">
        <f>VLOOKUP(A91,'OI(Value)'!A91:O309,8,0)</f>
        <v>179</v>
      </c>
      <c r="Q91" s="179">
        <f>VLOOKUP(A91,'OI(Value)'!A91:O309,9,0)</f>
        <v>16</v>
      </c>
      <c r="R91" s="179">
        <f>VLOOKUP(A91,'OI(Value)'!A91:O309,11,0)</f>
        <v>121</v>
      </c>
      <c r="S91" s="179">
        <f>VLOOKUP(A91,'OI(Value)'!A91:O309,11,0)</f>
        <v>121</v>
      </c>
    </row>
    <row r="92" spans="1:19" x14ac:dyDescent="0.25">
      <c r="A92" s="105" t="str">
        <f>'Data Vlaue (Cr)'!C87</f>
        <v>IDEA</v>
      </c>
      <c r="B92" s="143">
        <f>VLOOKUP($A92,'Data shares'!$C:$FA,118)</f>
        <v>0.52</v>
      </c>
      <c r="C92" s="143">
        <f>VLOOKUP($A92,'Data shares'!$C:$FA,119)</f>
        <v>0.57999999999999996</v>
      </c>
      <c r="D92" s="143">
        <f>VLOOKUP($A92,'Data shares'!$C:$FA,121)*100</f>
        <v>-10.34</v>
      </c>
      <c r="E92" s="143">
        <f>VLOOKUP($A92,'Data shares'!$C:$FA,124)</f>
        <v>0.33</v>
      </c>
      <c r="F92" s="143">
        <f>VLOOKUP($A92,'Data shares'!$C:$FA,125)</f>
        <v>0.61</v>
      </c>
      <c r="G92" s="143">
        <f>VLOOKUP($A92,'Data shares'!$C:$FA,127)*100</f>
        <v>-45.9</v>
      </c>
      <c r="H92" s="103">
        <f>VLOOKUP($A92,'OI(Volume)'!$A$7:$O$440,8)</f>
        <v>1749207675</v>
      </c>
      <c r="I92" s="103">
        <f>VLOOKUP($A92,'OI(Volume)'!$A$7:$O$440,9)</f>
        <v>207063075</v>
      </c>
      <c r="J92" s="103">
        <f>VLOOKUP($A92,'OI(Volume)'!$A$7:$O$440,11)</f>
        <v>906803325</v>
      </c>
      <c r="K92" s="103">
        <f>VLOOKUP($A92,'OI(Volume)'!$A$7:$O$440,12)</f>
        <v>18797925</v>
      </c>
      <c r="L92" s="103">
        <f>VLOOKUP($A92,'OI(Value)'!$A$7:$O$323,8,0)</f>
        <v>1798</v>
      </c>
      <c r="M92" s="103">
        <f>VLOOKUP($A92,'OI(Value)'!$A$7:$O$323,9,0)</f>
        <v>213</v>
      </c>
      <c r="N92" s="103">
        <f>VLOOKUP($A92,'OI(Value)'!$A$7:$O$323,11,0)</f>
        <v>932</v>
      </c>
      <c r="O92" s="103">
        <f>VLOOKUP($A92,'OI(Value)'!$A$7:$O$323,12,0)</f>
        <v>19</v>
      </c>
      <c r="P92" s="179">
        <f>VLOOKUP(A92,'OI(Value)'!A92:O310,8,0)</f>
        <v>1798</v>
      </c>
      <c r="Q92" s="179">
        <f>VLOOKUP(A92,'OI(Value)'!A92:O310,9,0)</f>
        <v>213</v>
      </c>
      <c r="R92" s="179">
        <f>VLOOKUP(A92,'OI(Value)'!A92:O310,11,0)</f>
        <v>932</v>
      </c>
      <c r="S92" s="179">
        <f>VLOOKUP(A92,'OI(Value)'!A92:O310,11,0)</f>
        <v>932</v>
      </c>
    </row>
    <row r="93" spans="1:19" x14ac:dyDescent="0.25">
      <c r="A93" s="105" t="str">
        <f>'Data Vlaue (Cr)'!C88</f>
        <v>IDFCFIRSTB</v>
      </c>
      <c r="B93" s="143">
        <f>VLOOKUP($A93,'Data shares'!$C:$FA,118)</f>
        <v>0.68</v>
      </c>
      <c r="C93" s="143">
        <f>VLOOKUP($A93,'Data shares'!$C:$FA,119)</f>
        <v>0.67</v>
      </c>
      <c r="D93" s="143">
        <f>VLOOKUP($A93,'Data shares'!$C:$FA,121)*100</f>
        <v>1.49</v>
      </c>
      <c r="E93" s="143">
        <f>VLOOKUP($A93,'Data shares'!$C:$FA,124)</f>
        <v>0.55000000000000004</v>
      </c>
      <c r="F93" s="143">
        <f>VLOOKUP($A93,'Data shares'!$C:$FA,125)</f>
        <v>0.78</v>
      </c>
      <c r="G93" s="143">
        <f>VLOOKUP($A93,'Data shares'!$C:$FA,127)*100</f>
        <v>-29.49</v>
      </c>
      <c r="H93" s="103">
        <f>VLOOKUP($A93,'OI(Volume)'!$A$7:$O$440,8)</f>
        <v>307540450</v>
      </c>
      <c r="I93" s="103">
        <f>VLOOKUP($A93,'OI(Volume)'!$A$7:$O$440,9)</f>
        <v>8338225</v>
      </c>
      <c r="J93" s="103">
        <f>VLOOKUP($A93,'OI(Volume)'!$A$7:$O$440,11)</f>
        <v>207982600</v>
      </c>
      <c r="K93" s="103">
        <f>VLOOKUP($A93,'OI(Volume)'!$A$7:$O$440,12)</f>
        <v>8162000</v>
      </c>
      <c r="L93" s="103">
        <f>VLOOKUP($A93,'OI(Value)'!$A$7:$O$323,8,0)</f>
        <v>2176</v>
      </c>
      <c r="M93" s="103">
        <f>VLOOKUP($A93,'OI(Value)'!$A$7:$O$323,9,0)</f>
        <v>59</v>
      </c>
      <c r="N93" s="103">
        <f>VLOOKUP($A93,'OI(Value)'!$A$7:$O$323,11,0)</f>
        <v>1471</v>
      </c>
      <c r="O93" s="103">
        <f>VLOOKUP($A93,'OI(Value)'!$A$7:$O$323,12,0)</f>
        <v>58</v>
      </c>
      <c r="P93" s="179">
        <f>VLOOKUP(A93,'OI(Value)'!A93:O311,8,0)</f>
        <v>2176</v>
      </c>
      <c r="Q93" s="179">
        <f>VLOOKUP(A93,'OI(Value)'!A93:O311,9,0)</f>
        <v>59</v>
      </c>
      <c r="R93" s="179">
        <f>VLOOKUP(A93,'OI(Value)'!A93:O311,11,0)</f>
        <v>1471</v>
      </c>
      <c r="S93" s="179">
        <f>VLOOKUP(A93,'OI(Value)'!A93:O311,11,0)</f>
        <v>1471</v>
      </c>
    </row>
    <row r="94" spans="1:19" x14ac:dyDescent="0.25">
      <c r="A94" s="105" t="str">
        <f>'Data Vlaue (Cr)'!C89</f>
        <v>IEX</v>
      </c>
      <c r="B94" s="143">
        <f>VLOOKUP($A94,'Data shares'!$C:$FA,118)</f>
        <v>0.78</v>
      </c>
      <c r="C94" s="143">
        <f>VLOOKUP($A94,'Data shares'!$C:$FA,119)</f>
        <v>0.77</v>
      </c>
      <c r="D94" s="143">
        <f>VLOOKUP($A94,'Data shares'!$C:$FA,121)*100</f>
        <v>1.3</v>
      </c>
      <c r="E94" s="143">
        <f>VLOOKUP($A94,'Data shares'!$C:$FA,124)</f>
        <v>0.5</v>
      </c>
      <c r="F94" s="143">
        <f>VLOOKUP($A94,'Data shares'!$C:$FA,125)</f>
        <v>0.64</v>
      </c>
      <c r="G94" s="143">
        <f>VLOOKUP($A94,'Data shares'!$C:$FA,127)*100</f>
        <v>-21.88</v>
      </c>
      <c r="H94" s="103">
        <f>VLOOKUP($A94,'OI(Volume)'!$A$7:$O$440,8)</f>
        <v>35497500</v>
      </c>
      <c r="I94" s="103">
        <f>VLOOKUP($A94,'OI(Volume)'!$A$7:$O$440,9)</f>
        <v>348750</v>
      </c>
      <c r="J94" s="103">
        <f>VLOOKUP($A94,'OI(Volume)'!$A$7:$O$440,11)</f>
        <v>27566250</v>
      </c>
      <c r="K94" s="103">
        <f>VLOOKUP($A94,'OI(Volume)'!$A$7:$O$440,12)</f>
        <v>375000</v>
      </c>
      <c r="L94" s="103">
        <f>VLOOKUP($A94,'OI(Value)'!$A$7:$O$323,8,0)</f>
        <v>433</v>
      </c>
      <c r="M94" s="103">
        <f>VLOOKUP($A94,'OI(Value)'!$A$7:$O$323,9,0)</f>
        <v>4</v>
      </c>
      <c r="N94" s="103">
        <f>VLOOKUP($A94,'OI(Value)'!$A$7:$O$323,11,0)</f>
        <v>336</v>
      </c>
      <c r="O94" s="103">
        <f>VLOOKUP($A94,'OI(Value)'!$A$7:$O$323,12,0)</f>
        <v>5</v>
      </c>
      <c r="P94" s="179">
        <f>VLOOKUP(A94,'OI(Value)'!A94:O312,8,0)</f>
        <v>433</v>
      </c>
      <c r="Q94" s="179">
        <f>VLOOKUP(A94,'OI(Value)'!A94:O312,9,0)</f>
        <v>4</v>
      </c>
      <c r="R94" s="179">
        <f>VLOOKUP(A94,'OI(Value)'!A94:O312,11,0)</f>
        <v>336</v>
      </c>
      <c r="S94" s="179">
        <f>VLOOKUP(A94,'OI(Value)'!A94:O312,11,0)</f>
        <v>336</v>
      </c>
    </row>
    <row r="95" spans="1:19" x14ac:dyDescent="0.25">
      <c r="A95" s="105" t="str">
        <f>'Data Vlaue (Cr)'!C90</f>
        <v>INDHOTEL</v>
      </c>
      <c r="B95" s="143">
        <f>VLOOKUP($A95,'Data shares'!$C:$FA,118)</f>
        <v>0.76</v>
      </c>
      <c r="C95" s="143">
        <f>VLOOKUP($A95,'Data shares'!$C:$FA,119)</f>
        <v>0.85</v>
      </c>
      <c r="D95" s="143">
        <f>VLOOKUP($A95,'Data shares'!$C:$FA,121)*100</f>
        <v>-10.59</v>
      </c>
      <c r="E95" s="143">
        <f>VLOOKUP($A95,'Data shares'!$C:$FA,124)</f>
        <v>0.78</v>
      </c>
      <c r="F95" s="143">
        <f>VLOOKUP($A95,'Data shares'!$C:$FA,125)</f>
        <v>0.9</v>
      </c>
      <c r="G95" s="143">
        <f>VLOOKUP($A95,'Data shares'!$C:$FA,127)*100</f>
        <v>-13.33</v>
      </c>
      <c r="H95" s="103">
        <f>VLOOKUP($A95,'OI(Volume)'!$A$7:$O$440,8)</f>
        <v>7690000</v>
      </c>
      <c r="I95" s="103">
        <f>VLOOKUP($A95,'OI(Volume)'!$A$7:$O$440,9)</f>
        <v>1360000</v>
      </c>
      <c r="J95" s="103">
        <f>VLOOKUP($A95,'OI(Volume)'!$A$7:$O$440,11)</f>
        <v>5851000</v>
      </c>
      <c r="K95" s="103">
        <f>VLOOKUP($A95,'OI(Volume)'!$A$7:$O$440,12)</f>
        <v>487000</v>
      </c>
      <c r="L95" s="103">
        <f>VLOOKUP($A95,'OI(Value)'!$A$7:$O$323,8,0)</f>
        <v>487</v>
      </c>
      <c r="M95" s="103">
        <f>VLOOKUP($A95,'OI(Value)'!$A$7:$O$323,9,0)</f>
        <v>86</v>
      </c>
      <c r="N95" s="103">
        <f>VLOOKUP($A95,'OI(Value)'!$A$7:$O$323,11,0)</f>
        <v>370</v>
      </c>
      <c r="O95" s="103">
        <f>VLOOKUP($A95,'OI(Value)'!$A$7:$O$323,12,0)</f>
        <v>31</v>
      </c>
      <c r="P95" s="179">
        <f>VLOOKUP(A95,'OI(Value)'!A95:O313,8,0)</f>
        <v>487</v>
      </c>
      <c r="Q95" s="179">
        <f>VLOOKUP(A95,'OI(Value)'!A95:O313,9,0)</f>
        <v>86</v>
      </c>
      <c r="R95" s="179">
        <f>VLOOKUP(A95,'OI(Value)'!A95:O313,11,0)</f>
        <v>370</v>
      </c>
      <c r="S95" s="179">
        <f>VLOOKUP(A95,'OI(Value)'!A95:O313,11,0)</f>
        <v>370</v>
      </c>
    </row>
    <row r="96" spans="1:19" x14ac:dyDescent="0.25">
      <c r="A96" s="105" t="str">
        <f>'Data Vlaue (Cr)'!C91</f>
        <v>INDIANB</v>
      </c>
      <c r="B96" s="143">
        <f>VLOOKUP($A96,'Data shares'!$C:$FA,118)</f>
        <v>0.66</v>
      </c>
      <c r="C96" s="143">
        <f>VLOOKUP($A96,'Data shares'!$C:$FA,119)</f>
        <v>0.67</v>
      </c>
      <c r="D96" s="143">
        <f>VLOOKUP($A96,'Data shares'!$C:$FA,121)*100</f>
        <v>-1.49</v>
      </c>
      <c r="E96" s="143">
        <f>VLOOKUP($A96,'Data shares'!$C:$FA,124)</f>
        <v>0.57999999999999996</v>
      </c>
      <c r="F96" s="143">
        <f>VLOOKUP($A96,'Data shares'!$C:$FA,125)</f>
        <v>0.82</v>
      </c>
      <c r="G96" s="143">
        <f>VLOOKUP($A96,'Data shares'!$C:$FA,127)*100</f>
        <v>-29.270000000000003</v>
      </c>
      <c r="H96" s="103">
        <f>VLOOKUP($A96,'OI(Volume)'!$A$7:$O$440,8)</f>
        <v>4350000</v>
      </c>
      <c r="I96" s="103">
        <f>VLOOKUP($A96,'OI(Volume)'!$A$7:$O$440,9)</f>
        <v>82000</v>
      </c>
      <c r="J96" s="103">
        <f>VLOOKUP($A96,'OI(Volume)'!$A$7:$O$440,11)</f>
        <v>2857000</v>
      </c>
      <c r="K96" s="103">
        <f>VLOOKUP($A96,'OI(Volume)'!$A$7:$O$440,12)</f>
        <v>-11000</v>
      </c>
      <c r="L96" s="103">
        <f>VLOOKUP($A96,'OI(Value)'!$A$7:$O$323,8,0)</f>
        <v>414</v>
      </c>
      <c r="M96" s="103">
        <f>VLOOKUP($A96,'OI(Value)'!$A$7:$O$323,9,0)</f>
        <v>8</v>
      </c>
      <c r="N96" s="103">
        <f>VLOOKUP($A96,'OI(Value)'!$A$7:$O$323,11,0)</f>
        <v>272</v>
      </c>
      <c r="O96" s="103">
        <f>VLOOKUP($A96,'OI(Value)'!$A$7:$O$323,12,0)</f>
        <v>-1</v>
      </c>
      <c r="P96" s="179">
        <f>VLOOKUP(A96,'OI(Value)'!A96:O314,8,0)</f>
        <v>414</v>
      </c>
      <c r="Q96" s="179">
        <f>VLOOKUP(A96,'OI(Value)'!A96:O314,9,0)</f>
        <v>8</v>
      </c>
      <c r="R96" s="179">
        <f>VLOOKUP(A96,'OI(Value)'!A96:O314,11,0)</f>
        <v>272</v>
      </c>
      <c r="S96" s="179">
        <f>VLOOKUP(A96,'OI(Value)'!A96:O314,11,0)</f>
        <v>272</v>
      </c>
    </row>
    <row r="97" spans="1:19" x14ac:dyDescent="0.25">
      <c r="A97" s="105" t="str">
        <f>'Data Vlaue (Cr)'!C92</f>
        <v>INDIAVIX</v>
      </c>
      <c r="B97" s="143">
        <f>VLOOKUP($A97,'Data shares'!$C:$FA,118)</f>
        <v>0</v>
      </c>
      <c r="C97" s="143">
        <f>VLOOKUP($A97,'Data shares'!$C:$FA,119)</f>
        <v>0</v>
      </c>
      <c r="D97" s="143">
        <f>VLOOKUP($A97,'Data shares'!$C:$FA,121)*100</f>
        <v>0</v>
      </c>
      <c r="E97" s="143">
        <f>VLOOKUP($A97,'Data shares'!$C:$FA,124)</f>
        <v>0</v>
      </c>
      <c r="F97" s="143">
        <f>VLOOKUP($A97,'Data shares'!$C:$FA,125)</f>
        <v>0</v>
      </c>
      <c r="G97" s="143">
        <f>VLOOKUP($A97,'Data shares'!$C:$FA,127)*100</f>
        <v>0</v>
      </c>
      <c r="H97" s="103">
        <f>VLOOKUP($A97,'OI(Volume)'!$A$7:$O$440,8)</f>
        <v>0</v>
      </c>
      <c r="I97" s="103">
        <f>VLOOKUP($A97,'OI(Volume)'!$A$7:$O$440,9)</f>
        <v>0</v>
      </c>
      <c r="J97" s="103">
        <f>VLOOKUP($A97,'OI(Volume)'!$A$7:$O$440,11)</f>
        <v>0</v>
      </c>
      <c r="K97" s="103">
        <f>VLOOKUP($A97,'OI(Volume)'!$A$7:$O$440,12)</f>
        <v>0</v>
      </c>
      <c r="L97" s="103">
        <f>VLOOKUP($A97,'OI(Value)'!$A$7:$O$323,8,0)</f>
        <v>0</v>
      </c>
      <c r="M97" s="103">
        <f>VLOOKUP($A97,'OI(Value)'!$A$7:$O$323,9,0)</f>
        <v>0</v>
      </c>
      <c r="N97" s="103">
        <f>VLOOKUP($A97,'OI(Value)'!$A$7:$O$323,11,0)</f>
        <v>0</v>
      </c>
      <c r="O97" s="103">
        <f>VLOOKUP($A97,'OI(Value)'!$A$7:$O$323,12,0)</f>
        <v>0</v>
      </c>
      <c r="P97" s="179">
        <f>VLOOKUP(A97,'OI(Value)'!A97:O315,8,0)</f>
        <v>0</v>
      </c>
      <c r="Q97" s="179">
        <f>VLOOKUP(A97,'OI(Value)'!A97:O315,9,0)</f>
        <v>0</v>
      </c>
      <c r="R97" s="179">
        <f>VLOOKUP(A97,'OI(Value)'!A97:O315,11,0)</f>
        <v>0</v>
      </c>
      <c r="S97" s="179">
        <f>VLOOKUP(A97,'OI(Value)'!A97:O315,11,0)</f>
        <v>0</v>
      </c>
    </row>
    <row r="98" spans="1:19" x14ac:dyDescent="0.25">
      <c r="A98" s="105" t="str">
        <f>'Data Vlaue (Cr)'!C93</f>
        <v>INDIGO</v>
      </c>
      <c r="B98" s="143">
        <f>VLOOKUP($A98,'Data shares'!$C:$FA,118)</f>
        <v>0.73</v>
      </c>
      <c r="C98" s="143">
        <f>VLOOKUP($A98,'Data shares'!$C:$FA,119)</f>
        <v>0.76</v>
      </c>
      <c r="D98" s="143">
        <f>VLOOKUP($A98,'Data shares'!$C:$FA,121)*100</f>
        <v>-3.95</v>
      </c>
      <c r="E98" s="143">
        <f>VLOOKUP($A98,'Data shares'!$C:$FA,124)</f>
        <v>0.97</v>
      </c>
      <c r="F98" s="143">
        <f>VLOOKUP($A98,'Data shares'!$C:$FA,125)</f>
        <v>1.27</v>
      </c>
      <c r="G98" s="143">
        <f>VLOOKUP($A98,'Data shares'!$C:$FA,127)*100</f>
        <v>-23.62</v>
      </c>
      <c r="H98" s="103">
        <f>VLOOKUP($A98,'OI(Volume)'!$A$7:$O$440,8)</f>
        <v>5236200</v>
      </c>
      <c r="I98" s="103">
        <f>VLOOKUP($A98,'OI(Volume)'!$A$7:$O$440,9)</f>
        <v>701550</v>
      </c>
      <c r="J98" s="103">
        <f>VLOOKUP($A98,'OI(Volume)'!$A$7:$O$440,11)</f>
        <v>3843150</v>
      </c>
      <c r="K98" s="103">
        <f>VLOOKUP($A98,'OI(Volume)'!$A$7:$O$440,12)</f>
        <v>385650</v>
      </c>
      <c r="L98" s="103">
        <f>VLOOKUP($A98,'OI(Value)'!$A$7:$O$323,8,0)</f>
        <v>2367</v>
      </c>
      <c r="M98" s="103">
        <f>VLOOKUP($A98,'OI(Value)'!$A$7:$O$323,9,0)</f>
        <v>317</v>
      </c>
      <c r="N98" s="103">
        <f>VLOOKUP($A98,'OI(Value)'!$A$7:$O$323,11,0)</f>
        <v>1737</v>
      </c>
      <c r="O98" s="103">
        <f>VLOOKUP($A98,'OI(Value)'!$A$7:$O$323,12,0)</f>
        <v>174</v>
      </c>
      <c r="P98" s="179">
        <f>VLOOKUP(A98,'OI(Value)'!A98:O316,8,0)</f>
        <v>2367</v>
      </c>
      <c r="Q98" s="179">
        <f>VLOOKUP(A98,'OI(Value)'!A98:O316,9,0)</f>
        <v>317</v>
      </c>
      <c r="R98" s="179">
        <f>VLOOKUP(A98,'OI(Value)'!A98:O316,11,0)</f>
        <v>1737</v>
      </c>
      <c r="S98" s="179">
        <f>VLOOKUP(A98,'OI(Value)'!A98:O316,11,0)</f>
        <v>1737</v>
      </c>
    </row>
    <row r="99" spans="1:19" x14ac:dyDescent="0.25">
      <c r="A99" s="105" t="str">
        <f>'Data Vlaue (Cr)'!C94</f>
        <v>INDUSINDBK</v>
      </c>
      <c r="B99" s="143">
        <f>VLOOKUP($A99,'Data shares'!$C:$FA,118)</f>
        <v>0.69</v>
      </c>
      <c r="C99" s="143">
        <f>VLOOKUP($A99,'Data shares'!$C:$FA,119)</f>
        <v>0.7</v>
      </c>
      <c r="D99" s="143">
        <f>VLOOKUP($A99,'Data shares'!$C:$FA,121)*100</f>
        <v>-1.43</v>
      </c>
      <c r="E99" s="143">
        <f>VLOOKUP($A99,'Data shares'!$C:$FA,124)</f>
        <v>0.77</v>
      </c>
      <c r="F99" s="143">
        <f>VLOOKUP($A99,'Data shares'!$C:$FA,125)</f>
        <v>0.83</v>
      </c>
      <c r="G99" s="143">
        <f>VLOOKUP($A99,'Data shares'!$C:$FA,127)*100</f>
        <v>-7.23</v>
      </c>
      <c r="H99" s="103">
        <f>VLOOKUP($A99,'OI(Volume)'!$A$7:$O$440,8)</f>
        <v>6166300</v>
      </c>
      <c r="I99" s="103">
        <f>VLOOKUP($A99,'OI(Volume)'!$A$7:$O$440,9)</f>
        <v>-67200</v>
      </c>
      <c r="J99" s="103">
        <f>VLOOKUP($A99,'OI(Volume)'!$A$7:$O$440,11)</f>
        <v>4247600</v>
      </c>
      <c r="K99" s="103">
        <f>VLOOKUP($A99,'OI(Volume)'!$A$7:$O$440,12)</f>
        <v>-119700</v>
      </c>
      <c r="L99" s="103">
        <f>VLOOKUP($A99,'OI(Value)'!$A$7:$O$323,8,0)</f>
        <v>580</v>
      </c>
      <c r="M99" s="103">
        <f>VLOOKUP($A99,'OI(Value)'!$A$7:$O$323,9,0)</f>
        <v>-6</v>
      </c>
      <c r="N99" s="103">
        <f>VLOOKUP($A99,'OI(Value)'!$A$7:$O$323,11,0)</f>
        <v>399</v>
      </c>
      <c r="O99" s="103">
        <f>VLOOKUP($A99,'OI(Value)'!$A$7:$O$323,12,0)</f>
        <v>-11</v>
      </c>
      <c r="P99" s="179">
        <f>VLOOKUP(A99,'OI(Value)'!A99:O317,8,0)</f>
        <v>580</v>
      </c>
      <c r="Q99" s="179">
        <f>VLOOKUP(A99,'OI(Value)'!A99:O317,9,0)</f>
        <v>-6</v>
      </c>
      <c r="R99" s="179">
        <f>VLOOKUP(A99,'OI(Value)'!A99:O317,11,0)</f>
        <v>399</v>
      </c>
      <c r="S99" s="179">
        <f>VLOOKUP(A99,'OI(Value)'!A99:O317,11,0)</f>
        <v>399</v>
      </c>
    </row>
    <row r="100" spans="1:19" x14ac:dyDescent="0.25">
      <c r="A100" s="105" t="str">
        <f>'Data Vlaue (Cr)'!C95</f>
        <v>INDUSTOWER</v>
      </c>
      <c r="B100" s="143">
        <f>VLOOKUP($A100,'Data shares'!$C:$FA,118)</f>
        <v>0.54</v>
      </c>
      <c r="C100" s="143">
        <f>VLOOKUP($A100,'Data shares'!$C:$FA,119)</f>
        <v>0.49</v>
      </c>
      <c r="D100" s="143">
        <f>VLOOKUP($A100,'Data shares'!$C:$FA,121)*100</f>
        <v>10.199999999999999</v>
      </c>
      <c r="E100" s="143">
        <f>VLOOKUP($A100,'Data shares'!$C:$FA,124)</f>
        <v>0.39</v>
      </c>
      <c r="F100" s="143">
        <f>VLOOKUP($A100,'Data shares'!$C:$FA,125)</f>
        <v>0.48</v>
      </c>
      <c r="G100" s="143">
        <f>VLOOKUP($A100,'Data shares'!$C:$FA,127)*100</f>
        <v>-18.75</v>
      </c>
      <c r="H100" s="103">
        <f>VLOOKUP($A100,'OI(Volume)'!$A$7:$O$440,8)</f>
        <v>11255700</v>
      </c>
      <c r="I100" s="103">
        <f>VLOOKUP($A100,'OI(Volume)'!$A$7:$O$440,9)</f>
        <v>-91800</v>
      </c>
      <c r="J100" s="103">
        <f>VLOOKUP($A100,'OI(Volume)'!$A$7:$O$440,11)</f>
        <v>6086000</v>
      </c>
      <c r="K100" s="103">
        <f>VLOOKUP($A100,'OI(Volume)'!$A$7:$O$440,12)</f>
        <v>498100</v>
      </c>
      <c r="L100" s="103">
        <f>VLOOKUP($A100,'OI(Value)'!$A$7:$O$323,8,0)</f>
        <v>511</v>
      </c>
      <c r="M100" s="103">
        <f>VLOOKUP($A100,'OI(Value)'!$A$7:$O$323,9,0)</f>
        <v>-4</v>
      </c>
      <c r="N100" s="103">
        <f>VLOOKUP($A100,'OI(Value)'!$A$7:$O$323,11,0)</f>
        <v>276</v>
      </c>
      <c r="O100" s="103">
        <f>VLOOKUP($A100,'OI(Value)'!$A$7:$O$323,12,0)</f>
        <v>23</v>
      </c>
      <c r="P100" s="179">
        <f>VLOOKUP(A100,'OI(Value)'!A100:O318,8,0)</f>
        <v>511</v>
      </c>
      <c r="Q100" s="179">
        <f>VLOOKUP(A100,'OI(Value)'!A100:O318,9,0)</f>
        <v>-4</v>
      </c>
      <c r="R100" s="179">
        <f>VLOOKUP(A100,'OI(Value)'!A100:O318,11,0)</f>
        <v>276</v>
      </c>
      <c r="S100" s="179">
        <f>VLOOKUP(A100,'OI(Value)'!A100:O318,11,0)</f>
        <v>276</v>
      </c>
    </row>
    <row r="101" spans="1:19" x14ac:dyDescent="0.25">
      <c r="A101" s="105" t="str">
        <f>'Data Vlaue (Cr)'!C96</f>
        <v>INFY</v>
      </c>
      <c r="B101" s="143">
        <f>VLOOKUP($A101,'Data shares'!$C:$FA,118)</f>
        <v>0.55000000000000004</v>
      </c>
      <c r="C101" s="143">
        <f>VLOOKUP($A101,'Data shares'!$C:$FA,119)</f>
        <v>0.56999999999999995</v>
      </c>
      <c r="D101" s="143">
        <f>VLOOKUP($A101,'Data shares'!$C:$FA,121)*100</f>
        <v>-3.51</v>
      </c>
      <c r="E101" s="143">
        <f>VLOOKUP($A101,'Data shares'!$C:$FA,124)</f>
        <v>0.69</v>
      </c>
      <c r="F101" s="143">
        <f>VLOOKUP($A101,'Data shares'!$C:$FA,125)</f>
        <v>0.57999999999999996</v>
      </c>
      <c r="G101" s="143">
        <f>VLOOKUP($A101,'Data shares'!$C:$FA,127)*100</f>
        <v>18.970000000000002</v>
      </c>
      <c r="H101" s="103">
        <f>VLOOKUP($A101,'OI(Volume)'!$A$7:$O$440,8)</f>
        <v>37096800</v>
      </c>
      <c r="I101" s="103">
        <f>VLOOKUP($A101,'OI(Volume)'!$A$7:$O$440,9)</f>
        <v>628000</v>
      </c>
      <c r="J101" s="103">
        <f>VLOOKUP($A101,'OI(Volume)'!$A$7:$O$440,11)</f>
        <v>20236400</v>
      </c>
      <c r="K101" s="103">
        <f>VLOOKUP($A101,'OI(Volume)'!$A$7:$O$440,12)</f>
        <v>-417600</v>
      </c>
      <c r="L101" s="103">
        <f>VLOOKUP($A101,'OI(Value)'!$A$7:$O$323,8,0)</f>
        <v>4857</v>
      </c>
      <c r="M101" s="103">
        <f>VLOOKUP($A101,'OI(Value)'!$A$7:$O$323,9,0)</f>
        <v>82</v>
      </c>
      <c r="N101" s="103">
        <f>VLOOKUP($A101,'OI(Value)'!$A$7:$O$323,11,0)</f>
        <v>2650</v>
      </c>
      <c r="O101" s="103">
        <f>VLOOKUP($A101,'OI(Value)'!$A$7:$O$323,12,0)</f>
        <v>-55</v>
      </c>
      <c r="P101" s="179">
        <f>VLOOKUP(A101,'OI(Value)'!A101:O319,8,0)</f>
        <v>4857</v>
      </c>
      <c r="Q101" s="179">
        <f>VLOOKUP(A101,'OI(Value)'!A101:O319,9,0)</f>
        <v>82</v>
      </c>
      <c r="R101" s="179">
        <f>VLOOKUP(A101,'OI(Value)'!A101:O319,11,0)</f>
        <v>2650</v>
      </c>
      <c r="S101" s="179">
        <f>VLOOKUP(A101,'OI(Value)'!A101:O319,11,0)</f>
        <v>2650</v>
      </c>
    </row>
    <row r="102" spans="1:19" x14ac:dyDescent="0.25">
      <c r="A102" s="105" t="str">
        <f>'Data Vlaue (Cr)'!C97</f>
        <v>INOXWIND</v>
      </c>
      <c r="B102" s="143">
        <f>VLOOKUP($A102,'Data shares'!$C:$FA,118)</f>
        <v>0.74</v>
      </c>
      <c r="C102" s="143">
        <f>VLOOKUP($A102,'Data shares'!$C:$FA,119)</f>
        <v>0.71</v>
      </c>
      <c r="D102" s="143">
        <f>VLOOKUP($A102,'Data shares'!$C:$FA,121)*100</f>
        <v>4.2299999999999995</v>
      </c>
      <c r="E102" s="143">
        <f>VLOOKUP($A102,'Data shares'!$C:$FA,124)</f>
        <v>0.55000000000000004</v>
      </c>
      <c r="F102" s="143">
        <f>VLOOKUP($A102,'Data shares'!$C:$FA,125)</f>
        <v>0.48</v>
      </c>
      <c r="G102" s="143">
        <f>VLOOKUP($A102,'Data shares'!$C:$FA,127)*100</f>
        <v>14.580000000000002</v>
      </c>
      <c r="H102" s="103">
        <f>VLOOKUP($A102,'OI(Volume)'!$A$7:$O$440,8)</f>
        <v>32171425</v>
      </c>
      <c r="I102" s="103">
        <f>VLOOKUP($A102,'OI(Volume)'!$A$7:$O$440,9)</f>
        <v>2313025</v>
      </c>
      <c r="J102" s="103">
        <f>VLOOKUP($A102,'OI(Volume)'!$A$7:$O$440,11)</f>
        <v>23920325</v>
      </c>
      <c r="K102" s="103">
        <f>VLOOKUP($A102,'OI(Volume)'!$A$7:$O$440,12)</f>
        <v>2591875</v>
      </c>
      <c r="L102" s="103">
        <f>VLOOKUP($A102,'OI(Value)'!$A$7:$O$323,8,0)</f>
        <v>279</v>
      </c>
      <c r="M102" s="103">
        <f>VLOOKUP($A102,'OI(Value)'!$A$7:$O$323,9,0)</f>
        <v>20</v>
      </c>
      <c r="N102" s="103">
        <f>VLOOKUP($A102,'OI(Value)'!$A$7:$O$323,11,0)</f>
        <v>207</v>
      </c>
      <c r="O102" s="103">
        <f>VLOOKUP($A102,'OI(Value)'!$A$7:$O$323,12,0)</f>
        <v>22</v>
      </c>
      <c r="P102" s="179">
        <f>VLOOKUP(A102,'OI(Value)'!A102:O320,8,0)</f>
        <v>279</v>
      </c>
      <c r="Q102" s="179">
        <f>VLOOKUP(A102,'OI(Value)'!A102:O320,9,0)</f>
        <v>20</v>
      </c>
      <c r="R102" s="179">
        <f>VLOOKUP(A102,'OI(Value)'!A102:O320,11,0)</f>
        <v>207</v>
      </c>
      <c r="S102" s="179">
        <f>VLOOKUP(A102,'OI(Value)'!A102:O320,11,0)</f>
        <v>207</v>
      </c>
    </row>
    <row r="103" spans="1:19" x14ac:dyDescent="0.25">
      <c r="A103" s="105" t="str">
        <f>'Data Vlaue (Cr)'!C98</f>
        <v>IOC</v>
      </c>
      <c r="B103" s="143">
        <f>VLOOKUP($A103,'Data shares'!$C:$FA,118)</f>
        <v>0.84</v>
      </c>
      <c r="C103" s="143">
        <f>VLOOKUP($A103,'Data shares'!$C:$FA,119)</f>
        <v>0.97</v>
      </c>
      <c r="D103" s="143">
        <f>VLOOKUP($A103,'Data shares'!$C:$FA,121)*100</f>
        <v>-13.4</v>
      </c>
      <c r="E103" s="143">
        <f>VLOOKUP($A103,'Data shares'!$C:$FA,124)</f>
        <v>0.97</v>
      </c>
      <c r="F103" s="143">
        <f>VLOOKUP($A103,'Data shares'!$C:$FA,125)</f>
        <v>1.88</v>
      </c>
      <c r="G103" s="143">
        <f>VLOOKUP($A103,'Data shares'!$C:$FA,127)*100</f>
        <v>-48.4</v>
      </c>
      <c r="H103" s="103">
        <f>VLOOKUP($A103,'OI(Volume)'!$A$7:$O$440,8)</f>
        <v>51402000</v>
      </c>
      <c r="I103" s="103">
        <f>VLOOKUP($A103,'OI(Volume)'!$A$7:$O$440,9)</f>
        <v>8414250</v>
      </c>
      <c r="J103" s="103">
        <f>VLOOKUP($A103,'OI(Volume)'!$A$7:$O$440,11)</f>
        <v>42987750</v>
      </c>
      <c r="K103" s="103">
        <f>VLOOKUP($A103,'OI(Volume)'!$A$7:$O$440,12)</f>
        <v>1311375</v>
      </c>
      <c r="L103" s="103">
        <f>VLOOKUP($A103,'OI(Value)'!$A$7:$O$323,8,0)</f>
        <v>879</v>
      </c>
      <c r="M103" s="103">
        <f>VLOOKUP($A103,'OI(Value)'!$A$7:$O$323,9,0)</f>
        <v>144</v>
      </c>
      <c r="N103" s="103">
        <f>VLOOKUP($A103,'OI(Value)'!$A$7:$O$323,11,0)</f>
        <v>735</v>
      </c>
      <c r="O103" s="103">
        <f>VLOOKUP($A103,'OI(Value)'!$A$7:$O$323,12,0)</f>
        <v>22</v>
      </c>
      <c r="P103" s="179">
        <f>VLOOKUP(A103,'OI(Value)'!A103:O321,8,0)</f>
        <v>879</v>
      </c>
      <c r="Q103" s="179">
        <f>VLOOKUP(A103,'OI(Value)'!A103:O321,9,0)</f>
        <v>144</v>
      </c>
      <c r="R103" s="179">
        <f>VLOOKUP(A103,'OI(Value)'!A103:O321,11,0)</f>
        <v>735</v>
      </c>
      <c r="S103" s="179">
        <f>VLOOKUP(A103,'OI(Value)'!A103:O321,11,0)</f>
        <v>735</v>
      </c>
    </row>
    <row r="104" spans="1:19" x14ac:dyDescent="0.25">
      <c r="A104" s="105" t="str">
        <f>'Data Vlaue (Cr)'!C99</f>
        <v>IREDA</v>
      </c>
      <c r="B104" s="143">
        <f>VLOOKUP($A104,'Data shares'!$C:$FA,118)</f>
        <v>0.68</v>
      </c>
      <c r="C104" s="143">
        <f>VLOOKUP($A104,'Data shares'!$C:$FA,119)</f>
        <v>0.7</v>
      </c>
      <c r="D104" s="143">
        <f>VLOOKUP($A104,'Data shares'!$C:$FA,121)*100</f>
        <v>-2.86</v>
      </c>
      <c r="E104" s="143">
        <f>VLOOKUP($A104,'Data shares'!$C:$FA,124)</f>
        <v>0.34</v>
      </c>
      <c r="F104" s="143">
        <f>VLOOKUP($A104,'Data shares'!$C:$FA,125)</f>
        <v>0.46</v>
      </c>
      <c r="G104" s="143">
        <f>VLOOKUP($A104,'Data shares'!$C:$FA,127)*100</f>
        <v>-26.090000000000003</v>
      </c>
      <c r="H104" s="103">
        <f>VLOOKUP($A104,'OI(Volume)'!$A$7:$O$440,8)</f>
        <v>29218050</v>
      </c>
      <c r="I104" s="103">
        <f>VLOOKUP($A104,'OI(Volume)'!$A$7:$O$440,9)</f>
        <v>986700</v>
      </c>
      <c r="J104" s="103">
        <f>VLOOKUP($A104,'OI(Volume)'!$A$7:$O$440,11)</f>
        <v>19809900</v>
      </c>
      <c r="K104" s="103">
        <f>VLOOKUP($A104,'OI(Volume)'!$A$7:$O$440,12)</f>
        <v>65550</v>
      </c>
      <c r="L104" s="103">
        <f>VLOOKUP($A104,'OI(Value)'!$A$7:$O$323,8,0)</f>
        <v>338</v>
      </c>
      <c r="M104" s="103">
        <f>VLOOKUP($A104,'OI(Value)'!$A$7:$O$323,9,0)</f>
        <v>11</v>
      </c>
      <c r="N104" s="103">
        <f>VLOOKUP($A104,'OI(Value)'!$A$7:$O$323,11,0)</f>
        <v>229</v>
      </c>
      <c r="O104" s="103">
        <f>VLOOKUP($A104,'OI(Value)'!$A$7:$O$323,12,0)</f>
        <v>1</v>
      </c>
      <c r="P104" s="179">
        <f>VLOOKUP(A104,'OI(Value)'!A104:O322,8,0)</f>
        <v>338</v>
      </c>
      <c r="Q104" s="179">
        <f>VLOOKUP(A104,'OI(Value)'!A104:O322,9,0)</f>
        <v>11</v>
      </c>
      <c r="R104" s="179">
        <f>VLOOKUP(A104,'OI(Value)'!A104:O322,11,0)</f>
        <v>229</v>
      </c>
      <c r="S104" s="179">
        <f>VLOOKUP(A104,'OI(Value)'!A104:O322,11,0)</f>
        <v>229</v>
      </c>
    </row>
    <row r="105" spans="1:19" x14ac:dyDescent="0.25">
      <c r="A105" s="105" t="str">
        <f>'Data Vlaue (Cr)'!C100</f>
        <v>IRFC</v>
      </c>
      <c r="B105" s="143">
        <f>VLOOKUP($A105,'Data shares'!$C:$FA,118)</f>
        <v>0.56000000000000005</v>
      </c>
      <c r="C105" s="143">
        <f>VLOOKUP($A105,'Data shares'!$C:$FA,119)</f>
        <v>0.56000000000000005</v>
      </c>
      <c r="D105" s="143">
        <f>VLOOKUP($A105,'Data shares'!$C:$FA,121)*100</f>
        <v>0</v>
      </c>
      <c r="E105" s="143">
        <f>VLOOKUP($A105,'Data shares'!$C:$FA,124)</f>
        <v>0.28999999999999998</v>
      </c>
      <c r="F105" s="143">
        <f>VLOOKUP($A105,'Data shares'!$C:$FA,125)</f>
        <v>0.44</v>
      </c>
      <c r="G105" s="143">
        <f>VLOOKUP($A105,'Data shares'!$C:$FA,127)*100</f>
        <v>-34.089999999999996</v>
      </c>
      <c r="H105" s="103">
        <f>VLOOKUP($A105,'OI(Volume)'!$A$7:$O$440,8)</f>
        <v>76440500</v>
      </c>
      <c r="I105" s="103">
        <f>VLOOKUP($A105,'OI(Volume)'!$A$7:$O$440,9)</f>
        <v>1500250</v>
      </c>
      <c r="J105" s="103">
        <f>VLOOKUP($A105,'OI(Volume)'!$A$7:$O$440,11)</f>
        <v>42559500</v>
      </c>
      <c r="K105" s="103">
        <f>VLOOKUP($A105,'OI(Volume)'!$A$7:$O$440,12)</f>
        <v>425000</v>
      </c>
      <c r="L105" s="103">
        <f>VLOOKUP($A105,'OI(Value)'!$A$7:$O$323,8,0)</f>
        <v>749</v>
      </c>
      <c r="M105" s="103">
        <f>VLOOKUP($A105,'OI(Value)'!$A$7:$O$323,9,0)</f>
        <v>15</v>
      </c>
      <c r="N105" s="103">
        <f>VLOOKUP($A105,'OI(Value)'!$A$7:$O$323,11,0)</f>
        <v>417</v>
      </c>
      <c r="O105" s="103">
        <f>VLOOKUP($A105,'OI(Value)'!$A$7:$O$323,12,0)</f>
        <v>4</v>
      </c>
      <c r="P105" s="179">
        <f>VLOOKUP(A105,'OI(Value)'!A105:O323,8,0)</f>
        <v>749</v>
      </c>
      <c r="Q105" s="179">
        <f>VLOOKUP(A105,'OI(Value)'!A105:O323,9,0)</f>
        <v>15</v>
      </c>
      <c r="R105" s="179">
        <f>VLOOKUP(A105,'OI(Value)'!A105:O323,11,0)</f>
        <v>417</v>
      </c>
      <c r="S105" s="179">
        <f>VLOOKUP(A105,'OI(Value)'!A105:O323,11,0)</f>
        <v>417</v>
      </c>
    </row>
    <row r="106" spans="1:19" x14ac:dyDescent="0.25">
      <c r="A106" s="105" t="str">
        <f>'Data Vlaue (Cr)'!C101</f>
        <v>ITC</v>
      </c>
      <c r="B106" s="143">
        <f>VLOOKUP($A106,'Data shares'!$C:$FA,118)</f>
        <v>0.45</v>
      </c>
      <c r="C106" s="143">
        <f>VLOOKUP($A106,'Data shares'!$C:$FA,119)</f>
        <v>0.45</v>
      </c>
      <c r="D106" s="143">
        <f>VLOOKUP($A106,'Data shares'!$C:$FA,121)*100</f>
        <v>0</v>
      </c>
      <c r="E106" s="143">
        <f>VLOOKUP($A106,'Data shares'!$C:$FA,124)</f>
        <v>0.28999999999999998</v>
      </c>
      <c r="F106" s="143">
        <f>VLOOKUP($A106,'Data shares'!$C:$FA,125)</f>
        <v>0.43</v>
      </c>
      <c r="G106" s="143">
        <f>VLOOKUP($A106,'Data shares'!$C:$FA,127)*100</f>
        <v>-32.56</v>
      </c>
      <c r="H106" s="103">
        <f>VLOOKUP($A106,'OI(Volume)'!$A$7:$O$440,8)</f>
        <v>111120000</v>
      </c>
      <c r="I106" s="103">
        <f>VLOOKUP($A106,'OI(Volume)'!$A$7:$O$440,9)</f>
        <v>3668800</v>
      </c>
      <c r="J106" s="103">
        <f>VLOOKUP($A106,'OI(Volume)'!$A$7:$O$440,11)</f>
        <v>49862400</v>
      </c>
      <c r="K106" s="103">
        <f>VLOOKUP($A106,'OI(Volume)'!$A$7:$O$440,12)</f>
        <v>992000</v>
      </c>
      <c r="L106" s="103">
        <f>VLOOKUP($A106,'OI(Value)'!$A$7:$O$323,8,0)</f>
        <v>3477</v>
      </c>
      <c r="M106" s="103">
        <f>VLOOKUP($A106,'OI(Value)'!$A$7:$O$323,9,0)</f>
        <v>115</v>
      </c>
      <c r="N106" s="103">
        <f>VLOOKUP($A106,'OI(Value)'!$A$7:$O$323,11,0)</f>
        <v>1560</v>
      </c>
      <c r="O106" s="103">
        <f>VLOOKUP($A106,'OI(Value)'!$A$7:$O$323,12,0)</f>
        <v>31</v>
      </c>
      <c r="P106" s="179">
        <f>VLOOKUP(A106,'OI(Value)'!A106:O324,8,0)</f>
        <v>3477</v>
      </c>
      <c r="Q106" s="179">
        <f>VLOOKUP(A106,'OI(Value)'!A106:O324,9,0)</f>
        <v>115</v>
      </c>
      <c r="R106" s="179">
        <f>VLOOKUP(A106,'OI(Value)'!A106:O324,11,0)</f>
        <v>1560</v>
      </c>
      <c r="S106" s="179">
        <f>VLOOKUP(A106,'OI(Value)'!A106:O324,11,0)</f>
        <v>1560</v>
      </c>
    </row>
    <row r="107" spans="1:19" x14ac:dyDescent="0.25">
      <c r="A107" s="105" t="str">
        <f>'Data Vlaue (Cr)'!C102</f>
        <v>JINDALSTEL</v>
      </c>
      <c r="B107" s="143">
        <f>VLOOKUP($A107,'Data shares'!$C:$FA,118)</f>
        <v>1.05</v>
      </c>
      <c r="C107" s="143">
        <f>VLOOKUP($A107,'Data shares'!$C:$FA,119)</f>
        <v>1.1599999999999999</v>
      </c>
      <c r="D107" s="143">
        <f>VLOOKUP($A107,'Data shares'!$C:$FA,121)*100</f>
        <v>-9.48</v>
      </c>
      <c r="E107" s="143">
        <f>VLOOKUP($A107,'Data shares'!$C:$FA,124)</f>
        <v>0.39</v>
      </c>
      <c r="F107" s="143">
        <f>VLOOKUP($A107,'Data shares'!$C:$FA,125)</f>
        <v>1.23</v>
      </c>
      <c r="G107" s="143">
        <f>VLOOKUP($A107,'Data shares'!$C:$FA,127)*100</f>
        <v>-68.289999999999992</v>
      </c>
      <c r="H107" s="103">
        <f>VLOOKUP($A107,'OI(Volume)'!$A$7:$O$440,8)</f>
        <v>2992500</v>
      </c>
      <c r="I107" s="103">
        <f>VLOOKUP($A107,'OI(Volume)'!$A$7:$O$440,9)</f>
        <v>224375</v>
      </c>
      <c r="J107" s="103">
        <f>VLOOKUP($A107,'OI(Volume)'!$A$7:$O$440,11)</f>
        <v>3128750</v>
      </c>
      <c r="K107" s="103">
        <f>VLOOKUP($A107,'OI(Volume)'!$A$7:$O$440,12)</f>
        <v>-81875</v>
      </c>
      <c r="L107" s="103">
        <f>VLOOKUP($A107,'OI(Value)'!$A$7:$O$323,8,0)</f>
        <v>356</v>
      </c>
      <c r="M107" s="103">
        <f>VLOOKUP($A107,'OI(Value)'!$A$7:$O$323,9,0)</f>
        <v>27</v>
      </c>
      <c r="N107" s="103">
        <f>VLOOKUP($A107,'OI(Value)'!$A$7:$O$323,11,0)</f>
        <v>372</v>
      </c>
      <c r="O107" s="103">
        <f>VLOOKUP($A107,'OI(Value)'!$A$7:$O$323,12,0)</f>
        <v>-10</v>
      </c>
      <c r="P107" s="179">
        <f>VLOOKUP(A107,'OI(Value)'!A107:O325,8,0)</f>
        <v>356</v>
      </c>
      <c r="Q107" s="179">
        <f>VLOOKUP(A107,'OI(Value)'!A107:O325,9,0)</f>
        <v>27</v>
      </c>
      <c r="R107" s="179">
        <f>VLOOKUP(A107,'OI(Value)'!A107:O325,11,0)</f>
        <v>372</v>
      </c>
      <c r="S107" s="179">
        <f>VLOOKUP(A107,'OI(Value)'!A107:O325,11,0)</f>
        <v>372</v>
      </c>
    </row>
    <row r="108" spans="1:19" x14ac:dyDescent="0.25">
      <c r="A108" s="105" t="str">
        <f>'Data Vlaue (Cr)'!C103</f>
        <v>JIOFIN</v>
      </c>
      <c r="B108" s="143">
        <f>VLOOKUP($A108,'Data shares'!$C:$FA,118)</f>
        <v>0.8</v>
      </c>
      <c r="C108" s="143">
        <f>VLOOKUP($A108,'Data shares'!$C:$FA,119)</f>
        <v>0.83</v>
      </c>
      <c r="D108" s="143">
        <f>VLOOKUP($A108,'Data shares'!$C:$FA,121)*100</f>
        <v>-3.61</v>
      </c>
      <c r="E108" s="143">
        <f>VLOOKUP($A108,'Data shares'!$C:$FA,124)</f>
        <v>0.48</v>
      </c>
      <c r="F108" s="143">
        <f>VLOOKUP($A108,'Data shares'!$C:$FA,125)</f>
        <v>0.64</v>
      </c>
      <c r="G108" s="143">
        <f>VLOOKUP($A108,'Data shares'!$C:$FA,127)*100</f>
        <v>-25</v>
      </c>
      <c r="H108" s="103">
        <f>VLOOKUP($A108,'OI(Volume)'!$A$7:$O$440,8)</f>
        <v>45293900</v>
      </c>
      <c r="I108" s="103">
        <f>VLOOKUP($A108,'OI(Volume)'!$A$7:$O$440,9)</f>
        <v>2726000</v>
      </c>
      <c r="J108" s="103">
        <f>VLOOKUP($A108,'OI(Volume)'!$A$7:$O$440,11)</f>
        <v>36321600</v>
      </c>
      <c r="K108" s="103">
        <f>VLOOKUP($A108,'OI(Volume)'!$A$7:$O$440,12)</f>
        <v>813100</v>
      </c>
      <c r="L108" s="103">
        <f>VLOOKUP($A108,'OI(Value)'!$A$7:$O$323,8,0)</f>
        <v>1106</v>
      </c>
      <c r="M108" s="103">
        <f>VLOOKUP($A108,'OI(Value)'!$A$7:$O$323,9,0)</f>
        <v>67</v>
      </c>
      <c r="N108" s="103">
        <f>VLOOKUP($A108,'OI(Value)'!$A$7:$O$323,11,0)</f>
        <v>887</v>
      </c>
      <c r="O108" s="103">
        <f>VLOOKUP($A108,'OI(Value)'!$A$7:$O$323,12,0)</f>
        <v>20</v>
      </c>
      <c r="P108" s="179">
        <f>VLOOKUP(A108,'OI(Value)'!A108:O326,8,0)</f>
        <v>1106</v>
      </c>
      <c r="Q108" s="179">
        <f>VLOOKUP(A108,'OI(Value)'!A108:O326,9,0)</f>
        <v>67</v>
      </c>
      <c r="R108" s="179">
        <f>VLOOKUP(A108,'OI(Value)'!A108:O326,11,0)</f>
        <v>887</v>
      </c>
      <c r="S108" s="179">
        <f>VLOOKUP(A108,'OI(Value)'!A108:O326,11,0)</f>
        <v>887</v>
      </c>
    </row>
    <row r="109" spans="1:19" x14ac:dyDescent="0.25">
      <c r="A109" s="105" t="str">
        <f>'Data Vlaue (Cr)'!C104</f>
        <v>JSWENERGY</v>
      </c>
      <c r="B109" s="143">
        <f>VLOOKUP($A109,'Data shares'!$C:$FA,118)</f>
        <v>0.9</v>
      </c>
      <c r="C109" s="143">
        <f>VLOOKUP($A109,'Data shares'!$C:$FA,119)</f>
        <v>0.91</v>
      </c>
      <c r="D109" s="143">
        <f>VLOOKUP($A109,'Data shares'!$C:$FA,121)*100</f>
        <v>-1.0999999999999999</v>
      </c>
      <c r="E109" s="143">
        <f>VLOOKUP($A109,'Data shares'!$C:$FA,124)</f>
        <v>0.33</v>
      </c>
      <c r="F109" s="143">
        <f>VLOOKUP($A109,'Data shares'!$C:$FA,125)</f>
        <v>0.6</v>
      </c>
      <c r="G109" s="143">
        <f>VLOOKUP($A109,'Data shares'!$C:$FA,127)*100</f>
        <v>-45</v>
      </c>
      <c r="H109" s="103">
        <f>VLOOKUP($A109,'OI(Volume)'!$A$7:$O$440,8)</f>
        <v>5155000</v>
      </c>
      <c r="I109" s="103">
        <f>VLOOKUP($A109,'OI(Volume)'!$A$7:$O$440,9)</f>
        <v>174000</v>
      </c>
      <c r="J109" s="103">
        <f>VLOOKUP($A109,'OI(Volume)'!$A$7:$O$440,11)</f>
        <v>4640000</v>
      </c>
      <c r="K109" s="103">
        <f>VLOOKUP($A109,'OI(Volume)'!$A$7:$O$440,12)</f>
        <v>98000</v>
      </c>
      <c r="L109" s="103">
        <f>VLOOKUP($A109,'OI(Value)'!$A$7:$O$323,8,0)</f>
        <v>248</v>
      </c>
      <c r="M109" s="103">
        <f>VLOOKUP($A109,'OI(Value)'!$A$7:$O$323,9,0)</f>
        <v>8</v>
      </c>
      <c r="N109" s="103">
        <f>VLOOKUP($A109,'OI(Value)'!$A$7:$O$323,11,0)</f>
        <v>223</v>
      </c>
      <c r="O109" s="103">
        <f>VLOOKUP($A109,'OI(Value)'!$A$7:$O$323,12,0)</f>
        <v>5</v>
      </c>
      <c r="P109" s="179">
        <f>VLOOKUP(A109,'OI(Value)'!A109:O327,8,0)</f>
        <v>248</v>
      </c>
      <c r="Q109" s="179">
        <f>VLOOKUP(A109,'OI(Value)'!A109:O327,9,0)</f>
        <v>8</v>
      </c>
      <c r="R109" s="179">
        <f>VLOOKUP(A109,'OI(Value)'!A109:O327,11,0)</f>
        <v>223</v>
      </c>
      <c r="S109" s="179">
        <f>VLOOKUP(A109,'OI(Value)'!A109:O327,11,0)</f>
        <v>223</v>
      </c>
    </row>
    <row r="110" spans="1:19" x14ac:dyDescent="0.25">
      <c r="A110" s="105" t="str">
        <f>'Data Vlaue (Cr)'!C105</f>
        <v>JSWSTEEL</v>
      </c>
      <c r="B110" s="143">
        <f>VLOOKUP($A110,'Data shares'!$C:$FA,118)</f>
        <v>0.6</v>
      </c>
      <c r="C110" s="143">
        <f>VLOOKUP($A110,'Data shares'!$C:$FA,119)</f>
        <v>0.59</v>
      </c>
      <c r="D110" s="143">
        <f>VLOOKUP($A110,'Data shares'!$C:$FA,121)*100</f>
        <v>1.69</v>
      </c>
      <c r="E110" s="143">
        <f>VLOOKUP($A110,'Data shares'!$C:$FA,124)</f>
        <v>0.55000000000000004</v>
      </c>
      <c r="F110" s="143">
        <f>VLOOKUP($A110,'Data shares'!$C:$FA,125)</f>
        <v>1.05</v>
      </c>
      <c r="G110" s="143">
        <f>VLOOKUP($A110,'Data shares'!$C:$FA,127)*100</f>
        <v>-47.620000000000005</v>
      </c>
      <c r="H110" s="103">
        <f>VLOOKUP($A110,'OI(Volume)'!$A$7:$O$440,8)</f>
        <v>5942700</v>
      </c>
      <c r="I110" s="103">
        <f>VLOOKUP($A110,'OI(Volume)'!$A$7:$O$440,9)</f>
        <v>347625</v>
      </c>
      <c r="J110" s="103">
        <f>VLOOKUP($A110,'OI(Volume)'!$A$7:$O$440,11)</f>
        <v>3553200</v>
      </c>
      <c r="K110" s="103">
        <f>VLOOKUP($A110,'OI(Volume)'!$A$7:$O$440,12)</f>
        <v>247050</v>
      </c>
      <c r="L110" s="103">
        <f>VLOOKUP($A110,'OI(Value)'!$A$7:$O$323,8,0)</f>
        <v>744</v>
      </c>
      <c r="M110" s="103">
        <f>VLOOKUP($A110,'OI(Value)'!$A$7:$O$323,9,0)</f>
        <v>43</v>
      </c>
      <c r="N110" s="103">
        <f>VLOOKUP($A110,'OI(Value)'!$A$7:$O$323,11,0)</f>
        <v>445</v>
      </c>
      <c r="O110" s="103">
        <f>VLOOKUP($A110,'OI(Value)'!$A$7:$O$323,12,0)</f>
        <v>31</v>
      </c>
      <c r="P110" s="179">
        <f>VLOOKUP(A110,'OI(Value)'!A110:O328,8,0)</f>
        <v>744</v>
      </c>
      <c r="Q110" s="179">
        <f>VLOOKUP(A110,'OI(Value)'!A110:O328,9,0)</f>
        <v>43</v>
      </c>
      <c r="R110" s="179">
        <f>VLOOKUP(A110,'OI(Value)'!A110:O328,11,0)</f>
        <v>445</v>
      </c>
      <c r="S110" s="179">
        <f>VLOOKUP(A110,'OI(Value)'!A110:O328,11,0)</f>
        <v>445</v>
      </c>
    </row>
    <row r="111" spans="1:19" x14ac:dyDescent="0.25">
      <c r="A111" s="105" t="str">
        <f>'Data Vlaue (Cr)'!C106</f>
        <v>JUBLFOOD</v>
      </c>
      <c r="B111" s="143">
        <f>VLOOKUP($A111,'Data shares'!$C:$FA,118)</f>
        <v>0.64</v>
      </c>
      <c r="C111" s="143">
        <f>VLOOKUP($A111,'Data shares'!$C:$FA,119)</f>
        <v>0.68</v>
      </c>
      <c r="D111" s="143">
        <f>VLOOKUP($A111,'Data shares'!$C:$FA,121)*100</f>
        <v>-5.88</v>
      </c>
      <c r="E111" s="143">
        <f>VLOOKUP($A111,'Data shares'!$C:$FA,124)</f>
        <v>0.28000000000000003</v>
      </c>
      <c r="F111" s="143">
        <f>VLOOKUP($A111,'Data shares'!$C:$FA,125)</f>
        <v>0.43</v>
      </c>
      <c r="G111" s="143">
        <f>VLOOKUP($A111,'Data shares'!$C:$FA,127)*100</f>
        <v>-34.880000000000003</v>
      </c>
      <c r="H111" s="103">
        <f>VLOOKUP($A111,'OI(Volume)'!$A$7:$O$440,8)</f>
        <v>6725000</v>
      </c>
      <c r="I111" s="103">
        <f>VLOOKUP($A111,'OI(Volume)'!$A$7:$O$440,9)</f>
        <v>418750</v>
      </c>
      <c r="J111" s="103">
        <f>VLOOKUP($A111,'OI(Volume)'!$A$7:$O$440,11)</f>
        <v>4286250</v>
      </c>
      <c r="K111" s="103">
        <f>VLOOKUP($A111,'OI(Volume)'!$A$7:$O$440,12)</f>
        <v>1250</v>
      </c>
      <c r="L111" s="103">
        <f>VLOOKUP($A111,'OI(Value)'!$A$7:$O$323,8,0)</f>
        <v>337</v>
      </c>
      <c r="M111" s="103">
        <f>VLOOKUP($A111,'OI(Value)'!$A$7:$O$323,9,0)</f>
        <v>21</v>
      </c>
      <c r="N111" s="103">
        <f>VLOOKUP($A111,'OI(Value)'!$A$7:$O$323,11,0)</f>
        <v>215</v>
      </c>
      <c r="O111" s="103">
        <f>VLOOKUP($A111,'OI(Value)'!$A$7:$O$323,12,0)</f>
        <v>0</v>
      </c>
      <c r="P111" s="179">
        <f>VLOOKUP(A111,'OI(Value)'!A111:O329,8,0)</f>
        <v>337</v>
      </c>
      <c r="Q111" s="179">
        <f>VLOOKUP(A111,'OI(Value)'!A111:O329,9,0)</f>
        <v>21</v>
      </c>
      <c r="R111" s="179">
        <f>VLOOKUP(A111,'OI(Value)'!A111:O329,11,0)</f>
        <v>215</v>
      </c>
      <c r="S111" s="179">
        <f>VLOOKUP(A111,'OI(Value)'!A111:O329,11,0)</f>
        <v>215</v>
      </c>
    </row>
    <row r="112" spans="1:19" x14ac:dyDescent="0.25">
      <c r="A112" s="105" t="str">
        <f>'Data Vlaue (Cr)'!C107</f>
        <v>KALYANKJIL</v>
      </c>
      <c r="B112" s="143">
        <f>VLOOKUP($A112,'Data shares'!$C:$FA,118)</f>
        <v>0.7</v>
      </c>
      <c r="C112" s="143">
        <f>VLOOKUP($A112,'Data shares'!$C:$FA,119)</f>
        <v>0.73</v>
      </c>
      <c r="D112" s="143">
        <f>VLOOKUP($A112,'Data shares'!$C:$FA,121)*100</f>
        <v>-4.1099999999999994</v>
      </c>
      <c r="E112" s="143">
        <f>VLOOKUP($A112,'Data shares'!$C:$FA,124)</f>
        <v>0.48</v>
      </c>
      <c r="F112" s="143">
        <f>VLOOKUP($A112,'Data shares'!$C:$FA,125)</f>
        <v>1.03</v>
      </c>
      <c r="G112" s="143">
        <f>VLOOKUP($A112,'Data shares'!$C:$FA,127)*100</f>
        <v>-53.400000000000006</v>
      </c>
      <c r="H112" s="103">
        <f>VLOOKUP($A112,'OI(Volume)'!$A$7:$O$440,8)</f>
        <v>7263850</v>
      </c>
      <c r="I112" s="103">
        <f>VLOOKUP($A112,'OI(Volume)'!$A$7:$O$440,9)</f>
        <v>269075</v>
      </c>
      <c r="J112" s="103">
        <f>VLOOKUP($A112,'OI(Volume)'!$A$7:$O$440,11)</f>
        <v>5081875</v>
      </c>
      <c r="K112" s="103">
        <f>VLOOKUP($A112,'OI(Volume)'!$A$7:$O$440,12)</f>
        <v>-35250</v>
      </c>
      <c r="L112" s="103">
        <f>VLOOKUP($A112,'OI(Value)'!$A$7:$O$323,8,0)</f>
        <v>291</v>
      </c>
      <c r="M112" s="103">
        <f>VLOOKUP($A112,'OI(Value)'!$A$7:$O$323,9,0)</f>
        <v>11</v>
      </c>
      <c r="N112" s="103">
        <f>VLOOKUP($A112,'OI(Value)'!$A$7:$O$323,11,0)</f>
        <v>204</v>
      </c>
      <c r="O112" s="103">
        <f>VLOOKUP($A112,'OI(Value)'!$A$7:$O$323,12,0)</f>
        <v>-1</v>
      </c>
      <c r="P112" s="179">
        <f>VLOOKUP(A112,'OI(Value)'!A112:O330,8,0)</f>
        <v>291</v>
      </c>
      <c r="Q112" s="179">
        <f>VLOOKUP(A112,'OI(Value)'!A112:O330,9,0)</f>
        <v>11</v>
      </c>
      <c r="R112" s="179">
        <f>VLOOKUP(A112,'OI(Value)'!A112:O330,11,0)</f>
        <v>204</v>
      </c>
      <c r="S112" s="179">
        <f>VLOOKUP(A112,'OI(Value)'!A112:O330,11,0)</f>
        <v>204</v>
      </c>
    </row>
    <row r="113" spans="1:19" x14ac:dyDescent="0.25">
      <c r="A113" s="105" t="str">
        <f>'Data Vlaue (Cr)'!C108</f>
        <v>KAYNES</v>
      </c>
      <c r="B113" s="143">
        <f>VLOOKUP($A113,'Data shares'!$C:$FA,118)</f>
        <v>0.88</v>
      </c>
      <c r="C113" s="143">
        <f>VLOOKUP($A113,'Data shares'!$C:$FA,119)</f>
        <v>0.84</v>
      </c>
      <c r="D113" s="143">
        <f>VLOOKUP($A113,'Data shares'!$C:$FA,121)*100</f>
        <v>4.7600000000000007</v>
      </c>
      <c r="E113" s="143">
        <f>VLOOKUP($A113,'Data shares'!$C:$FA,124)</f>
        <v>0.59</v>
      </c>
      <c r="F113" s="143">
        <f>VLOOKUP($A113,'Data shares'!$C:$FA,125)</f>
        <v>0.56999999999999995</v>
      </c>
      <c r="G113" s="143">
        <f>VLOOKUP($A113,'Data shares'!$C:$FA,127)*100</f>
        <v>3.51</v>
      </c>
      <c r="H113" s="103">
        <f>VLOOKUP($A113,'OI(Volume)'!$A$7:$O$440,8)</f>
        <v>1445000</v>
      </c>
      <c r="I113" s="103">
        <f>VLOOKUP($A113,'OI(Volume)'!$A$7:$O$440,9)</f>
        <v>153400</v>
      </c>
      <c r="J113" s="103">
        <f>VLOOKUP($A113,'OI(Volume)'!$A$7:$O$440,11)</f>
        <v>1271100</v>
      </c>
      <c r="K113" s="103">
        <f>VLOOKUP($A113,'OI(Volume)'!$A$7:$O$440,12)</f>
        <v>192400</v>
      </c>
      <c r="L113" s="103">
        <f>VLOOKUP($A113,'OI(Value)'!$A$7:$O$323,8,0)</f>
        <v>553</v>
      </c>
      <c r="M113" s="103">
        <f>VLOOKUP($A113,'OI(Value)'!$A$7:$O$323,9,0)</f>
        <v>59</v>
      </c>
      <c r="N113" s="103">
        <f>VLOOKUP($A113,'OI(Value)'!$A$7:$O$323,11,0)</f>
        <v>486</v>
      </c>
      <c r="O113" s="103">
        <f>VLOOKUP($A113,'OI(Value)'!$A$7:$O$323,12,0)</f>
        <v>74</v>
      </c>
      <c r="P113" s="179">
        <f>VLOOKUP(A113,'OI(Value)'!A113:O331,8,0)</f>
        <v>553</v>
      </c>
      <c r="Q113" s="179">
        <f>VLOOKUP(A113,'OI(Value)'!A113:O331,9,0)</f>
        <v>59</v>
      </c>
      <c r="R113" s="179">
        <f>VLOOKUP(A113,'OI(Value)'!A113:O331,11,0)</f>
        <v>486</v>
      </c>
      <c r="S113" s="179">
        <f>VLOOKUP(A113,'OI(Value)'!A113:O331,11,0)</f>
        <v>486</v>
      </c>
    </row>
    <row r="114" spans="1:19" x14ac:dyDescent="0.25">
      <c r="A114" s="105" t="str">
        <f>'Data Vlaue (Cr)'!C109</f>
        <v>KEI</v>
      </c>
      <c r="B114" s="143">
        <f>VLOOKUP($A114,'Data shares'!$C:$FA,118)</f>
        <v>0.79</v>
      </c>
      <c r="C114" s="143">
        <f>VLOOKUP($A114,'Data shares'!$C:$FA,119)</f>
        <v>0.79</v>
      </c>
      <c r="D114" s="143">
        <f>VLOOKUP($A114,'Data shares'!$C:$FA,121)*100</f>
        <v>0</v>
      </c>
      <c r="E114" s="143">
        <f>VLOOKUP($A114,'Data shares'!$C:$FA,124)</f>
        <v>0.85</v>
      </c>
      <c r="F114" s="143">
        <f>VLOOKUP($A114,'Data shares'!$C:$FA,125)</f>
        <v>0.8</v>
      </c>
      <c r="G114" s="143">
        <f>VLOOKUP($A114,'Data shares'!$C:$FA,127)*100</f>
        <v>6.25</v>
      </c>
      <c r="H114" s="103">
        <f>VLOOKUP($A114,'OI(Volume)'!$A$7:$O$440,8)</f>
        <v>610925</v>
      </c>
      <c r="I114" s="103">
        <f>VLOOKUP($A114,'OI(Volume)'!$A$7:$O$440,9)</f>
        <v>7700</v>
      </c>
      <c r="J114" s="103">
        <f>VLOOKUP($A114,'OI(Volume)'!$A$7:$O$440,11)</f>
        <v>483700</v>
      </c>
      <c r="K114" s="103">
        <f>VLOOKUP($A114,'OI(Volume)'!$A$7:$O$440,12)</f>
        <v>8925</v>
      </c>
      <c r="L114" s="103">
        <f>VLOOKUP($A114,'OI(Value)'!$A$7:$O$323,8,0)</f>
        <v>302</v>
      </c>
      <c r="M114" s="103">
        <f>VLOOKUP($A114,'OI(Value)'!$A$7:$O$323,9,0)</f>
        <v>4</v>
      </c>
      <c r="N114" s="103">
        <f>VLOOKUP($A114,'OI(Value)'!$A$7:$O$323,11,0)</f>
        <v>239</v>
      </c>
      <c r="O114" s="103">
        <f>VLOOKUP($A114,'OI(Value)'!$A$7:$O$323,12,0)</f>
        <v>4</v>
      </c>
      <c r="P114" s="179">
        <f>VLOOKUP(A114,'OI(Value)'!A114:O332,8,0)</f>
        <v>302</v>
      </c>
      <c r="Q114" s="179">
        <f>VLOOKUP(A114,'OI(Value)'!A114:O332,9,0)</f>
        <v>4</v>
      </c>
      <c r="R114" s="179">
        <f>VLOOKUP(A114,'OI(Value)'!A114:O332,11,0)</f>
        <v>239</v>
      </c>
      <c r="S114" s="179">
        <f>VLOOKUP(A114,'OI(Value)'!A114:O332,11,0)</f>
        <v>239</v>
      </c>
    </row>
    <row r="115" spans="1:19" x14ac:dyDescent="0.25">
      <c r="A115" s="105" t="str">
        <f>'Data Vlaue (Cr)'!C110</f>
        <v>KFINTECH</v>
      </c>
      <c r="B115" s="143">
        <f>VLOOKUP($A115,'Data shares'!$C:$FA,118)</f>
        <v>0.64</v>
      </c>
      <c r="C115" s="143">
        <f>VLOOKUP($A115,'Data shares'!$C:$FA,119)</f>
        <v>0.66</v>
      </c>
      <c r="D115" s="143">
        <f>VLOOKUP($A115,'Data shares'!$C:$FA,121)*100</f>
        <v>-3.0300000000000002</v>
      </c>
      <c r="E115" s="143">
        <f>VLOOKUP($A115,'Data shares'!$C:$FA,124)</f>
        <v>0.51</v>
      </c>
      <c r="F115" s="143">
        <f>VLOOKUP($A115,'Data shares'!$C:$FA,125)</f>
        <v>0.64</v>
      </c>
      <c r="G115" s="143">
        <f>VLOOKUP($A115,'Data shares'!$C:$FA,127)*100</f>
        <v>-20.309999999999999</v>
      </c>
      <c r="H115" s="103">
        <f>VLOOKUP($A115,'OI(Volume)'!$A$7:$O$440,8)</f>
        <v>1719000</v>
      </c>
      <c r="I115" s="103">
        <f>VLOOKUP($A115,'OI(Volume)'!$A$7:$O$440,9)</f>
        <v>124000</v>
      </c>
      <c r="J115" s="103">
        <f>VLOOKUP($A115,'OI(Volume)'!$A$7:$O$440,11)</f>
        <v>1100000</v>
      </c>
      <c r="K115" s="103">
        <f>VLOOKUP($A115,'OI(Volume)'!$A$7:$O$440,12)</f>
        <v>47500</v>
      </c>
      <c r="L115" s="103">
        <f>VLOOKUP($A115,'OI(Value)'!$A$7:$O$323,8,0)</f>
        <v>159</v>
      </c>
      <c r="M115" s="103">
        <f>VLOOKUP($A115,'OI(Value)'!$A$7:$O$323,9,0)</f>
        <v>11</v>
      </c>
      <c r="N115" s="103">
        <f>VLOOKUP($A115,'OI(Value)'!$A$7:$O$323,11,0)</f>
        <v>102</v>
      </c>
      <c r="O115" s="103">
        <f>VLOOKUP($A115,'OI(Value)'!$A$7:$O$323,12,0)</f>
        <v>4</v>
      </c>
      <c r="P115" s="179">
        <f>VLOOKUP(A115,'OI(Value)'!A115:O333,8,0)</f>
        <v>159</v>
      </c>
      <c r="Q115" s="179">
        <f>VLOOKUP(A115,'OI(Value)'!A115:O333,9,0)</f>
        <v>11</v>
      </c>
      <c r="R115" s="179">
        <f>VLOOKUP(A115,'OI(Value)'!A115:O333,11,0)</f>
        <v>102</v>
      </c>
      <c r="S115" s="179">
        <f>VLOOKUP(A115,'OI(Value)'!A115:O333,11,0)</f>
        <v>102</v>
      </c>
    </row>
    <row r="116" spans="1:19" x14ac:dyDescent="0.25">
      <c r="A116" s="105" t="str">
        <f>'Data Vlaue (Cr)'!C111</f>
        <v>KOTAKBANK</v>
      </c>
      <c r="B116" s="143">
        <f>VLOOKUP($A116,'Data shares'!$C:$FA,118)</f>
        <v>0.65</v>
      </c>
      <c r="C116" s="143">
        <f>VLOOKUP($A116,'Data shares'!$C:$FA,119)</f>
        <v>0.7</v>
      </c>
      <c r="D116" s="143">
        <f>VLOOKUP($A116,'Data shares'!$C:$FA,121)*100</f>
        <v>-7.1400000000000006</v>
      </c>
      <c r="E116" s="143">
        <f>VLOOKUP($A116,'Data shares'!$C:$FA,124)</f>
        <v>0.64</v>
      </c>
      <c r="F116" s="143">
        <f>VLOOKUP($A116,'Data shares'!$C:$FA,125)</f>
        <v>0.61</v>
      </c>
      <c r="G116" s="143">
        <f>VLOOKUP($A116,'Data shares'!$C:$FA,127)*100</f>
        <v>4.92</v>
      </c>
      <c r="H116" s="103">
        <f>VLOOKUP($A116,'OI(Volume)'!$A$7:$O$440,8)</f>
        <v>30366000</v>
      </c>
      <c r="I116" s="103">
        <f>VLOOKUP($A116,'OI(Volume)'!$A$7:$O$440,9)</f>
        <v>1250000</v>
      </c>
      <c r="J116" s="103">
        <f>VLOOKUP($A116,'OI(Volume)'!$A$7:$O$440,11)</f>
        <v>19744000</v>
      </c>
      <c r="K116" s="103">
        <f>VLOOKUP($A116,'OI(Volume)'!$A$7:$O$440,12)</f>
        <v>-560000</v>
      </c>
      <c r="L116" s="103">
        <f>VLOOKUP($A116,'OI(Value)'!$A$7:$O$323,8,0)</f>
        <v>1242</v>
      </c>
      <c r="M116" s="103">
        <f>VLOOKUP($A116,'OI(Value)'!$A$7:$O$323,9,0)</f>
        <v>51</v>
      </c>
      <c r="N116" s="103">
        <f>VLOOKUP($A116,'OI(Value)'!$A$7:$O$323,11,0)</f>
        <v>808</v>
      </c>
      <c r="O116" s="103">
        <f>VLOOKUP($A116,'OI(Value)'!$A$7:$O$323,12,0)</f>
        <v>-23</v>
      </c>
      <c r="P116" s="179">
        <f>VLOOKUP(A116,'OI(Value)'!A116:O334,8,0)</f>
        <v>1242</v>
      </c>
      <c r="Q116" s="179">
        <f>VLOOKUP(A116,'OI(Value)'!A116:O334,9,0)</f>
        <v>51</v>
      </c>
      <c r="R116" s="179">
        <f>VLOOKUP(A116,'OI(Value)'!A116:O334,11,0)</f>
        <v>808</v>
      </c>
      <c r="S116" s="179">
        <f>VLOOKUP(A116,'OI(Value)'!A116:O334,11,0)</f>
        <v>808</v>
      </c>
    </row>
    <row r="117" spans="1:19" x14ac:dyDescent="0.25">
      <c r="A117" s="105" t="str">
        <f>'Data Vlaue (Cr)'!C112</f>
        <v>KPITTECH</v>
      </c>
      <c r="B117" s="143">
        <f>VLOOKUP($A117,'Data shares'!$C:$FA,118)</f>
        <v>0.6</v>
      </c>
      <c r="C117" s="143">
        <f>VLOOKUP($A117,'Data shares'!$C:$FA,119)</f>
        <v>0.69</v>
      </c>
      <c r="D117" s="143">
        <f>VLOOKUP($A117,'Data shares'!$C:$FA,121)*100</f>
        <v>-13.04</v>
      </c>
      <c r="E117" s="143">
        <f>VLOOKUP($A117,'Data shares'!$C:$FA,124)</f>
        <v>0.4</v>
      </c>
      <c r="F117" s="143">
        <f>VLOOKUP($A117,'Data shares'!$C:$FA,125)</f>
        <v>0.57999999999999996</v>
      </c>
      <c r="G117" s="143">
        <f>VLOOKUP($A117,'Data shares'!$C:$FA,127)*100</f>
        <v>-31.03</v>
      </c>
      <c r="H117" s="103">
        <f>VLOOKUP($A117,'OI(Volume)'!$A$7:$O$440,8)</f>
        <v>4342225</v>
      </c>
      <c r="I117" s="103">
        <f>VLOOKUP($A117,'OI(Volume)'!$A$7:$O$440,9)</f>
        <v>739925</v>
      </c>
      <c r="J117" s="103">
        <f>VLOOKUP($A117,'OI(Volume)'!$A$7:$O$440,11)</f>
        <v>2603125</v>
      </c>
      <c r="K117" s="103">
        <f>VLOOKUP($A117,'OI(Volume)'!$A$7:$O$440,12)</f>
        <v>120275</v>
      </c>
      <c r="L117" s="103">
        <f>VLOOKUP($A117,'OI(Value)'!$A$7:$O$323,8,0)</f>
        <v>313</v>
      </c>
      <c r="M117" s="103">
        <f>VLOOKUP($A117,'OI(Value)'!$A$7:$O$323,9,0)</f>
        <v>53</v>
      </c>
      <c r="N117" s="103">
        <f>VLOOKUP($A117,'OI(Value)'!$A$7:$O$323,11,0)</f>
        <v>188</v>
      </c>
      <c r="O117" s="103">
        <f>VLOOKUP($A117,'OI(Value)'!$A$7:$O$323,12,0)</f>
        <v>9</v>
      </c>
      <c r="P117" s="179">
        <f>VLOOKUP(A117,'OI(Value)'!A117:O335,8,0)</f>
        <v>313</v>
      </c>
      <c r="Q117" s="179">
        <f>VLOOKUP(A117,'OI(Value)'!A117:O335,9,0)</f>
        <v>53</v>
      </c>
      <c r="R117" s="179">
        <f>VLOOKUP(A117,'OI(Value)'!A117:O335,11,0)</f>
        <v>188</v>
      </c>
      <c r="S117" s="179">
        <f>VLOOKUP(A117,'OI(Value)'!A117:O335,11,0)</f>
        <v>188</v>
      </c>
    </row>
    <row r="118" spans="1:19" x14ac:dyDescent="0.25">
      <c r="A118" s="105" t="str">
        <f>'Data Vlaue (Cr)'!C113</f>
        <v>LAURUSLABS</v>
      </c>
      <c r="B118" s="143">
        <f>VLOOKUP($A118,'Data shares'!$C:$FA,118)</f>
        <v>0.56999999999999995</v>
      </c>
      <c r="C118" s="143">
        <f>VLOOKUP($A118,'Data shares'!$C:$FA,119)</f>
        <v>0.57999999999999996</v>
      </c>
      <c r="D118" s="143">
        <f>VLOOKUP($A118,'Data shares'!$C:$FA,121)*100</f>
        <v>-1.72</v>
      </c>
      <c r="E118" s="143">
        <f>VLOOKUP($A118,'Data shares'!$C:$FA,124)</f>
        <v>0.28000000000000003</v>
      </c>
      <c r="F118" s="143">
        <f>VLOOKUP($A118,'Data shares'!$C:$FA,125)</f>
        <v>0.54</v>
      </c>
      <c r="G118" s="143">
        <f>VLOOKUP($A118,'Data shares'!$C:$FA,127)*100</f>
        <v>-48.15</v>
      </c>
      <c r="H118" s="103">
        <f>VLOOKUP($A118,'OI(Volume)'!$A$7:$O$440,8)</f>
        <v>7015900</v>
      </c>
      <c r="I118" s="103">
        <f>VLOOKUP($A118,'OI(Volume)'!$A$7:$O$440,9)</f>
        <v>497250</v>
      </c>
      <c r="J118" s="103">
        <f>VLOOKUP($A118,'OI(Volume)'!$A$7:$O$440,11)</f>
        <v>3997550</v>
      </c>
      <c r="K118" s="103">
        <f>VLOOKUP($A118,'OI(Volume)'!$A$7:$O$440,12)</f>
        <v>204850</v>
      </c>
      <c r="L118" s="103">
        <f>VLOOKUP($A118,'OI(Value)'!$A$7:$O$323,8,0)</f>
        <v>737</v>
      </c>
      <c r="M118" s="103">
        <f>VLOOKUP($A118,'OI(Value)'!$A$7:$O$323,9,0)</f>
        <v>52</v>
      </c>
      <c r="N118" s="103">
        <f>VLOOKUP($A118,'OI(Value)'!$A$7:$O$323,11,0)</f>
        <v>420</v>
      </c>
      <c r="O118" s="103">
        <f>VLOOKUP($A118,'OI(Value)'!$A$7:$O$323,12,0)</f>
        <v>22</v>
      </c>
      <c r="P118" s="179">
        <f>VLOOKUP(A118,'OI(Value)'!A118:O336,8,0)</f>
        <v>737</v>
      </c>
      <c r="Q118" s="179">
        <f>VLOOKUP(A118,'OI(Value)'!A118:O336,9,0)</f>
        <v>52</v>
      </c>
      <c r="R118" s="179">
        <f>VLOOKUP(A118,'OI(Value)'!A118:O336,11,0)</f>
        <v>420</v>
      </c>
      <c r="S118" s="179">
        <f>VLOOKUP(A118,'OI(Value)'!A118:O336,11,0)</f>
        <v>420</v>
      </c>
    </row>
    <row r="119" spans="1:19" x14ac:dyDescent="0.25">
      <c r="A119" s="105" t="str">
        <f>'Data Vlaue (Cr)'!C114</f>
        <v>LICHSGFIN</v>
      </c>
      <c r="B119" s="143">
        <f>VLOOKUP($A119,'Data shares'!$C:$FA,118)</f>
        <v>0.91</v>
      </c>
      <c r="C119" s="143">
        <f>VLOOKUP($A119,'Data shares'!$C:$FA,119)</f>
        <v>0.9</v>
      </c>
      <c r="D119" s="143">
        <f>VLOOKUP($A119,'Data shares'!$C:$FA,121)*100</f>
        <v>1.1100000000000001</v>
      </c>
      <c r="E119" s="143">
        <f>VLOOKUP($A119,'Data shares'!$C:$FA,124)</f>
        <v>0.63</v>
      </c>
      <c r="F119" s="143">
        <f>VLOOKUP($A119,'Data shares'!$C:$FA,125)</f>
        <v>0.61</v>
      </c>
      <c r="G119" s="143">
        <f>VLOOKUP($A119,'Data shares'!$C:$FA,127)*100</f>
        <v>3.2800000000000002</v>
      </c>
      <c r="H119" s="103">
        <f>VLOOKUP($A119,'OI(Volume)'!$A$7:$O$440,8)</f>
        <v>6343000</v>
      </c>
      <c r="I119" s="103">
        <f>VLOOKUP($A119,'OI(Volume)'!$A$7:$O$440,9)</f>
        <v>6000</v>
      </c>
      <c r="J119" s="103">
        <f>VLOOKUP($A119,'OI(Volume)'!$A$7:$O$440,11)</f>
        <v>5785000</v>
      </c>
      <c r="K119" s="103">
        <f>VLOOKUP($A119,'OI(Volume)'!$A$7:$O$440,12)</f>
        <v>106000</v>
      </c>
      <c r="L119" s="103">
        <f>VLOOKUP($A119,'OI(Value)'!$A$7:$O$323,8,0)</f>
        <v>332</v>
      </c>
      <c r="M119" s="103">
        <f>VLOOKUP($A119,'OI(Value)'!$A$7:$O$323,9,0)</f>
        <v>0</v>
      </c>
      <c r="N119" s="103">
        <f>VLOOKUP($A119,'OI(Value)'!$A$7:$O$323,11,0)</f>
        <v>303</v>
      </c>
      <c r="O119" s="103">
        <f>VLOOKUP($A119,'OI(Value)'!$A$7:$O$323,12,0)</f>
        <v>6</v>
      </c>
      <c r="P119" s="179">
        <f>VLOOKUP(A119,'OI(Value)'!A119:O337,8,0)</f>
        <v>332</v>
      </c>
      <c r="Q119" s="179">
        <f>VLOOKUP(A119,'OI(Value)'!A119:O337,9,0)</f>
        <v>0</v>
      </c>
      <c r="R119" s="179">
        <f>VLOOKUP(A119,'OI(Value)'!A119:O337,11,0)</f>
        <v>303</v>
      </c>
      <c r="S119" s="179">
        <f>VLOOKUP(A119,'OI(Value)'!A119:O337,11,0)</f>
        <v>303</v>
      </c>
    </row>
    <row r="120" spans="1:19" x14ac:dyDescent="0.25">
      <c r="A120" s="105" t="str">
        <f>'Data Vlaue (Cr)'!C115</f>
        <v>LICI</v>
      </c>
      <c r="B120" s="143">
        <f>VLOOKUP($A120,'Data shares'!$C:$FA,118)</f>
        <v>0.47</v>
      </c>
      <c r="C120" s="143">
        <f>VLOOKUP($A120,'Data shares'!$C:$FA,119)</f>
        <v>0.5</v>
      </c>
      <c r="D120" s="143">
        <f>VLOOKUP($A120,'Data shares'!$C:$FA,121)*100</f>
        <v>-6</v>
      </c>
      <c r="E120" s="143">
        <f>VLOOKUP($A120,'Data shares'!$C:$FA,124)</f>
        <v>0.42</v>
      </c>
      <c r="F120" s="143">
        <f>VLOOKUP($A120,'Data shares'!$C:$FA,125)</f>
        <v>0.63</v>
      </c>
      <c r="G120" s="143">
        <f>VLOOKUP($A120,'Data shares'!$C:$FA,127)*100</f>
        <v>-33.33</v>
      </c>
      <c r="H120" s="103">
        <f>VLOOKUP($A120,'OI(Volume)'!$A$7:$O$440,8)</f>
        <v>5096700</v>
      </c>
      <c r="I120" s="103">
        <f>VLOOKUP($A120,'OI(Volume)'!$A$7:$O$440,9)</f>
        <v>331800</v>
      </c>
      <c r="J120" s="103">
        <f>VLOOKUP($A120,'OI(Volume)'!$A$7:$O$440,11)</f>
        <v>2420600</v>
      </c>
      <c r="K120" s="103">
        <f>VLOOKUP($A120,'OI(Volume)'!$A$7:$O$440,12)</f>
        <v>30100</v>
      </c>
      <c r="L120" s="103">
        <f>VLOOKUP($A120,'OI(Value)'!$A$7:$O$323,8,0)</f>
        <v>424</v>
      </c>
      <c r="M120" s="103">
        <f>VLOOKUP($A120,'OI(Value)'!$A$7:$O$323,9,0)</f>
        <v>28</v>
      </c>
      <c r="N120" s="103">
        <f>VLOOKUP($A120,'OI(Value)'!$A$7:$O$323,11,0)</f>
        <v>201</v>
      </c>
      <c r="O120" s="103">
        <f>VLOOKUP($A120,'OI(Value)'!$A$7:$O$323,12,0)</f>
        <v>3</v>
      </c>
      <c r="P120" s="179">
        <f>VLOOKUP(A120,'OI(Value)'!A120:O338,8,0)</f>
        <v>424</v>
      </c>
      <c r="Q120" s="179">
        <f>VLOOKUP(A120,'OI(Value)'!A120:O338,9,0)</f>
        <v>28</v>
      </c>
      <c r="R120" s="179">
        <f>VLOOKUP(A120,'OI(Value)'!A120:O338,11,0)</f>
        <v>201</v>
      </c>
      <c r="S120" s="179">
        <f>VLOOKUP(A120,'OI(Value)'!A120:O338,11,0)</f>
        <v>201</v>
      </c>
    </row>
    <row r="121" spans="1:19" x14ac:dyDescent="0.25">
      <c r="A121" s="105" t="str">
        <f>'Data Vlaue (Cr)'!C116</f>
        <v>LODHA</v>
      </c>
      <c r="B121" s="143">
        <f>VLOOKUP($A121,'Data shares'!$C:$FA,118)</f>
        <v>1.19</v>
      </c>
      <c r="C121" s="143">
        <f>VLOOKUP($A121,'Data shares'!$C:$FA,119)</f>
        <v>1.1000000000000001</v>
      </c>
      <c r="D121" s="143">
        <f>VLOOKUP($A121,'Data shares'!$C:$FA,121)*100</f>
        <v>8.18</v>
      </c>
      <c r="E121" s="143">
        <f>VLOOKUP($A121,'Data shares'!$C:$FA,124)</f>
        <v>1.2</v>
      </c>
      <c r="F121" s="143">
        <f>VLOOKUP($A121,'Data shares'!$C:$FA,125)</f>
        <v>1.44</v>
      </c>
      <c r="G121" s="143">
        <f>VLOOKUP($A121,'Data shares'!$C:$FA,127)*100</f>
        <v>-16.669999999999998</v>
      </c>
      <c r="H121" s="103">
        <f>VLOOKUP($A121,'OI(Volume)'!$A$7:$O$440,8)</f>
        <v>1993950</v>
      </c>
      <c r="I121" s="103">
        <f>VLOOKUP($A121,'OI(Volume)'!$A$7:$O$440,9)</f>
        <v>244350</v>
      </c>
      <c r="J121" s="103">
        <f>VLOOKUP($A121,'OI(Volume)'!$A$7:$O$440,11)</f>
        <v>2364300</v>
      </c>
      <c r="K121" s="103">
        <f>VLOOKUP($A121,'OI(Volume)'!$A$7:$O$440,12)</f>
        <v>436500</v>
      </c>
      <c r="L121" s="103">
        <f>VLOOKUP($A121,'OI(Value)'!$A$7:$O$323,8,0)</f>
        <v>184</v>
      </c>
      <c r="M121" s="103">
        <f>VLOOKUP($A121,'OI(Value)'!$A$7:$O$323,9,0)</f>
        <v>23</v>
      </c>
      <c r="N121" s="103">
        <f>VLOOKUP($A121,'OI(Value)'!$A$7:$O$323,11,0)</f>
        <v>218</v>
      </c>
      <c r="O121" s="103">
        <f>VLOOKUP($A121,'OI(Value)'!$A$7:$O$323,12,0)</f>
        <v>40</v>
      </c>
      <c r="P121" s="179">
        <f>VLOOKUP(A121,'OI(Value)'!A121:O339,8,0)</f>
        <v>184</v>
      </c>
      <c r="Q121" s="179">
        <f>VLOOKUP(A121,'OI(Value)'!A121:O339,9,0)</f>
        <v>23</v>
      </c>
      <c r="R121" s="179">
        <f>VLOOKUP(A121,'OI(Value)'!A121:O339,11,0)</f>
        <v>218</v>
      </c>
      <c r="S121" s="179">
        <f>VLOOKUP(A121,'OI(Value)'!A121:O339,11,0)</f>
        <v>218</v>
      </c>
    </row>
    <row r="122" spans="1:19" x14ac:dyDescent="0.25">
      <c r="A122" s="105" t="str">
        <f>'Data Vlaue (Cr)'!C117</f>
        <v>LT</v>
      </c>
      <c r="B122" s="143">
        <f>VLOOKUP($A122,'Data shares'!$C:$FA,118)</f>
        <v>0.61</v>
      </c>
      <c r="C122" s="143">
        <f>VLOOKUP($A122,'Data shares'!$C:$FA,119)</f>
        <v>0.53</v>
      </c>
      <c r="D122" s="143">
        <f>VLOOKUP($A122,'Data shares'!$C:$FA,121)*100</f>
        <v>15.09</v>
      </c>
      <c r="E122" s="143">
        <f>VLOOKUP($A122,'Data shares'!$C:$FA,124)</f>
        <v>0.61</v>
      </c>
      <c r="F122" s="143">
        <f>VLOOKUP($A122,'Data shares'!$C:$FA,125)</f>
        <v>0.71</v>
      </c>
      <c r="G122" s="143">
        <f>VLOOKUP($A122,'Data shares'!$C:$FA,127)*100</f>
        <v>-14.08</v>
      </c>
      <c r="H122" s="103">
        <f>VLOOKUP($A122,'OI(Volume)'!$A$7:$O$440,8)</f>
        <v>10235400</v>
      </c>
      <c r="I122" s="103">
        <f>VLOOKUP($A122,'OI(Volume)'!$A$7:$O$440,9)</f>
        <v>443100</v>
      </c>
      <c r="J122" s="103">
        <f>VLOOKUP($A122,'OI(Volume)'!$A$7:$O$440,11)</f>
        <v>6207075</v>
      </c>
      <c r="K122" s="103">
        <f>VLOOKUP($A122,'OI(Volume)'!$A$7:$O$440,12)</f>
        <v>1030400</v>
      </c>
      <c r="L122" s="103">
        <f>VLOOKUP($A122,'OI(Value)'!$A$7:$O$323,8,0)</f>
        <v>4135</v>
      </c>
      <c r="M122" s="103">
        <f>VLOOKUP($A122,'OI(Value)'!$A$7:$O$323,9,0)</f>
        <v>179</v>
      </c>
      <c r="N122" s="103">
        <f>VLOOKUP($A122,'OI(Value)'!$A$7:$O$323,11,0)</f>
        <v>2508</v>
      </c>
      <c r="O122" s="103">
        <f>VLOOKUP($A122,'OI(Value)'!$A$7:$O$323,12,0)</f>
        <v>416</v>
      </c>
      <c r="P122" s="179">
        <f>VLOOKUP(A122,'OI(Value)'!A122:O340,8,0)</f>
        <v>4135</v>
      </c>
      <c r="Q122" s="179">
        <f>VLOOKUP(A122,'OI(Value)'!A122:O340,9,0)</f>
        <v>179</v>
      </c>
      <c r="R122" s="179">
        <f>VLOOKUP(A122,'OI(Value)'!A122:O340,11,0)</f>
        <v>2508</v>
      </c>
      <c r="S122" s="179">
        <f>VLOOKUP(A122,'OI(Value)'!A122:O340,11,0)</f>
        <v>2508</v>
      </c>
    </row>
    <row r="123" spans="1:19" x14ac:dyDescent="0.25">
      <c r="A123" s="105" t="str">
        <f>'Data Vlaue (Cr)'!C118</f>
        <v>LTF</v>
      </c>
      <c r="B123" s="143">
        <f>VLOOKUP($A123,'Data shares'!$C:$FA,118)</f>
        <v>0.54</v>
      </c>
      <c r="C123" s="143">
        <f>VLOOKUP($A123,'Data shares'!$C:$FA,119)</f>
        <v>0.55000000000000004</v>
      </c>
      <c r="D123" s="143">
        <f>VLOOKUP($A123,'Data shares'!$C:$FA,121)*100</f>
        <v>-1.82</v>
      </c>
      <c r="E123" s="143">
        <f>VLOOKUP($A123,'Data shares'!$C:$FA,124)</f>
        <v>0.28999999999999998</v>
      </c>
      <c r="F123" s="143">
        <f>VLOOKUP($A123,'Data shares'!$C:$FA,125)</f>
        <v>0.44</v>
      </c>
      <c r="G123" s="143">
        <f>VLOOKUP($A123,'Data shares'!$C:$FA,127)*100</f>
        <v>-34.089999999999996</v>
      </c>
      <c r="H123" s="103">
        <f>VLOOKUP($A123,'OI(Volume)'!$A$7:$O$440,8)</f>
        <v>37842750</v>
      </c>
      <c r="I123" s="103">
        <f>VLOOKUP($A123,'OI(Volume)'!$A$7:$O$440,9)</f>
        <v>-517500</v>
      </c>
      <c r="J123" s="103">
        <f>VLOOKUP($A123,'OI(Volume)'!$A$7:$O$440,11)</f>
        <v>20346750</v>
      </c>
      <c r="K123" s="103">
        <f>VLOOKUP($A123,'OI(Volume)'!$A$7:$O$440,12)</f>
        <v>-576000</v>
      </c>
      <c r="L123" s="103">
        <f>VLOOKUP($A123,'OI(Value)'!$A$7:$O$323,8,0)</f>
        <v>1041</v>
      </c>
      <c r="M123" s="103">
        <f>VLOOKUP($A123,'OI(Value)'!$A$7:$O$323,9,0)</f>
        <v>-14</v>
      </c>
      <c r="N123" s="103">
        <f>VLOOKUP($A123,'OI(Value)'!$A$7:$O$323,11,0)</f>
        <v>560</v>
      </c>
      <c r="O123" s="103">
        <f>VLOOKUP($A123,'OI(Value)'!$A$7:$O$323,12,0)</f>
        <v>-16</v>
      </c>
      <c r="P123" s="179">
        <f>VLOOKUP(A123,'OI(Value)'!A123:O341,8,0)</f>
        <v>1041</v>
      </c>
      <c r="Q123" s="179">
        <f>VLOOKUP(A123,'OI(Value)'!A123:O341,9,0)</f>
        <v>-14</v>
      </c>
      <c r="R123" s="179">
        <f>VLOOKUP(A123,'OI(Value)'!A123:O341,11,0)</f>
        <v>560</v>
      </c>
      <c r="S123" s="179">
        <f>VLOOKUP(A123,'OI(Value)'!A123:O341,11,0)</f>
        <v>560</v>
      </c>
    </row>
    <row r="124" spans="1:19" x14ac:dyDescent="0.25">
      <c r="A124" s="105" t="str">
        <f>'Data Vlaue (Cr)'!C119</f>
        <v>LTM</v>
      </c>
      <c r="B124" s="143">
        <f>VLOOKUP($A124,'Data shares'!$C:$FA,118)</f>
        <v>0.62</v>
      </c>
      <c r="C124" s="143">
        <f>VLOOKUP($A124,'Data shares'!$C:$FA,119)</f>
        <v>0.64</v>
      </c>
      <c r="D124" s="143">
        <f>VLOOKUP($A124,'Data shares'!$C:$FA,121)*100</f>
        <v>-3.1300000000000003</v>
      </c>
      <c r="E124" s="143">
        <f>VLOOKUP($A124,'Data shares'!$C:$FA,124)</f>
        <v>0.89</v>
      </c>
      <c r="F124" s="143">
        <f>VLOOKUP($A124,'Data shares'!$C:$FA,125)</f>
        <v>0.68</v>
      </c>
      <c r="G124" s="143">
        <f>VLOOKUP($A124,'Data shares'!$C:$FA,127)*100</f>
        <v>30.880000000000003</v>
      </c>
      <c r="H124" s="103">
        <f>VLOOKUP($A124,'OI(Volume)'!$A$7:$O$440,8)</f>
        <v>1276650</v>
      </c>
      <c r="I124" s="103">
        <f>VLOOKUP($A124,'OI(Volume)'!$A$7:$O$440,9)</f>
        <v>165000</v>
      </c>
      <c r="J124" s="103">
        <f>VLOOKUP($A124,'OI(Volume)'!$A$7:$O$440,11)</f>
        <v>791250</v>
      </c>
      <c r="K124" s="103">
        <f>VLOOKUP($A124,'OI(Volume)'!$A$7:$O$440,12)</f>
        <v>80250</v>
      </c>
      <c r="L124" s="103">
        <f>VLOOKUP($A124,'OI(Value)'!$A$7:$O$323,8,0)</f>
        <v>551</v>
      </c>
      <c r="M124" s="103">
        <f>VLOOKUP($A124,'OI(Value)'!$A$7:$O$323,9,0)</f>
        <v>71</v>
      </c>
      <c r="N124" s="103">
        <f>VLOOKUP($A124,'OI(Value)'!$A$7:$O$323,11,0)</f>
        <v>342</v>
      </c>
      <c r="O124" s="103">
        <f>VLOOKUP($A124,'OI(Value)'!$A$7:$O$323,12,0)</f>
        <v>35</v>
      </c>
      <c r="P124" s="179">
        <f>VLOOKUP(A124,'OI(Value)'!A124:O342,8,0)</f>
        <v>551</v>
      </c>
      <c r="Q124" s="179">
        <f>VLOOKUP(A124,'OI(Value)'!A124:O342,9,0)</f>
        <v>71</v>
      </c>
      <c r="R124" s="179">
        <f>VLOOKUP(A124,'OI(Value)'!A124:O342,11,0)</f>
        <v>342</v>
      </c>
      <c r="S124" s="179">
        <f>VLOOKUP(A124,'OI(Value)'!A124:O342,11,0)</f>
        <v>342</v>
      </c>
    </row>
    <row r="125" spans="1:19" x14ac:dyDescent="0.25">
      <c r="A125" s="105" t="str">
        <f>'Data Vlaue (Cr)'!C120</f>
        <v>LUPIN</v>
      </c>
      <c r="B125" s="143">
        <f>VLOOKUP($A125,'Data shares'!$C:$FA,118)</f>
        <v>0.7</v>
      </c>
      <c r="C125" s="143">
        <f>VLOOKUP($A125,'Data shares'!$C:$FA,119)</f>
        <v>0.74</v>
      </c>
      <c r="D125" s="143">
        <f>VLOOKUP($A125,'Data shares'!$C:$FA,121)*100</f>
        <v>-5.41</v>
      </c>
      <c r="E125" s="143">
        <f>VLOOKUP($A125,'Data shares'!$C:$FA,124)</f>
        <v>0.41</v>
      </c>
      <c r="F125" s="143">
        <f>VLOOKUP($A125,'Data shares'!$C:$FA,125)</f>
        <v>0.87</v>
      </c>
      <c r="G125" s="143">
        <f>VLOOKUP($A125,'Data shares'!$C:$FA,127)*100</f>
        <v>-52.87</v>
      </c>
      <c r="H125" s="103">
        <f>VLOOKUP($A125,'OI(Volume)'!$A$7:$O$440,8)</f>
        <v>2355775</v>
      </c>
      <c r="I125" s="103">
        <f>VLOOKUP($A125,'OI(Volume)'!$A$7:$O$440,9)</f>
        <v>240125</v>
      </c>
      <c r="J125" s="103">
        <f>VLOOKUP($A125,'OI(Volume)'!$A$7:$O$440,11)</f>
        <v>1646025</v>
      </c>
      <c r="K125" s="103">
        <f>VLOOKUP($A125,'OI(Volume)'!$A$7:$O$440,12)</f>
        <v>73525</v>
      </c>
      <c r="L125" s="103">
        <f>VLOOKUP($A125,'OI(Value)'!$A$7:$O$323,8,0)</f>
        <v>552</v>
      </c>
      <c r="M125" s="103">
        <f>VLOOKUP($A125,'OI(Value)'!$A$7:$O$323,9,0)</f>
        <v>56</v>
      </c>
      <c r="N125" s="103">
        <f>VLOOKUP($A125,'OI(Value)'!$A$7:$O$323,11,0)</f>
        <v>386</v>
      </c>
      <c r="O125" s="103">
        <f>VLOOKUP($A125,'OI(Value)'!$A$7:$O$323,12,0)</f>
        <v>17</v>
      </c>
      <c r="P125" s="179">
        <f>VLOOKUP(A125,'OI(Value)'!A125:O343,8,0)</f>
        <v>552</v>
      </c>
      <c r="Q125" s="179">
        <f>VLOOKUP(A125,'OI(Value)'!A125:O343,9,0)</f>
        <v>56</v>
      </c>
      <c r="R125" s="179">
        <f>VLOOKUP(A125,'OI(Value)'!A125:O343,11,0)</f>
        <v>386</v>
      </c>
      <c r="S125" s="179">
        <f>VLOOKUP(A125,'OI(Value)'!A125:O343,11,0)</f>
        <v>386</v>
      </c>
    </row>
    <row r="126" spans="1:19" x14ac:dyDescent="0.25">
      <c r="A126" s="105" t="str">
        <f>'Data Vlaue (Cr)'!C121</f>
        <v>M&amp;M</v>
      </c>
      <c r="B126" s="143">
        <f>VLOOKUP($A126,'Data shares'!$C:$FA,118)</f>
        <v>0.64</v>
      </c>
      <c r="C126" s="143">
        <f>VLOOKUP($A126,'Data shares'!$C:$FA,119)</f>
        <v>0.64</v>
      </c>
      <c r="D126" s="143">
        <f>VLOOKUP($A126,'Data shares'!$C:$FA,121)*100</f>
        <v>0</v>
      </c>
      <c r="E126" s="143">
        <f>VLOOKUP($A126,'Data shares'!$C:$FA,124)</f>
        <v>0.65</v>
      </c>
      <c r="F126" s="143">
        <f>VLOOKUP($A126,'Data shares'!$C:$FA,125)</f>
        <v>0.81</v>
      </c>
      <c r="G126" s="143">
        <f>VLOOKUP($A126,'Data shares'!$C:$FA,127)*100</f>
        <v>-19.75</v>
      </c>
      <c r="H126" s="103">
        <f>VLOOKUP($A126,'OI(Volume)'!$A$7:$O$440,8)</f>
        <v>4852800</v>
      </c>
      <c r="I126" s="103">
        <f>VLOOKUP($A126,'OI(Volume)'!$A$7:$O$440,9)</f>
        <v>-45400</v>
      </c>
      <c r="J126" s="103">
        <f>VLOOKUP($A126,'OI(Volume)'!$A$7:$O$440,11)</f>
        <v>3119400</v>
      </c>
      <c r="K126" s="103">
        <f>VLOOKUP($A126,'OI(Volume)'!$A$7:$O$440,12)</f>
        <v>-19400</v>
      </c>
      <c r="L126" s="103">
        <f>VLOOKUP($A126,'OI(Value)'!$A$7:$O$323,8,0)</f>
        <v>1627</v>
      </c>
      <c r="M126" s="103">
        <f>VLOOKUP($A126,'OI(Value)'!$A$7:$O$323,9,0)</f>
        <v>-15</v>
      </c>
      <c r="N126" s="103">
        <f>VLOOKUP($A126,'OI(Value)'!$A$7:$O$323,11,0)</f>
        <v>1046</v>
      </c>
      <c r="O126" s="103">
        <f>VLOOKUP($A126,'OI(Value)'!$A$7:$O$323,12,0)</f>
        <v>-7</v>
      </c>
      <c r="P126" s="179">
        <f>VLOOKUP(A126,'OI(Value)'!A126:O344,8,0)</f>
        <v>1627</v>
      </c>
      <c r="Q126" s="179">
        <f>VLOOKUP(A126,'OI(Value)'!A126:O344,9,0)</f>
        <v>-15</v>
      </c>
      <c r="R126" s="179">
        <f>VLOOKUP(A126,'OI(Value)'!A126:O344,11,0)</f>
        <v>1046</v>
      </c>
      <c r="S126" s="179">
        <f>VLOOKUP(A126,'OI(Value)'!A126:O344,11,0)</f>
        <v>1046</v>
      </c>
    </row>
    <row r="127" spans="1:19" x14ac:dyDescent="0.25">
      <c r="A127" s="105" t="str">
        <f>'Data Vlaue (Cr)'!C122</f>
        <v>MANAPPURAM</v>
      </c>
      <c r="B127" s="143">
        <f>VLOOKUP($A127,'Data shares'!$C:$FA,118)</f>
        <v>0.77</v>
      </c>
      <c r="C127" s="143">
        <f>VLOOKUP($A127,'Data shares'!$C:$FA,119)</f>
        <v>0.77</v>
      </c>
      <c r="D127" s="143">
        <f>VLOOKUP($A127,'Data shares'!$C:$FA,121)*100</f>
        <v>0</v>
      </c>
      <c r="E127" s="143">
        <f>VLOOKUP($A127,'Data shares'!$C:$FA,124)</f>
        <v>0.42</v>
      </c>
      <c r="F127" s="143">
        <f>VLOOKUP($A127,'Data shares'!$C:$FA,125)</f>
        <v>0.68</v>
      </c>
      <c r="G127" s="143">
        <f>VLOOKUP($A127,'Data shares'!$C:$FA,127)*100</f>
        <v>-38.24</v>
      </c>
      <c r="H127" s="103">
        <f>VLOOKUP($A127,'OI(Volume)'!$A$7:$O$440,8)</f>
        <v>17973000</v>
      </c>
      <c r="I127" s="103">
        <f>VLOOKUP($A127,'OI(Volume)'!$A$7:$O$440,9)</f>
        <v>1281000</v>
      </c>
      <c r="J127" s="103">
        <f>VLOOKUP($A127,'OI(Volume)'!$A$7:$O$440,11)</f>
        <v>13884000</v>
      </c>
      <c r="K127" s="103">
        <f>VLOOKUP($A127,'OI(Volume)'!$A$7:$O$440,12)</f>
        <v>1017000</v>
      </c>
      <c r="L127" s="103">
        <f>VLOOKUP($A127,'OI(Value)'!$A$7:$O$323,8,0)</f>
        <v>483</v>
      </c>
      <c r="M127" s="103">
        <f>VLOOKUP($A127,'OI(Value)'!$A$7:$O$323,9,0)</f>
        <v>34</v>
      </c>
      <c r="N127" s="103">
        <f>VLOOKUP($A127,'OI(Value)'!$A$7:$O$323,11,0)</f>
        <v>373</v>
      </c>
      <c r="O127" s="103">
        <f>VLOOKUP($A127,'OI(Value)'!$A$7:$O$323,12,0)</f>
        <v>27</v>
      </c>
      <c r="P127" s="179">
        <f>VLOOKUP(A127,'OI(Value)'!A127:O345,8,0)</f>
        <v>483</v>
      </c>
      <c r="Q127" s="179">
        <f>VLOOKUP(A127,'OI(Value)'!A127:O345,9,0)</f>
        <v>34</v>
      </c>
      <c r="R127" s="179">
        <f>VLOOKUP(A127,'OI(Value)'!A127:O345,11,0)</f>
        <v>373</v>
      </c>
      <c r="S127" s="179">
        <f>VLOOKUP(A127,'OI(Value)'!A127:O345,11,0)</f>
        <v>373</v>
      </c>
    </row>
    <row r="128" spans="1:19" x14ac:dyDescent="0.25">
      <c r="A128" s="105" t="str">
        <f>'Data Vlaue (Cr)'!C123</f>
        <v>MANKIND</v>
      </c>
      <c r="B128" s="143">
        <f>VLOOKUP($A128,'Data shares'!$C:$FA,118)</f>
        <v>0.59</v>
      </c>
      <c r="C128" s="143">
        <f>VLOOKUP($A128,'Data shares'!$C:$FA,119)</f>
        <v>0.65</v>
      </c>
      <c r="D128" s="143">
        <f>VLOOKUP($A128,'Data shares'!$C:$FA,121)*100</f>
        <v>-9.2299999999999986</v>
      </c>
      <c r="E128" s="143">
        <f>VLOOKUP($A128,'Data shares'!$C:$FA,124)</f>
        <v>0.17</v>
      </c>
      <c r="F128" s="143">
        <f>VLOOKUP($A128,'Data shares'!$C:$FA,125)</f>
        <v>0.6</v>
      </c>
      <c r="G128" s="143">
        <f>VLOOKUP($A128,'Data shares'!$C:$FA,127)*100</f>
        <v>-71.67</v>
      </c>
      <c r="H128" s="103">
        <f>VLOOKUP($A128,'OI(Volume)'!$A$7:$O$440,8)</f>
        <v>897525</v>
      </c>
      <c r="I128" s="103">
        <f>VLOOKUP($A128,'OI(Volume)'!$A$7:$O$440,9)</f>
        <v>62550</v>
      </c>
      <c r="J128" s="103">
        <f>VLOOKUP($A128,'OI(Volume)'!$A$7:$O$440,11)</f>
        <v>532125</v>
      </c>
      <c r="K128" s="103">
        <f>VLOOKUP($A128,'OI(Volume)'!$A$7:$O$440,12)</f>
        <v>-13275</v>
      </c>
      <c r="L128" s="103">
        <f>VLOOKUP($A128,'OI(Value)'!$A$7:$O$323,8,0)</f>
        <v>201</v>
      </c>
      <c r="M128" s="103">
        <f>VLOOKUP($A128,'OI(Value)'!$A$7:$O$323,9,0)</f>
        <v>14</v>
      </c>
      <c r="N128" s="103">
        <f>VLOOKUP($A128,'OI(Value)'!$A$7:$O$323,11,0)</f>
        <v>119</v>
      </c>
      <c r="O128" s="103">
        <f>VLOOKUP($A128,'OI(Value)'!$A$7:$O$323,12,0)</f>
        <v>-3</v>
      </c>
      <c r="P128" s="179">
        <f>VLOOKUP(A128,'OI(Value)'!A128:O346,8,0)</f>
        <v>201</v>
      </c>
      <c r="Q128" s="179">
        <f>VLOOKUP(A128,'OI(Value)'!A128:O346,9,0)</f>
        <v>14</v>
      </c>
      <c r="R128" s="179">
        <f>VLOOKUP(A128,'OI(Value)'!A128:O346,11,0)</f>
        <v>119</v>
      </c>
      <c r="S128" s="179">
        <f>VLOOKUP(A128,'OI(Value)'!A128:O346,11,0)</f>
        <v>119</v>
      </c>
    </row>
    <row r="129" spans="1:19" x14ac:dyDescent="0.25">
      <c r="A129" s="105" t="str">
        <f>'Data Vlaue (Cr)'!C124</f>
        <v>MARICO</v>
      </c>
      <c r="B129" s="143">
        <f>VLOOKUP($A129,'Data shares'!$C:$FA,118)</f>
        <v>0.46</v>
      </c>
      <c r="C129" s="143">
        <f>VLOOKUP($A129,'Data shares'!$C:$FA,119)</f>
        <v>0.46</v>
      </c>
      <c r="D129" s="143">
        <f>VLOOKUP($A129,'Data shares'!$C:$FA,121)*100</f>
        <v>0</v>
      </c>
      <c r="E129" s="143">
        <f>VLOOKUP($A129,'Data shares'!$C:$FA,124)</f>
        <v>0.41</v>
      </c>
      <c r="F129" s="143">
        <f>VLOOKUP($A129,'Data shares'!$C:$FA,125)</f>
        <v>0.83</v>
      </c>
      <c r="G129" s="143">
        <f>VLOOKUP($A129,'Data shares'!$C:$FA,127)*100</f>
        <v>-50.6</v>
      </c>
      <c r="H129" s="103">
        <f>VLOOKUP($A129,'OI(Volume)'!$A$7:$O$440,8)</f>
        <v>4627200</v>
      </c>
      <c r="I129" s="103">
        <f>VLOOKUP($A129,'OI(Volume)'!$A$7:$O$440,9)</f>
        <v>120000</v>
      </c>
      <c r="J129" s="103">
        <f>VLOOKUP($A129,'OI(Volume)'!$A$7:$O$440,11)</f>
        <v>2139600</v>
      </c>
      <c r="K129" s="103">
        <f>VLOOKUP($A129,'OI(Volume)'!$A$7:$O$440,12)</f>
        <v>67200</v>
      </c>
      <c r="L129" s="103">
        <f>VLOOKUP($A129,'OI(Value)'!$A$7:$O$323,8,0)</f>
        <v>361</v>
      </c>
      <c r="M129" s="103">
        <f>VLOOKUP($A129,'OI(Value)'!$A$7:$O$323,9,0)</f>
        <v>9</v>
      </c>
      <c r="N129" s="103">
        <f>VLOOKUP($A129,'OI(Value)'!$A$7:$O$323,11,0)</f>
        <v>167</v>
      </c>
      <c r="O129" s="103">
        <f>VLOOKUP($A129,'OI(Value)'!$A$7:$O$323,12,0)</f>
        <v>5</v>
      </c>
      <c r="P129" s="179">
        <f>VLOOKUP(A129,'OI(Value)'!A129:O347,8,0)</f>
        <v>361</v>
      </c>
      <c r="Q129" s="179">
        <f>VLOOKUP(A129,'OI(Value)'!A129:O347,9,0)</f>
        <v>9</v>
      </c>
      <c r="R129" s="179">
        <f>VLOOKUP(A129,'OI(Value)'!A129:O347,11,0)</f>
        <v>167</v>
      </c>
      <c r="S129" s="179">
        <f>VLOOKUP(A129,'OI(Value)'!A129:O347,11,0)</f>
        <v>167</v>
      </c>
    </row>
    <row r="130" spans="1:19" x14ac:dyDescent="0.25">
      <c r="A130" s="105" t="str">
        <f>'Data Vlaue (Cr)'!C125</f>
        <v>MARUTI</v>
      </c>
      <c r="B130" s="143">
        <f>VLOOKUP($A130,'Data shares'!$C:$FA,118)</f>
        <v>0.51</v>
      </c>
      <c r="C130" s="143">
        <f>VLOOKUP($A130,'Data shares'!$C:$FA,119)</f>
        <v>0.51</v>
      </c>
      <c r="D130" s="143">
        <f>VLOOKUP($A130,'Data shares'!$C:$FA,121)*100</f>
        <v>0</v>
      </c>
      <c r="E130" s="143">
        <f>VLOOKUP($A130,'Data shares'!$C:$FA,124)</f>
        <v>0.61</v>
      </c>
      <c r="F130" s="143">
        <f>VLOOKUP($A130,'Data shares'!$C:$FA,125)</f>
        <v>0.8</v>
      </c>
      <c r="G130" s="143">
        <f>VLOOKUP($A130,'Data shares'!$C:$FA,127)*100</f>
        <v>-23.75</v>
      </c>
      <c r="H130" s="103">
        <f>VLOOKUP($A130,'OI(Volume)'!$A$7:$O$440,8)</f>
        <v>1642500</v>
      </c>
      <c r="I130" s="103">
        <f>VLOOKUP($A130,'OI(Volume)'!$A$7:$O$440,9)</f>
        <v>52150</v>
      </c>
      <c r="J130" s="103">
        <f>VLOOKUP($A130,'OI(Volume)'!$A$7:$O$440,11)</f>
        <v>831800</v>
      </c>
      <c r="K130" s="103">
        <f>VLOOKUP($A130,'OI(Volume)'!$A$7:$O$440,12)</f>
        <v>14550</v>
      </c>
      <c r="L130" s="103">
        <f>VLOOKUP($A130,'OI(Value)'!$A$7:$O$323,8,0)</f>
        <v>2372</v>
      </c>
      <c r="M130" s="103">
        <f>VLOOKUP($A130,'OI(Value)'!$A$7:$O$323,9,0)</f>
        <v>75</v>
      </c>
      <c r="N130" s="103">
        <f>VLOOKUP($A130,'OI(Value)'!$A$7:$O$323,11,0)</f>
        <v>1201</v>
      </c>
      <c r="O130" s="103">
        <f>VLOOKUP($A130,'OI(Value)'!$A$7:$O$323,12,0)</f>
        <v>21</v>
      </c>
      <c r="P130" s="179">
        <f>VLOOKUP(A130,'OI(Value)'!A130:O348,8,0)</f>
        <v>2372</v>
      </c>
      <c r="Q130" s="179">
        <f>VLOOKUP(A130,'OI(Value)'!A130:O348,9,0)</f>
        <v>75</v>
      </c>
      <c r="R130" s="179">
        <f>VLOOKUP(A130,'OI(Value)'!A130:O348,11,0)</f>
        <v>1201</v>
      </c>
      <c r="S130" s="179">
        <f>VLOOKUP(A130,'OI(Value)'!A130:O348,11,0)</f>
        <v>1201</v>
      </c>
    </row>
    <row r="131" spans="1:19" x14ac:dyDescent="0.25">
      <c r="A131" s="105" t="str">
        <f>'Data Vlaue (Cr)'!C126</f>
        <v>MAXHEALTH</v>
      </c>
      <c r="B131" s="143">
        <f>VLOOKUP($A131,'Data shares'!$C:$FA,118)</f>
        <v>0.79</v>
      </c>
      <c r="C131" s="143">
        <f>VLOOKUP($A131,'Data shares'!$C:$FA,119)</f>
        <v>0.78</v>
      </c>
      <c r="D131" s="143">
        <f>VLOOKUP($A131,'Data shares'!$C:$FA,121)*100</f>
        <v>1.28</v>
      </c>
      <c r="E131" s="143">
        <f>VLOOKUP($A131,'Data shares'!$C:$FA,124)</f>
        <v>1.1499999999999999</v>
      </c>
      <c r="F131" s="143">
        <f>VLOOKUP($A131,'Data shares'!$C:$FA,125)</f>
        <v>0.71</v>
      </c>
      <c r="G131" s="143">
        <f>VLOOKUP($A131,'Data shares'!$C:$FA,127)*100</f>
        <v>61.970000000000006</v>
      </c>
      <c r="H131" s="103">
        <f>VLOOKUP($A131,'OI(Volume)'!$A$7:$O$440,8)</f>
        <v>2331525</v>
      </c>
      <c r="I131" s="103">
        <f>VLOOKUP($A131,'OI(Volume)'!$A$7:$O$440,9)</f>
        <v>320250</v>
      </c>
      <c r="J131" s="103">
        <f>VLOOKUP($A131,'OI(Volume)'!$A$7:$O$440,11)</f>
        <v>1840650</v>
      </c>
      <c r="K131" s="103">
        <f>VLOOKUP($A131,'OI(Volume)'!$A$7:$O$440,12)</f>
        <v>262500</v>
      </c>
      <c r="L131" s="103">
        <f>VLOOKUP($A131,'OI(Value)'!$A$7:$O$323,8,0)</f>
        <v>248</v>
      </c>
      <c r="M131" s="103">
        <f>VLOOKUP($A131,'OI(Value)'!$A$7:$O$323,9,0)</f>
        <v>34</v>
      </c>
      <c r="N131" s="103">
        <f>VLOOKUP($A131,'OI(Value)'!$A$7:$O$323,11,0)</f>
        <v>196</v>
      </c>
      <c r="O131" s="103">
        <f>VLOOKUP($A131,'OI(Value)'!$A$7:$O$323,12,0)</f>
        <v>28</v>
      </c>
      <c r="P131" s="179">
        <f>VLOOKUP(A131,'OI(Value)'!A131:O349,8,0)</f>
        <v>248</v>
      </c>
      <c r="Q131" s="179">
        <f>VLOOKUP(A131,'OI(Value)'!A131:O349,9,0)</f>
        <v>34</v>
      </c>
      <c r="R131" s="179">
        <f>VLOOKUP(A131,'OI(Value)'!A131:O349,11,0)</f>
        <v>196</v>
      </c>
      <c r="S131" s="179">
        <f>VLOOKUP(A131,'OI(Value)'!A131:O349,11,0)</f>
        <v>196</v>
      </c>
    </row>
    <row r="132" spans="1:19" x14ac:dyDescent="0.25">
      <c r="A132" s="105" t="str">
        <f>'Data Vlaue (Cr)'!C127</f>
        <v>MAZDOCK</v>
      </c>
      <c r="B132" s="143">
        <f>VLOOKUP($A132,'Data shares'!$C:$FA,118)</f>
        <v>0.53</v>
      </c>
      <c r="C132" s="143">
        <f>VLOOKUP($A132,'Data shares'!$C:$FA,119)</f>
        <v>0.61</v>
      </c>
      <c r="D132" s="143">
        <f>VLOOKUP($A132,'Data shares'!$C:$FA,121)*100</f>
        <v>-13.11</v>
      </c>
      <c r="E132" s="143">
        <f>VLOOKUP($A132,'Data shares'!$C:$FA,124)</f>
        <v>0.23</v>
      </c>
      <c r="F132" s="143">
        <f>VLOOKUP($A132,'Data shares'!$C:$FA,125)</f>
        <v>0.54</v>
      </c>
      <c r="G132" s="143">
        <f>VLOOKUP($A132,'Data shares'!$C:$FA,127)*100</f>
        <v>-57.410000000000004</v>
      </c>
      <c r="H132" s="103">
        <f>VLOOKUP($A132,'OI(Volume)'!$A$7:$O$440,8)</f>
        <v>3152600</v>
      </c>
      <c r="I132" s="103">
        <f>VLOOKUP($A132,'OI(Volume)'!$A$7:$O$440,9)</f>
        <v>1242200</v>
      </c>
      <c r="J132" s="103">
        <f>VLOOKUP($A132,'OI(Volume)'!$A$7:$O$440,11)</f>
        <v>1673200</v>
      </c>
      <c r="K132" s="103">
        <f>VLOOKUP($A132,'OI(Volume)'!$A$7:$O$440,12)</f>
        <v>499800</v>
      </c>
      <c r="L132" s="103">
        <f>VLOOKUP($A132,'OI(Value)'!$A$7:$O$323,8,0)</f>
        <v>744</v>
      </c>
      <c r="M132" s="103">
        <f>VLOOKUP($A132,'OI(Value)'!$A$7:$O$323,9,0)</f>
        <v>293</v>
      </c>
      <c r="N132" s="103">
        <f>VLOOKUP($A132,'OI(Value)'!$A$7:$O$323,11,0)</f>
        <v>395</v>
      </c>
      <c r="O132" s="103">
        <f>VLOOKUP($A132,'OI(Value)'!$A$7:$O$323,12,0)</f>
        <v>118</v>
      </c>
      <c r="P132" s="179">
        <f>VLOOKUP(A132,'OI(Value)'!A132:O350,8,0)</f>
        <v>744</v>
      </c>
      <c r="Q132" s="179">
        <f>VLOOKUP(A132,'OI(Value)'!A132:O350,9,0)</f>
        <v>293</v>
      </c>
      <c r="R132" s="179">
        <f>VLOOKUP(A132,'OI(Value)'!A132:O350,11,0)</f>
        <v>395</v>
      </c>
      <c r="S132" s="179">
        <f>VLOOKUP(A132,'OI(Value)'!A132:O350,11,0)</f>
        <v>395</v>
      </c>
    </row>
    <row r="133" spans="1:19" x14ac:dyDescent="0.25">
      <c r="A133" s="105" t="str">
        <f>'Data Vlaue (Cr)'!C128</f>
        <v>MCX</v>
      </c>
      <c r="B133" s="143">
        <f>VLOOKUP($A133,'Data shares'!$C:$FA,118)</f>
        <v>0.78</v>
      </c>
      <c r="C133" s="143">
        <f>VLOOKUP($A133,'Data shares'!$C:$FA,119)</f>
        <v>0.73</v>
      </c>
      <c r="D133" s="143">
        <f>VLOOKUP($A133,'Data shares'!$C:$FA,121)*100</f>
        <v>6.8500000000000005</v>
      </c>
      <c r="E133" s="143">
        <f>VLOOKUP($A133,'Data shares'!$C:$FA,124)</f>
        <v>0.42</v>
      </c>
      <c r="F133" s="143">
        <f>VLOOKUP($A133,'Data shares'!$C:$FA,125)</f>
        <v>0.76</v>
      </c>
      <c r="G133" s="143">
        <f>VLOOKUP($A133,'Data shares'!$C:$FA,127)*100</f>
        <v>-44.74</v>
      </c>
      <c r="H133" s="103">
        <f>VLOOKUP($A133,'OI(Volume)'!$A$7:$O$440,8)</f>
        <v>6579375</v>
      </c>
      <c r="I133" s="103">
        <f>VLOOKUP($A133,'OI(Volume)'!$A$7:$O$440,9)</f>
        <v>-290000</v>
      </c>
      <c r="J133" s="103">
        <f>VLOOKUP($A133,'OI(Volume)'!$A$7:$O$440,11)</f>
        <v>5141250</v>
      </c>
      <c r="K133" s="103">
        <f>VLOOKUP($A133,'OI(Volume)'!$A$7:$O$440,12)</f>
        <v>136875</v>
      </c>
      <c r="L133" s="103">
        <f>VLOOKUP($A133,'OI(Value)'!$A$7:$O$323,8,0)</f>
        <v>1685</v>
      </c>
      <c r="M133" s="103">
        <f>VLOOKUP($A133,'OI(Value)'!$A$7:$O$323,9,0)</f>
        <v>-74</v>
      </c>
      <c r="N133" s="103">
        <f>VLOOKUP($A133,'OI(Value)'!$A$7:$O$323,11,0)</f>
        <v>1317</v>
      </c>
      <c r="O133" s="103">
        <f>VLOOKUP($A133,'OI(Value)'!$A$7:$O$323,12,0)</f>
        <v>35</v>
      </c>
      <c r="P133" s="179">
        <f>VLOOKUP(A133,'OI(Value)'!A133:O351,8,0)</f>
        <v>1685</v>
      </c>
      <c r="Q133" s="179">
        <f>VLOOKUP(A133,'OI(Value)'!A133:O351,9,0)</f>
        <v>-74</v>
      </c>
      <c r="R133" s="179">
        <f>VLOOKUP(A133,'OI(Value)'!A133:O351,11,0)</f>
        <v>1317</v>
      </c>
      <c r="S133" s="179">
        <f>VLOOKUP(A133,'OI(Value)'!A133:O351,11,0)</f>
        <v>1317</v>
      </c>
    </row>
    <row r="134" spans="1:19" x14ac:dyDescent="0.25">
      <c r="A134" s="105" t="str">
        <f>'Data Vlaue (Cr)'!C129</f>
        <v>MFSL</v>
      </c>
      <c r="B134" s="143">
        <f>VLOOKUP($A134,'Data shares'!$C:$FA,118)</f>
        <v>0.71</v>
      </c>
      <c r="C134" s="143">
        <f>VLOOKUP($A134,'Data shares'!$C:$FA,119)</f>
        <v>0.84</v>
      </c>
      <c r="D134" s="143">
        <f>VLOOKUP($A134,'Data shares'!$C:$FA,121)*100</f>
        <v>-15.479999999999999</v>
      </c>
      <c r="E134" s="143">
        <f>VLOOKUP($A134,'Data shares'!$C:$FA,124)</f>
        <v>0.52</v>
      </c>
      <c r="F134" s="143">
        <f>VLOOKUP($A134,'Data shares'!$C:$FA,125)</f>
        <v>0.89</v>
      </c>
      <c r="G134" s="143">
        <f>VLOOKUP($A134,'Data shares'!$C:$FA,127)*100</f>
        <v>-41.57</v>
      </c>
      <c r="H134" s="103">
        <f>VLOOKUP($A134,'OI(Volume)'!$A$7:$O$440,8)</f>
        <v>707200</v>
      </c>
      <c r="I134" s="103">
        <f>VLOOKUP($A134,'OI(Volume)'!$A$7:$O$440,9)</f>
        <v>139600</v>
      </c>
      <c r="J134" s="103">
        <f>VLOOKUP($A134,'OI(Volume)'!$A$7:$O$440,11)</f>
        <v>501200</v>
      </c>
      <c r="K134" s="103">
        <f>VLOOKUP($A134,'OI(Volume)'!$A$7:$O$440,12)</f>
        <v>26800</v>
      </c>
      <c r="L134" s="103">
        <f>VLOOKUP($A134,'OI(Value)'!$A$7:$O$323,8,0)</f>
        <v>124</v>
      </c>
      <c r="M134" s="103">
        <f>VLOOKUP($A134,'OI(Value)'!$A$7:$O$323,9,0)</f>
        <v>24</v>
      </c>
      <c r="N134" s="103">
        <f>VLOOKUP($A134,'OI(Value)'!$A$7:$O$323,11,0)</f>
        <v>88</v>
      </c>
      <c r="O134" s="103">
        <f>VLOOKUP($A134,'OI(Value)'!$A$7:$O$323,12,0)</f>
        <v>5</v>
      </c>
      <c r="P134" s="179">
        <f>VLOOKUP(A134,'OI(Value)'!A134:O352,8,0)</f>
        <v>124</v>
      </c>
      <c r="Q134" s="179">
        <f>VLOOKUP(A134,'OI(Value)'!A134:O352,9,0)</f>
        <v>24</v>
      </c>
      <c r="R134" s="179">
        <f>VLOOKUP(A134,'OI(Value)'!A134:O352,11,0)</f>
        <v>88</v>
      </c>
      <c r="S134" s="179">
        <f>VLOOKUP(A134,'OI(Value)'!A134:O352,11,0)</f>
        <v>88</v>
      </c>
    </row>
    <row r="135" spans="1:19" x14ac:dyDescent="0.25">
      <c r="A135" s="105" t="str">
        <f>'Data Vlaue (Cr)'!C130</f>
        <v>MIDCPNIFTY</v>
      </c>
      <c r="B135" s="143">
        <f>VLOOKUP($A135,'Data shares'!$C:$FA,118)</f>
        <v>0.97</v>
      </c>
      <c r="C135" s="143">
        <f>VLOOKUP($A135,'Data shares'!$C:$FA,119)</f>
        <v>0.95</v>
      </c>
      <c r="D135" s="143">
        <f>VLOOKUP($A135,'Data shares'!$C:$FA,121)*100</f>
        <v>2.11</v>
      </c>
      <c r="E135" s="143">
        <f>VLOOKUP($A135,'Data shares'!$C:$FA,124)</f>
        <v>1</v>
      </c>
      <c r="F135" s="143">
        <f>VLOOKUP($A135,'Data shares'!$C:$FA,125)</f>
        <v>0.98</v>
      </c>
      <c r="G135" s="143">
        <f>VLOOKUP($A135,'Data shares'!$C:$FA,127)*100</f>
        <v>2.04</v>
      </c>
      <c r="H135" s="103">
        <f>VLOOKUP($A135,'OI(Volume)'!$A$7:$O$440,8)</f>
        <v>5580360</v>
      </c>
      <c r="I135" s="103">
        <f>VLOOKUP($A135,'OI(Volume)'!$A$7:$O$440,9)</f>
        <v>185040</v>
      </c>
      <c r="J135" s="103">
        <f>VLOOKUP($A135,'OI(Volume)'!$A$7:$O$440,11)</f>
        <v>5413080</v>
      </c>
      <c r="K135" s="103">
        <f>VLOOKUP($A135,'OI(Volume)'!$A$7:$O$440,12)</f>
        <v>289440</v>
      </c>
      <c r="L135" s="103">
        <f>VLOOKUP($A135,'OI(Value)'!$A$7:$O$323,8,0)</f>
        <v>7421</v>
      </c>
      <c r="M135" s="103">
        <f>VLOOKUP($A135,'OI(Value)'!$A$7:$O$323,9,0)</f>
        <v>246</v>
      </c>
      <c r="N135" s="103">
        <f>VLOOKUP($A135,'OI(Value)'!$A$7:$O$323,11,0)</f>
        <v>7199</v>
      </c>
      <c r="O135" s="103">
        <f>VLOOKUP($A135,'OI(Value)'!$A$7:$O$323,12,0)</f>
        <v>385</v>
      </c>
      <c r="P135" s="179">
        <f>VLOOKUP(A135,'OI(Value)'!A135:O353,8,0)</f>
        <v>7421</v>
      </c>
      <c r="Q135" s="179">
        <f>VLOOKUP(A135,'OI(Value)'!A135:O353,9,0)</f>
        <v>246</v>
      </c>
      <c r="R135" s="179">
        <f>VLOOKUP(A135,'OI(Value)'!A135:O353,11,0)</f>
        <v>7199</v>
      </c>
      <c r="S135" s="179">
        <f>VLOOKUP(A135,'OI(Value)'!A135:O353,11,0)</f>
        <v>7199</v>
      </c>
    </row>
    <row r="136" spans="1:19" x14ac:dyDescent="0.25">
      <c r="A136" s="105" t="str">
        <f>'Data Vlaue (Cr)'!C131</f>
        <v>MOTHERSON</v>
      </c>
      <c r="B136" s="143">
        <f>VLOOKUP($A136,'Data shares'!$C:$FA,118)</f>
        <v>0.63</v>
      </c>
      <c r="C136" s="143">
        <f>VLOOKUP($A136,'Data shares'!$C:$FA,119)</f>
        <v>0.64</v>
      </c>
      <c r="D136" s="143">
        <f>VLOOKUP($A136,'Data shares'!$C:$FA,121)*100</f>
        <v>-1.5599999999999998</v>
      </c>
      <c r="E136" s="143">
        <f>VLOOKUP($A136,'Data shares'!$C:$FA,124)</f>
        <v>0.3</v>
      </c>
      <c r="F136" s="143">
        <f>VLOOKUP($A136,'Data shares'!$C:$FA,125)</f>
        <v>0.78</v>
      </c>
      <c r="G136" s="143">
        <f>VLOOKUP($A136,'Data shares'!$C:$FA,127)*100</f>
        <v>-61.539999999999992</v>
      </c>
      <c r="H136" s="103">
        <f>VLOOKUP($A136,'OI(Volume)'!$A$7:$O$440,8)</f>
        <v>42022950</v>
      </c>
      <c r="I136" s="103">
        <f>VLOOKUP($A136,'OI(Volume)'!$A$7:$O$440,9)</f>
        <v>2847450</v>
      </c>
      <c r="J136" s="103">
        <f>VLOOKUP($A136,'OI(Volume)'!$A$7:$O$440,11)</f>
        <v>26660250</v>
      </c>
      <c r="K136" s="103">
        <f>VLOOKUP($A136,'OI(Volume)'!$A$7:$O$440,12)</f>
        <v>1666650</v>
      </c>
      <c r="L136" s="103">
        <f>VLOOKUP($A136,'OI(Value)'!$A$7:$O$323,8,0)</f>
        <v>532</v>
      </c>
      <c r="M136" s="103">
        <f>VLOOKUP($A136,'OI(Value)'!$A$7:$O$323,9,0)</f>
        <v>36</v>
      </c>
      <c r="N136" s="103">
        <f>VLOOKUP($A136,'OI(Value)'!$A$7:$O$323,11,0)</f>
        <v>337</v>
      </c>
      <c r="O136" s="103">
        <f>VLOOKUP($A136,'OI(Value)'!$A$7:$O$323,12,0)</f>
        <v>21</v>
      </c>
      <c r="P136" s="179">
        <f>VLOOKUP(A136,'OI(Value)'!A136:O354,8,0)</f>
        <v>532</v>
      </c>
      <c r="Q136" s="179">
        <f>VLOOKUP(A136,'OI(Value)'!A136:O354,9,0)</f>
        <v>36</v>
      </c>
      <c r="R136" s="179">
        <f>VLOOKUP(A136,'OI(Value)'!A136:O354,11,0)</f>
        <v>337</v>
      </c>
      <c r="S136" s="179">
        <f>VLOOKUP(A136,'OI(Value)'!A136:O354,11,0)</f>
        <v>337</v>
      </c>
    </row>
    <row r="137" spans="1:19" x14ac:dyDescent="0.25">
      <c r="A137" s="105" t="str">
        <f>'Data Vlaue (Cr)'!C132</f>
        <v>MPHASIS</v>
      </c>
      <c r="B137" s="143">
        <f>VLOOKUP($A137,'Data shares'!$C:$FA,118)</f>
        <v>0.57999999999999996</v>
      </c>
      <c r="C137" s="143">
        <f>VLOOKUP($A137,'Data shares'!$C:$FA,119)</f>
        <v>0.67</v>
      </c>
      <c r="D137" s="143">
        <f>VLOOKUP($A137,'Data shares'!$C:$FA,121)*100</f>
        <v>-13.43</v>
      </c>
      <c r="E137" s="143">
        <f>VLOOKUP($A137,'Data shares'!$C:$FA,124)</f>
        <v>0.56999999999999995</v>
      </c>
      <c r="F137" s="143">
        <f>VLOOKUP($A137,'Data shares'!$C:$FA,125)</f>
        <v>0.45</v>
      </c>
      <c r="G137" s="143">
        <f>VLOOKUP($A137,'Data shares'!$C:$FA,127)*100</f>
        <v>26.669999999999998</v>
      </c>
      <c r="H137" s="103">
        <f>VLOOKUP($A137,'OI(Volume)'!$A$7:$O$440,8)</f>
        <v>1100275</v>
      </c>
      <c r="I137" s="103">
        <f>VLOOKUP($A137,'OI(Volume)'!$A$7:$O$440,9)</f>
        <v>70125</v>
      </c>
      <c r="J137" s="103">
        <f>VLOOKUP($A137,'OI(Volume)'!$A$7:$O$440,11)</f>
        <v>640200</v>
      </c>
      <c r="K137" s="103">
        <f>VLOOKUP($A137,'OI(Volume)'!$A$7:$O$440,12)</f>
        <v>-47850</v>
      </c>
      <c r="L137" s="103">
        <f>VLOOKUP($A137,'OI(Value)'!$A$7:$O$323,8,0)</f>
        <v>247</v>
      </c>
      <c r="M137" s="103">
        <f>VLOOKUP($A137,'OI(Value)'!$A$7:$O$323,9,0)</f>
        <v>16</v>
      </c>
      <c r="N137" s="103">
        <f>VLOOKUP($A137,'OI(Value)'!$A$7:$O$323,11,0)</f>
        <v>144</v>
      </c>
      <c r="O137" s="103">
        <f>VLOOKUP($A137,'OI(Value)'!$A$7:$O$323,12,0)</f>
        <v>-11</v>
      </c>
      <c r="P137" s="179">
        <f>VLOOKUP(A137,'OI(Value)'!A137:O355,8,0)</f>
        <v>247</v>
      </c>
      <c r="Q137" s="179">
        <f>VLOOKUP(A137,'OI(Value)'!A137:O355,9,0)</f>
        <v>16</v>
      </c>
      <c r="R137" s="179">
        <f>VLOOKUP(A137,'OI(Value)'!A137:O355,11,0)</f>
        <v>144</v>
      </c>
      <c r="S137" s="179">
        <f>VLOOKUP(A137,'OI(Value)'!A137:O355,11,0)</f>
        <v>144</v>
      </c>
    </row>
    <row r="138" spans="1:19" x14ac:dyDescent="0.25">
      <c r="A138" s="105" t="str">
        <f>'Data Vlaue (Cr)'!C133</f>
        <v>MUTHOOTFIN</v>
      </c>
      <c r="B138" s="143">
        <f>VLOOKUP($A138,'Data shares'!$C:$FA,118)</f>
        <v>0.44</v>
      </c>
      <c r="C138" s="143">
        <f>VLOOKUP($A138,'Data shares'!$C:$FA,119)</f>
        <v>0.45</v>
      </c>
      <c r="D138" s="143">
        <f>VLOOKUP($A138,'Data shares'!$C:$FA,121)*100</f>
        <v>-2.2200000000000002</v>
      </c>
      <c r="E138" s="143">
        <f>VLOOKUP($A138,'Data shares'!$C:$FA,124)</f>
        <v>0.56999999999999995</v>
      </c>
      <c r="F138" s="143">
        <f>VLOOKUP($A138,'Data shares'!$C:$FA,125)</f>
        <v>0.61</v>
      </c>
      <c r="G138" s="143">
        <f>VLOOKUP($A138,'Data shares'!$C:$FA,127)*100</f>
        <v>-6.5600000000000005</v>
      </c>
      <c r="H138" s="103">
        <f>VLOOKUP($A138,'OI(Volume)'!$A$7:$O$440,8)</f>
        <v>3960825</v>
      </c>
      <c r="I138" s="103">
        <f>VLOOKUP($A138,'OI(Volume)'!$A$7:$O$440,9)</f>
        <v>262900</v>
      </c>
      <c r="J138" s="103">
        <f>VLOOKUP($A138,'OI(Volume)'!$A$7:$O$440,11)</f>
        <v>1744875</v>
      </c>
      <c r="K138" s="103">
        <f>VLOOKUP($A138,'OI(Volume)'!$A$7:$O$440,12)</f>
        <v>98725</v>
      </c>
      <c r="L138" s="103">
        <f>VLOOKUP($A138,'OI(Value)'!$A$7:$O$323,8,0)</f>
        <v>1314</v>
      </c>
      <c r="M138" s="103">
        <f>VLOOKUP($A138,'OI(Value)'!$A$7:$O$323,9,0)</f>
        <v>87</v>
      </c>
      <c r="N138" s="103">
        <f>VLOOKUP($A138,'OI(Value)'!$A$7:$O$323,11,0)</f>
        <v>579</v>
      </c>
      <c r="O138" s="103">
        <f>VLOOKUP($A138,'OI(Value)'!$A$7:$O$323,12,0)</f>
        <v>33</v>
      </c>
      <c r="P138" s="179">
        <f>VLOOKUP(A138,'OI(Value)'!A138:O356,8,0)</f>
        <v>1314</v>
      </c>
      <c r="Q138" s="179">
        <f>VLOOKUP(A138,'OI(Value)'!A138:O356,9,0)</f>
        <v>87</v>
      </c>
      <c r="R138" s="179">
        <f>VLOOKUP(A138,'OI(Value)'!A138:O356,11,0)</f>
        <v>579</v>
      </c>
      <c r="S138" s="179">
        <f>VLOOKUP(A138,'OI(Value)'!A138:O356,11,0)</f>
        <v>579</v>
      </c>
    </row>
    <row r="139" spans="1:19" x14ac:dyDescent="0.25">
      <c r="A139" s="105" t="str">
        <f>'Data Vlaue (Cr)'!C134</f>
        <v>NATIONALUM</v>
      </c>
      <c r="B139" s="143">
        <f>VLOOKUP($A139,'Data shares'!$C:$FA,118)</f>
        <v>0.81</v>
      </c>
      <c r="C139" s="143">
        <f>VLOOKUP($A139,'Data shares'!$C:$FA,119)</f>
        <v>0.84</v>
      </c>
      <c r="D139" s="143">
        <f>VLOOKUP($A139,'Data shares'!$C:$FA,121)*100</f>
        <v>-3.5700000000000003</v>
      </c>
      <c r="E139" s="143">
        <f>VLOOKUP($A139,'Data shares'!$C:$FA,124)</f>
        <v>0.4</v>
      </c>
      <c r="F139" s="143">
        <f>VLOOKUP($A139,'Data shares'!$C:$FA,125)</f>
        <v>0.51</v>
      </c>
      <c r="G139" s="143">
        <f>VLOOKUP($A139,'Data shares'!$C:$FA,127)*100</f>
        <v>-21.57</v>
      </c>
      <c r="H139" s="103">
        <f>VLOOKUP($A139,'OI(Volume)'!$A$7:$O$440,8)</f>
        <v>32838750</v>
      </c>
      <c r="I139" s="103">
        <f>VLOOKUP($A139,'OI(Volume)'!$A$7:$O$440,9)</f>
        <v>6915000</v>
      </c>
      <c r="J139" s="103">
        <f>VLOOKUP($A139,'OI(Volume)'!$A$7:$O$440,11)</f>
        <v>26722500</v>
      </c>
      <c r="K139" s="103">
        <f>VLOOKUP($A139,'OI(Volume)'!$A$7:$O$440,12)</f>
        <v>4897500</v>
      </c>
      <c r="L139" s="103">
        <f>VLOOKUP($A139,'OI(Value)'!$A$7:$O$323,8,0)</f>
        <v>1303</v>
      </c>
      <c r="M139" s="103">
        <f>VLOOKUP($A139,'OI(Value)'!$A$7:$O$323,9,0)</f>
        <v>274</v>
      </c>
      <c r="N139" s="103">
        <f>VLOOKUP($A139,'OI(Value)'!$A$7:$O$323,11,0)</f>
        <v>1060</v>
      </c>
      <c r="O139" s="103">
        <f>VLOOKUP($A139,'OI(Value)'!$A$7:$O$323,12,0)</f>
        <v>194</v>
      </c>
      <c r="P139" s="179">
        <f>VLOOKUP(A139,'OI(Value)'!A139:O357,8,0)</f>
        <v>1303</v>
      </c>
      <c r="Q139" s="179">
        <f>VLOOKUP(A139,'OI(Value)'!A139:O357,9,0)</f>
        <v>274</v>
      </c>
      <c r="R139" s="179">
        <f>VLOOKUP(A139,'OI(Value)'!A139:O357,11,0)</f>
        <v>1060</v>
      </c>
      <c r="S139" s="179">
        <f>VLOOKUP(A139,'OI(Value)'!A139:O357,11,0)</f>
        <v>1060</v>
      </c>
    </row>
    <row r="140" spans="1:19" x14ac:dyDescent="0.25">
      <c r="A140" s="105" t="str">
        <f>'Data Vlaue (Cr)'!C135</f>
        <v>NAUKRI</v>
      </c>
      <c r="B140" s="143">
        <f>VLOOKUP($A140,'Data shares'!$C:$FA,118)</f>
        <v>0.5</v>
      </c>
      <c r="C140" s="143">
        <f>VLOOKUP($A140,'Data shares'!$C:$FA,119)</f>
        <v>0.5</v>
      </c>
      <c r="D140" s="143">
        <f>VLOOKUP($A140,'Data shares'!$C:$FA,121)*100</f>
        <v>0</v>
      </c>
      <c r="E140" s="143">
        <f>VLOOKUP($A140,'Data shares'!$C:$FA,124)</f>
        <v>0.21</v>
      </c>
      <c r="F140" s="143">
        <f>VLOOKUP($A140,'Data shares'!$C:$FA,125)</f>
        <v>0.48</v>
      </c>
      <c r="G140" s="143">
        <f>VLOOKUP($A140,'Data shares'!$C:$FA,127)*100</f>
        <v>-56.25</v>
      </c>
      <c r="H140" s="103">
        <f>VLOOKUP($A140,'OI(Volume)'!$A$7:$O$440,8)</f>
        <v>2773125</v>
      </c>
      <c r="I140" s="103">
        <f>VLOOKUP($A140,'OI(Volume)'!$A$7:$O$440,9)</f>
        <v>46875</v>
      </c>
      <c r="J140" s="103">
        <f>VLOOKUP($A140,'OI(Volume)'!$A$7:$O$440,11)</f>
        <v>1377375</v>
      </c>
      <c r="K140" s="103">
        <f>VLOOKUP($A140,'OI(Volume)'!$A$7:$O$440,12)</f>
        <v>15375</v>
      </c>
      <c r="L140" s="103">
        <f>VLOOKUP($A140,'OI(Value)'!$A$7:$O$323,8,0)</f>
        <v>282</v>
      </c>
      <c r="M140" s="103">
        <f>VLOOKUP($A140,'OI(Value)'!$A$7:$O$323,9,0)</f>
        <v>5</v>
      </c>
      <c r="N140" s="103">
        <f>VLOOKUP($A140,'OI(Value)'!$A$7:$O$323,11,0)</f>
        <v>140</v>
      </c>
      <c r="O140" s="103">
        <f>VLOOKUP($A140,'OI(Value)'!$A$7:$O$323,12,0)</f>
        <v>2</v>
      </c>
      <c r="P140" s="179">
        <f>VLOOKUP(A140,'OI(Value)'!A140:O358,8,0)</f>
        <v>282</v>
      </c>
      <c r="Q140" s="179">
        <f>VLOOKUP(A140,'OI(Value)'!A140:O358,9,0)</f>
        <v>5</v>
      </c>
      <c r="R140" s="179">
        <f>VLOOKUP(A140,'OI(Value)'!A140:O358,11,0)</f>
        <v>140</v>
      </c>
      <c r="S140" s="179">
        <f>VLOOKUP(A140,'OI(Value)'!A140:O358,11,0)</f>
        <v>140</v>
      </c>
    </row>
    <row r="141" spans="1:19" x14ac:dyDescent="0.25">
      <c r="A141" s="105" t="str">
        <f>'Data Vlaue (Cr)'!C136</f>
        <v>NBCC</v>
      </c>
      <c r="B141" s="143">
        <f>VLOOKUP($A141,'Data shares'!$C:$FA,118)</f>
        <v>0.57999999999999996</v>
      </c>
      <c r="C141" s="143">
        <f>VLOOKUP($A141,'Data shares'!$C:$FA,119)</f>
        <v>0.6</v>
      </c>
      <c r="D141" s="143">
        <f>VLOOKUP($A141,'Data shares'!$C:$FA,121)*100</f>
        <v>-3.3300000000000005</v>
      </c>
      <c r="E141" s="143">
        <f>VLOOKUP($A141,'Data shares'!$C:$FA,124)</f>
        <v>0.59</v>
      </c>
      <c r="F141" s="143">
        <f>VLOOKUP($A141,'Data shares'!$C:$FA,125)</f>
        <v>0.65</v>
      </c>
      <c r="G141" s="143">
        <f>VLOOKUP($A141,'Data shares'!$C:$FA,127)*100</f>
        <v>-9.2299999999999986</v>
      </c>
      <c r="H141" s="103">
        <f>VLOOKUP($A141,'OI(Volume)'!$A$7:$O$440,8)</f>
        <v>31798000</v>
      </c>
      <c r="I141" s="103">
        <f>VLOOKUP($A141,'OI(Volume)'!$A$7:$O$440,9)</f>
        <v>2268500</v>
      </c>
      <c r="J141" s="103">
        <f>VLOOKUP($A141,'OI(Volume)'!$A$7:$O$440,11)</f>
        <v>18479500</v>
      </c>
      <c r="K141" s="103">
        <f>VLOOKUP($A141,'OI(Volume)'!$A$7:$O$440,12)</f>
        <v>624000</v>
      </c>
      <c r="L141" s="103">
        <f>VLOOKUP($A141,'OI(Value)'!$A$7:$O$323,8,0)</f>
        <v>277</v>
      </c>
      <c r="M141" s="103">
        <f>VLOOKUP($A141,'OI(Value)'!$A$7:$O$323,9,0)</f>
        <v>20</v>
      </c>
      <c r="N141" s="103">
        <f>VLOOKUP($A141,'OI(Value)'!$A$7:$O$323,11,0)</f>
        <v>161</v>
      </c>
      <c r="O141" s="103">
        <f>VLOOKUP($A141,'OI(Value)'!$A$7:$O$323,12,0)</f>
        <v>5</v>
      </c>
      <c r="P141" s="179">
        <f>VLOOKUP(A141,'OI(Value)'!A141:O359,8,0)</f>
        <v>277</v>
      </c>
      <c r="Q141" s="179">
        <f>VLOOKUP(A141,'OI(Value)'!A141:O359,9,0)</f>
        <v>20</v>
      </c>
      <c r="R141" s="179">
        <f>VLOOKUP(A141,'OI(Value)'!A141:O359,11,0)</f>
        <v>161</v>
      </c>
      <c r="S141" s="179">
        <f>VLOOKUP(A141,'OI(Value)'!A141:O359,11,0)</f>
        <v>161</v>
      </c>
    </row>
    <row r="142" spans="1:19" x14ac:dyDescent="0.25">
      <c r="A142" s="105" t="str">
        <f>'Data Vlaue (Cr)'!C137</f>
        <v>NESTLEIND</v>
      </c>
      <c r="B142" s="143">
        <f>VLOOKUP($A142,'Data shares'!$C:$FA,118)</f>
        <v>0.54</v>
      </c>
      <c r="C142" s="143">
        <f>VLOOKUP($A142,'Data shares'!$C:$FA,119)</f>
        <v>0.5</v>
      </c>
      <c r="D142" s="143">
        <f>VLOOKUP($A142,'Data shares'!$C:$FA,121)*100</f>
        <v>8</v>
      </c>
      <c r="E142" s="143">
        <f>VLOOKUP($A142,'Data shares'!$C:$FA,124)</f>
        <v>0.61</v>
      </c>
      <c r="F142" s="143">
        <f>VLOOKUP($A142,'Data shares'!$C:$FA,125)</f>
        <v>0.47</v>
      </c>
      <c r="G142" s="143">
        <f>VLOOKUP($A142,'Data shares'!$C:$FA,127)*100</f>
        <v>29.79</v>
      </c>
      <c r="H142" s="103">
        <f>VLOOKUP($A142,'OI(Volume)'!$A$7:$O$440,8)</f>
        <v>2697500</v>
      </c>
      <c r="I142" s="103">
        <f>VLOOKUP($A142,'OI(Volume)'!$A$7:$O$440,9)</f>
        <v>167000</v>
      </c>
      <c r="J142" s="103">
        <f>VLOOKUP($A142,'OI(Volume)'!$A$7:$O$440,11)</f>
        <v>1451000</v>
      </c>
      <c r="K142" s="103">
        <f>VLOOKUP($A142,'OI(Volume)'!$A$7:$O$440,12)</f>
        <v>178000</v>
      </c>
      <c r="L142" s="103">
        <f>VLOOKUP($A142,'OI(Value)'!$A$7:$O$323,8,0)</f>
        <v>339</v>
      </c>
      <c r="M142" s="103">
        <f>VLOOKUP($A142,'OI(Value)'!$A$7:$O$323,9,0)</f>
        <v>21</v>
      </c>
      <c r="N142" s="103">
        <f>VLOOKUP($A142,'OI(Value)'!$A$7:$O$323,11,0)</f>
        <v>182</v>
      </c>
      <c r="O142" s="103">
        <f>VLOOKUP($A142,'OI(Value)'!$A$7:$O$323,12,0)</f>
        <v>22</v>
      </c>
      <c r="P142" s="179">
        <f>VLOOKUP(A142,'OI(Value)'!A142:O360,8,0)</f>
        <v>339</v>
      </c>
      <c r="Q142" s="179">
        <f>VLOOKUP(A142,'OI(Value)'!A142:O360,9,0)</f>
        <v>21</v>
      </c>
      <c r="R142" s="179">
        <f>VLOOKUP(A142,'OI(Value)'!A142:O360,11,0)</f>
        <v>182</v>
      </c>
      <c r="S142" s="179">
        <f>VLOOKUP(A142,'OI(Value)'!A142:O360,11,0)</f>
        <v>182</v>
      </c>
    </row>
    <row r="143" spans="1:19" x14ac:dyDescent="0.25">
      <c r="A143" s="105" t="str">
        <f>'Data Vlaue (Cr)'!C138</f>
        <v>NHPC</v>
      </c>
      <c r="B143" s="143">
        <f>VLOOKUP($A143,'Data shares'!$C:$FA,118)</f>
        <v>0.6</v>
      </c>
      <c r="C143" s="143">
        <f>VLOOKUP($A143,'Data shares'!$C:$FA,119)</f>
        <v>0.56999999999999995</v>
      </c>
      <c r="D143" s="143">
        <f>VLOOKUP($A143,'Data shares'!$C:$FA,121)*100</f>
        <v>5.26</v>
      </c>
      <c r="E143" s="143">
        <f>VLOOKUP($A143,'Data shares'!$C:$FA,124)</f>
        <v>0.65</v>
      </c>
      <c r="F143" s="143">
        <f>VLOOKUP($A143,'Data shares'!$C:$FA,125)</f>
        <v>0.73</v>
      </c>
      <c r="G143" s="143">
        <f>VLOOKUP($A143,'Data shares'!$C:$FA,127)*100</f>
        <v>-10.96</v>
      </c>
      <c r="H143" s="103">
        <f>VLOOKUP($A143,'OI(Volume)'!$A$7:$O$440,8)</f>
        <v>33830400</v>
      </c>
      <c r="I143" s="103">
        <f>VLOOKUP($A143,'OI(Volume)'!$A$7:$O$440,9)</f>
        <v>-1388800</v>
      </c>
      <c r="J143" s="103">
        <f>VLOOKUP($A143,'OI(Volume)'!$A$7:$O$440,11)</f>
        <v>20454400</v>
      </c>
      <c r="K143" s="103">
        <f>VLOOKUP($A143,'OI(Volume)'!$A$7:$O$440,12)</f>
        <v>390400</v>
      </c>
      <c r="L143" s="103">
        <f>VLOOKUP($A143,'OI(Value)'!$A$7:$O$323,8,0)</f>
        <v>252</v>
      </c>
      <c r="M143" s="103">
        <f>VLOOKUP($A143,'OI(Value)'!$A$7:$O$323,9,0)</f>
        <v>-10</v>
      </c>
      <c r="N143" s="103">
        <f>VLOOKUP($A143,'OI(Value)'!$A$7:$O$323,11,0)</f>
        <v>152</v>
      </c>
      <c r="O143" s="103">
        <f>VLOOKUP($A143,'OI(Value)'!$A$7:$O$323,12,0)</f>
        <v>3</v>
      </c>
      <c r="P143" s="179">
        <f>VLOOKUP(A143,'OI(Value)'!A143:O361,8,0)</f>
        <v>252</v>
      </c>
      <c r="Q143" s="179">
        <f>VLOOKUP(A143,'OI(Value)'!A143:O361,9,0)</f>
        <v>-10</v>
      </c>
      <c r="R143" s="179">
        <f>VLOOKUP(A143,'OI(Value)'!A143:O361,11,0)</f>
        <v>152</v>
      </c>
      <c r="S143" s="179">
        <f>VLOOKUP(A143,'OI(Value)'!A143:O361,11,0)</f>
        <v>152</v>
      </c>
    </row>
    <row r="144" spans="1:19" x14ac:dyDescent="0.25">
      <c r="A144" s="105" t="str">
        <f>'Data Vlaue (Cr)'!C139</f>
        <v>NIFTY</v>
      </c>
      <c r="B144" s="143">
        <f>VLOOKUP($A144,'Data shares'!$C:$FA,118)</f>
        <v>1.01</v>
      </c>
      <c r="C144" s="143">
        <f>VLOOKUP($A144,'Data shares'!$C:$FA,119)</f>
        <v>0.95</v>
      </c>
      <c r="D144" s="143">
        <f>VLOOKUP($A144,'Data shares'!$C:$FA,121)*100</f>
        <v>6.32</v>
      </c>
      <c r="E144" s="143">
        <f>VLOOKUP($A144,'Data shares'!$C:$FA,124)</f>
        <v>0.8</v>
      </c>
      <c r="F144" s="143">
        <f>VLOOKUP($A144,'Data shares'!$C:$FA,125)</f>
        <v>0.76</v>
      </c>
      <c r="G144" s="143">
        <f>VLOOKUP($A144,'Data shares'!$C:$FA,127)*100</f>
        <v>5.26</v>
      </c>
      <c r="H144" s="103">
        <f>VLOOKUP($A144,'OI(Volume)'!$A$7:$O$440,8)</f>
        <v>201919985</v>
      </c>
      <c r="I144" s="103">
        <f>VLOOKUP($A144,'OI(Volume)'!$A$7:$O$440,9)</f>
        <v>22992025</v>
      </c>
      <c r="J144" s="103">
        <f>VLOOKUP($A144,'OI(Volume)'!$A$7:$O$440,11)</f>
        <v>204929535</v>
      </c>
      <c r="K144" s="103">
        <f>VLOOKUP($A144,'OI(Volume)'!$A$7:$O$440,12)</f>
        <v>34782625</v>
      </c>
      <c r="L144" s="103">
        <f>VLOOKUP($A144,'OI(Value)'!$A$7:$O$323,8,0)</f>
        <v>501858</v>
      </c>
      <c r="M144" s="103">
        <f>VLOOKUP($A144,'OI(Value)'!$A$7:$O$323,9,0)</f>
        <v>57145</v>
      </c>
      <c r="N144" s="103">
        <f>VLOOKUP($A144,'OI(Value)'!$A$7:$O$323,11,0)</f>
        <v>509338</v>
      </c>
      <c r="O144" s="103">
        <f>VLOOKUP($A144,'OI(Value)'!$A$7:$O$323,12,0)</f>
        <v>86450</v>
      </c>
      <c r="P144" s="179">
        <f>VLOOKUP(A144,'OI(Value)'!A144:O362,8,0)</f>
        <v>501858</v>
      </c>
      <c r="Q144" s="179">
        <f>VLOOKUP(A144,'OI(Value)'!A144:O362,9,0)</f>
        <v>57145</v>
      </c>
      <c r="R144" s="179">
        <f>VLOOKUP(A144,'OI(Value)'!A144:O362,11,0)</f>
        <v>509338</v>
      </c>
      <c r="S144" s="179">
        <f>VLOOKUP(A144,'OI(Value)'!A144:O362,11,0)</f>
        <v>509338</v>
      </c>
    </row>
    <row r="145" spans="1:19" x14ac:dyDescent="0.25">
      <c r="A145" s="105" t="str">
        <f>'Data Vlaue (Cr)'!C140</f>
        <v>NIFTYNXT50</v>
      </c>
      <c r="B145" s="143">
        <f>VLOOKUP($A145,'Data shares'!$C:$FA,118)</f>
        <v>0.39</v>
      </c>
      <c r="C145" s="143">
        <f>VLOOKUP($A145,'Data shares'!$C:$FA,119)</f>
        <v>0.28000000000000003</v>
      </c>
      <c r="D145" s="143">
        <f>VLOOKUP($A145,'Data shares'!$C:$FA,121)*100</f>
        <v>39.290000000000006</v>
      </c>
      <c r="E145" s="143">
        <f>VLOOKUP($A145,'Data shares'!$C:$FA,124)</f>
        <v>0.44</v>
      </c>
      <c r="F145" s="143">
        <f>VLOOKUP($A145,'Data shares'!$C:$FA,125)</f>
        <v>0.05</v>
      </c>
      <c r="G145" s="143">
        <f>VLOOKUP($A145,'Data shares'!$C:$FA,127)*100</f>
        <v>780</v>
      </c>
      <c r="H145" s="103">
        <f>VLOOKUP($A145,'OI(Volume)'!$A$7:$O$440,8)</f>
        <v>7300</v>
      </c>
      <c r="I145" s="103">
        <f>VLOOKUP($A145,'OI(Volume)'!$A$7:$O$440,9)</f>
        <v>1200</v>
      </c>
      <c r="J145" s="103">
        <f>VLOOKUP($A145,'OI(Volume)'!$A$7:$O$440,11)</f>
        <v>2850</v>
      </c>
      <c r="K145" s="103">
        <f>VLOOKUP($A145,'OI(Volume)'!$A$7:$O$440,12)</f>
        <v>1150</v>
      </c>
      <c r="L145" s="103">
        <f>VLOOKUP($A145,'OI(Value)'!$A$7:$O$323,8,0)</f>
        <v>50</v>
      </c>
      <c r="M145" s="103">
        <f>VLOOKUP($A145,'OI(Value)'!$A$7:$O$323,9,0)</f>
        <v>8</v>
      </c>
      <c r="N145" s="103">
        <f>VLOOKUP($A145,'OI(Value)'!$A$7:$O$323,11,0)</f>
        <v>19</v>
      </c>
      <c r="O145" s="103">
        <f>VLOOKUP($A145,'OI(Value)'!$A$7:$O$323,12,0)</f>
        <v>8</v>
      </c>
      <c r="P145" s="179">
        <f>VLOOKUP(A145,'OI(Value)'!A145:O363,8,0)</f>
        <v>50</v>
      </c>
      <c r="Q145" s="179">
        <f>VLOOKUP(A145,'OI(Value)'!A145:O363,9,0)</f>
        <v>8</v>
      </c>
      <c r="R145" s="179">
        <f>VLOOKUP(A145,'OI(Value)'!A145:O363,11,0)</f>
        <v>19</v>
      </c>
      <c r="S145" s="179">
        <f>VLOOKUP(A145,'OI(Value)'!A145:O363,11,0)</f>
        <v>19</v>
      </c>
    </row>
    <row r="146" spans="1:19" x14ac:dyDescent="0.25">
      <c r="A146" s="105" t="str">
        <f>'Data Vlaue (Cr)'!C141</f>
        <v>NMDC</v>
      </c>
      <c r="B146" s="143">
        <f>VLOOKUP($A146,'Data shares'!$C:$FA,118)</f>
        <v>0.56999999999999995</v>
      </c>
      <c r="C146" s="143">
        <f>VLOOKUP($A146,'Data shares'!$C:$FA,119)</f>
        <v>0.59</v>
      </c>
      <c r="D146" s="143">
        <f>VLOOKUP($A146,'Data shares'!$C:$FA,121)*100</f>
        <v>-3.39</v>
      </c>
      <c r="E146" s="143">
        <f>VLOOKUP($A146,'Data shares'!$C:$FA,124)</f>
        <v>0.36</v>
      </c>
      <c r="F146" s="143">
        <f>VLOOKUP($A146,'Data shares'!$C:$FA,125)</f>
        <v>0.48</v>
      </c>
      <c r="G146" s="143">
        <f>VLOOKUP($A146,'Data shares'!$C:$FA,127)*100</f>
        <v>-25</v>
      </c>
      <c r="H146" s="103">
        <f>VLOOKUP($A146,'OI(Volume)'!$A$7:$O$440,8)</f>
        <v>74736000</v>
      </c>
      <c r="I146" s="103">
        <f>VLOOKUP($A146,'OI(Volume)'!$A$7:$O$440,9)</f>
        <v>4124250</v>
      </c>
      <c r="J146" s="103">
        <f>VLOOKUP($A146,'OI(Volume)'!$A$7:$O$440,11)</f>
        <v>42410250</v>
      </c>
      <c r="K146" s="103">
        <f>VLOOKUP($A146,'OI(Volume)'!$A$7:$O$440,12)</f>
        <v>729000</v>
      </c>
      <c r="L146" s="103">
        <f>VLOOKUP($A146,'OI(Value)'!$A$7:$O$323,8,0)</f>
        <v>588</v>
      </c>
      <c r="M146" s="103">
        <f>VLOOKUP($A146,'OI(Value)'!$A$7:$O$323,9,0)</f>
        <v>32</v>
      </c>
      <c r="N146" s="103">
        <f>VLOOKUP($A146,'OI(Value)'!$A$7:$O$323,11,0)</f>
        <v>334</v>
      </c>
      <c r="O146" s="103">
        <f>VLOOKUP($A146,'OI(Value)'!$A$7:$O$323,12,0)</f>
        <v>6</v>
      </c>
      <c r="P146" s="179">
        <f>VLOOKUP(A146,'OI(Value)'!A146:O364,8,0)</f>
        <v>588</v>
      </c>
      <c r="Q146" s="179">
        <f>VLOOKUP(A146,'OI(Value)'!A146:O364,9,0)</f>
        <v>32</v>
      </c>
      <c r="R146" s="179">
        <f>VLOOKUP(A146,'OI(Value)'!A146:O364,11,0)</f>
        <v>334</v>
      </c>
      <c r="S146" s="179">
        <f>VLOOKUP(A146,'OI(Value)'!A146:O364,11,0)</f>
        <v>334</v>
      </c>
    </row>
    <row r="147" spans="1:19" x14ac:dyDescent="0.25">
      <c r="A147" s="105" t="str">
        <f>'Data Vlaue (Cr)'!C142</f>
        <v>NTPC</v>
      </c>
      <c r="B147" s="143">
        <f>VLOOKUP($A147,'Data shares'!$C:$FA,118)</f>
        <v>0.39</v>
      </c>
      <c r="C147" s="143">
        <f>VLOOKUP($A147,'Data shares'!$C:$FA,119)</f>
        <v>0.36</v>
      </c>
      <c r="D147" s="143">
        <f>VLOOKUP($A147,'Data shares'!$C:$FA,121)*100</f>
        <v>8.33</v>
      </c>
      <c r="E147" s="143">
        <f>VLOOKUP($A147,'Data shares'!$C:$FA,124)</f>
        <v>0.46</v>
      </c>
      <c r="F147" s="143">
        <f>VLOOKUP($A147,'Data shares'!$C:$FA,125)</f>
        <v>0.4</v>
      </c>
      <c r="G147" s="143">
        <f>VLOOKUP($A147,'Data shares'!$C:$FA,127)*100</f>
        <v>15</v>
      </c>
      <c r="H147" s="103">
        <f>VLOOKUP($A147,'OI(Volume)'!$A$7:$O$440,8)</f>
        <v>57927000</v>
      </c>
      <c r="I147" s="103">
        <f>VLOOKUP($A147,'OI(Volume)'!$A$7:$O$440,9)</f>
        <v>5004000</v>
      </c>
      <c r="J147" s="103">
        <f>VLOOKUP($A147,'OI(Volume)'!$A$7:$O$440,11)</f>
        <v>22398000</v>
      </c>
      <c r="K147" s="103">
        <f>VLOOKUP($A147,'OI(Volume)'!$A$7:$O$440,12)</f>
        <v>3144000</v>
      </c>
      <c r="L147" s="103">
        <f>VLOOKUP($A147,'OI(Value)'!$A$7:$O$323,8,0)</f>
        <v>2193</v>
      </c>
      <c r="M147" s="103">
        <f>VLOOKUP($A147,'OI(Value)'!$A$7:$O$323,9,0)</f>
        <v>189</v>
      </c>
      <c r="N147" s="103">
        <f>VLOOKUP($A147,'OI(Value)'!$A$7:$O$323,11,0)</f>
        <v>848</v>
      </c>
      <c r="O147" s="103">
        <f>VLOOKUP($A147,'OI(Value)'!$A$7:$O$323,12,0)</f>
        <v>119</v>
      </c>
      <c r="P147" s="179">
        <f>VLOOKUP(A147,'OI(Value)'!A147:O365,8,0)</f>
        <v>2193</v>
      </c>
      <c r="Q147" s="179">
        <f>VLOOKUP(A147,'OI(Value)'!A147:O365,9,0)</f>
        <v>189</v>
      </c>
      <c r="R147" s="179">
        <f>VLOOKUP(A147,'OI(Value)'!A147:O365,11,0)</f>
        <v>848</v>
      </c>
      <c r="S147" s="179">
        <f>VLOOKUP(A147,'OI(Value)'!A147:O365,11,0)</f>
        <v>848</v>
      </c>
    </row>
    <row r="148" spans="1:19" x14ac:dyDescent="0.25">
      <c r="A148" s="105" t="str">
        <f>'Data Vlaue (Cr)'!C143</f>
        <v>NUVAMA</v>
      </c>
      <c r="B148" s="143">
        <f>VLOOKUP($A148,'Data shares'!$C:$FA,118)</f>
        <v>0.65</v>
      </c>
      <c r="C148" s="143">
        <f>VLOOKUP($A148,'Data shares'!$C:$FA,119)</f>
        <v>0.66</v>
      </c>
      <c r="D148" s="143">
        <f>VLOOKUP($A148,'Data shares'!$C:$FA,121)*100</f>
        <v>-1.52</v>
      </c>
      <c r="E148" s="143">
        <f>VLOOKUP($A148,'Data shares'!$C:$FA,124)</f>
        <v>0.21</v>
      </c>
      <c r="F148" s="143">
        <f>VLOOKUP($A148,'Data shares'!$C:$FA,125)</f>
        <v>0.68</v>
      </c>
      <c r="G148" s="143">
        <f>VLOOKUP($A148,'Data shares'!$C:$FA,127)*100</f>
        <v>-69.12</v>
      </c>
      <c r="H148" s="103">
        <f>VLOOKUP($A148,'OI(Volume)'!$A$7:$O$440,8)</f>
        <v>771000</v>
      </c>
      <c r="I148" s="103">
        <f>VLOOKUP($A148,'OI(Volume)'!$A$7:$O$440,9)</f>
        <v>6000</v>
      </c>
      <c r="J148" s="103">
        <f>VLOOKUP($A148,'OI(Volume)'!$A$7:$O$440,11)</f>
        <v>502500</v>
      </c>
      <c r="K148" s="103">
        <f>VLOOKUP($A148,'OI(Volume)'!$A$7:$O$440,12)</f>
        <v>-4500</v>
      </c>
      <c r="L148" s="103">
        <f>VLOOKUP($A148,'OI(Value)'!$A$7:$O$323,8,0)</f>
        <v>95</v>
      </c>
      <c r="M148" s="103">
        <f>VLOOKUP($A148,'OI(Value)'!$A$7:$O$323,9,0)</f>
        <v>1</v>
      </c>
      <c r="N148" s="103">
        <f>VLOOKUP($A148,'OI(Value)'!$A$7:$O$323,11,0)</f>
        <v>62</v>
      </c>
      <c r="O148" s="103">
        <f>VLOOKUP($A148,'OI(Value)'!$A$7:$O$323,12,0)</f>
        <v>-1</v>
      </c>
      <c r="P148" s="179">
        <f>VLOOKUP(A148,'OI(Value)'!A148:O366,8,0)</f>
        <v>95</v>
      </c>
      <c r="Q148" s="179">
        <f>VLOOKUP(A148,'OI(Value)'!A148:O366,9,0)</f>
        <v>1</v>
      </c>
      <c r="R148" s="179">
        <f>VLOOKUP(A148,'OI(Value)'!A148:O366,11,0)</f>
        <v>62</v>
      </c>
      <c r="S148" s="179">
        <f>VLOOKUP(A148,'OI(Value)'!A148:O366,11,0)</f>
        <v>62</v>
      </c>
    </row>
    <row r="149" spans="1:19" x14ac:dyDescent="0.25">
      <c r="A149" s="105" t="str">
        <f>'Data Vlaue (Cr)'!C144</f>
        <v>NYKAA</v>
      </c>
      <c r="B149" s="143">
        <f>VLOOKUP($A149,'Data shares'!$C:$FA,118)</f>
        <v>0.56999999999999995</v>
      </c>
      <c r="C149" s="143">
        <f>VLOOKUP($A149,'Data shares'!$C:$FA,119)</f>
        <v>0.61</v>
      </c>
      <c r="D149" s="143">
        <f>VLOOKUP($A149,'Data shares'!$C:$FA,121)*100</f>
        <v>-6.5600000000000005</v>
      </c>
      <c r="E149" s="143">
        <f>VLOOKUP($A149,'Data shares'!$C:$FA,124)</f>
        <v>0.34</v>
      </c>
      <c r="F149" s="143">
        <f>VLOOKUP($A149,'Data shares'!$C:$FA,125)</f>
        <v>0.63</v>
      </c>
      <c r="G149" s="143">
        <f>VLOOKUP($A149,'Data shares'!$C:$FA,127)*100</f>
        <v>-46.03</v>
      </c>
      <c r="H149" s="103">
        <f>VLOOKUP($A149,'OI(Volume)'!$A$7:$O$440,8)</f>
        <v>7053125</v>
      </c>
      <c r="I149" s="103">
        <f>VLOOKUP($A149,'OI(Volume)'!$A$7:$O$440,9)</f>
        <v>531250</v>
      </c>
      <c r="J149" s="103">
        <f>VLOOKUP($A149,'OI(Volume)'!$A$7:$O$440,11)</f>
        <v>4040625</v>
      </c>
      <c r="K149" s="103">
        <f>VLOOKUP($A149,'OI(Volume)'!$A$7:$O$440,12)</f>
        <v>43750</v>
      </c>
      <c r="L149" s="103">
        <f>VLOOKUP($A149,'OI(Value)'!$A$7:$O$323,8,0)</f>
        <v>184</v>
      </c>
      <c r="M149" s="103">
        <f>VLOOKUP($A149,'OI(Value)'!$A$7:$O$323,9,0)</f>
        <v>14</v>
      </c>
      <c r="N149" s="103">
        <f>VLOOKUP($A149,'OI(Value)'!$A$7:$O$323,11,0)</f>
        <v>106</v>
      </c>
      <c r="O149" s="103">
        <f>VLOOKUP($A149,'OI(Value)'!$A$7:$O$323,12,0)</f>
        <v>1</v>
      </c>
      <c r="P149" s="179">
        <f>VLOOKUP(A149,'OI(Value)'!A149:O367,8,0)</f>
        <v>184</v>
      </c>
      <c r="Q149" s="179">
        <f>VLOOKUP(A149,'OI(Value)'!A149:O367,9,0)</f>
        <v>14</v>
      </c>
      <c r="R149" s="179">
        <f>VLOOKUP(A149,'OI(Value)'!A149:O367,11,0)</f>
        <v>106</v>
      </c>
      <c r="S149" s="179">
        <f>VLOOKUP(A149,'OI(Value)'!A149:O367,11,0)</f>
        <v>106</v>
      </c>
    </row>
    <row r="150" spans="1:19" x14ac:dyDescent="0.25">
      <c r="A150" s="105" t="str">
        <f>'Data Vlaue (Cr)'!C145</f>
        <v>OBEROIRLTY</v>
      </c>
      <c r="B150" s="143">
        <f>VLOOKUP($A150,'Data shares'!$C:$FA,118)</f>
        <v>1.06</v>
      </c>
      <c r="C150" s="143">
        <f>VLOOKUP($A150,'Data shares'!$C:$FA,119)</f>
        <v>1.06</v>
      </c>
      <c r="D150" s="143">
        <f>VLOOKUP($A150,'Data shares'!$C:$FA,121)*100</f>
        <v>0</v>
      </c>
      <c r="E150" s="143">
        <f>VLOOKUP($A150,'Data shares'!$C:$FA,124)</f>
        <v>0.66</v>
      </c>
      <c r="F150" s="143">
        <f>VLOOKUP($A150,'Data shares'!$C:$FA,125)</f>
        <v>1.54</v>
      </c>
      <c r="G150" s="143">
        <f>VLOOKUP($A150,'Data shares'!$C:$FA,127)*100</f>
        <v>-57.14</v>
      </c>
      <c r="H150" s="103">
        <f>VLOOKUP($A150,'OI(Volume)'!$A$7:$O$440,8)</f>
        <v>1036700</v>
      </c>
      <c r="I150" s="103">
        <f>VLOOKUP($A150,'OI(Volume)'!$A$7:$O$440,9)</f>
        <v>19250</v>
      </c>
      <c r="J150" s="103">
        <f>VLOOKUP($A150,'OI(Volume)'!$A$7:$O$440,11)</f>
        <v>1097950</v>
      </c>
      <c r="K150" s="103">
        <f>VLOOKUP($A150,'OI(Volume)'!$A$7:$O$440,12)</f>
        <v>15400</v>
      </c>
      <c r="L150" s="103">
        <f>VLOOKUP($A150,'OI(Value)'!$A$7:$O$323,8,0)</f>
        <v>153</v>
      </c>
      <c r="M150" s="103">
        <f>VLOOKUP($A150,'OI(Value)'!$A$7:$O$323,9,0)</f>
        <v>3</v>
      </c>
      <c r="N150" s="103">
        <f>VLOOKUP($A150,'OI(Value)'!$A$7:$O$323,11,0)</f>
        <v>162</v>
      </c>
      <c r="O150" s="103">
        <f>VLOOKUP($A150,'OI(Value)'!$A$7:$O$323,12,0)</f>
        <v>2</v>
      </c>
      <c r="P150" s="179">
        <f>VLOOKUP(A150,'OI(Value)'!A150:O368,8,0)</f>
        <v>153</v>
      </c>
      <c r="Q150" s="179">
        <f>VLOOKUP(A150,'OI(Value)'!A150:O368,9,0)</f>
        <v>3</v>
      </c>
      <c r="R150" s="179">
        <f>VLOOKUP(A150,'OI(Value)'!A150:O368,11,0)</f>
        <v>162</v>
      </c>
      <c r="S150" s="179">
        <f>VLOOKUP(A150,'OI(Value)'!A150:O368,11,0)</f>
        <v>162</v>
      </c>
    </row>
    <row r="151" spans="1:19" x14ac:dyDescent="0.25">
      <c r="A151" s="105" t="str">
        <f>'Data Vlaue (Cr)'!C146</f>
        <v>OFSS</v>
      </c>
      <c r="B151" s="143">
        <f>VLOOKUP($A151,'Data shares'!$C:$FA,118)</f>
        <v>0.71</v>
      </c>
      <c r="C151" s="143">
        <f>VLOOKUP($A151,'Data shares'!$C:$FA,119)</f>
        <v>0.77</v>
      </c>
      <c r="D151" s="143">
        <f>VLOOKUP($A151,'Data shares'!$C:$FA,121)*100</f>
        <v>-7.79</v>
      </c>
      <c r="E151" s="143">
        <f>VLOOKUP($A151,'Data shares'!$C:$FA,124)</f>
        <v>0.56000000000000005</v>
      </c>
      <c r="F151" s="143">
        <f>VLOOKUP($A151,'Data shares'!$C:$FA,125)</f>
        <v>1.01</v>
      </c>
      <c r="G151" s="143">
        <f>VLOOKUP($A151,'Data shares'!$C:$FA,127)*100</f>
        <v>-44.55</v>
      </c>
      <c r="H151" s="103">
        <f>VLOOKUP($A151,'OI(Volume)'!$A$7:$O$440,8)</f>
        <v>414450</v>
      </c>
      <c r="I151" s="103">
        <f>VLOOKUP($A151,'OI(Volume)'!$A$7:$O$440,9)</f>
        <v>23175</v>
      </c>
      <c r="J151" s="103">
        <f>VLOOKUP($A151,'OI(Volume)'!$A$7:$O$440,11)</f>
        <v>295500</v>
      </c>
      <c r="K151" s="103">
        <f>VLOOKUP($A151,'OI(Volume)'!$A$7:$O$440,12)</f>
        <v>-3975</v>
      </c>
      <c r="L151" s="103">
        <f>VLOOKUP($A151,'OI(Value)'!$A$7:$O$323,8,0)</f>
        <v>281</v>
      </c>
      <c r="M151" s="103">
        <f>VLOOKUP($A151,'OI(Value)'!$A$7:$O$323,9,0)</f>
        <v>16</v>
      </c>
      <c r="N151" s="103">
        <f>VLOOKUP($A151,'OI(Value)'!$A$7:$O$323,11,0)</f>
        <v>201</v>
      </c>
      <c r="O151" s="103">
        <f>VLOOKUP($A151,'OI(Value)'!$A$7:$O$323,12,0)</f>
        <v>-3</v>
      </c>
      <c r="P151" s="179">
        <f>VLOOKUP(A151,'OI(Value)'!A151:O369,8,0)</f>
        <v>281</v>
      </c>
      <c r="Q151" s="179">
        <f>VLOOKUP(A151,'OI(Value)'!A151:O369,9,0)</f>
        <v>16</v>
      </c>
      <c r="R151" s="179">
        <f>VLOOKUP(A151,'OI(Value)'!A151:O369,11,0)</f>
        <v>201</v>
      </c>
      <c r="S151" s="179">
        <f>VLOOKUP(A151,'OI(Value)'!A151:O369,11,0)</f>
        <v>201</v>
      </c>
    </row>
    <row r="152" spans="1:19" x14ac:dyDescent="0.25">
      <c r="A152" s="105" t="str">
        <f>'Data Vlaue (Cr)'!C147</f>
        <v>OIL</v>
      </c>
      <c r="B152" s="143">
        <f>VLOOKUP($A152,'Data shares'!$C:$FA,118)</f>
        <v>0.53</v>
      </c>
      <c r="C152" s="143">
        <f>VLOOKUP($A152,'Data shares'!$C:$FA,119)</f>
        <v>0.54</v>
      </c>
      <c r="D152" s="143">
        <f>VLOOKUP($A152,'Data shares'!$C:$FA,121)*100</f>
        <v>-1.8499999999999999</v>
      </c>
      <c r="E152" s="143">
        <f>VLOOKUP($A152,'Data shares'!$C:$FA,124)</f>
        <v>0.31</v>
      </c>
      <c r="F152" s="143">
        <f>VLOOKUP($A152,'Data shares'!$C:$FA,125)</f>
        <v>0.23</v>
      </c>
      <c r="G152" s="143">
        <f>VLOOKUP($A152,'Data shares'!$C:$FA,127)*100</f>
        <v>34.78</v>
      </c>
      <c r="H152" s="103">
        <f>VLOOKUP($A152,'OI(Volume)'!$A$7:$O$440,8)</f>
        <v>14634200</v>
      </c>
      <c r="I152" s="103">
        <f>VLOOKUP($A152,'OI(Volume)'!$A$7:$O$440,9)</f>
        <v>-348600</v>
      </c>
      <c r="J152" s="103">
        <f>VLOOKUP($A152,'OI(Volume)'!$A$7:$O$440,11)</f>
        <v>7732200</v>
      </c>
      <c r="K152" s="103">
        <f>VLOOKUP($A152,'OI(Volume)'!$A$7:$O$440,12)</f>
        <v>-411600</v>
      </c>
      <c r="L152" s="103">
        <f>VLOOKUP($A152,'OI(Value)'!$A$7:$O$323,8,0)</f>
        <v>704</v>
      </c>
      <c r="M152" s="103">
        <f>VLOOKUP($A152,'OI(Value)'!$A$7:$O$323,9,0)</f>
        <v>-17</v>
      </c>
      <c r="N152" s="103">
        <f>VLOOKUP($A152,'OI(Value)'!$A$7:$O$323,11,0)</f>
        <v>372</v>
      </c>
      <c r="O152" s="103">
        <f>VLOOKUP($A152,'OI(Value)'!$A$7:$O$323,12,0)</f>
        <v>-20</v>
      </c>
      <c r="P152" s="179">
        <f>VLOOKUP(A152,'OI(Value)'!A152:O370,8,0)</f>
        <v>704</v>
      </c>
      <c r="Q152" s="179">
        <f>VLOOKUP(A152,'OI(Value)'!A152:O370,9,0)</f>
        <v>-17</v>
      </c>
      <c r="R152" s="179">
        <f>VLOOKUP(A152,'OI(Value)'!A152:O370,11,0)</f>
        <v>372</v>
      </c>
      <c r="S152" s="179">
        <f>VLOOKUP(A152,'OI(Value)'!A152:O370,11,0)</f>
        <v>372</v>
      </c>
    </row>
    <row r="153" spans="1:19" x14ac:dyDescent="0.25">
      <c r="A153" s="105" t="str">
        <f>'Data Vlaue (Cr)'!C148</f>
        <v>ONGC</v>
      </c>
      <c r="B153" s="143">
        <f>VLOOKUP($A153,'Data shares'!$C:$FA,118)</f>
        <v>0.51</v>
      </c>
      <c r="C153" s="143">
        <f>VLOOKUP($A153,'Data shares'!$C:$FA,119)</f>
        <v>0.47</v>
      </c>
      <c r="D153" s="143">
        <f>VLOOKUP($A153,'Data shares'!$C:$FA,121)*100</f>
        <v>8.51</v>
      </c>
      <c r="E153" s="143">
        <f>VLOOKUP($A153,'Data shares'!$C:$FA,124)</f>
        <v>0.44</v>
      </c>
      <c r="F153" s="143">
        <f>VLOOKUP($A153,'Data shares'!$C:$FA,125)</f>
        <v>0.42</v>
      </c>
      <c r="G153" s="143">
        <f>VLOOKUP($A153,'Data shares'!$C:$FA,127)*100</f>
        <v>4.7600000000000007</v>
      </c>
      <c r="H153" s="103">
        <f>VLOOKUP($A153,'OI(Volume)'!$A$7:$O$440,8)</f>
        <v>66912750</v>
      </c>
      <c r="I153" s="103">
        <f>VLOOKUP($A153,'OI(Volume)'!$A$7:$O$440,9)</f>
        <v>-3276000</v>
      </c>
      <c r="J153" s="103">
        <f>VLOOKUP($A153,'OI(Volume)'!$A$7:$O$440,11)</f>
        <v>33907500</v>
      </c>
      <c r="K153" s="103">
        <f>VLOOKUP($A153,'OI(Volume)'!$A$7:$O$440,12)</f>
        <v>823500</v>
      </c>
      <c r="L153" s="103">
        <f>VLOOKUP($A153,'OI(Value)'!$A$7:$O$323,8,0)</f>
        <v>1855</v>
      </c>
      <c r="M153" s="103">
        <f>VLOOKUP($A153,'OI(Value)'!$A$7:$O$323,9,0)</f>
        <v>-91</v>
      </c>
      <c r="N153" s="103">
        <f>VLOOKUP($A153,'OI(Value)'!$A$7:$O$323,11,0)</f>
        <v>940</v>
      </c>
      <c r="O153" s="103">
        <f>VLOOKUP($A153,'OI(Value)'!$A$7:$O$323,12,0)</f>
        <v>23</v>
      </c>
      <c r="P153" s="179">
        <f>VLOOKUP(A153,'OI(Value)'!A153:O371,8,0)</f>
        <v>1855</v>
      </c>
      <c r="Q153" s="179">
        <f>VLOOKUP(A153,'OI(Value)'!A153:O371,9,0)</f>
        <v>-91</v>
      </c>
      <c r="R153" s="179">
        <f>VLOOKUP(A153,'OI(Value)'!A153:O371,11,0)</f>
        <v>940</v>
      </c>
      <c r="S153" s="179">
        <f>VLOOKUP(A153,'OI(Value)'!A153:O371,11,0)</f>
        <v>940</v>
      </c>
    </row>
    <row r="154" spans="1:19" x14ac:dyDescent="0.25">
      <c r="A154" s="105" t="str">
        <f>'Data Vlaue (Cr)'!C149</f>
        <v>PAGEIND</v>
      </c>
      <c r="B154" s="143">
        <f>VLOOKUP($A154,'Data shares'!$C:$FA,118)</f>
        <v>0.56999999999999995</v>
      </c>
      <c r="C154" s="143">
        <f>VLOOKUP($A154,'Data shares'!$C:$FA,119)</f>
        <v>0.53</v>
      </c>
      <c r="D154" s="143">
        <f>VLOOKUP($A154,'Data shares'!$C:$FA,121)*100</f>
        <v>7.55</v>
      </c>
      <c r="E154" s="143">
        <f>VLOOKUP($A154,'Data shares'!$C:$FA,124)</f>
        <v>0.38</v>
      </c>
      <c r="F154" s="143">
        <f>VLOOKUP($A154,'Data shares'!$C:$FA,125)</f>
        <v>0.17</v>
      </c>
      <c r="G154" s="143">
        <f>VLOOKUP($A154,'Data shares'!$C:$FA,127)*100</f>
        <v>123.53</v>
      </c>
      <c r="H154" s="103">
        <f>VLOOKUP($A154,'OI(Volume)'!$A$7:$O$440,8)</f>
        <v>82470</v>
      </c>
      <c r="I154" s="103">
        <f>VLOOKUP($A154,'OI(Volume)'!$A$7:$O$440,9)</f>
        <v>-4095</v>
      </c>
      <c r="J154" s="103">
        <f>VLOOKUP($A154,'OI(Volume)'!$A$7:$O$440,11)</f>
        <v>46920</v>
      </c>
      <c r="K154" s="103">
        <f>VLOOKUP($A154,'OI(Volume)'!$A$7:$O$440,12)</f>
        <v>1095</v>
      </c>
      <c r="L154" s="103">
        <f>VLOOKUP($A154,'OI(Value)'!$A$7:$O$323,8,0)</f>
        <v>261</v>
      </c>
      <c r="M154" s="103">
        <f>VLOOKUP($A154,'OI(Value)'!$A$7:$O$323,9,0)</f>
        <v>-13</v>
      </c>
      <c r="N154" s="103">
        <f>VLOOKUP($A154,'OI(Value)'!$A$7:$O$323,11,0)</f>
        <v>149</v>
      </c>
      <c r="O154" s="103">
        <f>VLOOKUP($A154,'OI(Value)'!$A$7:$O$323,12,0)</f>
        <v>3</v>
      </c>
      <c r="P154" s="179">
        <f>VLOOKUP(A154,'OI(Value)'!A154:O372,8,0)</f>
        <v>261</v>
      </c>
      <c r="Q154" s="179">
        <f>VLOOKUP(A154,'OI(Value)'!A154:O372,9,0)</f>
        <v>-13</v>
      </c>
      <c r="R154" s="179">
        <f>VLOOKUP(A154,'OI(Value)'!A154:O372,11,0)</f>
        <v>149</v>
      </c>
      <c r="S154" s="179">
        <f>VLOOKUP(A154,'OI(Value)'!A154:O372,11,0)</f>
        <v>149</v>
      </c>
    </row>
    <row r="155" spans="1:19" x14ac:dyDescent="0.25">
      <c r="A155" s="105" t="str">
        <f>'Data Vlaue (Cr)'!C150</f>
        <v>PATANJALI</v>
      </c>
      <c r="B155" s="143">
        <f>VLOOKUP($A155,'Data shares'!$C:$FA,118)</f>
        <v>0.63</v>
      </c>
      <c r="C155" s="143">
        <f>VLOOKUP($A155,'Data shares'!$C:$FA,119)</f>
        <v>0.72</v>
      </c>
      <c r="D155" s="143">
        <f>VLOOKUP($A155,'Data shares'!$C:$FA,121)*100</f>
        <v>-12.5</v>
      </c>
      <c r="E155" s="143">
        <f>VLOOKUP($A155,'Data shares'!$C:$FA,124)</f>
        <v>0.34</v>
      </c>
      <c r="F155" s="143">
        <f>VLOOKUP($A155,'Data shares'!$C:$FA,125)</f>
        <v>0.73</v>
      </c>
      <c r="G155" s="143">
        <f>VLOOKUP($A155,'Data shares'!$C:$FA,127)*100</f>
        <v>-53.42</v>
      </c>
      <c r="H155" s="103">
        <f>VLOOKUP($A155,'OI(Volume)'!$A$7:$O$440,8)</f>
        <v>2952900</v>
      </c>
      <c r="I155" s="103">
        <f>VLOOKUP($A155,'OI(Volume)'!$A$7:$O$440,9)</f>
        <v>315900</v>
      </c>
      <c r="J155" s="103">
        <f>VLOOKUP($A155,'OI(Volume)'!$A$7:$O$440,11)</f>
        <v>1849500</v>
      </c>
      <c r="K155" s="103">
        <f>VLOOKUP($A155,'OI(Volume)'!$A$7:$O$440,12)</f>
        <v>-41400</v>
      </c>
      <c r="L155" s="103">
        <f>VLOOKUP($A155,'OI(Value)'!$A$7:$O$323,8,0)</f>
        <v>148</v>
      </c>
      <c r="M155" s="103">
        <f>VLOOKUP($A155,'OI(Value)'!$A$7:$O$323,9,0)</f>
        <v>16</v>
      </c>
      <c r="N155" s="103">
        <f>VLOOKUP($A155,'OI(Value)'!$A$7:$O$323,11,0)</f>
        <v>93</v>
      </c>
      <c r="O155" s="103">
        <f>VLOOKUP($A155,'OI(Value)'!$A$7:$O$323,12,0)</f>
        <v>-2</v>
      </c>
      <c r="P155" s="179">
        <f>VLOOKUP(A155,'OI(Value)'!A155:O373,8,0)</f>
        <v>148</v>
      </c>
      <c r="Q155" s="179">
        <f>VLOOKUP(A155,'OI(Value)'!A155:O373,9,0)</f>
        <v>16</v>
      </c>
      <c r="R155" s="179">
        <f>VLOOKUP(A155,'OI(Value)'!A155:O373,11,0)</f>
        <v>93</v>
      </c>
      <c r="S155" s="179">
        <f>VLOOKUP(A155,'OI(Value)'!A155:O373,11,0)</f>
        <v>93</v>
      </c>
    </row>
    <row r="156" spans="1:19" x14ac:dyDescent="0.25">
      <c r="A156" s="105" t="str">
        <f>'Data Vlaue (Cr)'!C151</f>
        <v>PAYTM</v>
      </c>
      <c r="B156" s="143">
        <f>VLOOKUP($A156,'Data shares'!$C:$FA,118)</f>
        <v>0.69</v>
      </c>
      <c r="C156" s="143">
        <f>VLOOKUP($A156,'Data shares'!$C:$FA,119)</f>
        <v>0.69</v>
      </c>
      <c r="D156" s="143">
        <f>VLOOKUP($A156,'Data shares'!$C:$FA,121)*100</f>
        <v>0</v>
      </c>
      <c r="E156" s="143">
        <f>VLOOKUP($A156,'Data shares'!$C:$FA,124)</f>
        <v>0.46</v>
      </c>
      <c r="F156" s="143">
        <f>VLOOKUP($A156,'Data shares'!$C:$FA,125)</f>
        <v>0.72</v>
      </c>
      <c r="G156" s="143">
        <f>VLOOKUP($A156,'Data shares'!$C:$FA,127)*100</f>
        <v>-36.11</v>
      </c>
      <c r="H156" s="103">
        <f>VLOOKUP($A156,'OI(Volume)'!$A$7:$O$440,8)</f>
        <v>7755325</v>
      </c>
      <c r="I156" s="103">
        <f>VLOOKUP($A156,'OI(Volume)'!$A$7:$O$440,9)</f>
        <v>117450</v>
      </c>
      <c r="J156" s="103">
        <f>VLOOKUP($A156,'OI(Volume)'!$A$7:$O$440,11)</f>
        <v>5383850</v>
      </c>
      <c r="K156" s="103">
        <f>VLOOKUP($A156,'OI(Volume)'!$A$7:$O$440,12)</f>
        <v>107300</v>
      </c>
      <c r="L156" s="103">
        <f>VLOOKUP($A156,'OI(Value)'!$A$7:$O$323,8,0)</f>
        <v>820</v>
      </c>
      <c r="M156" s="103">
        <f>VLOOKUP($A156,'OI(Value)'!$A$7:$O$323,9,0)</f>
        <v>12</v>
      </c>
      <c r="N156" s="103">
        <f>VLOOKUP($A156,'OI(Value)'!$A$7:$O$323,11,0)</f>
        <v>569</v>
      </c>
      <c r="O156" s="103">
        <f>VLOOKUP($A156,'OI(Value)'!$A$7:$O$323,12,0)</f>
        <v>11</v>
      </c>
      <c r="P156" s="179">
        <f>VLOOKUP(A156,'OI(Value)'!A156:O374,8,0)</f>
        <v>820</v>
      </c>
      <c r="Q156" s="179">
        <f>VLOOKUP(A156,'OI(Value)'!A156:O374,9,0)</f>
        <v>12</v>
      </c>
      <c r="R156" s="179">
        <f>VLOOKUP(A156,'OI(Value)'!A156:O374,11,0)</f>
        <v>569</v>
      </c>
      <c r="S156" s="179">
        <f>VLOOKUP(A156,'OI(Value)'!A156:O374,11,0)</f>
        <v>569</v>
      </c>
    </row>
    <row r="157" spans="1:19" x14ac:dyDescent="0.25">
      <c r="A157" s="105" t="str">
        <f>'Data Vlaue (Cr)'!C152</f>
        <v>PERSISTENT</v>
      </c>
      <c r="B157" s="143">
        <f>VLOOKUP($A157,'Data shares'!$C:$FA,118)</f>
        <v>0.71</v>
      </c>
      <c r="C157" s="143">
        <f>VLOOKUP($A157,'Data shares'!$C:$FA,119)</f>
        <v>0.72</v>
      </c>
      <c r="D157" s="143">
        <f>VLOOKUP($A157,'Data shares'!$C:$FA,121)*100</f>
        <v>-1.39</v>
      </c>
      <c r="E157" s="143">
        <f>VLOOKUP($A157,'Data shares'!$C:$FA,124)</f>
        <v>0.82</v>
      </c>
      <c r="F157" s="143">
        <f>VLOOKUP($A157,'Data shares'!$C:$FA,125)</f>
        <v>0.61</v>
      </c>
      <c r="G157" s="143">
        <f>VLOOKUP($A157,'Data shares'!$C:$FA,127)*100</f>
        <v>34.43</v>
      </c>
      <c r="H157" s="103">
        <f>VLOOKUP($A157,'OI(Volume)'!$A$7:$O$440,8)</f>
        <v>1783100</v>
      </c>
      <c r="I157" s="103">
        <f>VLOOKUP($A157,'OI(Volume)'!$A$7:$O$440,9)</f>
        <v>50700</v>
      </c>
      <c r="J157" s="103">
        <f>VLOOKUP($A157,'OI(Volume)'!$A$7:$O$440,11)</f>
        <v>1269500</v>
      </c>
      <c r="K157" s="103">
        <f>VLOOKUP($A157,'OI(Volume)'!$A$7:$O$440,12)</f>
        <v>26900</v>
      </c>
      <c r="L157" s="103">
        <f>VLOOKUP($A157,'OI(Value)'!$A$7:$O$323,8,0)</f>
        <v>829</v>
      </c>
      <c r="M157" s="103">
        <f>VLOOKUP($A157,'OI(Value)'!$A$7:$O$323,9,0)</f>
        <v>24</v>
      </c>
      <c r="N157" s="103">
        <f>VLOOKUP($A157,'OI(Value)'!$A$7:$O$323,11,0)</f>
        <v>590</v>
      </c>
      <c r="O157" s="103">
        <f>VLOOKUP($A157,'OI(Value)'!$A$7:$O$323,12,0)</f>
        <v>13</v>
      </c>
      <c r="P157" s="179">
        <f>VLOOKUP(A157,'OI(Value)'!A157:O375,8,0)</f>
        <v>829</v>
      </c>
      <c r="Q157" s="179">
        <f>VLOOKUP(A157,'OI(Value)'!A157:O375,9,0)</f>
        <v>24</v>
      </c>
      <c r="R157" s="179">
        <f>VLOOKUP(A157,'OI(Value)'!A157:O375,11,0)</f>
        <v>590</v>
      </c>
      <c r="S157" s="179">
        <f>VLOOKUP(A157,'OI(Value)'!A157:O375,11,0)</f>
        <v>590</v>
      </c>
    </row>
    <row r="158" spans="1:19" x14ac:dyDescent="0.25">
      <c r="A158" s="105" t="str">
        <f>'Data Vlaue (Cr)'!C153</f>
        <v>PETRONET</v>
      </c>
      <c r="B158" s="143">
        <f>VLOOKUP($A158,'Data shares'!$C:$FA,118)</f>
        <v>1.07</v>
      </c>
      <c r="C158" s="143">
        <f>VLOOKUP($A158,'Data shares'!$C:$FA,119)</f>
        <v>1.1399999999999999</v>
      </c>
      <c r="D158" s="143">
        <f>VLOOKUP($A158,'Data shares'!$C:$FA,121)*100</f>
        <v>-6.1400000000000006</v>
      </c>
      <c r="E158" s="143">
        <f>VLOOKUP($A158,'Data shares'!$C:$FA,124)</f>
        <v>0.91</v>
      </c>
      <c r="F158" s="143">
        <f>VLOOKUP($A158,'Data shares'!$C:$FA,125)</f>
        <v>1.66</v>
      </c>
      <c r="G158" s="143">
        <f>VLOOKUP($A158,'Data shares'!$C:$FA,127)*100</f>
        <v>-45.18</v>
      </c>
      <c r="H158" s="103">
        <f>VLOOKUP($A158,'OI(Volume)'!$A$7:$O$440,8)</f>
        <v>16987900</v>
      </c>
      <c r="I158" s="103">
        <f>VLOOKUP($A158,'OI(Volume)'!$A$7:$O$440,9)</f>
        <v>1757500</v>
      </c>
      <c r="J158" s="103">
        <f>VLOOKUP($A158,'OI(Volume)'!$A$7:$O$440,11)</f>
        <v>18194400</v>
      </c>
      <c r="K158" s="103">
        <f>VLOOKUP($A158,'OI(Volume)'!$A$7:$O$440,12)</f>
        <v>883500</v>
      </c>
      <c r="L158" s="103">
        <f>VLOOKUP($A158,'OI(Value)'!$A$7:$O$323,8,0)</f>
        <v>497</v>
      </c>
      <c r="M158" s="103">
        <f>VLOOKUP($A158,'OI(Value)'!$A$7:$O$323,9,0)</f>
        <v>51</v>
      </c>
      <c r="N158" s="103">
        <f>VLOOKUP($A158,'OI(Value)'!$A$7:$O$323,11,0)</f>
        <v>532</v>
      </c>
      <c r="O158" s="103">
        <f>VLOOKUP($A158,'OI(Value)'!$A$7:$O$323,12,0)</f>
        <v>26</v>
      </c>
      <c r="P158" s="179">
        <f>VLOOKUP(A158,'OI(Value)'!A158:O376,8,0)</f>
        <v>497</v>
      </c>
      <c r="Q158" s="179">
        <f>VLOOKUP(A158,'OI(Value)'!A158:O376,9,0)</f>
        <v>51</v>
      </c>
      <c r="R158" s="179">
        <f>VLOOKUP(A158,'OI(Value)'!A158:O376,11,0)</f>
        <v>532</v>
      </c>
      <c r="S158" s="179">
        <f>VLOOKUP(A158,'OI(Value)'!A158:O376,11,0)</f>
        <v>532</v>
      </c>
    </row>
    <row r="159" spans="1:19" x14ac:dyDescent="0.25">
      <c r="A159" s="105" t="str">
        <f>'Data Vlaue (Cr)'!C154</f>
        <v>PFC</v>
      </c>
      <c r="B159" s="143">
        <f>VLOOKUP($A159,'Data shares'!$C:$FA,118)</f>
        <v>0.51</v>
      </c>
      <c r="C159" s="143">
        <f>VLOOKUP($A159,'Data shares'!$C:$FA,119)</f>
        <v>0.48</v>
      </c>
      <c r="D159" s="143">
        <f>VLOOKUP($A159,'Data shares'!$C:$FA,121)*100</f>
        <v>6.25</v>
      </c>
      <c r="E159" s="143">
        <f>VLOOKUP($A159,'Data shares'!$C:$FA,124)</f>
        <v>0.51</v>
      </c>
      <c r="F159" s="143">
        <f>VLOOKUP($A159,'Data shares'!$C:$FA,125)</f>
        <v>0.61</v>
      </c>
      <c r="G159" s="143">
        <f>VLOOKUP($A159,'Data shares'!$C:$FA,127)*100</f>
        <v>-16.39</v>
      </c>
      <c r="H159" s="103">
        <f>VLOOKUP($A159,'OI(Volume)'!$A$7:$O$440,8)</f>
        <v>29775200</v>
      </c>
      <c r="I159" s="103">
        <f>VLOOKUP($A159,'OI(Volume)'!$A$7:$O$440,9)</f>
        <v>-265200</v>
      </c>
      <c r="J159" s="103">
        <f>VLOOKUP($A159,'OI(Volume)'!$A$7:$O$440,11)</f>
        <v>15047500</v>
      </c>
      <c r="K159" s="103">
        <f>VLOOKUP($A159,'OI(Volume)'!$A$7:$O$440,12)</f>
        <v>772200</v>
      </c>
      <c r="L159" s="103">
        <f>VLOOKUP($A159,'OI(Value)'!$A$7:$O$323,8,0)</f>
        <v>1234</v>
      </c>
      <c r="M159" s="103">
        <f>VLOOKUP($A159,'OI(Value)'!$A$7:$O$323,9,0)</f>
        <v>-11</v>
      </c>
      <c r="N159" s="103">
        <f>VLOOKUP($A159,'OI(Value)'!$A$7:$O$323,11,0)</f>
        <v>623</v>
      </c>
      <c r="O159" s="103">
        <f>VLOOKUP($A159,'OI(Value)'!$A$7:$O$323,12,0)</f>
        <v>32</v>
      </c>
      <c r="P159" s="179">
        <f>VLOOKUP(A159,'OI(Value)'!A159:O377,8,0)</f>
        <v>1234</v>
      </c>
      <c r="Q159" s="179">
        <f>VLOOKUP(A159,'OI(Value)'!A159:O377,9,0)</f>
        <v>-11</v>
      </c>
      <c r="R159" s="179">
        <f>VLOOKUP(A159,'OI(Value)'!A159:O377,11,0)</f>
        <v>623</v>
      </c>
      <c r="S159" s="179">
        <f>VLOOKUP(A159,'OI(Value)'!A159:O377,11,0)</f>
        <v>623</v>
      </c>
    </row>
    <row r="160" spans="1:19" x14ac:dyDescent="0.25">
      <c r="A160" s="105" t="str">
        <f>'Data Vlaue (Cr)'!C155</f>
        <v>PGEL</v>
      </c>
      <c r="B160" s="143">
        <f>VLOOKUP($A160,'Data shares'!$C:$FA,118)</f>
        <v>0.83</v>
      </c>
      <c r="C160" s="143">
        <f>VLOOKUP($A160,'Data shares'!$C:$FA,119)</f>
        <v>0.89</v>
      </c>
      <c r="D160" s="143">
        <f>VLOOKUP($A160,'Data shares'!$C:$FA,121)*100</f>
        <v>-6.74</v>
      </c>
      <c r="E160" s="143">
        <f>VLOOKUP($A160,'Data shares'!$C:$FA,124)</f>
        <v>0.45</v>
      </c>
      <c r="F160" s="143">
        <f>VLOOKUP($A160,'Data shares'!$C:$FA,125)</f>
        <v>0.98</v>
      </c>
      <c r="G160" s="143">
        <f>VLOOKUP($A160,'Data shares'!$C:$FA,127)*100</f>
        <v>-54.08</v>
      </c>
      <c r="H160" s="103">
        <f>VLOOKUP($A160,'OI(Volume)'!$A$7:$O$440,8)</f>
        <v>4012800</v>
      </c>
      <c r="I160" s="103">
        <f>VLOOKUP($A160,'OI(Volume)'!$A$7:$O$440,9)</f>
        <v>766650</v>
      </c>
      <c r="J160" s="103">
        <f>VLOOKUP($A160,'OI(Volume)'!$A$7:$O$440,11)</f>
        <v>3318350</v>
      </c>
      <c r="K160" s="103">
        <f>VLOOKUP($A160,'OI(Volume)'!$A$7:$O$440,12)</f>
        <v>437950</v>
      </c>
      <c r="L160" s="103">
        <f>VLOOKUP($A160,'OI(Value)'!$A$7:$O$323,8,0)</f>
        <v>248</v>
      </c>
      <c r="M160" s="103">
        <f>VLOOKUP($A160,'OI(Value)'!$A$7:$O$323,9,0)</f>
        <v>47</v>
      </c>
      <c r="N160" s="103">
        <f>VLOOKUP($A160,'OI(Value)'!$A$7:$O$323,11,0)</f>
        <v>205</v>
      </c>
      <c r="O160" s="103">
        <f>VLOOKUP($A160,'OI(Value)'!$A$7:$O$323,12,0)</f>
        <v>27</v>
      </c>
      <c r="P160" s="179">
        <f>VLOOKUP(A160,'OI(Value)'!A160:O378,8,0)</f>
        <v>248</v>
      </c>
      <c r="Q160" s="179">
        <f>VLOOKUP(A160,'OI(Value)'!A160:O378,9,0)</f>
        <v>47</v>
      </c>
      <c r="R160" s="179">
        <f>VLOOKUP(A160,'OI(Value)'!A160:O378,11,0)</f>
        <v>205</v>
      </c>
      <c r="S160" s="179">
        <f>VLOOKUP(A160,'OI(Value)'!A160:O378,11,0)</f>
        <v>205</v>
      </c>
    </row>
    <row r="161" spans="1:19" x14ac:dyDescent="0.25">
      <c r="A161" s="105" t="str">
        <f>'Data Vlaue (Cr)'!C156</f>
        <v>PHOENIXLTD</v>
      </c>
      <c r="B161" s="143">
        <f>VLOOKUP($A161,'Data shares'!$C:$FA,118)</f>
        <v>0.57999999999999996</v>
      </c>
      <c r="C161" s="143">
        <f>VLOOKUP($A161,'Data shares'!$C:$FA,119)</f>
        <v>0.63</v>
      </c>
      <c r="D161" s="143">
        <f>VLOOKUP($A161,'Data shares'!$C:$FA,121)*100</f>
        <v>-7.9399999999999995</v>
      </c>
      <c r="E161" s="143">
        <f>VLOOKUP($A161,'Data shares'!$C:$FA,124)</f>
        <v>0.56000000000000005</v>
      </c>
      <c r="F161" s="143">
        <f>VLOOKUP($A161,'Data shares'!$C:$FA,125)</f>
        <v>0.66</v>
      </c>
      <c r="G161" s="143">
        <f>VLOOKUP($A161,'Data shares'!$C:$FA,127)*100</f>
        <v>-15.15</v>
      </c>
      <c r="H161" s="103">
        <f>VLOOKUP($A161,'OI(Volume)'!$A$7:$O$440,8)</f>
        <v>989450</v>
      </c>
      <c r="I161" s="103">
        <f>VLOOKUP($A161,'OI(Volume)'!$A$7:$O$440,9)</f>
        <v>172900</v>
      </c>
      <c r="J161" s="103">
        <f>VLOOKUP($A161,'OI(Volume)'!$A$7:$O$440,11)</f>
        <v>575050</v>
      </c>
      <c r="K161" s="103">
        <f>VLOOKUP($A161,'OI(Volume)'!$A$7:$O$440,12)</f>
        <v>61250</v>
      </c>
      <c r="L161" s="103">
        <f>VLOOKUP($A161,'OI(Value)'!$A$7:$O$323,8,0)</f>
        <v>162</v>
      </c>
      <c r="M161" s="103">
        <f>VLOOKUP($A161,'OI(Value)'!$A$7:$O$323,9,0)</f>
        <v>28</v>
      </c>
      <c r="N161" s="103">
        <f>VLOOKUP($A161,'OI(Value)'!$A$7:$O$323,11,0)</f>
        <v>94</v>
      </c>
      <c r="O161" s="103">
        <f>VLOOKUP($A161,'OI(Value)'!$A$7:$O$323,12,0)</f>
        <v>10</v>
      </c>
      <c r="P161" s="179">
        <f>VLOOKUP(A161,'OI(Value)'!A161:O379,8,0)</f>
        <v>162</v>
      </c>
      <c r="Q161" s="179">
        <f>VLOOKUP(A161,'OI(Value)'!A161:O379,9,0)</f>
        <v>28</v>
      </c>
      <c r="R161" s="179">
        <f>VLOOKUP(A161,'OI(Value)'!A161:O379,11,0)</f>
        <v>94</v>
      </c>
      <c r="S161" s="179">
        <f>VLOOKUP(A161,'OI(Value)'!A161:O379,11,0)</f>
        <v>94</v>
      </c>
    </row>
    <row r="162" spans="1:19" x14ac:dyDescent="0.25">
      <c r="A162" s="105" t="str">
        <f>'Data Vlaue (Cr)'!C157</f>
        <v>PIDILITIND</v>
      </c>
      <c r="B162" s="143">
        <f>VLOOKUP($A162,'Data shares'!$C:$FA,118)</f>
        <v>0.52</v>
      </c>
      <c r="C162" s="143">
        <f>VLOOKUP($A162,'Data shares'!$C:$FA,119)</f>
        <v>0.56999999999999995</v>
      </c>
      <c r="D162" s="143">
        <f>VLOOKUP($A162,'Data shares'!$C:$FA,121)*100</f>
        <v>-8.77</v>
      </c>
      <c r="E162" s="143">
        <f>VLOOKUP($A162,'Data shares'!$C:$FA,124)</f>
        <v>0.45</v>
      </c>
      <c r="F162" s="143">
        <f>VLOOKUP($A162,'Data shares'!$C:$FA,125)</f>
        <v>0.61</v>
      </c>
      <c r="G162" s="143">
        <f>VLOOKUP($A162,'Data shares'!$C:$FA,127)*100</f>
        <v>-26.229999999999997</v>
      </c>
      <c r="H162" s="103">
        <f>VLOOKUP($A162,'OI(Volume)'!$A$7:$O$440,8)</f>
        <v>1443500</v>
      </c>
      <c r="I162" s="103">
        <f>VLOOKUP($A162,'OI(Volume)'!$A$7:$O$440,9)</f>
        <v>105000</v>
      </c>
      <c r="J162" s="103">
        <f>VLOOKUP($A162,'OI(Volume)'!$A$7:$O$440,11)</f>
        <v>747000</v>
      </c>
      <c r="K162" s="103">
        <f>VLOOKUP($A162,'OI(Volume)'!$A$7:$O$440,12)</f>
        <v>-10000</v>
      </c>
      <c r="L162" s="103">
        <f>VLOOKUP($A162,'OI(Value)'!$A$7:$O$323,8,0)</f>
        <v>209</v>
      </c>
      <c r="M162" s="103">
        <f>VLOOKUP($A162,'OI(Value)'!$A$7:$O$323,9,0)</f>
        <v>15</v>
      </c>
      <c r="N162" s="103">
        <f>VLOOKUP($A162,'OI(Value)'!$A$7:$O$323,11,0)</f>
        <v>108</v>
      </c>
      <c r="O162" s="103">
        <f>VLOOKUP($A162,'OI(Value)'!$A$7:$O$323,12,0)</f>
        <v>-1</v>
      </c>
      <c r="P162" s="179">
        <f>VLOOKUP(A162,'OI(Value)'!A162:O380,8,0)</f>
        <v>209</v>
      </c>
      <c r="Q162" s="179">
        <f>VLOOKUP(A162,'OI(Value)'!A162:O380,9,0)</f>
        <v>15</v>
      </c>
      <c r="R162" s="179">
        <f>VLOOKUP(A162,'OI(Value)'!A162:O380,11,0)</f>
        <v>108</v>
      </c>
      <c r="S162" s="179">
        <f>VLOOKUP(A162,'OI(Value)'!A162:O380,11,0)</f>
        <v>108</v>
      </c>
    </row>
    <row r="163" spans="1:19" x14ac:dyDescent="0.25">
      <c r="A163" s="105" t="str">
        <f>'Data Vlaue (Cr)'!C158</f>
        <v>PIIND</v>
      </c>
      <c r="B163" s="143">
        <f>VLOOKUP($A163,'Data shares'!$C:$FA,118)</f>
        <v>0.64</v>
      </c>
      <c r="C163" s="143">
        <f>VLOOKUP($A163,'Data shares'!$C:$FA,119)</f>
        <v>0.69</v>
      </c>
      <c r="D163" s="143">
        <f>VLOOKUP($A163,'Data shares'!$C:$FA,121)*100</f>
        <v>-7.2499999999999991</v>
      </c>
      <c r="E163" s="143">
        <f>VLOOKUP($A163,'Data shares'!$C:$FA,124)</f>
        <v>0.39</v>
      </c>
      <c r="F163" s="143">
        <f>VLOOKUP($A163,'Data shares'!$C:$FA,125)</f>
        <v>0.68</v>
      </c>
      <c r="G163" s="143">
        <f>VLOOKUP($A163,'Data shares'!$C:$FA,127)*100</f>
        <v>-42.65</v>
      </c>
      <c r="H163" s="103">
        <f>VLOOKUP($A163,'OI(Volume)'!$A$7:$O$440,8)</f>
        <v>646275</v>
      </c>
      <c r="I163" s="103">
        <f>VLOOKUP($A163,'OI(Volume)'!$A$7:$O$440,9)</f>
        <v>32375</v>
      </c>
      <c r="J163" s="103">
        <f>VLOOKUP($A163,'OI(Volume)'!$A$7:$O$440,11)</f>
        <v>413525</v>
      </c>
      <c r="K163" s="103">
        <f>VLOOKUP($A163,'OI(Volume)'!$A$7:$O$440,12)</f>
        <v>-11550</v>
      </c>
      <c r="L163" s="103">
        <f>VLOOKUP($A163,'OI(Value)'!$A$7:$O$323,8,0)</f>
        <v>199</v>
      </c>
      <c r="M163" s="103">
        <f>VLOOKUP($A163,'OI(Value)'!$A$7:$O$323,9,0)</f>
        <v>10</v>
      </c>
      <c r="N163" s="103">
        <f>VLOOKUP($A163,'OI(Value)'!$A$7:$O$323,11,0)</f>
        <v>127</v>
      </c>
      <c r="O163" s="103">
        <f>VLOOKUP($A163,'OI(Value)'!$A$7:$O$323,12,0)</f>
        <v>-4</v>
      </c>
      <c r="P163" s="179">
        <f>VLOOKUP(A163,'OI(Value)'!A163:O381,8,0)</f>
        <v>199</v>
      </c>
      <c r="Q163" s="179">
        <f>VLOOKUP(A163,'OI(Value)'!A163:O381,9,0)</f>
        <v>10</v>
      </c>
      <c r="R163" s="179">
        <f>VLOOKUP(A163,'OI(Value)'!A163:O381,11,0)</f>
        <v>127</v>
      </c>
      <c r="S163" s="179">
        <f>VLOOKUP(A163,'OI(Value)'!A163:O381,11,0)</f>
        <v>127</v>
      </c>
    </row>
    <row r="164" spans="1:19" x14ac:dyDescent="0.25">
      <c r="A164" s="105" t="str">
        <f>'Data Vlaue (Cr)'!C159</f>
        <v>PNB</v>
      </c>
      <c r="B164" s="143">
        <f>VLOOKUP($A164,'Data shares'!$C:$FA,118)</f>
        <v>0.67</v>
      </c>
      <c r="C164" s="143">
        <f>VLOOKUP($A164,'Data shares'!$C:$FA,119)</f>
        <v>0.67</v>
      </c>
      <c r="D164" s="143">
        <f>VLOOKUP($A164,'Data shares'!$C:$FA,121)*100</f>
        <v>0</v>
      </c>
      <c r="E164" s="143">
        <f>VLOOKUP($A164,'Data shares'!$C:$FA,124)</f>
        <v>0.76</v>
      </c>
      <c r="F164" s="143">
        <f>VLOOKUP($A164,'Data shares'!$C:$FA,125)</f>
        <v>0.81</v>
      </c>
      <c r="G164" s="143">
        <f>VLOOKUP($A164,'Data shares'!$C:$FA,127)*100</f>
        <v>-6.17</v>
      </c>
      <c r="H164" s="103">
        <f>VLOOKUP($A164,'OI(Volume)'!$A$7:$O$440,8)</f>
        <v>107264000</v>
      </c>
      <c r="I164" s="103">
        <f>VLOOKUP($A164,'OI(Volume)'!$A$7:$O$440,9)</f>
        <v>14640000</v>
      </c>
      <c r="J164" s="103">
        <f>VLOOKUP($A164,'OI(Volume)'!$A$7:$O$440,11)</f>
        <v>72128000</v>
      </c>
      <c r="K164" s="103">
        <f>VLOOKUP($A164,'OI(Volume)'!$A$7:$O$440,12)</f>
        <v>9736000</v>
      </c>
      <c r="L164" s="103">
        <f>VLOOKUP($A164,'OI(Value)'!$A$7:$O$323,8,0)</f>
        <v>1317</v>
      </c>
      <c r="M164" s="103">
        <f>VLOOKUP($A164,'OI(Value)'!$A$7:$O$323,9,0)</f>
        <v>180</v>
      </c>
      <c r="N164" s="103">
        <f>VLOOKUP($A164,'OI(Value)'!$A$7:$O$323,11,0)</f>
        <v>886</v>
      </c>
      <c r="O164" s="103">
        <f>VLOOKUP($A164,'OI(Value)'!$A$7:$O$323,12,0)</f>
        <v>120</v>
      </c>
      <c r="P164" s="179">
        <f>VLOOKUP(A164,'OI(Value)'!A164:O382,8,0)</f>
        <v>1317</v>
      </c>
      <c r="Q164" s="179">
        <f>VLOOKUP(A164,'OI(Value)'!A164:O382,9,0)</f>
        <v>180</v>
      </c>
      <c r="R164" s="179">
        <f>VLOOKUP(A164,'OI(Value)'!A164:O382,11,0)</f>
        <v>886</v>
      </c>
      <c r="S164" s="179">
        <f>VLOOKUP(A164,'OI(Value)'!A164:O382,11,0)</f>
        <v>886</v>
      </c>
    </row>
    <row r="165" spans="1:19" x14ac:dyDescent="0.25">
      <c r="A165" s="105" t="str">
        <f>'Data Vlaue (Cr)'!C160</f>
        <v>PNBHOUSING</v>
      </c>
      <c r="B165" s="143">
        <f>VLOOKUP($A165,'Data shares'!$C:$FA,118)</f>
        <v>0.75</v>
      </c>
      <c r="C165" s="143">
        <f>VLOOKUP($A165,'Data shares'!$C:$FA,119)</f>
        <v>0.8</v>
      </c>
      <c r="D165" s="143">
        <f>VLOOKUP($A165,'Data shares'!$C:$FA,121)*100</f>
        <v>-6.25</v>
      </c>
      <c r="E165" s="143">
        <f>VLOOKUP($A165,'Data shares'!$C:$FA,124)</f>
        <v>0.76</v>
      </c>
      <c r="F165" s="143">
        <f>VLOOKUP($A165,'Data shares'!$C:$FA,125)</f>
        <v>0.73</v>
      </c>
      <c r="G165" s="143">
        <f>VLOOKUP($A165,'Data shares'!$C:$FA,127)*100</f>
        <v>4.1099999999999994</v>
      </c>
      <c r="H165" s="103">
        <f>VLOOKUP($A165,'OI(Volume)'!$A$7:$O$440,8)</f>
        <v>1680900</v>
      </c>
      <c r="I165" s="103">
        <f>VLOOKUP($A165,'OI(Volume)'!$A$7:$O$440,9)</f>
        <v>168350</v>
      </c>
      <c r="J165" s="103">
        <f>VLOOKUP($A165,'OI(Volume)'!$A$7:$O$440,11)</f>
        <v>1255800</v>
      </c>
      <c r="K165" s="103">
        <f>VLOOKUP($A165,'OI(Volume)'!$A$7:$O$440,12)</f>
        <v>38350</v>
      </c>
      <c r="L165" s="103">
        <f>VLOOKUP($A165,'OI(Value)'!$A$7:$O$323,8,0)</f>
        <v>134</v>
      </c>
      <c r="M165" s="103">
        <f>VLOOKUP($A165,'OI(Value)'!$A$7:$O$323,9,0)</f>
        <v>13</v>
      </c>
      <c r="N165" s="103">
        <f>VLOOKUP($A165,'OI(Value)'!$A$7:$O$323,11,0)</f>
        <v>100</v>
      </c>
      <c r="O165" s="103">
        <f>VLOOKUP($A165,'OI(Value)'!$A$7:$O$323,12,0)</f>
        <v>3</v>
      </c>
      <c r="P165" s="179">
        <f>VLOOKUP(A165,'OI(Value)'!A165:O383,8,0)</f>
        <v>134</v>
      </c>
      <c r="Q165" s="179">
        <f>VLOOKUP(A165,'OI(Value)'!A165:O383,9,0)</f>
        <v>13</v>
      </c>
      <c r="R165" s="179">
        <f>VLOOKUP(A165,'OI(Value)'!A165:O383,11,0)</f>
        <v>100</v>
      </c>
      <c r="S165" s="179">
        <f>VLOOKUP(A165,'OI(Value)'!A165:O383,11,0)</f>
        <v>100</v>
      </c>
    </row>
    <row r="166" spans="1:19" x14ac:dyDescent="0.25">
      <c r="A166" s="105" t="str">
        <f>'Data Vlaue (Cr)'!C161</f>
        <v>POLICYBZR</v>
      </c>
      <c r="B166" s="143">
        <f>VLOOKUP($A166,'Data shares'!$C:$FA,118)</f>
        <v>0.79</v>
      </c>
      <c r="C166" s="143">
        <f>VLOOKUP($A166,'Data shares'!$C:$FA,119)</f>
        <v>0.75</v>
      </c>
      <c r="D166" s="143">
        <f>VLOOKUP($A166,'Data shares'!$C:$FA,121)*100</f>
        <v>5.33</v>
      </c>
      <c r="E166" s="143">
        <f>VLOOKUP($A166,'Data shares'!$C:$FA,124)</f>
        <v>0.51</v>
      </c>
      <c r="F166" s="143">
        <f>VLOOKUP($A166,'Data shares'!$C:$FA,125)</f>
        <v>0.66</v>
      </c>
      <c r="G166" s="143">
        <f>VLOOKUP($A166,'Data shares'!$C:$FA,127)*100</f>
        <v>-22.73</v>
      </c>
      <c r="H166" s="103">
        <f>VLOOKUP($A166,'OI(Volume)'!$A$7:$O$440,8)</f>
        <v>1812300</v>
      </c>
      <c r="I166" s="103">
        <f>VLOOKUP($A166,'OI(Volume)'!$A$7:$O$440,9)</f>
        <v>65800</v>
      </c>
      <c r="J166" s="103">
        <f>VLOOKUP($A166,'OI(Volume)'!$A$7:$O$440,11)</f>
        <v>1438150</v>
      </c>
      <c r="K166" s="103">
        <f>VLOOKUP($A166,'OI(Volume)'!$A$7:$O$440,12)</f>
        <v>122500</v>
      </c>
      <c r="L166" s="103">
        <f>VLOOKUP($A166,'OI(Value)'!$A$7:$O$323,8,0)</f>
        <v>268</v>
      </c>
      <c r="M166" s="103">
        <f>VLOOKUP($A166,'OI(Value)'!$A$7:$O$323,9,0)</f>
        <v>10</v>
      </c>
      <c r="N166" s="103">
        <f>VLOOKUP($A166,'OI(Value)'!$A$7:$O$323,11,0)</f>
        <v>213</v>
      </c>
      <c r="O166" s="103">
        <f>VLOOKUP($A166,'OI(Value)'!$A$7:$O$323,12,0)</f>
        <v>18</v>
      </c>
      <c r="P166" s="179">
        <f>VLOOKUP(A166,'OI(Value)'!A166:O384,8,0)</f>
        <v>268</v>
      </c>
      <c r="Q166" s="179">
        <f>VLOOKUP(A166,'OI(Value)'!A166:O384,9,0)</f>
        <v>10</v>
      </c>
      <c r="R166" s="179">
        <f>VLOOKUP(A166,'OI(Value)'!A166:O384,11,0)</f>
        <v>213</v>
      </c>
      <c r="S166" s="179">
        <f>VLOOKUP(A166,'OI(Value)'!A166:O384,11,0)</f>
        <v>213</v>
      </c>
    </row>
    <row r="167" spans="1:19" x14ac:dyDescent="0.25">
      <c r="A167" s="105" t="str">
        <f>'Data Vlaue (Cr)'!C162</f>
        <v>POLYCAB</v>
      </c>
      <c r="B167" s="143">
        <f>VLOOKUP($A167,'Data shares'!$C:$FA,118)</f>
        <v>1.07</v>
      </c>
      <c r="C167" s="143">
        <f>VLOOKUP($A167,'Data shares'!$C:$FA,119)</f>
        <v>1.0900000000000001</v>
      </c>
      <c r="D167" s="143">
        <f>VLOOKUP($A167,'Data shares'!$C:$FA,121)*100</f>
        <v>-1.83</v>
      </c>
      <c r="E167" s="143">
        <f>VLOOKUP($A167,'Data shares'!$C:$FA,124)</f>
        <v>0.9</v>
      </c>
      <c r="F167" s="143">
        <f>VLOOKUP($A167,'Data shares'!$C:$FA,125)</f>
        <v>2.0299999999999998</v>
      </c>
      <c r="G167" s="143">
        <f>VLOOKUP($A167,'Data shares'!$C:$FA,127)*100</f>
        <v>-55.669999999999995</v>
      </c>
      <c r="H167" s="103">
        <f>VLOOKUP($A167,'OI(Volume)'!$A$7:$O$440,8)</f>
        <v>1127500</v>
      </c>
      <c r="I167" s="103">
        <f>VLOOKUP($A167,'OI(Volume)'!$A$7:$O$440,9)</f>
        <v>107500</v>
      </c>
      <c r="J167" s="103">
        <f>VLOOKUP($A167,'OI(Volume)'!$A$7:$O$440,11)</f>
        <v>1206750</v>
      </c>
      <c r="K167" s="103">
        <f>VLOOKUP($A167,'OI(Volume)'!$A$7:$O$440,12)</f>
        <v>97750</v>
      </c>
      <c r="L167" s="103">
        <f>VLOOKUP($A167,'OI(Value)'!$A$7:$O$323,8,0)</f>
        <v>967</v>
      </c>
      <c r="M167" s="103">
        <f>VLOOKUP($A167,'OI(Value)'!$A$7:$O$323,9,0)</f>
        <v>92</v>
      </c>
      <c r="N167" s="103">
        <f>VLOOKUP($A167,'OI(Value)'!$A$7:$O$323,11,0)</f>
        <v>1035</v>
      </c>
      <c r="O167" s="103">
        <f>VLOOKUP($A167,'OI(Value)'!$A$7:$O$323,12,0)</f>
        <v>84</v>
      </c>
      <c r="P167" s="179">
        <f>VLOOKUP(A167,'OI(Value)'!A167:O385,8,0)</f>
        <v>967</v>
      </c>
      <c r="Q167" s="179">
        <f>VLOOKUP(A167,'OI(Value)'!A167:O385,9,0)</f>
        <v>92</v>
      </c>
      <c r="R167" s="179">
        <f>VLOOKUP(A167,'OI(Value)'!A167:O385,11,0)</f>
        <v>1035</v>
      </c>
      <c r="S167" s="179">
        <f>VLOOKUP(A167,'OI(Value)'!A167:O385,11,0)</f>
        <v>1035</v>
      </c>
    </row>
    <row r="168" spans="1:19" x14ac:dyDescent="0.25">
      <c r="A168" s="105" t="str">
        <f>'Data Vlaue (Cr)'!C163</f>
        <v>POWERGRID</v>
      </c>
      <c r="B168" s="143">
        <f>VLOOKUP($A168,'Data shares'!$C:$FA,118)</f>
        <v>0.42</v>
      </c>
      <c r="C168" s="143">
        <f>VLOOKUP($A168,'Data shares'!$C:$FA,119)</f>
        <v>0.44</v>
      </c>
      <c r="D168" s="143">
        <f>VLOOKUP($A168,'Data shares'!$C:$FA,121)*100</f>
        <v>-4.55</v>
      </c>
      <c r="E168" s="143">
        <f>VLOOKUP($A168,'Data shares'!$C:$FA,124)</f>
        <v>0.42</v>
      </c>
      <c r="F168" s="143">
        <f>VLOOKUP($A168,'Data shares'!$C:$FA,125)</f>
        <v>0.64</v>
      </c>
      <c r="G168" s="143">
        <f>VLOOKUP($A168,'Data shares'!$C:$FA,127)*100</f>
        <v>-34.380000000000003</v>
      </c>
      <c r="H168" s="103">
        <f>VLOOKUP($A168,'OI(Volume)'!$A$7:$O$440,8)</f>
        <v>37150700</v>
      </c>
      <c r="I168" s="103">
        <f>VLOOKUP($A168,'OI(Volume)'!$A$7:$O$440,9)</f>
        <v>2589700</v>
      </c>
      <c r="J168" s="103">
        <f>VLOOKUP($A168,'OI(Volume)'!$A$7:$O$440,11)</f>
        <v>15616100</v>
      </c>
      <c r="K168" s="103">
        <f>VLOOKUP($A168,'OI(Volume)'!$A$7:$O$440,12)</f>
        <v>300200</v>
      </c>
      <c r="L168" s="103">
        <f>VLOOKUP($A168,'OI(Value)'!$A$7:$O$323,8,0)</f>
        <v>1114</v>
      </c>
      <c r="M168" s="103">
        <f>VLOOKUP($A168,'OI(Value)'!$A$7:$O$323,9,0)</f>
        <v>78</v>
      </c>
      <c r="N168" s="103">
        <f>VLOOKUP($A168,'OI(Value)'!$A$7:$O$323,11,0)</f>
        <v>468</v>
      </c>
      <c r="O168" s="103">
        <f>VLOOKUP($A168,'OI(Value)'!$A$7:$O$323,12,0)</f>
        <v>9</v>
      </c>
      <c r="P168" s="179">
        <f>VLOOKUP(A168,'OI(Value)'!A168:O386,8,0)</f>
        <v>1114</v>
      </c>
      <c r="Q168" s="179">
        <f>VLOOKUP(A168,'OI(Value)'!A168:O386,9,0)</f>
        <v>78</v>
      </c>
      <c r="R168" s="179">
        <f>VLOOKUP(A168,'OI(Value)'!A168:O386,11,0)</f>
        <v>468</v>
      </c>
      <c r="S168" s="179">
        <f>VLOOKUP(A168,'OI(Value)'!A168:O386,11,0)</f>
        <v>468</v>
      </c>
    </row>
    <row r="169" spans="1:19" x14ac:dyDescent="0.25">
      <c r="A169" s="105" t="str">
        <f>'Data Vlaue (Cr)'!C164</f>
        <v>POWERINDIA</v>
      </c>
      <c r="B169" s="143">
        <f>VLOOKUP($A169,'Data shares'!$C:$FA,118)</f>
        <v>0.91</v>
      </c>
      <c r="C169" s="143">
        <f>VLOOKUP($A169,'Data shares'!$C:$FA,119)</f>
        <v>0.92</v>
      </c>
      <c r="D169" s="143">
        <f>VLOOKUP($A169,'Data shares'!$C:$FA,121)*100</f>
        <v>-1.0900000000000001</v>
      </c>
      <c r="E169" s="143">
        <f>VLOOKUP($A169,'Data shares'!$C:$FA,124)</f>
        <v>0.38</v>
      </c>
      <c r="F169" s="143">
        <f>VLOOKUP($A169,'Data shares'!$C:$FA,125)</f>
        <v>1.05</v>
      </c>
      <c r="G169" s="143">
        <f>VLOOKUP($A169,'Data shares'!$C:$FA,127)*100</f>
        <v>-63.81</v>
      </c>
      <c r="H169" s="103">
        <f>VLOOKUP($A169,'OI(Volume)'!$A$7:$O$440,8)</f>
        <v>160450</v>
      </c>
      <c r="I169" s="103">
        <f>VLOOKUP($A169,'OI(Volume)'!$A$7:$O$440,9)</f>
        <v>17500</v>
      </c>
      <c r="J169" s="103">
        <f>VLOOKUP($A169,'OI(Volume)'!$A$7:$O$440,11)</f>
        <v>146800</v>
      </c>
      <c r="K169" s="103">
        <f>VLOOKUP($A169,'OI(Volume)'!$A$7:$O$440,12)</f>
        <v>15900</v>
      </c>
      <c r="L169" s="103">
        <f>VLOOKUP($A169,'OI(Value)'!$A$7:$O$323,8,0)</f>
        <v>407</v>
      </c>
      <c r="M169" s="103">
        <f>VLOOKUP($A169,'OI(Value)'!$A$7:$O$323,9,0)</f>
        <v>44</v>
      </c>
      <c r="N169" s="103">
        <f>VLOOKUP($A169,'OI(Value)'!$A$7:$O$323,11,0)</f>
        <v>373</v>
      </c>
      <c r="O169" s="103">
        <f>VLOOKUP($A169,'OI(Value)'!$A$7:$O$323,12,0)</f>
        <v>40</v>
      </c>
      <c r="P169" s="179">
        <f>VLOOKUP(A169,'OI(Value)'!A169:O387,8,0)</f>
        <v>407</v>
      </c>
      <c r="Q169" s="179">
        <f>VLOOKUP(A169,'OI(Value)'!A169:O387,9,0)</f>
        <v>44</v>
      </c>
      <c r="R169" s="179">
        <f>VLOOKUP(A169,'OI(Value)'!A169:O387,11,0)</f>
        <v>373</v>
      </c>
      <c r="S169" s="179">
        <f>VLOOKUP(A169,'OI(Value)'!A169:O387,11,0)</f>
        <v>373</v>
      </c>
    </row>
    <row r="170" spans="1:19" x14ac:dyDescent="0.25">
      <c r="A170" s="105" t="str">
        <f>'Data Vlaue (Cr)'!C165</f>
        <v>PPLPHARMA</v>
      </c>
      <c r="B170" s="143">
        <f>VLOOKUP($A170,'Data shares'!$C:$FA,118)</f>
        <v>0.61</v>
      </c>
      <c r="C170" s="143">
        <f>VLOOKUP($A170,'Data shares'!$C:$FA,119)</f>
        <v>0.63</v>
      </c>
      <c r="D170" s="143">
        <f>VLOOKUP($A170,'Data shares'!$C:$FA,121)*100</f>
        <v>-3.17</v>
      </c>
      <c r="E170" s="143">
        <f>VLOOKUP($A170,'Data shares'!$C:$FA,124)</f>
        <v>0.27</v>
      </c>
      <c r="F170" s="143">
        <f>VLOOKUP($A170,'Data shares'!$C:$FA,125)</f>
        <v>0.45</v>
      </c>
      <c r="G170" s="143">
        <f>VLOOKUP($A170,'Data shares'!$C:$FA,127)*100</f>
        <v>-40</v>
      </c>
      <c r="H170" s="103">
        <f>VLOOKUP($A170,'OI(Volume)'!$A$7:$O$440,8)</f>
        <v>6347250</v>
      </c>
      <c r="I170" s="103">
        <f>VLOOKUP($A170,'OI(Volume)'!$A$7:$O$440,9)</f>
        <v>338625</v>
      </c>
      <c r="J170" s="103">
        <f>VLOOKUP($A170,'OI(Volume)'!$A$7:$O$440,11)</f>
        <v>3858750</v>
      </c>
      <c r="K170" s="103">
        <f>VLOOKUP($A170,'OI(Volume)'!$A$7:$O$440,12)</f>
        <v>76125</v>
      </c>
      <c r="L170" s="103">
        <f>VLOOKUP($A170,'OI(Value)'!$A$7:$O$323,8,0)</f>
        <v>98</v>
      </c>
      <c r="M170" s="103">
        <f>VLOOKUP($A170,'OI(Value)'!$A$7:$O$323,9,0)</f>
        <v>5</v>
      </c>
      <c r="N170" s="103">
        <f>VLOOKUP($A170,'OI(Value)'!$A$7:$O$323,11,0)</f>
        <v>59</v>
      </c>
      <c r="O170" s="103">
        <f>VLOOKUP($A170,'OI(Value)'!$A$7:$O$323,12,0)</f>
        <v>1</v>
      </c>
      <c r="P170" s="179">
        <f>VLOOKUP(A170,'OI(Value)'!A170:O388,8,0)</f>
        <v>98</v>
      </c>
      <c r="Q170" s="179">
        <f>VLOOKUP(A170,'OI(Value)'!A170:O388,9,0)</f>
        <v>5</v>
      </c>
      <c r="R170" s="179">
        <f>VLOOKUP(A170,'OI(Value)'!A170:O388,11,0)</f>
        <v>59</v>
      </c>
      <c r="S170" s="179">
        <f>VLOOKUP(A170,'OI(Value)'!A170:O388,11,0)</f>
        <v>59</v>
      </c>
    </row>
    <row r="171" spans="1:19" x14ac:dyDescent="0.25">
      <c r="A171" s="105" t="str">
        <f>'Data Vlaue (Cr)'!C166</f>
        <v>PREMIERENE</v>
      </c>
      <c r="B171" s="143">
        <f>VLOOKUP($A171,'Data shares'!$C:$FA,118)</f>
        <v>0.98</v>
      </c>
      <c r="C171" s="143">
        <f>VLOOKUP($A171,'Data shares'!$C:$FA,119)</f>
        <v>0.98</v>
      </c>
      <c r="D171" s="143">
        <f>VLOOKUP($A171,'Data shares'!$C:$FA,121)*100</f>
        <v>0</v>
      </c>
      <c r="E171" s="143">
        <f>VLOOKUP($A171,'Data shares'!$C:$FA,124)</f>
        <v>0.64</v>
      </c>
      <c r="F171" s="143">
        <f>VLOOKUP($A171,'Data shares'!$C:$FA,125)</f>
        <v>0.62</v>
      </c>
      <c r="G171" s="143">
        <f>VLOOKUP($A171,'Data shares'!$C:$FA,127)*100</f>
        <v>3.2300000000000004</v>
      </c>
      <c r="H171" s="103">
        <f>VLOOKUP($A171,'OI(Volume)'!$A$7:$O$440,8)</f>
        <v>3817425</v>
      </c>
      <c r="I171" s="103">
        <f>VLOOKUP($A171,'OI(Volume)'!$A$7:$O$440,9)</f>
        <v>183425</v>
      </c>
      <c r="J171" s="103">
        <f>VLOOKUP($A171,'OI(Volume)'!$A$7:$O$440,11)</f>
        <v>3736925</v>
      </c>
      <c r="K171" s="103">
        <f>VLOOKUP($A171,'OI(Volume)'!$A$7:$O$440,12)</f>
        <v>193200</v>
      </c>
      <c r="L171" s="103">
        <f>VLOOKUP($A171,'OI(Value)'!$A$7:$O$323,8,0)</f>
        <v>275</v>
      </c>
      <c r="M171" s="103">
        <f>VLOOKUP($A171,'OI(Value)'!$A$7:$O$323,9,0)</f>
        <v>13</v>
      </c>
      <c r="N171" s="103">
        <f>VLOOKUP($A171,'OI(Value)'!$A$7:$O$323,11,0)</f>
        <v>269</v>
      </c>
      <c r="O171" s="103">
        <f>VLOOKUP($A171,'OI(Value)'!$A$7:$O$323,12,0)</f>
        <v>14</v>
      </c>
      <c r="P171" s="179">
        <f>VLOOKUP(A171,'OI(Value)'!A171:O389,8,0)</f>
        <v>275</v>
      </c>
      <c r="Q171" s="179">
        <f>VLOOKUP(A171,'OI(Value)'!A171:O389,9,0)</f>
        <v>13</v>
      </c>
      <c r="R171" s="179">
        <f>VLOOKUP(A171,'OI(Value)'!A171:O389,11,0)</f>
        <v>269</v>
      </c>
      <c r="S171" s="179">
        <f>VLOOKUP(A171,'OI(Value)'!A171:O389,11,0)</f>
        <v>269</v>
      </c>
    </row>
    <row r="172" spans="1:19" x14ac:dyDescent="0.25">
      <c r="A172" s="105" t="str">
        <f>'Data Vlaue (Cr)'!C167</f>
        <v>PRESTIGE</v>
      </c>
      <c r="B172" s="143">
        <f>VLOOKUP($A172,'Data shares'!$C:$FA,118)</f>
        <v>1.0900000000000001</v>
      </c>
      <c r="C172" s="143">
        <f>VLOOKUP($A172,'Data shares'!$C:$FA,119)</f>
        <v>1.04</v>
      </c>
      <c r="D172" s="143">
        <f>VLOOKUP($A172,'Data shares'!$C:$FA,121)*100</f>
        <v>4.8099999999999996</v>
      </c>
      <c r="E172" s="143">
        <f>VLOOKUP($A172,'Data shares'!$C:$FA,124)</f>
        <v>0.42</v>
      </c>
      <c r="F172" s="143">
        <f>VLOOKUP($A172,'Data shares'!$C:$FA,125)</f>
        <v>1.53</v>
      </c>
      <c r="G172" s="143">
        <f>VLOOKUP($A172,'Data shares'!$C:$FA,127)*100</f>
        <v>-72.55</v>
      </c>
      <c r="H172" s="103">
        <f>VLOOKUP($A172,'OI(Volume)'!$A$7:$O$440,8)</f>
        <v>949050</v>
      </c>
      <c r="I172" s="103">
        <f>VLOOKUP($A172,'OI(Volume)'!$A$7:$O$440,9)</f>
        <v>-48150</v>
      </c>
      <c r="J172" s="103">
        <f>VLOOKUP($A172,'OI(Volume)'!$A$7:$O$440,11)</f>
        <v>1033200</v>
      </c>
      <c r="K172" s="103">
        <f>VLOOKUP($A172,'OI(Volume)'!$A$7:$O$440,12)</f>
        <v>-900</v>
      </c>
      <c r="L172" s="103">
        <f>VLOOKUP($A172,'OI(Value)'!$A$7:$O$323,8,0)</f>
        <v>131</v>
      </c>
      <c r="M172" s="103">
        <f>VLOOKUP($A172,'OI(Value)'!$A$7:$O$323,9,0)</f>
        <v>-7</v>
      </c>
      <c r="N172" s="103">
        <f>VLOOKUP($A172,'OI(Value)'!$A$7:$O$323,11,0)</f>
        <v>143</v>
      </c>
      <c r="O172" s="103">
        <f>VLOOKUP($A172,'OI(Value)'!$A$7:$O$323,12,0)</f>
        <v>0</v>
      </c>
      <c r="P172" s="179">
        <f>VLOOKUP(A172,'OI(Value)'!A172:O390,8,0)</f>
        <v>131</v>
      </c>
      <c r="Q172" s="179">
        <f>VLOOKUP(A172,'OI(Value)'!A172:O390,9,0)</f>
        <v>-7</v>
      </c>
      <c r="R172" s="179">
        <f>VLOOKUP(A172,'OI(Value)'!A172:O390,11,0)</f>
        <v>143</v>
      </c>
      <c r="S172" s="179">
        <f>VLOOKUP(A172,'OI(Value)'!A172:O390,11,0)</f>
        <v>143</v>
      </c>
    </row>
    <row r="173" spans="1:19" x14ac:dyDescent="0.25">
      <c r="A173" s="105" t="str">
        <f>'Data Vlaue (Cr)'!C168</f>
        <v>RBLBANK</v>
      </c>
      <c r="B173" s="143">
        <f>VLOOKUP($A173,'Data shares'!$C:$FA,118)</f>
        <v>0.84</v>
      </c>
      <c r="C173" s="143">
        <f>VLOOKUP($A173,'Data shares'!$C:$FA,119)</f>
        <v>0.84</v>
      </c>
      <c r="D173" s="143">
        <f>VLOOKUP($A173,'Data shares'!$C:$FA,121)*100</f>
        <v>0</v>
      </c>
      <c r="E173" s="143">
        <f>VLOOKUP($A173,'Data shares'!$C:$FA,124)</f>
        <v>0.47</v>
      </c>
      <c r="F173" s="143">
        <f>VLOOKUP($A173,'Data shares'!$C:$FA,125)</f>
        <v>0.82</v>
      </c>
      <c r="G173" s="143">
        <f>VLOOKUP($A173,'Data shares'!$C:$FA,127)*100</f>
        <v>-42.68</v>
      </c>
      <c r="H173" s="103">
        <f>VLOOKUP($A173,'OI(Volume)'!$A$7:$O$440,8)</f>
        <v>19932650</v>
      </c>
      <c r="I173" s="103">
        <f>VLOOKUP($A173,'OI(Volume)'!$A$7:$O$440,9)</f>
        <v>546100</v>
      </c>
      <c r="J173" s="103">
        <f>VLOOKUP($A173,'OI(Volume)'!$A$7:$O$440,11)</f>
        <v>16694150</v>
      </c>
      <c r="K173" s="103">
        <f>VLOOKUP($A173,'OI(Volume)'!$A$7:$O$440,12)</f>
        <v>333375</v>
      </c>
      <c r="L173" s="103">
        <f>VLOOKUP($A173,'OI(Value)'!$A$7:$O$323,8,0)</f>
        <v>621</v>
      </c>
      <c r="M173" s="103">
        <f>VLOOKUP($A173,'OI(Value)'!$A$7:$O$323,9,0)</f>
        <v>17</v>
      </c>
      <c r="N173" s="103">
        <f>VLOOKUP($A173,'OI(Value)'!$A$7:$O$323,11,0)</f>
        <v>520</v>
      </c>
      <c r="O173" s="103">
        <f>VLOOKUP($A173,'OI(Value)'!$A$7:$O$323,12,0)</f>
        <v>10</v>
      </c>
    </row>
    <row r="174" spans="1:19" x14ac:dyDescent="0.25">
      <c r="A174" s="105" t="str">
        <f>'Data Vlaue (Cr)'!C169</f>
        <v>RECLTD</v>
      </c>
      <c r="B174" s="143">
        <f>VLOOKUP($A174,'Data shares'!$C:$FA,118)</f>
        <v>1.1299999999999999</v>
      </c>
      <c r="C174" s="143">
        <f>VLOOKUP($A174,'Data shares'!$C:$FA,119)</f>
        <v>1.04</v>
      </c>
      <c r="D174" s="143">
        <f>VLOOKUP($A174,'Data shares'!$C:$FA,121)*100</f>
        <v>8.6499999999999986</v>
      </c>
      <c r="E174" s="143">
        <f>VLOOKUP($A174,'Data shares'!$C:$FA,124)</f>
        <v>0.69</v>
      </c>
      <c r="F174" s="143">
        <f>VLOOKUP($A174,'Data shares'!$C:$FA,125)</f>
        <v>0.62</v>
      </c>
      <c r="G174" s="143">
        <f>VLOOKUP($A174,'Data shares'!$C:$FA,127)*100</f>
        <v>11.29</v>
      </c>
      <c r="H174" s="103">
        <f>VLOOKUP($A174,'OI(Volume)'!$A$7:$O$440,8)</f>
        <v>25757200</v>
      </c>
      <c r="I174" s="103">
        <f>VLOOKUP($A174,'OI(Volume)'!$A$7:$O$440,9)</f>
        <v>614600</v>
      </c>
      <c r="J174" s="103">
        <f>VLOOKUP($A174,'OI(Volume)'!$A$7:$O$440,11)</f>
        <v>29122800</v>
      </c>
      <c r="K174" s="103">
        <f>VLOOKUP($A174,'OI(Volume)'!$A$7:$O$440,12)</f>
        <v>2878400</v>
      </c>
      <c r="L174" s="103">
        <f>VLOOKUP($A174,'OI(Value)'!$A$7:$O$323,8,0)</f>
        <v>881</v>
      </c>
      <c r="M174" s="103">
        <f>VLOOKUP($A174,'OI(Value)'!$A$7:$O$323,9,0)</f>
        <v>21</v>
      </c>
      <c r="N174" s="103">
        <f>VLOOKUP($A174,'OI(Value)'!$A$7:$O$323,11,0)</f>
        <v>997</v>
      </c>
      <c r="O174" s="103">
        <f>VLOOKUP($A174,'OI(Value)'!$A$7:$O$323,12,0)</f>
        <v>98</v>
      </c>
    </row>
    <row r="175" spans="1:19" x14ac:dyDescent="0.25">
      <c r="A175" s="105" t="str">
        <f>'Data Vlaue (Cr)'!C170</f>
        <v>RELIANCE</v>
      </c>
      <c r="B175" s="143">
        <f>VLOOKUP($A175,'Data shares'!$C:$FA,118)</f>
        <v>0.73</v>
      </c>
      <c r="C175" s="143">
        <f>VLOOKUP($A175,'Data shares'!$C:$FA,119)</f>
        <v>0.69</v>
      </c>
      <c r="D175" s="143">
        <f>VLOOKUP($A175,'Data shares'!$C:$FA,121)*100</f>
        <v>5.8000000000000007</v>
      </c>
      <c r="E175" s="143">
        <f>VLOOKUP($A175,'Data shares'!$C:$FA,124)</f>
        <v>0.76</v>
      </c>
      <c r="F175" s="143">
        <f>VLOOKUP($A175,'Data shares'!$C:$FA,125)</f>
        <v>0.79</v>
      </c>
      <c r="G175" s="143">
        <f>VLOOKUP($A175,'Data shares'!$C:$FA,127)*100</f>
        <v>-3.8</v>
      </c>
      <c r="H175" s="103">
        <f>VLOOKUP($A175,'OI(Volume)'!$A$7:$O$440,8)</f>
        <v>43368000</v>
      </c>
      <c r="I175" s="103">
        <f>VLOOKUP($A175,'OI(Volume)'!$A$7:$O$440,9)</f>
        <v>-991000</v>
      </c>
      <c r="J175" s="103">
        <f>VLOOKUP($A175,'OI(Volume)'!$A$7:$O$440,11)</f>
        <v>31652500</v>
      </c>
      <c r="K175" s="103">
        <f>VLOOKUP($A175,'OI(Volume)'!$A$7:$O$440,12)</f>
        <v>1080500</v>
      </c>
      <c r="L175" s="103">
        <f>VLOOKUP($A175,'OI(Value)'!$A$7:$O$323,8,0)</f>
        <v>6041</v>
      </c>
      <c r="M175" s="103">
        <f>VLOOKUP($A175,'OI(Value)'!$A$7:$O$323,9,0)</f>
        <v>-138</v>
      </c>
      <c r="N175" s="103">
        <f>VLOOKUP($A175,'OI(Value)'!$A$7:$O$323,11,0)</f>
        <v>4409</v>
      </c>
      <c r="O175" s="103">
        <f>VLOOKUP($A175,'OI(Value)'!$A$7:$O$323,12,0)</f>
        <v>151</v>
      </c>
    </row>
    <row r="176" spans="1:19" x14ac:dyDescent="0.25">
      <c r="A176" s="105" t="str">
        <f>'Data Vlaue (Cr)'!C171</f>
        <v>RVNL</v>
      </c>
      <c r="B176" s="143">
        <f>VLOOKUP($A176,'Data shares'!$C:$FA,118)</f>
        <v>0.49</v>
      </c>
      <c r="C176" s="143">
        <f>VLOOKUP($A176,'Data shares'!$C:$FA,119)</f>
        <v>0.52</v>
      </c>
      <c r="D176" s="143">
        <f>VLOOKUP($A176,'Data shares'!$C:$FA,121)*100</f>
        <v>-5.7700000000000005</v>
      </c>
      <c r="E176" s="143">
        <f>VLOOKUP($A176,'Data shares'!$C:$FA,124)</f>
        <v>0.23</v>
      </c>
      <c r="F176" s="143">
        <f>VLOOKUP($A176,'Data shares'!$C:$FA,125)</f>
        <v>0.38</v>
      </c>
      <c r="G176" s="143">
        <f>VLOOKUP($A176,'Data shares'!$C:$FA,127)*100</f>
        <v>-39.47</v>
      </c>
      <c r="H176" s="103">
        <f>VLOOKUP($A176,'OI(Volume)'!$A$7:$O$440,8)</f>
        <v>30051650</v>
      </c>
      <c r="I176" s="103">
        <f>VLOOKUP($A176,'OI(Volume)'!$A$7:$O$440,9)</f>
        <v>1898625</v>
      </c>
      <c r="J176" s="103">
        <f>VLOOKUP($A176,'OI(Volume)'!$A$7:$O$440,11)</f>
        <v>14861125</v>
      </c>
      <c r="K176" s="103">
        <f>VLOOKUP($A176,'OI(Volume)'!$A$7:$O$440,12)</f>
        <v>80825</v>
      </c>
      <c r="L176" s="103">
        <f>VLOOKUP($A176,'OI(Value)'!$A$7:$O$323,8,0)</f>
        <v>828</v>
      </c>
      <c r="M176" s="103">
        <f>VLOOKUP($A176,'OI(Value)'!$A$7:$O$323,9,0)</f>
        <v>52</v>
      </c>
      <c r="N176" s="103">
        <f>VLOOKUP($A176,'OI(Value)'!$A$7:$O$323,11,0)</f>
        <v>409</v>
      </c>
      <c r="O176" s="103">
        <f>VLOOKUP($A176,'OI(Value)'!$A$7:$O$323,12,0)</f>
        <v>2</v>
      </c>
    </row>
    <row r="177" spans="1:15" x14ac:dyDescent="0.25">
      <c r="A177" s="105" t="str">
        <f>'Data Vlaue (Cr)'!C172</f>
        <v>SAIL</v>
      </c>
      <c r="B177" s="143">
        <f>VLOOKUP($A177,'Data shares'!$C:$FA,118)</f>
        <v>0.67</v>
      </c>
      <c r="C177" s="143">
        <f>VLOOKUP($A177,'Data shares'!$C:$FA,119)</f>
        <v>0.66</v>
      </c>
      <c r="D177" s="143">
        <f>VLOOKUP($A177,'Data shares'!$C:$FA,121)*100</f>
        <v>1.52</v>
      </c>
      <c r="E177" s="143">
        <f>VLOOKUP($A177,'Data shares'!$C:$FA,124)</f>
        <v>0.37</v>
      </c>
      <c r="F177" s="143">
        <f>VLOOKUP($A177,'Data shares'!$C:$FA,125)</f>
        <v>1</v>
      </c>
      <c r="G177" s="143">
        <f>VLOOKUP($A177,'Data shares'!$C:$FA,127)*100</f>
        <v>-63</v>
      </c>
      <c r="H177" s="103">
        <f>VLOOKUP($A177,'OI(Volume)'!$A$7:$O$440,8)</f>
        <v>22945400</v>
      </c>
      <c r="I177" s="103">
        <f>VLOOKUP($A177,'OI(Volume)'!$A$7:$O$440,9)</f>
        <v>-526400</v>
      </c>
      <c r="J177" s="103">
        <f>VLOOKUP($A177,'OI(Volume)'!$A$7:$O$440,11)</f>
        <v>15350200</v>
      </c>
      <c r="K177" s="103">
        <f>VLOOKUP($A177,'OI(Volume)'!$A$7:$O$440,12)</f>
        <v>-206800</v>
      </c>
      <c r="L177" s="103">
        <f>VLOOKUP($A177,'OI(Value)'!$A$7:$O$323,8,0)</f>
        <v>362</v>
      </c>
      <c r="M177" s="103">
        <f>VLOOKUP($A177,'OI(Value)'!$A$7:$O$323,9,0)</f>
        <v>-8</v>
      </c>
      <c r="N177" s="103">
        <f>VLOOKUP($A177,'OI(Value)'!$A$7:$O$323,11,0)</f>
        <v>242</v>
      </c>
      <c r="O177" s="103">
        <f>VLOOKUP($A177,'OI(Value)'!$A$7:$O$323,12,0)</f>
        <v>-3</v>
      </c>
    </row>
    <row r="178" spans="1:15" x14ac:dyDescent="0.25">
      <c r="A178" s="105" t="str">
        <f>'Data Vlaue (Cr)'!C173</f>
        <v>SAMMAANCAP</v>
      </c>
      <c r="B178" s="143">
        <f>VLOOKUP($A178,'Data shares'!$C:$FA,118)</f>
        <v>0.44</v>
      </c>
      <c r="C178" s="143">
        <f>VLOOKUP($A178,'Data shares'!$C:$FA,119)</f>
        <v>0.44</v>
      </c>
      <c r="D178" s="143">
        <f>VLOOKUP($A178,'Data shares'!$C:$FA,121)*100</f>
        <v>0</v>
      </c>
      <c r="E178" s="143">
        <f>VLOOKUP($A178,'Data shares'!$C:$FA,124)</f>
        <v>0.03</v>
      </c>
      <c r="F178" s="143">
        <f>VLOOKUP($A178,'Data shares'!$C:$FA,125)</f>
        <v>0.38</v>
      </c>
      <c r="G178" s="143">
        <f>VLOOKUP($A178,'Data shares'!$C:$FA,127)*100</f>
        <v>-92.11</v>
      </c>
      <c r="H178" s="103">
        <f>VLOOKUP($A178,'OI(Volume)'!$A$7:$O$440,8)</f>
        <v>23340400</v>
      </c>
      <c r="I178" s="103">
        <f>VLOOKUP($A178,'OI(Volume)'!$A$7:$O$440,9)</f>
        <v>-43000</v>
      </c>
      <c r="J178" s="103">
        <f>VLOOKUP($A178,'OI(Volume)'!$A$7:$O$440,11)</f>
        <v>10212500</v>
      </c>
      <c r="K178" s="103">
        <f>VLOOKUP($A178,'OI(Volume)'!$A$7:$O$440,12)</f>
        <v>4300</v>
      </c>
      <c r="L178" s="103">
        <f>VLOOKUP($A178,'OI(Value)'!$A$7:$O$323,8,0)</f>
        <v>340</v>
      </c>
      <c r="M178" s="103">
        <f>VLOOKUP($A178,'OI(Value)'!$A$7:$O$323,9,0)</f>
        <v>-1</v>
      </c>
      <c r="N178" s="103">
        <f>VLOOKUP($A178,'OI(Value)'!$A$7:$O$323,11,0)</f>
        <v>149</v>
      </c>
      <c r="O178" s="103">
        <f>VLOOKUP($A178,'OI(Value)'!$A$7:$O$323,12,0)</f>
        <v>0</v>
      </c>
    </row>
    <row r="179" spans="1:15" x14ac:dyDescent="0.25">
      <c r="A179" s="105" t="str">
        <f>'Data Vlaue (Cr)'!C174</f>
        <v>SBICARD</v>
      </c>
      <c r="B179" s="143">
        <f>VLOOKUP($A179,'Data shares'!$C:$FA,118)</f>
        <v>0.65</v>
      </c>
      <c r="C179" s="143">
        <f>VLOOKUP($A179,'Data shares'!$C:$FA,119)</f>
        <v>0.67</v>
      </c>
      <c r="D179" s="143">
        <f>VLOOKUP($A179,'Data shares'!$C:$FA,121)*100</f>
        <v>-2.9899999999999998</v>
      </c>
      <c r="E179" s="143">
        <f>VLOOKUP($A179,'Data shares'!$C:$FA,124)</f>
        <v>0.52</v>
      </c>
      <c r="F179" s="143">
        <f>VLOOKUP($A179,'Data shares'!$C:$FA,125)</f>
        <v>0.9</v>
      </c>
      <c r="G179" s="143">
        <f>VLOOKUP($A179,'Data shares'!$C:$FA,127)*100</f>
        <v>-42.22</v>
      </c>
      <c r="H179" s="103">
        <f>VLOOKUP($A179,'OI(Volume)'!$A$7:$O$440,8)</f>
        <v>6852000</v>
      </c>
      <c r="I179" s="103">
        <f>VLOOKUP($A179,'OI(Volume)'!$A$7:$O$440,9)</f>
        <v>298400</v>
      </c>
      <c r="J179" s="103">
        <f>VLOOKUP($A179,'OI(Volume)'!$A$7:$O$440,11)</f>
        <v>4466400</v>
      </c>
      <c r="K179" s="103">
        <f>VLOOKUP($A179,'OI(Volume)'!$A$7:$O$440,12)</f>
        <v>60000</v>
      </c>
      <c r="L179" s="103">
        <f>VLOOKUP($A179,'OI(Value)'!$A$7:$O$323,8,0)</f>
        <v>501</v>
      </c>
      <c r="M179" s="103">
        <f>VLOOKUP($A179,'OI(Value)'!$A$7:$O$323,9,0)</f>
        <v>22</v>
      </c>
      <c r="N179" s="103">
        <f>VLOOKUP($A179,'OI(Value)'!$A$7:$O$323,11,0)</f>
        <v>327</v>
      </c>
      <c r="O179" s="103">
        <f>VLOOKUP($A179,'OI(Value)'!$A$7:$O$323,12,0)</f>
        <v>4</v>
      </c>
    </row>
    <row r="180" spans="1:15" x14ac:dyDescent="0.25">
      <c r="A180" s="105" t="str">
        <f>'Data Vlaue (Cr)'!C175</f>
        <v>SBILIFE</v>
      </c>
      <c r="B180" s="143">
        <f>VLOOKUP($A180,'Data shares'!$C:$FA,118)</f>
        <v>0.42</v>
      </c>
      <c r="C180" s="143">
        <f>VLOOKUP($A180,'Data shares'!$C:$FA,119)</f>
        <v>0.45</v>
      </c>
      <c r="D180" s="143">
        <f>VLOOKUP($A180,'Data shares'!$C:$FA,121)*100</f>
        <v>-6.67</v>
      </c>
      <c r="E180" s="143">
        <f>VLOOKUP($A180,'Data shares'!$C:$FA,124)</f>
        <v>0.51</v>
      </c>
      <c r="F180" s="143">
        <f>VLOOKUP($A180,'Data shares'!$C:$FA,125)</f>
        <v>0.8</v>
      </c>
      <c r="G180" s="143">
        <f>VLOOKUP($A180,'Data shares'!$C:$FA,127)*100</f>
        <v>-36.25</v>
      </c>
      <c r="H180" s="103">
        <f>VLOOKUP($A180,'OI(Volume)'!$A$7:$O$440,8)</f>
        <v>3034875</v>
      </c>
      <c r="I180" s="103">
        <f>VLOOKUP($A180,'OI(Volume)'!$A$7:$O$440,9)</f>
        <v>437250</v>
      </c>
      <c r="J180" s="103">
        <f>VLOOKUP($A180,'OI(Volume)'!$A$7:$O$440,11)</f>
        <v>1260000</v>
      </c>
      <c r="K180" s="103">
        <f>VLOOKUP($A180,'OI(Volume)'!$A$7:$O$440,12)</f>
        <v>98625</v>
      </c>
      <c r="L180" s="103">
        <f>VLOOKUP($A180,'OI(Value)'!$A$7:$O$323,8,0)</f>
        <v>591</v>
      </c>
      <c r="M180" s="103">
        <f>VLOOKUP($A180,'OI(Value)'!$A$7:$O$323,9,0)</f>
        <v>85</v>
      </c>
      <c r="N180" s="103">
        <f>VLOOKUP($A180,'OI(Value)'!$A$7:$O$323,11,0)</f>
        <v>245</v>
      </c>
      <c r="O180" s="103">
        <f>VLOOKUP($A180,'OI(Value)'!$A$7:$O$323,12,0)</f>
        <v>19</v>
      </c>
    </row>
    <row r="181" spans="1:15" x14ac:dyDescent="0.25">
      <c r="A181" s="105" t="str">
        <f>'Data Vlaue (Cr)'!C176</f>
        <v>SBIN</v>
      </c>
      <c r="B181" s="143">
        <f>VLOOKUP($A181,'Data shares'!$C:$FA,118)</f>
        <v>0.8</v>
      </c>
      <c r="C181" s="143">
        <f>VLOOKUP($A181,'Data shares'!$C:$FA,119)</f>
        <v>0.94</v>
      </c>
      <c r="D181" s="143">
        <f>VLOOKUP($A181,'Data shares'!$C:$FA,121)*100</f>
        <v>-14.89</v>
      </c>
      <c r="E181" s="143">
        <f>VLOOKUP($A181,'Data shares'!$C:$FA,124)</f>
        <v>0.79</v>
      </c>
      <c r="F181" s="143">
        <f>VLOOKUP($A181,'Data shares'!$C:$FA,125)</f>
        <v>1.19</v>
      </c>
      <c r="G181" s="143">
        <f>VLOOKUP($A181,'Data shares'!$C:$FA,127)*100</f>
        <v>-33.61</v>
      </c>
      <c r="H181" s="103">
        <f>VLOOKUP($A181,'OI(Volume)'!$A$7:$O$440,8)</f>
        <v>37584000</v>
      </c>
      <c r="I181" s="103">
        <f>VLOOKUP($A181,'OI(Volume)'!$A$7:$O$440,9)</f>
        <v>3626250</v>
      </c>
      <c r="J181" s="103">
        <f>VLOOKUP($A181,'OI(Volume)'!$A$7:$O$440,11)</f>
        <v>30155250</v>
      </c>
      <c r="K181" s="103">
        <f>VLOOKUP($A181,'OI(Volume)'!$A$7:$O$440,12)</f>
        <v>-1727250</v>
      </c>
      <c r="L181" s="103">
        <f>VLOOKUP($A181,'OI(Value)'!$A$7:$O$323,8,0)</f>
        <v>4414</v>
      </c>
      <c r="M181" s="103">
        <f>VLOOKUP($A181,'OI(Value)'!$A$7:$O$323,9,0)</f>
        <v>426</v>
      </c>
      <c r="N181" s="103">
        <f>VLOOKUP($A181,'OI(Value)'!$A$7:$O$323,11,0)</f>
        <v>3542</v>
      </c>
      <c r="O181" s="103">
        <f>VLOOKUP($A181,'OI(Value)'!$A$7:$O$323,12,0)</f>
        <v>-203</v>
      </c>
    </row>
    <row r="182" spans="1:15" x14ac:dyDescent="0.25">
      <c r="A182" s="105" t="str">
        <f>'Data Vlaue (Cr)'!C177</f>
        <v>SHREECEM</v>
      </c>
      <c r="B182" s="143">
        <f>VLOOKUP($A182,'Data shares'!$C:$FA,118)</f>
        <v>0.61</v>
      </c>
      <c r="C182" s="143">
        <f>VLOOKUP($A182,'Data shares'!$C:$FA,119)</f>
        <v>0.68</v>
      </c>
      <c r="D182" s="143">
        <f>VLOOKUP($A182,'Data shares'!$C:$FA,121)*100</f>
        <v>-10.290000000000001</v>
      </c>
      <c r="E182" s="143">
        <f>VLOOKUP($A182,'Data shares'!$C:$FA,124)</f>
        <v>0.38</v>
      </c>
      <c r="F182" s="143">
        <f>VLOOKUP($A182,'Data shares'!$C:$FA,125)</f>
        <v>0.52</v>
      </c>
      <c r="G182" s="143">
        <f>VLOOKUP($A182,'Data shares'!$C:$FA,127)*100</f>
        <v>-26.919999999999998</v>
      </c>
      <c r="H182" s="103">
        <f>VLOOKUP($A182,'OI(Volume)'!$A$7:$O$440,8)</f>
        <v>60150</v>
      </c>
      <c r="I182" s="103">
        <f>VLOOKUP($A182,'OI(Volume)'!$A$7:$O$440,9)</f>
        <v>5500</v>
      </c>
      <c r="J182" s="103">
        <f>VLOOKUP($A182,'OI(Volume)'!$A$7:$O$440,11)</f>
        <v>36875</v>
      </c>
      <c r="K182" s="103">
        <f>VLOOKUP($A182,'OI(Volume)'!$A$7:$O$440,12)</f>
        <v>-200</v>
      </c>
      <c r="L182" s="103">
        <f>VLOOKUP($A182,'OI(Value)'!$A$7:$O$323,8,0)</f>
        <v>151</v>
      </c>
      <c r="M182" s="103">
        <f>VLOOKUP($A182,'OI(Value)'!$A$7:$O$323,9,0)</f>
        <v>14</v>
      </c>
      <c r="N182" s="103">
        <f>VLOOKUP($A182,'OI(Value)'!$A$7:$O$323,11,0)</f>
        <v>93</v>
      </c>
      <c r="O182" s="103">
        <f>VLOOKUP($A182,'OI(Value)'!$A$7:$O$323,12,0)</f>
        <v>-1</v>
      </c>
    </row>
    <row r="183" spans="1:15" x14ac:dyDescent="0.25">
      <c r="A183" s="105" t="str">
        <f>'Data Vlaue (Cr)'!C178</f>
        <v>SHRIRAMFIN</v>
      </c>
      <c r="B183" s="143">
        <f>VLOOKUP($A183,'Data shares'!$C:$FA,118)</f>
        <v>0.84</v>
      </c>
      <c r="C183" s="143">
        <f>VLOOKUP($A183,'Data shares'!$C:$FA,119)</f>
        <v>0.81</v>
      </c>
      <c r="D183" s="143">
        <f>VLOOKUP($A183,'Data shares'!$C:$FA,121)*100</f>
        <v>3.6999999999999997</v>
      </c>
      <c r="E183" s="143">
        <f>VLOOKUP($A183,'Data shares'!$C:$FA,124)</f>
        <v>0.65</v>
      </c>
      <c r="F183" s="143">
        <f>VLOOKUP($A183,'Data shares'!$C:$FA,125)</f>
        <v>0.87</v>
      </c>
      <c r="G183" s="143">
        <f>VLOOKUP($A183,'Data shares'!$C:$FA,127)*100</f>
        <v>-25.290000000000003</v>
      </c>
      <c r="H183" s="103">
        <f>VLOOKUP($A183,'OI(Volume)'!$A$7:$O$440,8)</f>
        <v>8481000</v>
      </c>
      <c r="I183" s="103">
        <f>VLOOKUP($A183,'OI(Volume)'!$A$7:$O$440,9)</f>
        <v>109725</v>
      </c>
      <c r="J183" s="103">
        <f>VLOOKUP($A183,'OI(Volume)'!$A$7:$O$440,11)</f>
        <v>7163475</v>
      </c>
      <c r="K183" s="103">
        <f>VLOOKUP($A183,'OI(Volume)'!$A$7:$O$440,12)</f>
        <v>404250</v>
      </c>
      <c r="L183" s="103">
        <f>VLOOKUP($A183,'OI(Value)'!$A$7:$O$323,8,0)</f>
        <v>883</v>
      </c>
      <c r="M183" s="103">
        <f>VLOOKUP($A183,'OI(Value)'!$A$7:$O$323,9,0)</f>
        <v>11</v>
      </c>
      <c r="N183" s="103">
        <f>VLOOKUP($A183,'OI(Value)'!$A$7:$O$323,11,0)</f>
        <v>746</v>
      </c>
      <c r="O183" s="103">
        <f>VLOOKUP($A183,'OI(Value)'!$A$7:$O$323,12,0)</f>
        <v>42</v>
      </c>
    </row>
    <row r="184" spans="1:15" x14ac:dyDescent="0.25">
      <c r="A184" s="105" t="str">
        <f>'Data Vlaue (Cr)'!C179</f>
        <v>SIEMENS</v>
      </c>
      <c r="B184" s="143">
        <f>VLOOKUP($A184,'Data shares'!$C:$FA,118)</f>
        <v>0.5</v>
      </c>
      <c r="C184" s="143">
        <f>VLOOKUP($A184,'Data shares'!$C:$FA,119)</f>
        <v>0.52</v>
      </c>
      <c r="D184" s="143">
        <f>VLOOKUP($A184,'Data shares'!$C:$FA,121)*100</f>
        <v>-3.85</v>
      </c>
      <c r="E184" s="143">
        <f>VLOOKUP($A184,'Data shares'!$C:$FA,124)</f>
        <v>0.37</v>
      </c>
      <c r="F184" s="143">
        <f>VLOOKUP($A184,'Data shares'!$C:$FA,125)</f>
        <v>0.68</v>
      </c>
      <c r="G184" s="143">
        <f>VLOOKUP($A184,'Data shares'!$C:$FA,127)*100</f>
        <v>-45.59</v>
      </c>
      <c r="H184" s="103">
        <f>VLOOKUP($A184,'OI(Volume)'!$A$7:$O$440,8)</f>
        <v>1491000</v>
      </c>
      <c r="I184" s="103">
        <f>VLOOKUP($A184,'OI(Volume)'!$A$7:$O$440,9)</f>
        <v>6825</v>
      </c>
      <c r="J184" s="103">
        <f>VLOOKUP($A184,'OI(Volume)'!$A$7:$O$440,11)</f>
        <v>746550</v>
      </c>
      <c r="K184" s="103">
        <f>VLOOKUP($A184,'OI(Volume)'!$A$7:$O$440,12)</f>
        <v>-30275</v>
      </c>
      <c r="L184" s="103">
        <f>VLOOKUP($A184,'OI(Value)'!$A$7:$O$323,8,0)</f>
        <v>482</v>
      </c>
      <c r="M184" s="103">
        <f>VLOOKUP($A184,'OI(Value)'!$A$7:$O$323,9,0)</f>
        <v>2</v>
      </c>
      <c r="N184" s="103">
        <f>VLOOKUP($A184,'OI(Value)'!$A$7:$O$323,11,0)</f>
        <v>241</v>
      </c>
      <c r="O184" s="103">
        <f>VLOOKUP($A184,'OI(Value)'!$A$7:$O$323,12,0)</f>
        <v>-10</v>
      </c>
    </row>
    <row r="185" spans="1:15" x14ac:dyDescent="0.25">
      <c r="A185" s="105" t="str">
        <f>'Data Vlaue (Cr)'!C180</f>
        <v>SOLARINDS</v>
      </c>
      <c r="B185" s="143">
        <f>VLOOKUP($A185,'Data shares'!$C:$FA,118)</f>
        <v>0.81</v>
      </c>
      <c r="C185" s="143">
        <f>VLOOKUP($A185,'Data shares'!$C:$FA,119)</f>
        <v>0.82</v>
      </c>
      <c r="D185" s="143">
        <f>VLOOKUP($A185,'Data shares'!$C:$FA,121)*100</f>
        <v>-1.22</v>
      </c>
      <c r="E185" s="143">
        <f>VLOOKUP($A185,'Data shares'!$C:$FA,124)</f>
        <v>0.36</v>
      </c>
      <c r="F185" s="143">
        <f>VLOOKUP($A185,'Data shares'!$C:$FA,125)</f>
        <v>0.26</v>
      </c>
      <c r="G185" s="143">
        <f>VLOOKUP($A185,'Data shares'!$C:$FA,127)*100</f>
        <v>38.46</v>
      </c>
      <c r="H185" s="103">
        <f>VLOOKUP($A185,'OI(Volume)'!$A$7:$O$440,8)</f>
        <v>285150</v>
      </c>
      <c r="I185" s="103">
        <f>VLOOKUP($A185,'OI(Volume)'!$A$7:$O$440,9)</f>
        <v>27950</v>
      </c>
      <c r="J185" s="103">
        <f>VLOOKUP($A185,'OI(Volume)'!$A$7:$O$440,11)</f>
        <v>231150</v>
      </c>
      <c r="K185" s="103">
        <f>VLOOKUP($A185,'OI(Volume)'!$A$7:$O$440,12)</f>
        <v>20700</v>
      </c>
      <c r="L185" s="103">
        <f>VLOOKUP($A185,'OI(Value)'!$A$7:$O$323,8,0)</f>
        <v>420</v>
      </c>
      <c r="M185" s="103">
        <f>VLOOKUP($A185,'OI(Value)'!$A$7:$O$323,9,0)</f>
        <v>41</v>
      </c>
      <c r="N185" s="103">
        <f>VLOOKUP($A185,'OI(Value)'!$A$7:$O$323,11,0)</f>
        <v>340</v>
      </c>
      <c r="O185" s="103">
        <f>VLOOKUP($A185,'OI(Value)'!$A$7:$O$323,12,0)</f>
        <v>30</v>
      </c>
    </row>
    <row r="186" spans="1:15" x14ac:dyDescent="0.25">
      <c r="A186" s="105" t="str">
        <f>'Data Vlaue (Cr)'!C181</f>
        <v>SONACOMS</v>
      </c>
      <c r="B186" s="143">
        <f>VLOOKUP($A186,'Data shares'!$C:$FA,118)</f>
        <v>0.81</v>
      </c>
      <c r="C186" s="143">
        <f>VLOOKUP($A186,'Data shares'!$C:$FA,119)</f>
        <v>0.64</v>
      </c>
      <c r="D186" s="143">
        <f>VLOOKUP($A186,'Data shares'!$C:$FA,121)*100</f>
        <v>26.56</v>
      </c>
      <c r="E186" s="143">
        <f>VLOOKUP($A186,'Data shares'!$C:$FA,124)</f>
        <v>1.4</v>
      </c>
      <c r="F186" s="143">
        <f>VLOOKUP($A186,'Data shares'!$C:$FA,125)</f>
        <v>0.7</v>
      </c>
      <c r="G186" s="143">
        <f>VLOOKUP($A186,'Data shares'!$C:$FA,127)*100</f>
        <v>100</v>
      </c>
      <c r="H186" s="103">
        <f>VLOOKUP($A186,'OI(Volume)'!$A$7:$O$440,8)</f>
        <v>3322200</v>
      </c>
      <c r="I186" s="103">
        <f>VLOOKUP($A186,'OI(Volume)'!$A$7:$O$440,9)</f>
        <v>133525</v>
      </c>
      <c r="J186" s="103">
        <f>VLOOKUP($A186,'OI(Volume)'!$A$7:$O$440,11)</f>
        <v>2687650</v>
      </c>
      <c r="K186" s="103">
        <f>VLOOKUP($A186,'OI(Volume)'!$A$7:$O$440,12)</f>
        <v>661500</v>
      </c>
      <c r="L186" s="103">
        <f>VLOOKUP($A186,'OI(Value)'!$A$7:$O$323,8,0)</f>
        <v>170</v>
      </c>
      <c r="M186" s="103">
        <f>VLOOKUP($A186,'OI(Value)'!$A$7:$O$323,9,0)</f>
        <v>7</v>
      </c>
      <c r="N186" s="103">
        <f>VLOOKUP($A186,'OI(Value)'!$A$7:$O$323,11,0)</f>
        <v>138</v>
      </c>
      <c r="O186" s="103">
        <f>VLOOKUP($A186,'OI(Value)'!$A$7:$O$323,12,0)</f>
        <v>34</v>
      </c>
    </row>
    <row r="187" spans="1:15" x14ac:dyDescent="0.25">
      <c r="A187" s="105" t="str">
        <f>'Data Vlaue (Cr)'!C182</f>
        <v>SRF</v>
      </c>
      <c r="B187" s="143">
        <f>VLOOKUP($A187,'Data shares'!$C:$FA,118)</f>
        <v>0.8</v>
      </c>
      <c r="C187" s="143">
        <f>VLOOKUP($A187,'Data shares'!$C:$FA,119)</f>
        <v>0.82</v>
      </c>
      <c r="D187" s="143">
        <f>VLOOKUP($A187,'Data shares'!$C:$FA,121)*100</f>
        <v>-2.44</v>
      </c>
      <c r="E187" s="143">
        <f>VLOOKUP($A187,'Data shares'!$C:$FA,124)</f>
        <v>0.48</v>
      </c>
      <c r="F187" s="143">
        <f>VLOOKUP($A187,'Data shares'!$C:$FA,125)</f>
        <v>0.53</v>
      </c>
      <c r="G187" s="143">
        <f>VLOOKUP($A187,'Data shares'!$C:$FA,127)*100</f>
        <v>-9.43</v>
      </c>
      <c r="H187" s="103">
        <f>VLOOKUP($A187,'OI(Volume)'!$A$7:$O$440,8)</f>
        <v>1375000</v>
      </c>
      <c r="I187" s="103">
        <f>VLOOKUP($A187,'OI(Volume)'!$A$7:$O$440,9)</f>
        <v>22000</v>
      </c>
      <c r="J187" s="103">
        <f>VLOOKUP($A187,'OI(Volume)'!$A$7:$O$440,11)</f>
        <v>1097400</v>
      </c>
      <c r="K187" s="103">
        <f>VLOOKUP($A187,'OI(Volume)'!$A$7:$O$440,12)</f>
        <v>-15000</v>
      </c>
      <c r="L187" s="103">
        <f>VLOOKUP($A187,'OI(Value)'!$A$7:$O$323,8,0)</f>
        <v>354</v>
      </c>
      <c r="M187" s="103">
        <f>VLOOKUP($A187,'OI(Value)'!$A$7:$O$323,9,0)</f>
        <v>6</v>
      </c>
      <c r="N187" s="103">
        <f>VLOOKUP($A187,'OI(Value)'!$A$7:$O$323,11,0)</f>
        <v>283</v>
      </c>
      <c r="O187" s="103">
        <f>VLOOKUP($A187,'OI(Value)'!$A$7:$O$323,12,0)</f>
        <v>-4</v>
      </c>
    </row>
    <row r="188" spans="1:15" x14ac:dyDescent="0.25">
      <c r="A188" s="105" t="str">
        <f>'Data Vlaue (Cr)'!C183</f>
        <v>SUNPHARMA</v>
      </c>
      <c r="B188" s="143">
        <f>VLOOKUP($A188,'Data shares'!$C:$FA,118)</f>
        <v>0.55000000000000004</v>
      </c>
      <c r="C188" s="143">
        <f>VLOOKUP($A188,'Data shares'!$C:$FA,119)</f>
        <v>0.48</v>
      </c>
      <c r="D188" s="143">
        <f>VLOOKUP($A188,'Data shares'!$C:$FA,121)*100</f>
        <v>14.580000000000002</v>
      </c>
      <c r="E188" s="143">
        <f>VLOOKUP($A188,'Data shares'!$C:$FA,124)</f>
        <v>0.52</v>
      </c>
      <c r="F188" s="143">
        <f>VLOOKUP($A188,'Data shares'!$C:$FA,125)</f>
        <v>0.57999999999999996</v>
      </c>
      <c r="G188" s="143">
        <f>VLOOKUP($A188,'Data shares'!$C:$FA,127)*100</f>
        <v>-10.34</v>
      </c>
      <c r="H188" s="103">
        <f>VLOOKUP($A188,'OI(Volume)'!$A$7:$O$440,8)</f>
        <v>7191800</v>
      </c>
      <c r="I188" s="103">
        <f>VLOOKUP($A188,'OI(Volume)'!$A$7:$O$440,9)</f>
        <v>564550</v>
      </c>
      <c r="J188" s="103">
        <f>VLOOKUP($A188,'OI(Volume)'!$A$7:$O$440,11)</f>
        <v>3963050</v>
      </c>
      <c r="K188" s="103">
        <f>VLOOKUP($A188,'OI(Volume)'!$A$7:$O$440,12)</f>
        <v>759150</v>
      </c>
      <c r="L188" s="103">
        <f>VLOOKUP($A188,'OI(Value)'!$A$7:$O$323,8,0)</f>
        <v>1287</v>
      </c>
      <c r="M188" s="103">
        <f>VLOOKUP($A188,'OI(Value)'!$A$7:$O$323,9,0)</f>
        <v>101</v>
      </c>
      <c r="N188" s="103">
        <f>VLOOKUP($A188,'OI(Value)'!$A$7:$O$323,11,0)</f>
        <v>709</v>
      </c>
      <c r="O188" s="103">
        <f>VLOOKUP($A188,'OI(Value)'!$A$7:$O$323,12,0)</f>
        <v>136</v>
      </c>
    </row>
    <row r="189" spans="1:15" x14ac:dyDescent="0.25">
      <c r="A189" s="105" t="str">
        <f>'Data Vlaue (Cr)'!C184</f>
        <v>SUPREMEIND</v>
      </c>
      <c r="B189" s="143">
        <f>VLOOKUP($A189,'Data shares'!$C:$FA,118)</f>
        <v>0.4</v>
      </c>
      <c r="C189" s="143">
        <f>VLOOKUP($A189,'Data shares'!$C:$FA,119)</f>
        <v>0.42</v>
      </c>
      <c r="D189" s="143">
        <f>VLOOKUP($A189,'Data shares'!$C:$FA,121)*100</f>
        <v>-4.7600000000000007</v>
      </c>
      <c r="E189" s="143">
        <f>VLOOKUP($A189,'Data shares'!$C:$FA,124)</f>
        <v>0.32</v>
      </c>
      <c r="F189" s="143">
        <f>VLOOKUP($A189,'Data shares'!$C:$FA,125)</f>
        <v>0.37</v>
      </c>
      <c r="G189" s="143">
        <f>VLOOKUP($A189,'Data shares'!$C:$FA,127)*100</f>
        <v>-13.51</v>
      </c>
      <c r="H189" s="103">
        <f>VLOOKUP($A189,'OI(Volume)'!$A$7:$O$440,8)</f>
        <v>387625</v>
      </c>
      <c r="I189" s="103">
        <f>VLOOKUP($A189,'OI(Volume)'!$A$7:$O$440,9)</f>
        <v>44625</v>
      </c>
      <c r="J189" s="103">
        <f>VLOOKUP($A189,'OI(Volume)'!$A$7:$O$440,11)</f>
        <v>153650</v>
      </c>
      <c r="K189" s="103">
        <f>VLOOKUP($A189,'OI(Volume)'!$A$7:$O$440,12)</f>
        <v>9275</v>
      </c>
      <c r="L189" s="103">
        <f>VLOOKUP($A189,'OI(Value)'!$A$7:$O$323,8,0)</f>
        <v>154</v>
      </c>
      <c r="M189" s="103">
        <f>VLOOKUP($A189,'OI(Value)'!$A$7:$O$323,9,0)</f>
        <v>18</v>
      </c>
      <c r="N189" s="103">
        <f>VLOOKUP($A189,'OI(Value)'!$A$7:$O$323,11,0)</f>
        <v>61</v>
      </c>
      <c r="O189" s="103">
        <f>VLOOKUP($A189,'OI(Value)'!$A$7:$O$323,12,0)</f>
        <v>4</v>
      </c>
    </row>
    <row r="190" spans="1:15" x14ac:dyDescent="0.25">
      <c r="A190" s="105" t="str">
        <f>'Data Vlaue (Cr)'!C185</f>
        <v>SUZLON</v>
      </c>
      <c r="B190" s="143">
        <f>VLOOKUP($A190,'Data shares'!$C:$FA,118)</f>
        <v>0.4</v>
      </c>
      <c r="C190" s="143">
        <f>VLOOKUP($A190,'Data shares'!$C:$FA,119)</f>
        <v>0.5</v>
      </c>
      <c r="D190" s="143">
        <f>VLOOKUP($A190,'Data shares'!$C:$FA,121)*100</f>
        <v>-20</v>
      </c>
      <c r="E190" s="143">
        <f>VLOOKUP($A190,'Data shares'!$C:$FA,124)</f>
        <v>0.2</v>
      </c>
      <c r="F190" s="143">
        <f>VLOOKUP($A190,'Data shares'!$C:$FA,125)</f>
        <v>0.53</v>
      </c>
      <c r="G190" s="143">
        <f>VLOOKUP($A190,'Data shares'!$C:$FA,127)*100</f>
        <v>-62.260000000000005</v>
      </c>
      <c r="H190" s="103">
        <f>VLOOKUP($A190,'OI(Volume)'!$A$7:$O$440,8)</f>
        <v>177476625</v>
      </c>
      <c r="I190" s="103">
        <f>VLOOKUP($A190,'OI(Volume)'!$A$7:$O$440,9)</f>
        <v>38744325</v>
      </c>
      <c r="J190" s="103">
        <f>VLOOKUP($A190,'OI(Volume)'!$A$7:$O$440,11)</f>
        <v>71180175</v>
      </c>
      <c r="K190" s="103">
        <f>VLOOKUP($A190,'OI(Volume)'!$A$7:$O$440,12)</f>
        <v>2265275</v>
      </c>
      <c r="L190" s="103">
        <f>VLOOKUP($A190,'OI(Value)'!$A$7:$O$323,8,0)</f>
        <v>717</v>
      </c>
      <c r="M190" s="103">
        <f>VLOOKUP($A190,'OI(Value)'!$A$7:$O$323,9,0)</f>
        <v>157</v>
      </c>
      <c r="N190" s="103">
        <f>VLOOKUP($A190,'OI(Value)'!$A$7:$O$323,11,0)</f>
        <v>288</v>
      </c>
      <c r="O190" s="103">
        <f>VLOOKUP($A190,'OI(Value)'!$A$7:$O$323,12,0)</f>
        <v>9</v>
      </c>
    </row>
    <row r="191" spans="1:15" x14ac:dyDescent="0.25">
      <c r="A191" s="105" t="str">
        <f>'Data Vlaue (Cr)'!C186</f>
        <v>SWIGGY</v>
      </c>
      <c r="B191" s="143">
        <f>VLOOKUP($A191,'Data shares'!$C:$FA,118)</f>
        <v>0.81</v>
      </c>
      <c r="C191" s="143">
        <f>VLOOKUP($A191,'Data shares'!$C:$FA,119)</f>
        <v>0.79</v>
      </c>
      <c r="D191" s="143">
        <f>VLOOKUP($A191,'Data shares'!$C:$FA,121)*100</f>
        <v>2.5299999999999998</v>
      </c>
      <c r="E191" s="143">
        <f>VLOOKUP($A191,'Data shares'!$C:$FA,124)</f>
        <v>0.73</v>
      </c>
      <c r="F191" s="143">
        <f>VLOOKUP($A191,'Data shares'!$C:$FA,125)</f>
        <v>0.51</v>
      </c>
      <c r="G191" s="143">
        <f>VLOOKUP($A191,'Data shares'!$C:$FA,127)*100</f>
        <v>43.14</v>
      </c>
      <c r="H191" s="103">
        <f>VLOOKUP($A191,'OI(Volume)'!$A$7:$O$440,8)</f>
        <v>6494800</v>
      </c>
      <c r="I191" s="103">
        <f>VLOOKUP($A191,'OI(Volume)'!$A$7:$O$440,9)</f>
        <v>-29900</v>
      </c>
      <c r="J191" s="103">
        <f>VLOOKUP($A191,'OI(Volume)'!$A$7:$O$440,11)</f>
        <v>5229900</v>
      </c>
      <c r="K191" s="103">
        <f>VLOOKUP($A191,'OI(Volume)'!$A$7:$O$440,12)</f>
        <v>91000</v>
      </c>
      <c r="L191" s="103">
        <f>VLOOKUP($A191,'OI(Value)'!$A$7:$O$323,8,0)</f>
        <v>194</v>
      </c>
      <c r="M191" s="103">
        <f>VLOOKUP($A191,'OI(Value)'!$A$7:$O$323,9,0)</f>
        <v>-1</v>
      </c>
      <c r="N191" s="103">
        <f>VLOOKUP($A191,'OI(Value)'!$A$7:$O$323,11,0)</f>
        <v>156</v>
      </c>
      <c r="O191" s="103">
        <f>VLOOKUP($A191,'OI(Value)'!$A$7:$O$323,12,0)</f>
        <v>3</v>
      </c>
    </row>
    <row r="192" spans="1:15" x14ac:dyDescent="0.25">
      <c r="A192" s="105" t="str">
        <f>'Data Vlaue (Cr)'!C187</f>
        <v>SYNGENE</v>
      </c>
      <c r="B192" s="143">
        <f>VLOOKUP($A192,'Data shares'!$C:$FA,118)</f>
        <v>0.57999999999999996</v>
      </c>
      <c r="C192" s="143">
        <f>VLOOKUP($A192,'Data shares'!$C:$FA,119)</f>
        <v>0.63</v>
      </c>
      <c r="D192" s="143">
        <f>VLOOKUP($A192,'Data shares'!$C:$FA,121)*100</f>
        <v>-7.9399999999999995</v>
      </c>
      <c r="E192" s="143">
        <f>VLOOKUP($A192,'Data shares'!$C:$FA,124)</f>
        <v>0.37</v>
      </c>
      <c r="F192" s="143">
        <f>VLOOKUP($A192,'Data shares'!$C:$FA,125)</f>
        <v>0.48</v>
      </c>
      <c r="G192" s="143">
        <f>VLOOKUP($A192,'Data shares'!$C:$FA,127)*100</f>
        <v>-22.919999999999998</v>
      </c>
      <c r="H192" s="103">
        <f>VLOOKUP($A192,'OI(Volume)'!$A$7:$O$440,8)</f>
        <v>4848000</v>
      </c>
      <c r="I192" s="103">
        <f>VLOOKUP($A192,'OI(Volume)'!$A$7:$O$440,9)</f>
        <v>381000</v>
      </c>
      <c r="J192" s="103">
        <f>VLOOKUP($A192,'OI(Volume)'!$A$7:$O$440,11)</f>
        <v>2809000</v>
      </c>
      <c r="K192" s="103">
        <f>VLOOKUP($A192,'OI(Volume)'!$A$7:$O$440,12)</f>
        <v>-9000</v>
      </c>
      <c r="L192" s="103">
        <f>VLOOKUP($A192,'OI(Value)'!$A$7:$O$323,8,0)</f>
        <v>197</v>
      </c>
      <c r="M192" s="103">
        <f>VLOOKUP($A192,'OI(Value)'!$A$7:$O$323,9,0)</f>
        <v>15</v>
      </c>
      <c r="N192" s="103">
        <f>VLOOKUP($A192,'OI(Value)'!$A$7:$O$323,11,0)</f>
        <v>114</v>
      </c>
      <c r="O192" s="103">
        <f>VLOOKUP($A192,'OI(Value)'!$A$7:$O$323,12,0)</f>
        <v>0</v>
      </c>
    </row>
    <row r="193" spans="1:15" x14ac:dyDescent="0.25">
      <c r="A193" s="105" t="str">
        <f>'Data Vlaue (Cr)'!C188</f>
        <v>TATACONSUM</v>
      </c>
      <c r="B193" s="143">
        <f>VLOOKUP($A193,'Data shares'!$C:$FA,118)</f>
        <v>0.61</v>
      </c>
      <c r="C193" s="143">
        <f>VLOOKUP($A193,'Data shares'!$C:$FA,119)</f>
        <v>0.63</v>
      </c>
      <c r="D193" s="143">
        <f>VLOOKUP($A193,'Data shares'!$C:$FA,121)*100</f>
        <v>-3.17</v>
      </c>
      <c r="E193" s="143">
        <f>VLOOKUP($A193,'Data shares'!$C:$FA,124)</f>
        <v>0.63</v>
      </c>
      <c r="F193" s="143">
        <f>VLOOKUP($A193,'Data shares'!$C:$FA,125)</f>
        <v>1.06</v>
      </c>
      <c r="G193" s="143">
        <f>VLOOKUP($A193,'Data shares'!$C:$FA,127)*100</f>
        <v>-40.57</v>
      </c>
      <c r="H193" s="103">
        <f>VLOOKUP($A193,'OI(Volume)'!$A$7:$O$440,8)</f>
        <v>2324300</v>
      </c>
      <c r="I193" s="103">
        <f>VLOOKUP($A193,'OI(Volume)'!$A$7:$O$440,9)</f>
        <v>91850</v>
      </c>
      <c r="J193" s="103">
        <f>VLOOKUP($A193,'OI(Volume)'!$A$7:$O$440,11)</f>
        <v>1423400</v>
      </c>
      <c r="K193" s="103">
        <f>VLOOKUP($A193,'OI(Volume)'!$A$7:$O$440,12)</f>
        <v>24200</v>
      </c>
      <c r="L193" s="103">
        <f>VLOOKUP($A193,'OI(Value)'!$A$7:$O$323,8,0)</f>
        <v>261</v>
      </c>
      <c r="M193" s="103">
        <f>VLOOKUP($A193,'OI(Value)'!$A$7:$O$323,9,0)</f>
        <v>10</v>
      </c>
      <c r="N193" s="103">
        <f>VLOOKUP($A193,'OI(Value)'!$A$7:$O$323,11,0)</f>
        <v>160</v>
      </c>
      <c r="O193" s="103">
        <f>VLOOKUP($A193,'OI(Value)'!$A$7:$O$323,12,0)</f>
        <v>3</v>
      </c>
    </row>
    <row r="194" spans="1:15" x14ac:dyDescent="0.25">
      <c r="A194" s="105" t="str">
        <f>'Data Vlaue (Cr)'!C189</f>
        <v>TATAELXSI</v>
      </c>
      <c r="B194" s="143">
        <f>VLOOKUP($A194,'Data shares'!$C:$FA,118)</f>
        <v>0.48</v>
      </c>
      <c r="C194" s="143">
        <f>VLOOKUP($A194,'Data shares'!$C:$FA,119)</f>
        <v>0.48</v>
      </c>
      <c r="D194" s="143">
        <f>VLOOKUP($A194,'Data shares'!$C:$FA,121)*100</f>
        <v>0</v>
      </c>
      <c r="E194" s="143">
        <f>VLOOKUP($A194,'Data shares'!$C:$FA,124)</f>
        <v>0.32</v>
      </c>
      <c r="F194" s="143">
        <f>VLOOKUP($A194,'Data shares'!$C:$FA,125)</f>
        <v>0.62</v>
      </c>
      <c r="G194" s="143">
        <f>VLOOKUP($A194,'Data shares'!$C:$FA,127)*100</f>
        <v>-48.39</v>
      </c>
      <c r="H194" s="103">
        <f>VLOOKUP($A194,'OI(Volume)'!$A$7:$O$440,8)</f>
        <v>1384800</v>
      </c>
      <c r="I194" s="103">
        <f>VLOOKUP($A194,'OI(Volume)'!$A$7:$O$440,9)</f>
        <v>36800</v>
      </c>
      <c r="J194" s="103">
        <f>VLOOKUP($A194,'OI(Volume)'!$A$7:$O$440,11)</f>
        <v>659500</v>
      </c>
      <c r="K194" s="103">
        <f>VLOOKUP($A194,'OI(Volume)'!$A$7:$O$440,12)</f>
        <v>15000</v>
      </c>
      <c r="L194" s="103">
        <f>VLOOKUP($A194,'OI(Value)'!$A$7:$O$323,8,0)</f>
        <v>607</v>
      </c>
      <c r="M194" s="103">
        <f>VLOOKUP($A194,'OI(Value)'!$A$7:$O$323,9,0)</f>
        <v>16</v>
      </c>
      <c r="N194" s="103">
        <f>VLOOKUP($A194,'OI(Value)'!$A$7:$O$323,11,0)</f>
        <v>289</v>
      </c>
      <c r="O194" s="103">
        <f>VLOOKUP($A194,'OI(Value)'!$A$7:$O$323,12,0)</f>
        <v>7</v>
      </c>
    </row>
    <row r="195" spans="1:15" x14ac:dyDescent="0.25">
      <c r="A195" s="105" t="str">
        <f>'Data Vlaue (Cr)'!C190</f>
        <v>TATAPOWER</v>
      </c>
      <c r="B195" s="143">
        <f>VLOOKUP($A195,'Data shares'!$C:$FA,118)</f>
        <v>0.72</v>
      </c>
      <c r="C195" s="143">
        <f>VLOOKUP($A195,'Data shares'!$C:$FA,119)</f>
        <v>0.67</v>
      </c>
      <c r="D195" s="143">
        <f>VLOOKUP($A195,'Data shares'!$C:$FA,121)*100</f>
        <v>7.46</v>
      </c>
      <c r="E195" s="143">
        <f>VLOOKUP($A195,'Data shares'!$C:$FA,124)</f>
        <v>0.5</v>
      </c>
      <c r="F195" s="143">
        <f>VLOOKUP($A195,'Data shares'!$C:$FA,125)</f>
        <v>0.62</v>
      </c>
      <c r="G195" s="143">
        <f>VLOOKUP($A195,'Data shares'!$C:$FA,127)*100</f>
        <v>-19.350000000000001</v>
      </c>
      <c r="H195" s="103">
        <f>VLOOKUP($A195,'OI(Volume)'!$A$7:$O$440,8)</f>
        <v>29871450</v>
      </c>
      <c r="I195" s="103">
        <f>VLOOKUP($A195,'OI(Volume)'!$A$7:$O$440,9)</f>
        <v>-858400</v>
      </c>
      <c r="J195" s="103">
        <f>VLOOKUP($A195,'OI(Volume)'!$A$7:$O$440,11)</f>
        <v>21384600</v>
      </c>
      <c r="K195" s="103">
        <f>VLOOKUP($A195,'OI(Volume)'!$A$7:$O$440,12)</f>
        <v>812000</v>
      </c>
      <c r="L195" s="103">
        <f>VLOOKUP($A195,'OI(Value)'!$A$7:$O$323,8,0)</f>
        <v>1131</v>
      </c>
      <c r="M195" s="103">
        <f>VLOOKUP($A195,'OI(Value)'!$A$7:$O$323,9,0)</f>
        <v>-33</v>
      </c>
      <c r="N195" s="103">
        <f>VLOOKUP($A195,'OI(Value)'!$A$7:$O$323,11,0)</f>
        <v>810</v>
      </c>
      <c r="O195" s="103">
        <f>VLOOKUP($A195,'OI(Value)'!$A$7:$O$323,12,0)</f>
        <v>31</v>
      </c>
    </row>
    <row r="196" spans="1:15" x14ac:dyDescent="0.25">
      <c r="A196" s="105" t="str">
        <f>'Data Vlaue (Cr)'!C191</f>
        <v>TATASTEEL</v>
      </c>
      <c r="B196" s="143">
        <f>VLOOKUP($A196,'Data shares'!$C:$FA,118)</f>
        <v>0.67</v>
      </c>
      <c r="C196" s="143">
        <f>VLOOKUP($A196,'Data shares'!$C:$FA,119)</f>
        <v>0.7</v>
      </c>
      <c r="D196" s="143">
        <f>VLOOKUP($A196,'Data shares'!$C:$FA,121)*100</f>
        <v>-4.29</v>
      </c>
      <c r="E196" s="143">
        <f>VLOOKUP($A196,'Data shares'!$C:$FA,124)</f>
        <v>0.51</v>
      </c>
      <c r="F196" s="143">
        <f>VLOOKUP($A196,'Data shares'!$C:$FA,125)</f>
        <v>0.94</v>
      </c>
      <c r="G196" s="143">
        <f>VLOOKUP($A196,'Data shares'!$C:$FA,127)*100</f>
        <v>-45.739999999999995</v>
      </c>
      <c r="H196" s="103">
        <f>VLOOKUP($A196,'OI(Volume)'!$A$7:$O$440,8)</f>
        <v>118156500</v>
      </c>
      <c r="I196" s="103">
        <f>VLOOKUP($A196,'OI(Volume)'!$A$7:$O$440,9)</f>
        <v>1633500</v>
      </c>
      <c r="J196" s="103">
        <f>VLOOKUP($A196,'OI(Volume)'!$A$7:$O$440,11)</f>
        <v>79409000</v>
      </c>
      <c r="K196" s="103">
        <f>VLOOKUP($A196,'OI(Volume)'!$A$7:$O$440,12)</f>
        <v>-2211000</v>
      </c>
      <c r="L196" s="103">
        <f>VLOOKUP($A196,'OI(Value)'!$A$7:$O$323,8,0)</f>
        <v>2374</v>
      </c>
      <c r="M196" s="103">
        <f>VLOOKUP($A196,'OI(Value)'!$A$7:$O$323,9,0)</f>
        <v>33</v>
      </c>
      <c r="N196" s="103">
        <f>VLOOKUP($A196,'OI(Value)'!$A$7:$O$323,11,0)</f>
        <v>1595</v>
      </c>
      <c r="O196" s="103">
        <f>VLOOKUP($A196,'OI(Value)'!$A$7:$O$323,12,0)</f>
        <v>-44</v>
      </c>
    </row>
    <row r="197" spans="1:15" x14ac:dyDescent="0.25">
      <c r="A197" s="105" t="str">
        <f>'Data Vlaue (Cr)'!C192</f>
        <v>TATATECH</v>
      </c>
      <c r="B197" s="143">
        <f>VLOOKUP($A197,'Data shares'!$C:$FA,118)</f>
        <v>0.62</v>
      </c>
      <c r="C197" s="143">
        <f>VLOOKUP($A197,'Data shares'!$C:$FA,119)</f>
        <v>0.64</v>
      </c>
      <c r="D197" s="143">
        <f>VLOOKUP($A197,'Data shares'!$C:$FA,121)*100</f>
        <v>-3.1300000000000003</v>
      </c>
      <c r="E197" s="143">
        <f>VLOOKUP($A197,'Data shares'!$C:$FA,124)</f>
        <v>0.44</v>
      </c>
      <c r="F197" s="143">
        <f>VLOOKUP($A197,'Data shares'!$C:$FA,125)</f>
        <v>0.39</v>
      </c>
      <c r="G197" s="143">
        <f>VLOOKUP($A197,'Data shares'!$C:$FA,127)*100</f>
        <v>12.82</v>
      </c>
      <c r="H197" s="103">
        <f>VLOOKUP($A197,'OI(Volume)'!$A$7:$O$440,8)</f>
        <v>4015200</v>
      </c>
      <c r="I197" s="103">
        <f>VLOOKUP($A197,'OI(Volume)'!$A$7:$O$440,9)</f>
        <v>40800</v>
      </c>
      <c r="J197" s="103">
        <f>VLOOKUP($A197,'OI(Volume)'!$A$7:$O$440,11)</f>
        <v>2496000</v>
      </c>
      <c r="K197" s="103">
        <f>VLOOKUP($A197,'OI(Volume)'!$A$7:$O$440,12)</f>
        <v>-49600</v>
      </c>
      <c r="L197" s="103">
        <f>VLOOKUP($A197,'OI(Value)'!$A$7:$O$323,8,0)</f>
        <v>232</v>
      </c>
      <c r="M197" s="103">
        <f>VLOOKUP($A197,'OI(Value)'!$A$7:$O$323,9,0)</f>
        <v>2</v>
      </c>
      <c r="N197" s="103">
        <f>VLOOKUP($A197,'OI(Value)'!$A$7:$O$323,11,0)</f>
        <v>144</v>
      </c>
      <c r="O197" s="103">
        <f>VLOOKUP($A197,'OI(Value)'!$A$7:$O$323,12,0)</f>
        <v>-3</v>
      </c>
    </row>
    <row r="198" spans="1:15" x14ac:dyDescent="0.25">
      <c r="A198" s="105" t="str">
        <f>'Data Vlaue (Cr)'!C193</f>
        <v>TCS</v>
      </c>
      <c r="B198" s="143">
        <f>VLOOKUP($A198,'Data shares'!$C:$FA,118)</f>
        <v>0.63</v>
      </c>
      <c r="C198" s="143">
        <f>VLOOKUP($A198,'Data shares'!$C:$FA,119)</f>
        <v>0.66</v>
      </c>
      <c r="D198" s="143">
        <f>VLOOKUP($A198,'Data shares'!$C:$FA,121)*100</f>
        <v>-4.55</v>
      </c>
      <c r="E198" s="143">
        <f>VLOOKUP($A198,'Data shares'!$C:$FA,124)</f>
        <v>0.66</v>
      </c>
      <c r="F198" s="143">
        <f>VLOOKUP($A198,'Data shares'!$C:$FA,125)</f>
        <v>0.46</v>
      </c>
      <c r="G198" s="143">
        <f>VLOOKUP($A198,'Data shares'!$C:$FA,127)*100</f>
        <v>43.480000000000004</v>
      </c>
      <c r="H198" s="103">
        <f>VLOOKUP($A198,'OI(Volume)'!$A$7:$O$440,8)</f>
        <v>13867525</v>
      </c>
      <c r="I198" s="103">
        <f>VLOOKUP($A198,'OI(Volume)'!$A$7:$O$440,9)</f>
        <v>314125</v>
      </c>
      <c r="J198" s="103">
        <f>VLOOKUP($A198,'OI(Volume)'!$A$7:$O$440,11)</f>
        <v>8801275</v>
      </c>
      <c r="K198" s="103">
        <f>VLOOKUP($A198,'OI(Volume)'!$A$7:$O$440,12)</f>
        <v>-195475</v>
      </c>
      <c r="L198" s="103">
        <f>VLOOKUP($A198,'OI(Value)'!$A$7:$O$323,8,0)</f>
        <v>3591</v>
      </c>
      <c r="M198" s="103">
        <f>VLOOKUP($A198,'OI(Value)'!$A$7:$O$323,9,0)</f>
        <v>81</v>
      </c>
      <c r="N198" s="103">
        <f>VLOOKUP($A198,'OI(Value)'!$A$7:$O$323,11,0)</f>
        <v>2279</v>
      </c>
      <c r="O198" s="103">
        <f>VLOOKUP($A198,'OI(Value)'!$A$7:$O$323,12,0)</f>
        <v>-51</v>
      </c>
    </row>
    <row r="199" spans="1:15" x14ac:dyDescent="0.25">
      <c r="A199" s="105" t="str">
        <f>'Data Vlaue (Cr)'!C194</f>
        <v>TECHM</v>
      </c>
      <c r="B199" s="143">
        <f>VLOOKUP($A199,'Data shares'!$C:$FA,118)</f>
        <v>0.59</v>
      </c>
      <c r="C199" s="143">
        <f>VLOOKUP($A199,'Data shares'!$C:$FA,119)</f>
        <v>0.63</v>
      </c>
      <c r="D199" s="143">
        <f>VLOOKUP($A199,'Data shares'!$C:$FA,121)*100</f>
        <v>-6.35</v>
      </c>
      <c r="E199" s="143">
        <f>VLOOKUP($A199,'Data shares'!$C:$FA,124)</f>
        <v>0.52</v>
      </c>
      <c r="F199" s="143">
        <f>VLOOKUP($A199,'Data shares'!$C:$FA,125)</f>
        <v>0.45</v>
      </c>
      <c r="G199" s="143">
        <f>VLOOKUP($A199,'Data shares'!$C:$FA,127)*100</f>
        <v>15.559999999999999</v>
      </c>
      <c r="H199" s="103">
        <f>VLOOKUP($A199,'OI(Volume)'!$A$7:$O$440,8)</f>
        <v>9166800</v>
      </c>
      <c r="I199" s="103">
        <f>VLOOKUP($A199,'OI(Volume)'!$A$7:$O$440,9)</f>
        <v>450000</v>
      </c>
      <c r="J199" s="103">
        <f>VLOOKUP($A199,'OI(Volume)'!$A$7:$O$440,11)</f>
        <v>5430600</v>
      </c>
      <c r="K199" s="103">
        <f>VLOOKUP($A199,'OI(Volume)'!$A$7:$O$440,12)</f>
        <v>-90000</v>
      </c>
      <c r="L199" s="103">
        <f>VLOOKUP($A199,'OI(Value)'!$A$7:$O$323,8,0)</f>
        <v>1225</v>
      </c>
      <c r="M199" s="103">
        <f>VLOOKUP($A199,'OI(Value)'!$A$7:$O$323,9,0)</f>
        <v>60</v>
      </c>
      <c r="N199" s="103">
        <f>VLOOKUP($A199,'OI(Value)'!$A$7:$O$323,11,0)</f>
        <v>726</v>
      </c>
      <c r="O199" s="103">
        <f>VLOOKUP($A199,'OI(Value)'!$A$7:$O$323,12,0)</f>
        <v>-12</v>
      </c>
    </row>
    <row r="200" spans="1:15" x14ac:dyDescent="0.25">
      <c r="A200" s="105" t="str">
        <f>'Data Vlaue (Cr)'!C195</f>
        <v>TIINDIA</v>
      </c>
      <c r="B200" s="143">
        <f>VLOOKUP($A200,'Data shares'!$C:$FA,118)</f>
        <v>0.77</v>
      </c>
      <c r="C200" s="143">
        <f>VLOOKUP($A200,'Data shares'!$C:$FA,119)</f>
        <v>0.77</v>
      </c>
      <c r="D200" s="143">
        <f>VLOOKUP($A200,'Data shares'!$C:$FA,121)*100</f>
        <v>0</v>
      </c>
      <c r="E200" s="143">
        <f>VLOOKUP($A200,'Data shares'!$C:$FA,124)</f>
        <v>0.44</v>
      </c>
      <c r="F200" s="143">
        <f>VLOOKUP($A200,'Data shares'!$C:$FA,125)</f>
        <v>0.78</v>
      </c>
      <c r="G200" s="143">
        <f>VLOOKUP($A200,'Data shares'!$C:$FA,127)*100</f>
        <v>-43.59</v>
      </c>
      <c r="H200" s="103">
        <f>VLOOKUP($A200,'OI(Volume)'!$A$7:$O$440,8)</f>
        <v>595000</v>
      </c>
      <c r="I200" s="103">
        <f>VLOOKUP($A200,'OI(Volume)'!$A$7:$O$440,9)</f>
        <v>-7800</v>
      </c>
      <c r="J200" s="103">
        <f>VLOOKUP($A200,'OI(Volume)'!$A$7:$O$440,11)</f>
        <v>460800</v>
      </c>
      <c r="K200" s="103">
        <f>VLOOKUP($A200,'OI(Volume)'!$A$7:$O$440,12)</f>
        <v>-3200</v>
      </c>
      <c r="L200" s="103">
        <f>VLOOKUP($A200,'OI(Value)'!$A$7:$O$323,8,0)</f>
        <v>165</v>
      </c>
      <c r="M200" s="103">
        <f>VLOOKUP($A200,'OI(Value)'!$A$7:$O$323,9,0)</f>
        <v>-2</v>
      </c>
      <c r="N200" s="103">
        <f>VLOOKUP($A200,'OI(Value)'!$A$7:$O$323,11,0)</f>
        <v>128</v>
      </c>
      <c r="O200" s="103">
        <f>VLOOKUP($A200,'OI(Value)'!$A$7:$O$323,12,0)</f>
        <v>-1</v>
      </c>
    </row>
    <row r="201" spans="1:15" x14ac:dyDescent="0.25">
      <c r="A201" s="105" t="str">
        <f>'Data Vlaue (Cr)'!C196</f>
        <v>TITAN</v>
      </c>
      <c r="B201" s="143">
        <f>VLOOKUP($A201,'Data shares'!$C:$FA,118)</f>
        <v>0.66</v>
      </c>
      <c r="C201" s="143">
        <f>VLOOKUP($A201,'Data shares'!$C:$FA,119)</f>
        <v>0.71</v>
      </c>
      <c r="D201" s="143">
        <f>VLOOKUP($A201,'Data shares'!$C:$FA,121)*100</f>
        <v>-7.04</v>
      </c>
      <c r="E201" s="143">
        <f>VLOOKUP($A201,'Data shares'!$C:$FA,124)</f>
        <v>0.57999999999999996</v>
      </c>
      <c r="F201" s="143">
        <f>VLOOKUP($A201,'Data shares'!$C:$FA,125)</f>
        <v>1.01</v>
      </c>
      <c r="G201" s="143">
        <f>VLOOKUP($A201,'Data shares'!$C:$FA,127)*100</f>
        <v>-42.57</v>
      </c>
      <c r="H201" s="103">
        <f>VLOOKUP($A201,'OI(Volume)'!$A$7:$O$440,8)</f>
        <v>2024225</v>
      </c>
      <c r="I201" s="103">
        <f>VLOOKUP($A201,'OI(Volume)'!$A$7:$O$440,9)</f>
        <v>148225</v>
      </c>
      <c r="J201" s="103">
        <f>VLOOKUP($A201,'OI(Volume)'!$A$7:$O$440,11)</f>
        <v>1344350</v>
      </c>
      <c r="K201" s="103">
        <f>VLOOKUP($A201,'OI(Volume)'!$A$7:$O$440,12)</f>
        <v>16625</v>
      </c>
      <c r="L201" s="103">
        <f>VLOOKUP($A201,'OI(Value)'!$A$7:$O$323,8,0)</f>
        <v>868</v>
      </c>
      <c r="M201" s="103">
        <f>VLOOKUP($A201,'OI(Value)'!$A$7:$O$323,9,0)</f>
        <v>64</v>
      </c>
      <c r="N201" s="103">
        <f>VLOOKUP($A201,'OI(Value)'!$A$7:$O$323,11,0)</f>
        <v>576</v>
      </c>
      <c r="O201" s="103">
        <f>VLOOKUP($A201,'OI(Value)'!$A$7:$O$323,12,0)</f>
        <v>7</v>
      </c>
    </row>
    <row r="202" spans="1:15" x14ac:dyDescent="0.25">
      <c r="A202" s="105" t="str">
        <f>'Data Vlaue (Cr)'!C197</f>
        <v>TMPV</v>
      </c>
      <c r="B202" s="143">
        <f>VLOOKUP($A202,'Data shares'!$C:$FA,118)</f>
        <v>0.61</v>
      </c>
      <c r="C202" s="143">
        <f>VLOOKUP($A202,'Data shares'!$C:$FA,119)</f>
        <v>0.62</v>
      </c>
      <c r="D202" s="143">
        <f>VLOOKUP($A202,'Data shares'!$C:$FA,121)*100</f>
        <v>-1.6099999999999999</v>
      </c>
      <c r="E202" s="143">
        <f>VLOOKUP($A202,'Data shares'!$C:$FA,124)</f>
        <v>0.56000000000000005</v>
      </c>
      <c r="F202" s="143">
        <f>VLOOKUP($A202,'Data shares'!$C:$FA,125)</f>
        <v>0.7</v>
      </c>
      <c r="G202" s="143">
        <f>VLOOKUP($A202,'Data shares'!$C:$FA,127)*100</f>
        <v>-20</v>
      </c>
      <c r="H202" s="103">
        <f>VLOOKUP($A202,'OI(Volume)'!$A$7:$O$440,8)</f>
        <v>43154400</v>
      </c>
      <c r="I202" s="103">
        <f>VLOOKUP($A202,'OI(Volume)'!$A$7:$O$440,9)</f>
        <v>2568000</v>
      </c>
      <c r="J202" s="103">
        <f>VLOOKUP($A202,'OI(Volume)'!$A$7:$O$440,11)</f>
        <v>26176000</v>
      </c>
      <c r="K202" s="103">
        <f>VLOOKUP($A202,'OI(Volume)'!$A$7:$O$440,12)</f>
        <v>853600</v>
      </c>
      <c r="L202" s="103">
        <f>VLOOKUP($A202,'OI(Value)'!$A$7:$O$323,8,0)</f>
        <v>1539</v>
      </c>
      <c r="M202" s="103">
        <f>VLOOKUP($A202,'OI(Value)'!$A$7:$O$323,9,0)</f>
        <v>92</v>
      </c>
      <c r="N202" s="103">
        <f>VLOOKUP($A202,'OI(Value)'!$A$7:$O$323,11,0)</f>
        <v>933</v>
      </c>
      <c r="O202" s="103">
        <f>VLOOKUP($A202,'OI(Value)'!$A$7:$O$323,12,0)</f>
        <v>30</v>
      </c>
    </row>
    <row r="203" spans="1:15" x14ac:dyDescent="0.25">
      <c r="A203" s="105" t="str">
        <f>'Data Vlaue (Cr)'!C198</f>
        <v>TORNTPHARM</v>
      </c>
      <c r="B203" s="143">
        <f>VLOOKUP($A203,'Data shares'!$C:$FA,118)</f>
        <v>0.71</v>
      </c>
      <c r="C203" s="143">
        <f>VLOOKUP($A203,'Data shares'!$C:$FA,119)</f>
        <v>0.68</v>
      </c>
      <c r="D203" s="143">
        <f>VLOOKUP($A203,'Data shares'!$C:$FA,121)*100</f>
        <v>4.41</v>
      </c>
      <c r="E203" s="143">
        <f>VLOOKUP($A203,'Data shares'!$C:$FA,124)</f>
        <v>0.51</v>
      </c>
      <c r="F203" s="143">
        <f>VLOOKUP($A203,'Data shares'!$C:$FA,125)</f>
        <v>0.83</v>
      </c>
      <c r="G203" s="143">
        <f>VLOOKUP($A203,'Data shares'!$C:$FA,127)*100</f>
        <v>-38.550000000000004</v>
      </c>
      <c r="H203" s="103">
        <f>VLOOKUP($A203,'OI(Volume)'!$A$7:$O$440,8)</f>
        <v>668500</v>
      </c>
      <c r="I203" s="103">
        <f>VLOOKUP($A203,'OI(Volume)'!$A$7:$O$440,9)</f>
        <v>21250</v>
      </c>
      <c r="J203" s="103">
        <f>VLOOKUP($A203,'OI(Volume)'!$A$7:$O$440,11)</f>
        <v>476750</v>
      </c>
      <c r="K203" s="103">
        <f>VLOOKUP($A203,'OI(Volume)'!$A$7:$O$440,12)</f>
        <v>38500</v>
      </c>
      <c r="L203" s="103">
        <f>VLOOKUP($A203,'OI(Value)'!$A$7:$O$323,8,0)</f>
        <v>292</v>
      </c>
      <c r="M203" s="103">
        <f>VLOOKUP($A203,'OI(Value)'!$A$7:$O$323,9,0)</f>
        <v>9</v>
      </c>
      <c r="N203" s="103">
        <f>VLOOKUP($A203,'OI(Value)'!$A$7:$O$323,11,0)</f>
        <v>208</v>
      </c>
      <c r="O203" s="103">
        <f>VLOOKUP($A203,'OI(Value)'!$A$7:$O$323,12,0)</f>
        <v>17</v>
      </c>
    </row>
    <row r="204" spans="1:15" x14ac:dyDescent="0.25">
      <c r="A204" s="105" t="str">
        <f>'Data Vlaue (Cr)'!C199</f>
        <v>TORNTPOWER</v>
      </c>
      <c r="B204" s="143">
        <f>VLOOKUP($A204,'Data shares'!$C:$FA,118)</f>
        <v>0.56000000000000005</v>
      </c>
      <c r="C204" s="143">
        <f>VLOOKUP($A204,'Data shares'!$C:$FA,119)</f>
        <v>0.56000000000000005</v>
      </c>
      <c r="D204" s="143">
        <f>VLOOKUP($A204,'Data shares'!$C:$FA,121)*100</f>
        <v>0</v>
      </c>
      <c r="E204" s="143">
        <f>VLOOKUP($A204,'Data shares'!$C:$FA,124)</f>
        <v>0.52</v>
      </c>
      <c r="F204" s="143">
        <f>VLOOKUP($A204,'Data shares'!$C:$FA,125)</f>
        <v>0.67</v>
      </c>
      <c r="G204" s="143">
        <f>VLOOKUP($A204,'Data shares'!$C:$FA,127)*100</f>
        <v>-22.39</v>
      </c>
      <c r="H204" s="103">
        <f>VLOOKUP($A204,'OI(Volume)'!$A$7:$O$440,8)</f>
        <v>1468800</v>
      </c>
      <c r="I204" s="103">
        <f>VLOOKUP($A204,'OI(Volume)'!$A$7:$O$440,9)</f>
        <v>141525</v>
      </c>
      <c r="J204" s="103">
        <f>VLOOKUP($A204,'OI(Volume)'!$A$7:$O$440,11)</f>
        <v>821525</v>
      </c>
      <c r="K204" s="103">
        <f>VLOOKUP($A204,'OI(Volume)'!$A$7:$O$440,12)</f>
        <v>82450</v>
      </c>
      <c r="L204" s="103">
        <f>VLOOKUP($A204,'OI(Value)'!$A$7:$O$323,8,0)</f>
        <v>221</v>
      </c>
      <c r="M204" s="103">
        <f>VLOOKUP($A204,'OI(Value)'!$A$7:$O$323,9,0)</f>
        <v>21</v>
      </c>
      <c r="N204" s="103">
        <f>VLOOKUP($A204,'OI(Value)'!$A$7:$O$323,11,0)</f>
        <v>124</v>
      </c>
      <c r="O204" s="103">
        <f>VLOOKUP($A204,'OI(Value)'!$A$7:$O$323,12,0)</f>
        <v>12</v>
      </c>
    </row>
    <row r="205" spans="1:15" x14ac:dyDescent="0.25">
      <c r="A205" s="105" t="str">
        <f>'Data Vlaue (Cr)'!C200</f>
        <v>TRENT</v>
      </c>
      <c r="B205" s="143">
        <f>VLOOKUP($A205,'Data shares'!$C:$FA,118)</f>
        <v>0.72</v>
      </c>
      <c r="C205" s="143">
        <f>VLOOKUP($A205,'Data shares'!$C:$FA,119)</f>
        <v>0.76</v>
      </c>
      <c r="D205" s="143">
        <f>VLOOKUP($A205,'Data shares'!$C:$FA,121)*100</f>
        <v>-5.26</v>
      </c>
      <c r="E205" s="143">
        <f>VLOOKUP($A205,'Data shares'!$C:$FA,124)</f>
        <v>0.42</v>
      </c>
      <c r="F205" s="143">
        <f>VLOOKUP($A205,'Data shares'!$C:$FA,125)</f>
        <v>0.72</v>
      </c>
      <c r="G205" s="143">
        <f>VLOOKUP($A205,'Data shares'!$C:$FA,127)*100</f>
        <v>-41.67</v>
      </c>
      <c r="H205" s="103">
        <f>VLOOKUP($A205,'OI(Volume)'!$A$7:$O$440,8)</f>
        <v>0</v>
      </c>
      <c r="I205" s="103">
        <f>VLOOKUP($A205,'OI(Volume)'!$A$7:$O$440,9)</f>
        <v>0</v>
      </c>
      <c r="J205" s="103">
        <f>VLOOKUP($A205,'OI(Volume)'!$A$7:$O$440,11)</f>
        <v>0</v>
      </c>
      <c r="K205" s="103">
        <f>VLOOKUP($A205,'OI(Volume)'!$A$7:$O$440,12)</f>
        <v>0</v>
      </c>
      <c r="L205" s="103">
        <f>VLOOKUP($A205,'OI(Value)'!$A$7:$O$323,8,0)</f>
        <v>777</v>
      </c>
      <c r="M205" s="103">
        <f>VLOOKUP($A205,'OI(Value)'!$A$7:$O$323,9,0)</f>
        <v>42</v>
      </c>
      <c r="N205" s="103">
        <f>VLOOKUP($A205,'OI(Value)'!$A$7:$O$323,11,0)</f>
        <v>563</v>
      </c>
      <c r="O205" s="103">
        <f>VLOOKUP($A205,'OI(Value)'!$A$7:$O$323,12,0)</f>
        <v>2</v>
      </c>
    </row>
    <row r="206" spans="1:15" x14ac:dyDescent="0.25">
      <c r="A206" s="105" t="str">
        <f>'Data Vlaue (Cr)'!C201</f>
        <v>TVSMOTOR</v>
      </c>
      <c r="B206" s="143">
        <f>VLOOKUP($A206,'Data shares'!$C:$FA,118)</f>
        <v>0.77</v>
      </c>
      <c r="C206" s="143">
        <f>VLOOKUP($A206,'Data shares'!$C:$FA,119)</f>
        <v>0.73</v>
      </c>
      <c r="D206" s="143">
        <f>VLOOKUP($A206,'Data shares'!$C:$FA,121)*100</f>
        <v>5.48</v>
      </c>
      <c r="E206" s="143">
        <f>VLOOKUP($A206,'Data shares'!$C:$FA,124)</f>
        <v>0.43</v>
      </c>
      <c r="F206" s="143">
        <f>VLOOKUP($A206,'Data shares'!$C:$FA,125)</f>
        <v>0.86</v>
      </c>
      <c r="G206" s="143">
        <f>VLOOKUP($A206,'Data shares'!$C:$FA,127)*100</f>
        <v>-50</v>
      </c>
      <c r="H206" s="103">
        <f>VLOOKUP($A206,'OI(Volume)'!$A$7:$O$440,8)</f>
        <v>0</v>
      </c>
      <c r="I206" s="103">
        <f>VLOOKUP($A206,'OI(Volume)'!$A$7:$O$440,9)</f>
        <v>0</v>
      </c>
      <c r="J206" s="103">
        <f>VLOOKUP($A206,'OI(Volume)'!$A$7:$O$440,11)</f>
        <v>0</v>
      </c>
      <c r="K206" s="103">
        <f>VLOOKUP($A206,'OI(Volume)'!$A$7:$O$440,12)</f>
        <v>0</v>
      </c>
      <c r="L206" s="103">
        <f>VLOOKUP($A206,'OI(Value)'!$A$7:$O$323,8,0)</f>
        <v>684</v>
      </c>
      <c r="M206" s="103">
        <f>VLOOKUP($A206,'OI(Value)'!$A$7:$O$323,9,0)</f>
        <v>-24</v>
      </c>
      <c r="N206" s="103">
        <f>VLOOKUP($A206,'OI(Value)'!$A$7:$O$323,11,0)</f>
        <v>528</v>
      </c>
      <c r="O206" s="103">
        <f>VLOOKUP($A206,'OI(Value)'!$A$7:$O$323,12,0)</f>
        <v>13</v>
      </c>
    </row>
    <row r="207" spans="1:15" x14ac:dyDescent="0.25">
      <c r="A207" s="105" t="str">
        <f>'Data Vlaue (Cr)'!C202</f>
        <v>ULTRACEMCO</v>
      </c>
      <c r="B207" s="143">
        <f>VLOOKUP($A207,'Data shares'!$C:$FA,118)</f>
        <v>0.57999999999999996</v>
      </c>
      <c r="C207" s="143">
        <f>VLOOKUP($A207,'Data shares'!$C:$FA,119)</f>
        <v>0.53</v>
      </c>
      <c r="D207" s="143">
        <f>VLOOKUP($A207,'Data shares'!$C:$FA,121)*100</f>
        <v>9.43</v>
      </c>
      <c r="E207" s="143">
        <f>VLOOKUP($A207,'Data shares'!$C:$FA,124)</f>
        <v>0.45</v>
      </c>
      <c r="F207" s="143">
        <f>VLOOKUP($A207,'Data shares'!$C:$FA,125)</f>
        <v>0.69</v>
      </c>
      <c r="G207" s="143">
        <f>VLOOKUP($A207,'Data shares'!$C:$FA,127)*100</f>
        <v>-34.78</v>
      </c>
      <c r="H207" s="103">
        <f>VLOOKUP($A207,'OI(Volume)'!$A$7:$O$440,8)</f>
        <v>0</v>
      </c>
      <c r="I207" s="103">
        <f>VLOOKUP($A207,'OI(Volume)'!$A$7:$O$440,9)</f>
        <v>0</v>
      </c>
      <c r="J207" s="103">
        <f>VLOOKUP($A207,'OI(Volume)'!$A$7:$O$440,11)</f>
        <v>0</v>
      </c>
      <c r="K207" s="103">
        <f>VLOOKUP($A207,'OI(Volume)'!$A$7:$O$440,12)</f>
        <v>0</v>
      </c>
      <c r="L207" s="103">
        <f>VLOOKUP($A207,'OI(Value)'!$A$7:$O$323,8,0)</f>
        <v>732</v>
      </c>
      <c r="M207" s="103">
        <f>VLOOKUP($A207,'OI(Value)'!$A$7:$O$323,9,0)</f>
        <v>48</v>
      </c>
      <c r="N207" s="103">
        <f>VLOOKUP($A207,'OI(Value)'!$A$7:$O$323,11,0)</f>
        <v>421</v>
      </c>
      <c r="O207" s="103">
        <f>VLOOKUP($A207,'OI(Value)'!$A$7:$O$323,12,0)</f>
        <v>55</v>
      </c>
    </row>
    <row r="208" spans="1:15" x14ac:dyDescent="0.25">
      <c r="A208" s="105" t="str">
        <f>'Data Vlaue (Cr)'!C203</f>
        <v>UNIONBANK</v>
      </c>
      <c r="B208" s="143">
        <f>VLOOKUP($A208,'Data shares'!$C:$FA,118)</f>
        <v>0.73</v>
      </c>
      <c r="C208" s="143">
        <f>VLOOKUP($A208,'Data shares'!$C:$FA,119)</f>
        <v>0.85</v>
      </c>
      <c r="D208" s="143">
        <f>VLOOKUP($A208,'Data shares'!$C:$FA,121)*100</f>
        <v>-14.12</v>
      </c>
      <c r="E208" s="143">
        <f>VLOOKUP($A208,'Data shares'!$C:$FA,124)</f>
        <v>0.45</v>
      </c>
      <c r="F208" s="143">
        <f>VLOOKUP($A208,'Data shares'!$C:$FA,125)</f>
        <v>0.67</v>
      </c>
      <c r="G208" s="143">
        <f>VLOOKUP($A208,'Data shares'!$C:$FA,127)*100</f>
        <v>-32.840000000000003</v>
      </c>
      <c r="H208" s="103">
        <f>VLOOKUP($A208,'OI(Volume)'!$A$7:$O$440,8)</f>
        <v>0</v>
      </c>
      <c r="I208" s="103">
        <f>VLOOKUP($A208,'OI(Volume)'!$A$7:$O$440,9)</f>
        <v>0</v>
      </c>
      <c r="J208" s="103">
        <f>VLOOKUP($A208,'OI(Volume)'!$A$7:$O$440,11)</f>
        <v>0</v>
      </c>
      <c r="K208" s="103">
        <f>VLOOKUP($A208,'OI(Volume)'!$A$7:$O$440,12)</f>
        <v>0</v>
      </c>
      <c r="L208" s="103">
        <f>VLOOKUP($A208,'OI(Value)'!$A$7:$O$323,8,0)</f>
        <v>553</v>
      </c>
      <c r="M208" s="103">
        <f>VLOOKUP($A208,'OI(Value)'!$A$7:$O$323,9,0)</f>
        <v>56</v>
      </c>
      <c r="N208" s="103">
        <f>VLOOKUP($A208,'OI(Value)'!$A$7:$O$323,11,0)</f>
        <v>404</v>
      </c>
      <c r="O208" s="103">
        <f>VLOOKUP($A208,'OI(Value)'!$A$7:$O$323,12,0)</f>
        <v>-16</v>
      </c>
    </row>
    <row r="209" spans="1:15" x14ac:dyDescent="0.25">
      <c r="A209" s="105" t="str">
        <f>'Data Vlaue (Cr)'!C204</f>
        <v>UNITDSPR</v>
      </c>
      <c r="B209" s="143">
        <f>VLOOKUP($A209,'Data shares'!$C:$FA,118)</f>
        <v>0.77</v>
      </c>
      <c r="C209" s="143">
        <f>VLOOKUP($A209,'Data shares'!$C:$FA,119)</f>
        <v>0.83</v>
      </c>
      <c r="D209" s="143">
        <f>VLOOKUP($A209,'Data shares'!$C:$FA,121)*100</f>
        <v>-7.23</v>
      </c>
      <c r="E209" s="143">
        <f>VLOOKUP($A209,'Data shares'!$C:$FA,124)</f>
        <v>0.48</v>
      </c>
      <c r="F209" s="143">
        <f>VLOOKUP($A209,'Data shares'!$C:$FA,125)</f>
        <v>0.78</v>
      </c>
      <c r="G209" s="143">
        <f>VLOOKUP($A209,'Data shares'!$C:$FA,127)*100</f>
        <v>-38.46</v>
      </c>
      <c r="H209" s="103">
        <f>VLOOKUP($A209,'OI(Volume)'!$A$7:$O$440,8)</f>
        <v>0</v>
      </c>
      <c r="I209" s="103">
        <f>VLOOKUP($A209,'OI(Volume)'!$A$7:$O$440,9)</f>
        <v>0</v>
      </c>
      <c r="J209" s="103">
        <f>VLOOKUP($A209,'OI(Volume)'!$A$7:$O$440,11)</f>
        <v>0</v>
      </c>
      <c r="K209" s="103">
        <f>VLOOKUP($A209,'OI(Volume)'!$A$7:$O$440,12)</f>
        <v>0</v>
      </c>
      <c r="L209" s="103">
        <f>VLOOKUP($A209,'OI(Value)'!$A$7:$O$323,8,0)</f>
        <v>251</v>
      </c>
      <c r="M209" s="103">
        <f>VLOOKUP($A209,'OI(Value)'!$A$7:$O$323,9,0)</f>
        <v>21</v>
      </c>
      <c r="N209" s="103">
        <f>VLOOKUP($A209,'OI(Value)'!$A$7:$O$323,11,0)</f>
        <v>193</v>
      </c>
      <c r="O209" s="103">
        <f>VLOOKUP($A209,'OI(Value)'!$A$7:$O$323,12,0)</f>
        <v>1</v>
      </c>
    </row>
    <row r="210" spans="1:15" x14ac:dyDescent="0.25">
      <c r="A210" s="105" t="str">
        <f>'Data Vlaue (Cr)'!C205</f>
        <v>UNOMINDA</v>
      </c>
      <c r="B210" s="143">
        <f>VLOOKUP($A210,'Data shares'!$C:$FA,118)</f>
        <v>0.67</v>
      </c>
      <c r="C210" s="143">
        <f>VLOOKUP($A210,'Data shares'!$C:$FA,119)</f>
        <v>0.67</v>
      </c>
      <c r="D210" s="143">
        <f>VLOOKUP($A210,'Data shares'!$C:$FA,121)*100</f>
        <v>0</v>
      </c>
      <c r="E210" s="143">
        <f>VLOOKUP($A210,'Data shares'!$C:$FA,124)</f>
        <v>0.47</v>
      </c>
      <c r="F210" s="143">
        <f>VLOOKUP($A210,'Data shares'!$C:$FA,125)</f>
        <v>0.47</v>
      </c>
      <c r="G210" s="143">
        <f>VLOOKUP($A210,'Data shares'!$C:$FA,127)*100</f>
        <v>0</v>
      </c>
      <c r="H210" s="103">
        <f>VLOOKUP($A210,'OI(Volume)'!$A$7:$O$440,8)</f>
        <v>0</v>
      </c>
      <c r="I210" s="103">
        <f>VLOOKUP($A210,'OI(Volume)'!$A$7:$O$440,9)</f>
        <v>0</v>
      </c>
      <c r="J210" s="103">
        <f>VLOOKUP($A210,'OI(Volume)'!$A$7:$O$440,11)</f>
        <v>0</v>
      </c>
      <c r="K210" s="103">
        <f>VLOOKUP($A210,'OI(Volume)'!$A$7:$O$440,12)</f>
        <v>0</v>
      </c>
      <c r="L210" s="103">
        <f>VLOOKUP($A210,'OI(Value)'!$A$7:$O$323,8,0)</f>
        <v>137</v>
      </c>
      <c r="M210" s="103">
        <f>VLOOKUP($A210,'OI(Value)'!$A$7:$O$323,9,0)</f>
        <v>14</v>
      </c>
      <c r="N210" s="103">
        <f>VLOOKUP($A210,'OI(Value)'!$A$7:$O$323,11,0)</f>
        <v>91</v>
      </c>
      <c r="O210" s="103">
        <f>VLOOKUP($A210,'OI(Value)'!$A$7:$O$323,12,0)</f>
        <v>9</v>
      </c>
    </row>
    <row r="211" spans="1:15" x14ac:dyDescent="0.25">
      <c r="A211" s="105" t="str">
        <f>'Data Vlaue (Cr)'!C206</f>
        <v>UPL</v>
      </c>
      <c r="B211" s="143">
        <f>VLOOKUP($A211,'Data shares'!$C:$FA,118)</f>
        <v>0.46</v>
      </c>
      <c r="C211" s="143">
        <f>VLOOKUP($A211,'Data shares'!$C:$FA,119)</f>
        <v>0.44</v>
      </c>
      <c r="D211" s="143">
        <f>VLOOKUP($A211,'Data shares'!$C:$FA,121)*100</f>
        <v>4.55</v>
      </c>
      <c r="E211" s="143">
        <f>VLOOKUP($A211,'Data shares'!$C:$FA,124)</f>
        <v>0.37</v>
      </c>
      <c r="F211" s="143">
        <f>VLOOKUP($A211,'Data shares'!$C:$FA,125)</f>
        <v>0.56000000000000005</v>
      </c>
      <c r="G211" s="143">
        <f>VLOOKUP($A211,'Data shares'!$C:$FA,127)*100</f>
        <v>-33.93</v>
      </c>
      <c r="H211" s="103">
        <f>VLOOKUP($A211,'OI(Volume)'!$A$7:$O$440,8)</f>
        <v>0</v>
      </c>
      <c r="I211" s="103">
        <f>VLOOKUP($A211,'OI(Volume)'!$A$7:$O$440,9)</f>
        <v>0</v>
      </c>
      <c r="J211" s="103">
        <f>VLOOKUP($A211,'OI(Volume)'!$A$7:$O$440,11)</f>
        <v>0</v>
      </c>
      <c r="K211" s="103">
        <f>VLOOKUP($A211,'OI(Volume)'!$A$7:$O$440,12)</f>
        <v>0</v>
      </c>
      <c r="L211" s="103">
        <f>VLOOKUP($A211,'OI(Value)'!$A$7:$O$323,8,0)</f>
        <v>1364</v>
      </c>
      <c r="M211" s="103">
        <f>VLOOKUP($A211,'OI(Value)'!$A$7:$O$323,9,0)</f>
        <v>-40</v>
      </c>
      <c r="N211" s="103">
        <f>VLOOKUP($A211,'OI(Value)'!$A$7:$O$323,11,0)</f>
        <v>627</v>
      </c>
      <c r="O211" s="103">
        <f>VLOOKUP($A211,'OI(Value)'!$A$7:$O$323,12,0)</f>
        <v>7</v>
      </c>
    </row>
    <row r="212" spans="1:15" x14ac:dyDescent="0.25">
      <c r="A212" s="105" t="str">
        <f>'Data Vlaue (Cr)'!C207</f>
        <v>VBL</v>
      </c>
      <c r="B212" s="143">
        <f>VLOOKUP($A212,'Data shares'!$C:$FA,118)</f>
        <v>0.6</v>
      </c>
      <c r="C212" s="143">
        <f>VLOOKUP($A212,'Data shares'!$C:$FA,119)</f>
        <v>0.61</v>
      </c>
      <c r="D212" s="143">
        <f>VLOOKUP($A212,'Data shares'!$C:$FA,121)*100</f>
        <v>-1.6400000000000001</v>
      </c>
      <c r="E212" s="143">
        <f>VLOOKUP($A212,'Data shares'!$C:$FA,124)</f>
        <v>0.44</v>
      </c>
      <c r="F212" s="143">
        <f>VLOOKUP($A212,'Data shares'!$C:$FA,125)</f>
        <v>0.51</v>
      </c>
      <c r="G212" s="143">
        <f>VLOOKUP($A212,'Data shares'!$C:$FA,127)*100</f>
        <v>-13.73</v>
      </c>
      <c r="H212" s="103">
        <f>VLOOKUP($A212,'OI(Volume)'!$A$7:$O$440,8)</f>
        <v>0</v>
      </c>
      <c r="I212" s="103">
        <f>VLOOKUP($A212,'OI(Volume)'!$A$7:$O$440,9)</f>
        <v>0</v>
      </c>
      <c r="J212" s="103">
        <f>VLOOKUP($A212,'OI(Volume)'!$A$7:$O$440,11)</f>
        <v>0</v>
      </c>
      <c r="K212" s="103">
        <f>VLOOKUP($A212,'OI(Volume)'!$A$7:$O$440,12)</f>
        <v>0</v>
      </c>
      <c r="L212" s="103">
        <f>VLOOKUP($A212,'OI(Value)'!$A$7:$O$323,8,0)</f>
        <v>433</v>
      </c>
      <c r="M212" s="103">
        <f>VLOOKUP($A212,'OI(Value)'!$A$7:$O$323,9,0)</f>
        <v>37</v>
      </c>
      <c r="N212" s="103">
        <f>VLOOKUP($A212,'OI(Value)'!$A$7:$O$323,11,0)</f>
        <v>259</v>
      </c>
      <c r="O212" s="103">
        <f>VLOOKUP($A212,'OI(Value)'!$A$7:$O$323,12,0)</f>
        <v>19</v>
      </c>
    </row>
    <row r="213" spans="1:15" x14ac:dyDescent="0.25">
      <c r="A213" s="105" t="str">
        <f>'Data Vlaue (Cr)'!C208</f>
        <v>VEDL</v>
      </c>
      <c r="B213" s="143">
        <f>VLOOKUP($A213,'Data shares'!$C:$FA,118)</f>
        <v>0.68</v>
      </c>
      <c r="C213" s="143">
        <f>VLOOKUP($A213,'Data shares'!$C:$FA,119)</f>
        <v>0.68</v>
      </c>
      <c r="D213" s="143">
        <f>VLOOKUP($A213,'Data shares'!$C:$FA,121)*100</f>
        <v>0</v>
      </c>
      <c r="E213" s="143">
        <f>VLOOKUP($A213,'Data shares'!$C:$FA,124)</f>
        <v>0.44</v>
      </c>
      <c r="F213" s="143">
        <f>VLOOKUP($A213,'Data shares'!$C:$FA,125)</f>
        <v>0.78</v>
      </c>
      <c r="G213" s="143">
        <f>VLOOKUP($A213,'Data shares'!$C:$FA,127)*100</f>
        <v>-43.59</v>
      </c>
      <c r="H213" s="103">
        <f>VLOOKUP($A213,'OI(Volume)'!$A$7:$O$440,8)</f>
        <v>0</v>
      </c>
      <c r="I213" s="103">
        <f>VLOOKUP($A213,'OI(Volume)'!$A$7:$O$440,9)</f>
        <v>0</v>
      </c>
      <c r="J213" s="103">
        <f>VLOOKUP($A213,'OI(Volume)'!$A$7:$O$440,11)</f>
        <v>0</v>
      </c>
      <c r="K213" s="103">
        <f>VLOOKUP($A213,'OI(Volume)'!$A$7:$O$440,12)</f>
        <v>0</v>
      </c>
      <c r="L213" s="103">
        <f>VLOOKUP($A213,'OI(Value)'!$A$7:$O$323,8,0)</f>
        <v>2199</v>
      </c>
      <c r="M213" s="103">
        <f>VLOOKUP($A213,'OI(Value)'!$A$7:$O$323,9,0)</f>
        <v>126</v>
      </c>
      <c r="N213" s="103">
        <f>VLOOKUP($A213,'OI(Value)'!$A$7:$O$323,11,0)</f>
        <v>1492</v>
      </c>
      <c r="O213" s="103">
        <f>VLOOKUP($A213,'OI(Value)'!$A$7:$O$323,12,0)</f>
        <v>77</v>
      </c>
    </row>
    <row r="214" spans="1:15" x14ac:dyDescent="0.25">
      <c r="A214" s="105" t="str">
        <f>'Data Vlaue (Cr)'!C209</f>
        <v>VOLTAS</v>
      </c>
      <c r="B214" s="143">
        <f>VLOOKUP($A214,'Data shares'!$C:$FA,118)</f>
        <v>0.66</v>
      </c>
      <c r="C214" s="143">
        <f>VLOOKUP($A214,'Data shares'!$C:$FA,119)</f>
        <v>0.65</v>
      </c>
      <c r="D214" s="143">
        <f>VLOOKUP($A214,'Data shares'!$C:$FA,121)*100</f>
        <v>1.54</v>
      </c>
      <c r="E214" s="143">
        <f>VLOOKUP($A214,'Data shares'!$C:$FA,124)</f>
        <v>0.4</v>
      </c>
      <c r="F214" s="143">
        <f>VLOOKUP($A214,'Data shares'!$C:$FA,125)</f>
        <v>0.54</v>
      </c>
      <c r="G214" s="143">
        <f>VLOOKUP($A214,'Data shares'!$C:$FA,127)*100</f>
        <v>-25.929999999999996</v>
      </c>
      <c r="H214" s="103">
        <f>VLOOKUP($A214,'OI(Volume)'!$A$7:$O$440,8)</f>
        <v>0</v>
      </c>
      <c r="I214" s="103">
        <f>VLOOKUP($A214,'OI(Volume)'!$A$7:$O$440,9)</f>
        <v>0</v>
      </c>
      <c r="J214" s="103">
        <f>VLOOKUP($A214,'OI(Volume)'!$A$7:$O$440,11)</f>
        <v>0</v>
      </c>
      <c r="K214" s="103">
        <f>VLOOKUP($A214,'OI(Volume)'!$A$7:$O$440,12)</f>
        <v>0</v>
      </c>
      <c r="L214" s="103">
        <f>VLOOKUP($A214,'OI(Value)'!$A$7:$O$323,8,0)</f>
        <v>648</v>
      </c>
      <c r="M214" s="103">
        <f>VLOOKUP($A214,'OI(Value)'!$A$7:$O$323,9,0)</f>
        <v>45</v>
      </c>
      <c r="N214" s="103">
        <f>VLOOKUP($A214,'OI(Value)'!$A$7:$O$323,11,0)</f>
        <v>431</v>
      </c>
      <c r="O214" s="103">
        <f>VLOOKUP($A214,'OI(Value)'!$A$7:$O$323,12,0)</f>
        <v>38</v>
      </c>
    </row>
    <row r="215" spans="1:15" x14ac:dyDescent="0.25">
      <c r="A215" s="105" t="str">
        <f>'Data Vlaue (Cr)'!C210</f>
        <v>WAAREEENER</v>
      </c>
      <c r="B215" s="143">
        <f>VLOOKUP($A215,'Data shares'!$C:$FA,118)</f>
        <v>0.57999999999999996</v>
      </c>
      <c r="C215" s="143">
        <f>VLOOKUP($A215,'Data shares'!$C:$FA,119)</f>
        <v>0.6</v>
      </c>
      <c r="D215" s="143">
        <f>VLOOKUP($A215,'Data shares'!$C:$FA,121)*100</f>
        <v>-3.3300000000000005</v>
      </c>
      <c r="E215" s="143">
        <f>VLOOKUP($A215,'Data shares'!$C:$FA,124)</f>
        <v>0.4</v>
      </c>
      <c r="F215" s="143">
        <f>VLOOKUP($A215,'Data shares'!$C:$FA,125)</f>
        <v>0.44</v>
      </c>
      <c r="G215" s="143">
        <f>VLOOKUP($A215,'Data shares'!$C:$FA,127)*100</f>
        <v>-9.09</v>
      </c>
      <c r="H215" s="103">
        <f>VLOOKUP($A215,'OI(Volume)'!$A$7:$O$440,8)</f>
        <v>0</v>
      </c>
      <c r="I215" s="103">
        <f>VLOOKUP($A215,'OI(Volume)'!$A$7:$O$440,9)</f>
        <v>0</v>
      </c>
      <c r="J215" s="103">
        <f>VLOOKUP($A215,'OI(Volume)'!$A$7:$O$440,11)</f>
        <v>0</v>
      </c>
      <c r="K215" s="103">
        <f>VLOOKUP($A215,'OI(Volume)'!$A$7:$O$440,12)</f>
        <v>0</v>
      </c>
      <c r="L215" s="103">
        <f>VLOOKUP($A215,'OI(Value)'!$A$7:$O$323,8,0)</f>
        <v>846</v>
      </c>
      <c r="M215" s="103">
        <f>VLOOKUP($A215,'OI(Value)'!$A$7:$O$323,9,0)</f>
        <v>18</v>
      </c>
      <c r="N215" s="103">
        <f>VLOOKUP($A215,'OI(Value)'!$A$7:$O$323,11,0)</f>
        <v>493</v>
      </c>
      <c r="O215" s="103">
        <f>VLOOKUP($A215,'OI(Value)'!$A$7:$O$323,12,0)</f>
        <v>-1</v>
      </c>
    </row>
    <row r="216" spans="1:15" x14ac:dyDescent="0.25">
      <c r="A216" s="105" t="str">
        <f>'Data Vlaue (Cr)'!C211</f>
        <v>WIPRO</v>
      </c>
      <c r="B216" s="143">
        <f>VLOOKUP($A216,'Data shares'!$C:$FA,118)</f>
        <v>0.51</v>
      </c>
      <c r="C216" s="143">
        <f>VLOOKUP($A216,'Data shares'!$C:$FA,119)</f>
        <v>0.51</v>
      </c>
      <c r="D216" s="143">
        <f>VLOOKUP($A216,'Data shares'!$C:$FA,121)*100</f>
        <v>0</v>
      </c>
      <c r="E216" s="143">
        <f>VLOOKUP($A216,'Data shares'!$C:$FA,124)</f>
        <v>0.55000000000000004</v>
      </c>
      <c r="F216" s="143">
        <f>VLOOKUP($A216,'Data shares'!$C:$FA,125)</f>
        <v>0.52</v>
      </c>
      <c r="G216" s="143">
        <f>VLOOKUP($A216,'Data shares'!$C:$FA,127)*100</f>
        <v>5.7700000000000005</v>
      </c>
      <c r="H216" s="103">
        <f>VLOOKUP($A216,'OI(Volume)'!$A$7:$O$440,8)</f>
        <v>0</v>
      </c>
      <c r="I216" s="103">
        <f>VLOOKUP($A216,'OI(Volume)'!$A$7:$O$440,9)</f>
        <v>0</v>
      </c>
      <c r="J216" s="103">
        <f>VLOOKUP($A216,'OI(Volume)'!$A$7:$O$440,11)</f>
        <v>0</v>
      </c>
      <c r="K216" s="103">
        <f>VLOOKUP($A216,'OI(Volume)'!$A$7:$O$440,12)</f>
        <v>0</v>
      </c>
      <c r="L216" s="103">
        <f>VLOOKUP($A216,'OI(Value)'!$A$7:$O$323,8,0)</f>
        <v>1544</v>
      </c>
      <c r="M216" s="103">
        <f>VLOOKUP($A216,'OI(Value)'!$A$7:$O$323,9,0)</f>
        <v>53</v>
      </c>
      <c r="N216" s="103">
        <f>VLOOKUP($A216,'OI(Value)'!$A$7:$O$323,11,0)</f>
        <v>792</v>
      </c>
      <c r="O216" s="103">
        <f>VLOOKUP($A216,'OI(Value)'!$A$7:$O$323,12,0)</f>
        <v>27</v>
      </c>
    </row>
    <row r="217" spans="1:15" x14ac:dyDescent="0.25">
      <c r="A217" s="105" t="str">
        <f>'Data Vlaue (Cr)'!C213</f>
        <v>ZYDUSLIFE</v>
      </c>
      <c r="B217" s="143">
        <f>VLOOKUP($A217,'Data shares'!$C:$FA,118)</f>
        <v>0.56999999999999995</v>
      </c>
      <c r="C217" s="143">
        <f>VLOOKUP($A217,'Data shares'!$C:$FA,119)</f>
        <v>0.54</v>
      </c>
      <c r="D217" s="143">
        <f>VLOOKUP($A217,'Data shares'!$C:$FA,121)*100</f>
        <v>5.56</v>
      </c>
      <c r="E217" s="143">
        <f>VLOOKUP($A217,'Data shares'!$C:$FA,124)</f>
        <v>0.27</v>
      </c>
      <c r="F217" s="143">
        <f>VLOOKUP($A217,'Data shares'!$C:$FA,125)</f>
        <v>0.56000000000000005</v>
      </c>
      <c r="G217" s="143">
        <f>VLOOKUP($A217,'Data shares'!$C:$FA,127)*100</f>
        <v>-51.790000000000006</v>
      </c>
      <c r="H217" s="103">
        <f>VLOOKUP($A217,'OI(Volume)'!$A$7:$O$440,8)</f>
        <v>0</v>
      </c>
      <c r="I217" s="103">
        <f>VLOOKUP($A217,'OI(Volume)'!$A$7:$O$440,9)</f>
        <v>0</v>
      </c>
      <c r="J217" s="103">
        <f>VLOOKUP($A217,'OI(Volume)'!$A$7:$O$440,11)</f>
        <v>0</v>
      </c>
      <c r="K217" s="103">
        <f>VLOOKUP($A217,'OI(Volume)'!$A$7:$O$440,12)</f>
        <v>0</v>
      </c>
      <c r="L217" s="103">
        <f>VLOOKUP($A217,'OI(Value)'!$A$7:$O$323,8,0)</f>
        <v>430</v>
      </c>
      <c r="M217" s="103">
        <f>VLOOKUP($A217,'OI(Value)'!$A$7:$O$323,9,0)</f>
        <v>-11</v>
      </c>
      <c r="N217" s="103">
        <f>VLOOKUP($A217,'OI(Value)'!$A$7:$O$323,11,0)</f>
        <v>244</v>
      </c>
      <c r="O217" s="103">
        <f>VLOOKUP($A217,'OI(Value)'!$A$7:$O$323,12,0)</f>
        <v>5</v>
      </c>
    </row>
    <row r="218" spans="1:15" x14ac:dyDescent="0.25">
      <c r="A218" s="105"/>
      <c r="B218" s="143"/>
      <c r="C218" s="143"/>
      <c r="D218" s="143"/>
      <c r="E218" s="143"/>
      <c r="F218" s="143"/>
      <c r="G218" s="143"/>
      <c r="H218" s="103"/>
      <c r="I218" s="103"/>
      <c r="J218" s="103"/>
      <c r="K218" s="103"/>
      <c r="L218" s="103"/>
      <c r="M218" s="103"/>
      <c r="N218" s="103"/>
      <c r="O218" s="103"/>
    </row>
    <row r="219" spans="1:15" x14ac:dyDescent="0.25">
      <c r="A219" s="105"/>
      <c r="B219" s="143"/>
      <c r="C219" s="143"/>
      <c r="D219" s="143"/>
      <c r="E219" s="143"/>
      <c r="F219" s="143"/>
      <c r="G219" s="143"/>
      <c r="H219" s="103"/>
      <c r="I219" s="103"/>
      <c r="J219" s="103"/>
      <c r="K219" s="103"/>
      <c r="L219" s="103"/>
      <c r="M219" s="103"/>
      <c r="N219" s="103"/>
      <c r="O219" s="103"/>
    </row>
    <row r="220" spans="1:15" x14ac:dyDescent="0.25">
      <c r="A220" s="105"/>
      <c r="B220" s="143"/>
      <c r="C220" s="143"/>
      <c r="D220" s="143"/>
      <c r="E220" s="143"/>
      <c r="F220" s="143"/>
      <c r="G220" s="143"/>
      <c r="H220" s="103"/>
      <c r="I220" s="103"/>
      <c r="J220" s="103"/>
      <c r="K220" s="103"/>
      <c r="L220" s="103"/>
      <c r="M220" s="103"/>
      <c r="N220" s="103"/>
      <c r="O220" s="103"/>
    </row>
    <row r="221" spans="1:15" x14ac:dyDescent="0.25">
      <c r="A221" s="105"/>
      <c r="B221" s="143"/>
      <c r="C221" s="143"/>
      <c r="D221" s="143"/>
      <c r="E221" s="143"/>
      <c r="F221" s="143"/>
      <c r="G221" s="143"/>
      <c r="H221" s="103"/>
      <c r="I221" s="103"/>
      <c r="J221" s="103"/>
      <c r="K221" s="103"/>
      <c r="L221" s="103"/>
      <c r="M221" s="103"/>
      <c r="N221" s="103"/>
      <c r="O221" s="103"/>
    </row>
    <row r="222" spans="1:15" x14ac:dyDescent="0.25">
      <c r="A222" s="105"/>
      <c r="B222" s="143"/>
      <c r="C222" s="143"/>
      <c r="D222" s="143"/>
      <c r="E222" s="143"/>
      <c r="F222" s="143"/>
      <c r="G222" s="143"/>
      <c r="H222" s="103"/>
      <c r="I222" s="103"/>
      <c r="J222" s="103"/>
      <c r="K222" s="103"/>
      <c r="L222" s="103"/>
      <c r="M222" s="103"/>
      <c r="N222" s="103"/>
      <c r="O222" s="103"/>
    </row>
    <row r="223" spans="1:15" x14ac:dyDescent="0.25">
      <c r="A223" s="105"/>
      <c r="B223" s="143"/>
      <c r="C223" s="143"/>
      <c r="D223" s="143"/>
      <c r="E223" s="143"/>
      <c r="F223" s="143"/>
      <c r="G223" s="143"/>
      <c r="H223" s="103"/>
      <c r="I223" s="103"/>
      <c r="J223" s="103"/>
      <c r="K223" s="103"/>
      <c r="L223" s="103"/>
      <c r="M223" s="103"/>
      <c r="N223" s="103"/>
      <c r="O223" s="103"/>
    </row>
    <row r="224" spans="1:15" x14ac:dyDescent="0.25">
      <c r="A224" s="105"/>
      <c r="B224" s="143"/>
      <c r="C224" s="143"/>
      <c r="D224" s="143"/>
      <c r="E224" s="143"/>
      <c r="F224" s="143"/>
      <c r="G224" s="143"/>
      <c r="H224" s="103"/>
      <c r="I224" s="103"/>
      <c r="J224" s="103"/>
      <c r="K224" s="103"/>
      <c r="L224" s="103"/>
      <c r="M224" s="103"/>
      <c r="N224" s="103"/>
      <c r="O224" s="103"/>
    </row>
    <row r="225" spans="1:15" x14ac:dyDescent="0.25">
      <c r="A225" s="105"/>
      <c r="B225" s="143"/>
      <c r="C225" s="143"/>
      <c r="D225" s="143"/>
      <c r="E225" s="143"/>
      <c r="F225" s="143"/>
      <c r="G225" s="143"/>
      <c r="H225" s="103"/>
      <c r="I225" s="103"/>
      <c r="J225" s="103"/>
      <c r="K225" s="103"/>
      <c r="L225" s="103"/>
      <c r="M225" s="103"/>
      <c r="N225" s="103"/>
      <c r="O225" s="103"/>
    </row>
    <row r="226" spans="1:15" x14ac:dyDescent="0.25">
      <c r="A226" s="105"/>
      <c r="B226" s="143"/>
      <c r="C226" s="143"/>
      <c r="D226" s="143"/>
      <c r="E226" s="143"/>
      <c r="F226" s="143"/>
      <c r="G226" s="143"/>
      <c r="H226" s="103"/>
      <c r="I226" s="103"/>
      <c r="J226" s="103"/>
      <c r="K226" s="103"/>
      <c r="L226" s="103"/>
      <c r="M226" s="103"/>
      <c r="N226" s="103"/>
      <c r="O226" s="103"/>
    </row>
    <row r="227" spans="1:15" x14ac:dyDescent="0.25">
      <c r="A227" s="105"/>
      <c r="B227" s="143"/>
      <c r="C227" s="143"/>
      <c r="D227" s="143"/>
      <c r="E227" s="143"/>
      <c r="F227" s="143"/>
      <c r="G227" s="143"/>
      <c r="H227" s="103"/>
      <c r="I227" s="103"/>
      <c r="J227" s="103"/>
      <c r="K227" s="103"/>
      <c r="L227" s="103"/>
      <c r="M227" s="103"/>
      <c r="N227" s="103"/>
      <c r="O227" s="103"/>
    </row>
    <row r="228" spans="1:15" x14ac:dyDescent="0.25">
      <c r="A228" s="105"/>
      <c r="B228" s="143"/>
      <c r="C228" s="143"/>
      <c r="D228" s="143"/>
      <c r="E228" s="143"/>
      <c r="F228" s="143"/>
      <c r="G228" s="143"/>
      <c r="H228" s="103"/>
      <c r="I228" s="103"/>
      <c r="J228" s="103"/>
      <c r="K228" s="103"/>
      <c r="L228" s="103"/>
      <c r="M228" s="103"/>
      <c r="N228" s="103"/>
      <c r="O228" s="103"/>
    </row>
    <row r="229" spans="1:15" x14ac:dyDescent="0.25">
      <c r="A229" s="105"/>
      <c r="B229" s="143"/>
      <c r="C229" s="143"/>
      <c r="D229" s="143"/>
      <c r="E229" s="143"/>
      <c r="F229" s="143"/>
      <c r="G229" s="143"/>
      <c r="H229" s="103"/>
      <c r="I229" s="103"/>
      <c r="J229" s="103"/>
      <c r="K229" s="103"/>
      <c r="L229" s="103"/>
      <c r="M229" s="103"/>
      <c r="N229" s="103"/>
      <c r="O229" s="103"/>
    </row>
    <row r="230" spans="1:15" x14ac:dyDescent="0.25">
      <c r="A230" s="105"/>
      <c r="B230" s="143"/>
      <c r="C230" s="143"/>
      <c r="D230" s="143"/>
      <c r="E230" s="143"/>
      <c r="F230" s="143"/>
      <c r="G230" s="143"/>
      <c r="H230" s="103"/>
      <c r="I230" s="103"/>
      <c r="J230" s="103"/>
      <c r="K230" s="103"/>
      <c r="L230" s="103"/>
      <c r="M230" s="103"/>
      <c r="N230" s="103"/>
      <c r="O230" s="103"/>
    </row>
    <row r="231" spans="1:15" x14ac:dyDescent="0.25">
      <c r="A231" s="105"/>
      <c r="B231" s="143"/>
      <c r="C231" s="143"/>
      <c r="D231" s="143"/>
      <c r="E231" s="143"/>
      <c r="F231" s="143"/>
      <c r="G231" s="143"/>
      <c r="H231" s="103"/>
      <c r="I231" s="103"/>
      <c r="J231" s="103"/>
      <c r="K231" s="103"/>
      <c r="L231" s="103"/>
      <c r="M231" s="103"/>
      <c r="N231" s="103"/>
      <c r="O231" s="103"/>
    </row>
    <row r="232" spans="1:15" x14ac:dyDescent="0.25">
      <c r="A232" s="105"/>
      <c r="B232" s="143"/>
      <c r="C232" s="143"/>
      <c r="D232" s="143"/>
      <c r="E232" s="143"/>
      <c r="F232" s="143"/>
      <c r="G232" s="143"/>
      <c r="H232" s="103"/>
      <c r="I232" s="103"/>
      <c r="J232" s="103"/>
      <c r="K232" s="103"/>
      <c r="L232" s="103"/>
      <c r="M232" s="103"/>
      <c r="N232" s="103"/>
      <c r="O232" s="103"/>
    </row>
    <row r="233" spans="1:15" x14ac:dyDescent="0.25">
      <c r="A233" s="105"/>
      <c r="B233" s="143"/>
      <c r="C233" s="143"/>
      <c r="D233" s="143"/>
      <c r="E233" s="143"/>
      <c r="F233" s="143"/>
      <c r="G233" s="143"/>
      <c r="H233" s="103"/>
      <c r="I233" s="103"/>
      <c r="J233" s="103"/>
      <c r="K233" s="103"/>
      <c r="L233" s="103"/>
      <c r="M233" s="103"/>
      <c r="N233" s="103"/>
      <c r="O233" s="103"/>
    </row>
    <row r="234" spans="1:15" x14ac:dyDescent="0.25">
      <c r="A234" s="105"/>
      <c r="B234" s="143"/>
      <c r="C234" s="143"/>
      <c r="D234" s="143"/>
      <c r="E234" s="143"/>
      <c r="F234" s="143"/>
      <c r="G234" s="143"/>
      <c r="H234" s="103"/>
      <c r="I234" s="103"/>
      <c r="J234" s="103"/>
      <c r="K234" s="103"/>
      <c r="L234" s="103"/>
      <c r="M234" s="103"/>
      <c r="N234" s="103"/>
      <c r="O234" s="103"/>
    </row>
    <row r="235" spans="1:15" x14ac:dyDescent="0.25">
      <c r="A235" s="105"/>
      <c r="B235" s="143"/>
      <c r="C235" s="143"/>
      <c r="D235" s="143"/>
      <c r="E235" s="143"/>
      <c r="F235" s="143"/>
      <c r="G235" s="143"/>
      <c r="H235" s="103"/>
      <c r="I235" s="103"/>
      <c r="J235" s="103"/>
      <c r="K235" s="103"/>
      <c r="L235" s="103"/>
      <c r="M235" s="103"/>
      <c r="N235" s="103"/>
      <c r="O235" s="103"/>
    </row>
    <row r="236" spans="1:15" x14ac:dyDescent="0.25">
      <c r="A236" s="105"/>
      <c r="B236" s="143"/>
      <c r="C236" s="143"/>
      <c r="D236" s="143"/>
      <c r="E236" s="143"/>
      <c r="F236" s="143"/>
      <c r="G236" s="143"/>
      <c r="H236" s="103"/>
      <c r="I236" s="103"/>
      <c r="J236" s="103"/>
      <c r="K236" s="103"/>
      <c r="L236" s="103"/>
      <c r="M236" s="103"/>
      <c r="N236" s="103"/>
      <c r="O236" s="103"/>
    </row>
    <row r="237" spans="1:15" x14ac:dyDescent="0.25">
      <c r="A237" s="105"/>
      <c r="B237" s="143"/>
      <c r="C237" s="143"/>
      <c r="D237" s="143"/>
      <c r="E237" s="143"/>
      <c r="F237" s="143"/>
      <c r="G237" s="143"/>
      <c r="H237" s="103"/>
      <c r="I237" s="103"/>
      <c r="J237" s="103"/>
      <c r="K237" s="103"/>
      <c r="L237" s="103"/>
      <c r="M237" s="103"/>
      <c r="N237" s="103"/>
      <c r="O237" s="103"/>
    </row>
    <row r="238" spans="1:15" x14ac:dyDescent="0.25">
      <c r="A238" s="105"/>
      <c r="B238" s="143"/>
      <c r="C238" s="143"/>
      <c r="D238" s="143"/>
      <c r="E238" s="143"/>
      <c r="F238" s="143"/>
      <c r="G238" s="143"/>
      <c r="H238" s="103"/>
      <c r="I238" s="103"/>
      <c r="J238" s="103"/>
      <c r="K238" s="103"/>
      <c r="L238" s="103"/>
      <c r="M238" s="103"/>
      <c r="N238" s="103"/>
      <c r="O238" s="103"/>
    </row>
    <row r="239" spans="1:15" x14ac:dyDescent="0.25">
      <c r="A239" s="105"/>
      <c r="B239" s="143"/>
      <c r="C239" s="143"/>
      <c r="D239" s="143"/>
      <c r="E239" s="143"/>
      <c r="F239" s="143"/>
      <c r="G239" s="143"/>
      <c r="H239" s="103"/>
      <c r="I239" s="103"/>
      <c r="J239" s="103"/>
      <c r="K239" s="103"/>
      <c r="L239" s="103"/>
      <c r="M239" s="103"/>
      <c r="N239" s="103"/>
      <c r="O239" s="103"/>
    </row>
    <row r="240" spans="1:15" x14ac:dyDescent="0.25">
      <c r="A240" s="105"/>
      <c r="B240" s="143"/>
      <c r="C240" s="143"/>
      <c r="D240" s="143"/>
      <c r="E240" s="143"/>
      <c r="F240" s="143"/>
      <c r="G240" s="143"/>
      <c r="H240" s="103"/>
      <c r="I240" s="103"/>
      <c r="J240" s="103"/>
      <c r="K240" s="103"/>
      <c r="L240" s="103"/>
      <c r="M240" s="103"/>
      <c r="N240" s="103"/>
      <c r="O240" s="103"/>
    </row>
    <row r="241" spans="1:15" x14ac:dyDescent="0.25">
      <c r="A241" s="126" t="s">
        <v>391</v>
      </c>
      <c r="B241" s="136"/>
      <c r="C241" s="136"/>
      <c r="D241" s="136"/>
      <c r="E241" s="136"/>
      <c r="F241" s="136"/>
      <c r="G241" s="136"/>
      <c r="H241" s="135">
        <f t="shared" ref="H241:N241" si="0">SUM(H7:H227)</f>
        <v>5214659404</v>
      </c>
      <c r="I241" s="135">
        <f t="shared" si="0"/>
        <v>412533330</v>
      </c>
      <c r="J241" s="135">
        <f t="shared" si="0"/>
        <v>3224704853</v>
      </c>
      <c r="K241" s="135">
        <f t="shared" si="0"/>
        <v>143064875</v>
      </c>
      <c r="L241" s="135">
        <f t="shared" si="0"/>
        <v>767302</v>
      </c>
      <c r="M241" s="135">
        <f t="shared" si="0"/>
        <v>71461</v>
      </c>
      <c r="N241" s="135">
        <f t="shared" si="0"/>
        <v>707531</v>
      </c>
      <c r="O241" s="135">
        <f>SUM(O7:O240)</f>
        <v>95654</v>
      </c>
    </row>
    <row r="242" spans="1:15" x14ac:dyDescent="0.25">
      <c r="A242" s="126" t="s">
        <v>415</v>
      </c>
      <c r="B242" s="136"/>
      <c r="C242" s="136"/>
      <c r="D242" s="136"/>
      <c r="E242" s="136"/>
      <c r="F242" s="136"/>
      <c r="G242" s="136"/>
      <c r="H242" s="137">
        <f>H241/10000000</f>
        <v>521.46594040000002</v>
      </c>
      <c r="I242" s="137">
        <f>I241/10000000</f>
        <v>41.253332999999998</v>
      </c>
      <c r="J242" s="137">
        <f>J241/10000000</f>
        <v>322.47048530000001</v>
      </c>
      <c r="K242" s="137">
        <f>K241/10000000</f>
        <v>14.306487499999999</v>
      </c>
      <c r="L242" s="138">
        <f>L241</f>
        <v>767302</v>
      </c>
      <c r="M242" s="138">
        <f>M241</f>
        <v>71461</v>
      </c>
      <c r="N242" s="138">
        <f>N241</f>
        <v>707531</v>
      </c>
      <c r="O242" s="138">
        <f>O241</f>
        <v>95654</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NIFTY GRP</vt:lpstr>
      <vt:lpstr>Data Vlaue (Cr)</vt:lpstr>
      <vt:lpstr>Data shares</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2026-02-05T03:35:01Z</cp:lastPrinted>
  <dcterms:created xsi:type="dcterms:W3CDTF">2020-04-05T11:10:02Z</dcterms:created>
  <dcterms:modified xsi:type="dcterms:W3CDTF">2026-03-06T03:26:51Z</dcterms:modified>
</cp:coreProperties>
</file>